
<file path=[Content_Types].xml><?xml version="1.0" encoding="utf-8"?>
<Types xmlns="http://schemas.openxmlformats.org/package/2006/content-types">
  <Override PartName="/xl/worksheets/sheet35.xml" ContentType="application/vnd.openxmlformats-officedocument.spreadsheetml.worksheet+xml"/>
  <Override PartName="/xl/worksheets/sheet82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60.xml" ContentType="application/vnd.openxmlformats-officedocument.spreadsheetml.worksheet+xml"/>
  <Override PartName="/xl/worksheets/sheet358.xml" ContentType="application/vnd.openxmlformats-officedocument.spreadsheetml.worksheet+xml"/>
  <Override PartName="/xl/styles.xml" ContentType="application/vnd.openxmlformats-officedocument.spreadsheetml.styles+xml"/>
  <Override PartName="/xl/worksheets/sheet197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83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worksheets/sheet298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61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worksheets/sheet287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50.xml" ContentType="application/vnd.openxmlformats-officedocument.spreadsheetml.worksheet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76.xml" ContentType="application/vnd.openxmlformats-officedocument.spreadsheetml.workshee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90.xml" ContentType="application/vnd.openxmlformats-officedocument.spreadsheetml.worksheet+xml"/>
  <Override PartName="/xl/worksheets/sheet32.xml" ContentType="application/vnd.openxmlformats-officedocument.spreadsheetml.worksheet+xml"/>
  <Override PartName="/xl/worksheets/sheet232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221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5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xl/worksheets/sheet344.xml" ContentType="application/vnd.openxmlformats-officedocument.spreadsheetml.worksheet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80.xml" ContentType="application/vnd.openxmlformats-officedocument.spreadsheetml.worksheet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259.xml" ContentType="application/vnd.openxmlformats-officedocument.spreadsheetml.worksheet+xml"/>
  <Override PartName="/xl/worksheets/sheet311.xml" ContentType="application/vnd.openxmlformats-officedocument.spreadsheetml.worksheet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95.xml" ContentType="application/vnd.openxmlformats-officedocument.spreadsheetml.worksheet+xml"/>
  <Override PartName="/xl/worksheets/sheet300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62.xml" ContentType="application/vnd.openxmlformats-officedocument.spreadsheetml.worksheet+xml"/>
  <Override PartName="/xl/worksheets/sheet51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51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85.xml" ContentType="application/vnd.openxmlformats-officedocument.spreadsheetml.worksheet+xml"/>
  <Override PartName="/xl/worksheets/sheet40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240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74.xml" ContentType="application/vnd.openxmlformats-officedocument.spreadsheetml.worksheet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66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63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55.xml" ContentType="application/vnd.openxmlformats-officedocument.spreadsheetml.worksheet+xml"/>
  <Override PartName="/xl/worksheets/sheet289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278.xml" ContentType="application/vnd.openxmlformats-officedocument.spreadsheetml.worksheet+xml"/>
  <Override PartName="/xl/worksheets/sheet330.xml" ContentType="application/vnd.openxmlformats-officedocument.spreadsheetml.worksheet+xml"/>
  <Override PartName="/xl/worksheets/sheet67.xml" ContentType="application/vnd.openxmlformats-officedocument.spreadsheetml.worksheet+xml"/>
  <Override PartName="/xl/worksheets/sheet122.xml" ContentType="application/vnd.openxmlformats-officedocument.spreadsheetml.worksheet+xml"/>
  <Override PartName="/xl/worksheets/sheet26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92.xml" ContentType="application/vnd.openxmlformats-officedocument.spreadsheetml.worksheet+xml"/>
  <Override PartName="/xl/worksheets/sheet34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81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70.xml" ContentType="application/vnd.openxmlformats-officedocument.spreadsheetml.worksheet+xml"/>
  <Override PartName="/xl/worksheets/sheet357.xml" ContentType="application/vnd.openxmlformats-officedocument.spreadsheetml.worksheet+xml"/>
  <Override PartName="/xl/worksheets/sheet12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346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85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82.xml" ContentType="application/vnd.openxmlformats-officedocument.spreadsheetml.workshee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74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297.xml" ContentType="application/vnd.openxmlformats-officedocument.spreadsheetml.worksheet+xml"/>
  <Override PartName="/xl/worksheets/sheet302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41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4.xml" ContentType="application/vnd.openxmlformats-officedocument.spreadsheetml.worksheet+xml"/>
  <Override PartName="/xl/worksheets/sheet130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64.xml" ContentType="application/vnd.openxmlformats-officedocument.spreadsheetml.workshee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53.xml" ContentType="application/vnd.openxmlformats-officedocument.spreadsheetml.worksheet+xml"/>
  <Override PartName="/xl/worksheets/sheet387.xml" ContentType="application/vnd.openxmlformats-officedocument.spreadsheetml.worksheet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76.xml" ContentType="application/vnd.openxmlformats-officedocument.spreadsheetml.workshee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worksheets/sheet220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65.xml" ContentType="application/vnd.openxmlformats-officedocument.spreadsheetml.worksheet+xml"/>
  <Override PartName="/xl/worksheets/sheet157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332.xml" ContentType="application/vnd.openxmlformats-officedocument.spreadsheetml.worksheet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worksheets/sheet269.xml" ContentType="application/vnd.openxmlformats-officedocument.spreadsheetml.worksheet+xml"/>
  <Override PartName="/xl/worksheets/sheet321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94.xml" ContentType="application/vnd.openxmlformats-officedocument.spreadsheetml.worksheet+xml"/>
  <Override PartName="/xl/worksheets/sheet310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72.xml" ContentType="application/vnd.openxmlformats-officedocument.spreadsheetml.worksheet+xml"/>
  <Override PartName="/xl/worksheets/sheet359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348.xml" ContentType="application/vnd.openxmlformats-officedocument.spreadsheetml.worksheet+xml"/>
  <Override PartName="/xl/worksheets/sheet187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84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51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90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340.xml" ContentType="application/vnd.openxmlformats-officedocument.spreadsheetml.worksheet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66.xml" ContentType="application/vnd.openxmlformats-officedocument.spreadsheetml.worksheet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55.xml" ContentType="application/vnd.openxmlformats-officedocument.spreadsheetml.worksheet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91.xml" ContentType="application/vnd.openxmlformats-officedocument.spreadsheetml.worksheet+xml"/>
  <Override PartName="/xl/worksheets/sheet378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80.xml" ContentType="application/vnd.openxmlformats-officedocument.spreadsheetml.worksheet+xml"/>
  <Override PartName="/xl/worksheets/sheet367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159.xml" ContentType="application/vnd.openxmlformats-officedocument.spreadsheetml.worksheet+xml"/>
  <Override PartName="/xl/worksheets/sheet211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56.xml" ContentType="application/vnd.openxmlformats-officedocument.spreadsheetml.worksheet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81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73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70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62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96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8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85.xml" ContentType="application/vnd.openxmlformats-officedocument.spreadsheetml.worksheet+xml"/>
  <Override PartName="/xl/worksheets/sheet301.xml" ContentType="application/vnd.openxmlformats-officedocument.spreadsheetml.worksheet+xml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worksheets/sheet140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41.xml" ContentType="application/vnd.openxmlformats-officedocument.spreadsheetml.worksheet+xml"/>
  <Override PartName="/xl/worksheets/sheet189.xml" ContentType="application/vnd.openxmlformats-officedocument.spreadsheetml.worksheet+xml"/>
  <Override PartName="/xl/worksheets/sheet241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86.xml" ContentType="application/vnd.openxmlformats-officedocument.spreadsheetml.worksheet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worksheets/sheet178.xml" ContentType="application/vnd.openxmlformats-officedocument.spreadsheetml.worksheet+xml"/>
  <Override PartName="/xl/worksheets/sheet230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53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92.xml" ContentType="application/vnd.openxmlformats-officedocument.spreadsheetml.worksheet+xml"/>
  <Override PartName="/xl/worksheets/sheet342.xml" ContentType="application/vnd.openxmlformats-officedocument.spreadsheetml.worksheet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81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57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70.xml" ContentType="application/vnd.openxmlformats-officedocument.spreadsheetml.worksheet+xml"/>
  <Override PartName="/xl/worksheets/sheet257.xml" ContentType="application/vnd.openxmlformats-officedocument.spreadsheetml.worksheet+xml"/>
  <Override PartName="/xl/worksheets/sheet46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4.xml" ContentType="application/vnd.openxmlformats-officedocument.spreadsheetml.worksheet+xml"/>
  <Override PartName="/xl/worksheets/sheet71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71.xml" ContentType="application/vnd.openxmlformats-officedocument.spreadsheetml.worksheet+xml"/>
  <Override PartName="/xl/worksheets/sheet369.xml" ContentType="application/vnd.openxmlformats-officedocument.spreadsheetml.worksheet+xml"/>
  <Override PartName="/xl/worksheets/sheet139.xml" ContentType="application/vnd.openxmlformats-officedocument.spreadsheetml.worksheet+xml"/>
  <Override PartName="/xl/worksheets/sheet202.xml" ContentType="application/vnd.openxmlformats-officedocument.spreadsheetml.worksheet+xml"/>
  <Override PartName="/xl/worksheets/sheet34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135" windowWidth="15315" windowHeight="7965" tabRatio="773" firstSheet="380" activeTab="384"/>
  </bookViews>
  <sheets>
    <sheet name="Equipment SCS 1-4-16" sheetId="77" r:id="rId1"/>
    <sheet name="Construction Trucks SCS 1-4-16" sheetId="78" r:id="rId2"/>
    <sheet name="WorkerTrips SCS 1-4-16" sheetId="79" r:id="rId3"/>
    <sheet name="Equipment SCS 1-11-16" sheetId="787" r:id="rId4"/>
    <sheet name="Construction Trucks SCS 1-11-16" sheetId="788" r:id="rId5"/>
    <sheet name="WorkerTrips SCS 1-11-16" sheetId="789" r:id="rId6"/>
    <sheet name="Equipment SCS 1-18-16" sheetId="790" r:id="rId7"/>
    <sheet name="Construction Trucks SCS 1-18-16" sheetId="791" r:id="rId8"/>
    <sheet name="WorkerTrips SCS 1-18-16" sheetId="792" r:id="rId9"/>
    <sheet name="Equipment SCS 1-25-16" sheetId="793" r:id="rId10"/>
    <sheet name="Construction Trucks SCS 1-25-16" sheetId="794" r:id="rId11"/>
    <sheet name="WorkerTrips SCS 1-25-16" sheetId="795" r:id="rId12"/>
    <sheet name="Equipment SCS 2-1-16" sheetId="796" r:id="rId13"/>
    <sheet name="Construction Trucks SCS 2-1-16" sheetId="797" r:id="rId14"/>
    <sheet name="WorkerTrips SCS 2-1-16" sheetId="798" r:id="rId15"/>
    <sheet name="Equipment SCS 2-8-16" sheetId="799" r:id="rId16"/>
    <sheet name="Construction Trucks SCS 2-8-16" sheetId="800" r:id="rId17"/>
    <sheet name="WorkerTrips SCS 2-8-16" sheetId="801" r:id="rId18"/>
    <sheet name="Equipment SCS 2-15-16" sheetId="802" r:id="rId19"/>
    <sheet name="Construction Trucks SCS 2-15-16" sheetId="803" r:id="rId20"/>
    <sheet name="WorkerTrips SCS 2-15-16" sheetId="804" r:id="rId21"/>
    <sheet name="Equipment SCS 2-22-16" sheetId="805" r:id="rId22"/>
    <sheet name="Construction Trucks SCS 2-22-16" sheetId="806" r:id="rId23"/>
    <sheet name="WorkerTrips SCS 2-22-16" sheetId="807" r:id="rId24"/>
    <sheet name="Equipment SCS 2-29-16" sheetId="74" r:id="rId25"/>
    <sheet name="Construction Trucks SCS 2-29-16" sheetId="75" r:id="rId26"/>
    <sheet name="WorkerTrips SCS 2-29-16" sheetId="76" r:id="rId27"/>
    <sheet name="Equipment SCS 3-7-16" sheetId="564" r:id="rId28"/>
    <sheet name="Construction Trucks SCS 3-7-16" sheetId="565" r:id="rId29"/>
    <sheet name="WorkerTrips SCS 3-7-16" sheetId="566" r:id="rId30"/>
    <sheet name="Equipment SCS 3-14-16" sheetId="567" r:id="rId31"/>
    <sheet name="Construction Trucks SCS 3-14-16" sheetId="568" r:id="rId32"/>
    <sheet name="WorkerTrips SCS 3-14-16" sheetId="569" r:id="rId33"/>
    <sheet name="Equipment SCS 3-21-16" sheetId="808" r:id="rId34"/>
    <sheet name="Construction Trucks SCS 3-21-16" sheetId="809" r:id="rId35"/>
    <sheet name="WorkerTrips SCS 3-21-16" sheetId="810" r:id="rId36"/>
    <sheet name="Equipment SCS 3-28-16" sheetId="576" r:id="rId37"/>
    <sheet name="Construction Trucks SCS 3-28-16" sheetId="577" r:id="rId38"/>
    <sheet name="WorkerTrips SCS 3-28-16" sheetId="578" r:id="rId39"/>
    <sheet name="Equipment SCS 4-4-16" sheetId="579" r:id="rId40"/>
    <sheet name="Construction Trucks SCS 4-4-16" sheetId="580" r:id="rId41"/>
    <sheet name="WorkerTrips SCS 4-4-16" sheetId="581" r:id="rId42"/>
    <sheet name="Equipment SCS 4-11-16" sheetId="582" r:id="rId43"/>
    <sheet name="Construction Trucks SCS 4-11-16" sheetId="583" r:id="rId44"/>
    <sheet name="WorkerTrips SCS 4-11-16" sheetId="584" r:id="rId45"/>
    <sheet name="Equipment SCS 4-18-16" sheetId="585" r:id="rId46"/>
    <sheet name="Construction Trucks SCS 4-18-16" sheetId="586" r:id="rId47"/>
    <sheet name="WorkerTrips SCS 4-18-16" sheetId="587" r:id="rId48"/>
    <sheet name="Equipment SCS 4-25-16" sheetId="588" r:id="rId49"/>
    <sheet name="Construction Trucks SCS 4-25-16" sheetId="589" r:id="rId50"/>
    <sheet name="WorkerTrips SCS 4-25-16" sheetId="590" r:id="rId51"/>
    <sheet name="Equipment SCS 5-2-16" sheetId="591" r:id="rId52"/>
    <sheet name="Construction Trucks SCS 5-2-16" sheetId="592" r:id="rId53"/>
    <sheet name="WorkerTrips SCS 5-2-16" sheetId="593" r:id="rId54"/>
    <sheet name="Equipment SCS 5-9-16" sheetId="594" r:id="rId55"/>
    <sheet name="Construction Trucks SCS 5-9-16" sheetId="595" r:id="rId56"/>
    <sheet name="WorkerTrips SCS 5-9-16" sheetId="596" r:id="rId57"/>
    <sheet name="Equipment SCS 5-16-16" sheetId="597" r:id="rId58"/>
    <sheet name="Construction Trucks SCS 5-16-16" sheetId="598" r:id="rId59"/>
    <sheet name="WorkerTrips SCS 5-16-16" sheetId="599" r:id="rId60"/>
    <sheet name="Equipment SCS 5-23-16" sheetId="600" r:id="rId61"/>
    <sheet name="Construction Trucks SCS 5-23-16" sheetId="601" r:id="rId62"/>
    <sheet name="WorkerTrips SCS 5-23-16" sheetId="602" r:id="rId63"/>
    <sheet name="Equipment SCS 5-30-16" sheetId="603" r:id="rId64"/>
    <sheet name="Construction Trucks SCS 5-30-16" sheetId="604" r:id="rId65"/>
    <sheet name="WorkerTrips SCS 5-30-16" sheetId="605" r:id="rId66"/>
    <sheet name="Equipment SCS 6-6-16" sheetId="606" r:id="rId67"/>
    <sheet name="Construction Trucks SCS 6-6-16" sheetId="607" r:id="rId68"/>
    <sheet name="WorkerTrips SCS 6-6-16" sheetId="608" r:id="rId69"/>
    <sheet name="Equipment SCS 6-13-16" sheetId="609" r:id="rId70"/>
    <sheet name="Construction Trucks SCS 6-13-16" sheetId="610" r:id="rId71"/>
    <sheet name="WorkerTrips SCS 6-13-16" sheetId="611" r:id="rId72"/>
    <sheet name="Equipment SCS 6-20-16" sheetId="612" r:id="rId73"/>
    <sheet name="Construction Trucks SCS 6-20-16" sheetId="613" r:id="rId74"/>
    <sheet name="WorkerTrips SCS 6-20-16" sheetId="614" r:id="rId75"/>
    <sheet name="Equipment SCS 6-27-16" sheetId="615" r:id="rId76"/>
    <sheet name="Construction Trucks SCS 6-27-16" sheetId="616" r:id="rId77"/>
    <sheet name="WorkerTrips SCS 6-27-16" sheetId="617" r:id="rId78"/>
    <sheet name="Equipment SCS 7-4-16" sheetId="618" r:id="rId79"/>
    <sheet name="Construction Trucks SCS 7-4-16" sheetId="619" r:id="rId80"/>
    <sheet name="WorkerTrips SCS 7-4-16" sheetId="620" r:id="rId81"/>
    <sheet name="Equipment SCS 7-11-16" sheetId="621" r:id="rId82"/>
    <sheet name="Construction Trucks SCS 7-11-16" sheetId="622" r:id="rId83"/>
    <sheet name="WorkerTrips SCS 7-11-16" sheetId="623" r:id="rId84"/>
    <sheet name="Equipment SCS 7-18-16" sheetId="624" r:id="rId85"/>
    <sheet name="Construction Trucks SCS 7-18-16" sheetId="625" r:id="rId86"/>
    <sheet name="WorkerTrips SCS 7-18-16" sheetId="626" r:id="rId87"/>
    <sheet name="Equipment SCS 7-25-16" sheetId="627" r:id="rId88"/>
    <sheet name="Construction Trucks SCS 7-25-16" sheetId="628" r:id="rId89"/>
    <sheet name="WorkerTrips SCS 7-25-16" sheetId="629" r:id="rId90"/>
    <sheet name="Equipment SCS 8-1-16" sheetId="633" r:id="rId91"/>
    <sheet name="Construction Trucks SCS 8-1-16" sheetId="634" r:id="rId92"/>
    <sheet name="WorkerTrips SCS 8-1-16" sheetId="635" r:id="rId93"/>
    <sheet name="Equipment SCS 8-8-16" sheetId="636" r:id="rId94"/>
    <sheet name="Construction Trucks SCS 8-8-16" sheetId="637" r:id="rId95"/>
    <sheet name="WorkerTrips SCS 8-8-16" sheetId="638" r:id="rId96"/>
    <sheet name="Equipment SCS 8-15-16" sheetId="639" r:id="rId97"/>
    <sheet name="Construction Trucks SCS 8-15-16" sheetId="640" r:id="rId98"/>
    <sheet name="WorkerTrips SCS 8-15-16" sheetId="641" r:id="rId99"/>
    <sheet name="Equipment SCS 8-22-16" sheetId="642" r:id="rId100"/>
    <sheet name="Construction Trucks SCS 8-22-16" sheetId="643" r:id="rId101"/>
    <sheet name="WorkerTrips SCS 8-22-16" sheetId="644" r:id="rId102"/>
    <sheet name="Equipment SCS 8-29-16" sheetId="645" r:id="rId103"/>
    <sheet name="Construction Trucks SCS 8-29-16" sheetId="646" r:id="rId104"/>
    <sheet name="WorkerTrips SCS 8-29-16" sheetId="647" r:id="rId105"/>
    <sheet name="Equipment SCS 9-5-16" sheetId="648" r:id="rId106"/>
    <sheet name="Construction Trucks SCS 9-5-16" sheetId="649" r:id="rId107"/>
    <sheet name="WorkerTrips SCS 9-5-16" sheetId="650" r:id="rId108"/>
    <sheet name="Equipment SCS 9-12-16" sheetId="651" r:id="rId109"/>
    <sheet name="Construction Trucks SCS 9-12-16" sheetId="652" r:id="rId110"/>
    <sheet name="WorkerTrips SCS 9-12-16" sheetId="653" r:id="rId111"/>
    <sheet name="Equipment SCS 9-19-16" sheetId="654" r:id="rId112"/>
    <sheet name="Construction Trucks SCS 9-19-16" sheetId="655" r:id="rId113"/>
    <sheet name="WorkerTrips SCS 9-19-16" sheetId="656" r:id="rId114"/>
    <sheet name="Equipment SCS 9-26-16" sheetId="657" r:id="rId115"/>
    <sheet name="Construction Trucks SCS 9-26-16" sheetId="658" r:id="rId116"/>
    <sheet name="WorkerTrips SCS 9-26-16" sheetId="659" r:id="rId117"/>
    <sheet name="Equipment SCS 10-3-16" sheetId="660" r:id="rId118"/>
    <sheet name="Construction Trucks SCS 10-3-16" sheetId="661" r:id="rId119"/>
    <sheet name="WorkerTrips SCS 10-3-16" sheetId="662" r:id="rId120"/>
    <sheet name="Equipment SCS 10-10-16" sheetId="663" r:id="rId121"/>
    <sheet name="Construction Truck SCS 10-10-16" sheetId="664" r:id="rId122"/>
    <sheet name="WorkerTrips SCS 10-10-16" sheetId="665" r:id="rId123"/>
    <sheet name="Equipment SCS 10-17-16" sheetId="666" r:id="rId124"/>
    <sheet name="Construction Truck SCS 10-17-16" sheetId="667" r:id="rId125"/>
    <sheet name="WorkerTrips SCS 10-17-16" sheetId="668" r:id="rId126"/>
    <sheet name="Equipment SCS 10-24-16" sheetId="669" r:id="rId127"/>
    <sheet name="Construction Truck SCS 10-24-16" sheetId="670" r:id="rId128"/>
    <sheet name="WorkerTrips SCS 10-24-16" sheetId="671" r:id="rId129"/>
    <sheet name="Equipment SCS 10-31-16" sheetId="672" r:id="rId130"/>
    <sheet name="Construction Truck SCS 10-31-16" sheetId="673" r:id="rId131"/>
    <sheet name="WorkerTrips SCS 10-31-16" sheetId="674" r:id="rId132"/>
    <sheet name="Equipment SCS 11-7-16" sheetId="675" r:id="rId133"/>
    <sheet name="Construction Truck SCS 11-7-16" sheetId="676" r:id="rId134"/>
    <sheet name="WorkerTrips SCS 11-7-16" sheetId="677" r:id="rId135"/>
    <sheet name="Equipment SCS 11-14-16" sheetId="678" r:id="rId136"/>
    <sheet name="Construction Truck SCS 11-14-16" sheetId="679" r:id="rId137"/>
    <sheet name="WorkerTrips SCS 11-14-16" sheetId="680" r:id="rId138"/>
    <sheet name="Equipment SCS 11-21-16" sheetId="681" r:id="rId139"/>
    <sheet name="Construction Truck SCS 11-21-16" sheetId="682" r:id="rId140"/>
    <sheet name="WorkerTrips SCS 11-21-16" sheetId="683" r:id="rId141"/>
    <sheet name="Equipment SCS 11-28-16" sheetId="684" r:id="rId142"/>
    <sheet name="Construction Truck SCS 11-28-16" sheetId="685" r:id="rId143"/>
    <sheet name="WorkerTrips SCS 11-28-16" sheetId="686" r:id="rId144"/>
    <sheet name="Equipment SCS 12-5-16" sheetId="687" r:id="rId145"/>
    <sheet name="Construction Truck SCS 12-5-16" sheetId="688" r:id="rId146"/>
    <sheet name="WorkerTrips SCS 12-5-16" sheetId="689" r:id="rId147"/>
    <sheet name="Equipment SCS 12-12-16" sheetId="690" r:id="rId148"/>
    <sheet name="Construction Truck SCS 12-12-16" sheetId="691" r:id="rId149"/>
    <sheet name="WorkerTrips SCS 12-12-16" sheetId="692" r:id="rId150"/>
    <sheet name="Equipment SCS 12-19-16" sheetId="693" r:id="rId151"/>
    <sheet name="Construction Truck SCS 12-19-16" sheetId="694" r:id="rId152"/>
    <sheet name="WorkerTrips SCS 12-19-16" sheetId="695" r:id="rId153"/>
    <sheet name="Equipment SCS 12-26-16" sheetId="696" r:id="rId154"/>
    <sheet name="Construction Truck SCS 12-26-16" sheetId="697" r:id="rId155"/>
    <sheet name="WorkerTrips SCS 12-26-16" sheetId="698" r:id="rId156"/>
    <sheet name="Equipment SCS 1-2-17" sheetId="699" r:id="rId157"/>
    <sheet name="Construction Trucks SCS 1-2-17" sheetId="700" r:id="rId158"/>
    <sheet name="WorkerTrips SCS 1-2-17" sheetId="701" r:id="rId159"/>
    <sheet name="Equipment SCS 1-9-17" sheetId="702" r:id="rId160"/>
    <sheet name="Construction Trucks SCS 1-9-17" sheetId="703" r:id="rId161"/>
    <sheet name="WorkerTrips SCS 1-9-17" sheetId="704" r:id="rId162"/>
    <sheet name="Equipment SCS 1-16-17" sheetId="705" r:id="rId163"/>
    <sheet name="Construction Trucks SCS 1-16-17" sheetId="706" r:id="rId164"/>
    <sheet name="WorkerTrips SCS 1-16-17" sheetId="707" r:id="rId165"/>
    <sheet name="Equipment SCS 1-23-17" sheetId="708" r:id="rId166"/>
    <sheet name="Construction Trucks SCS 1-23-17" sheetId="709" r:id="rId167"/>
    <sheet name="WorkerTrips SCS 1-23-17" sheetId="710" r:id="rId168"/>
    <sheet name="Equipment SCS 1-30-17" sheetId="711" r:id="rId169"/>
    <sheet name="Construction Trucks SCS 1-30-17" sheetId="712" r:id="rId170"/>
    <sheet name="WorkerTrips SCS 1-30-17" sheetId="713" r:id="rId171"/>
    <sheet name="Equipment SCS 2-6-17" sheetId="714" r:id="rId172"/>
    <sheet name="Construction Trucks SCS 2-6-17" sheetId="715" r:id="rId173"/>
    <sheet name="WorkerTrips SCS 2-6-17" sheetId="716" r:id="rId174"/>
    <sheet name="Equipment SCS 2-13-17" sheetId="717" r:id="rId175"/>
    <sheet name="Construction Trucks SCS 2-13-17" sheetId="718" r:id="rId176"/>
    <sheet name="WorkerTrips SCS 2-13-17" sheetId="719" r:id="rId177"/>
    <sheet name="Equipment SCS 2-20-17" sheetId="720" r:id="rId178"/>
    <sheet name="Construction Trucks SCS 2-20-17" sheetId="721" r:id="rId179"/>
    <sheet name="WorkerTrips SCS 2-20-17" sheetId="722" r:id="rId180"/>
    <sheet name="Equipment SCS 2-27-17" sheetId="723" r:id="rId181"/>
    <sheet name="Construction Trucks SCS 2-27-17" sheetId="724" r:id="rId182"/>
    <sheet name="WorkerTrips SCS 2-27-17" sheetId="725" r:id="rId183"/>
    <sheet name="Equipment SCS 3-6-17" sheetId="726" r:id="rId184"/>
    <sheet name="Construction Trucks SCS 3-6-17" sheetId="727" r:id="rId185"/>
    <sheet name="WorkerTrips SCS 3-6-17" sheetId="728" r:id="rId186"/>
    <sheet name="Equipment SCS 3-13-17" sheetId="729" r:id="rId187"/>
    <sheet name="Construction Trucks SCS 3-13-17" sheetId="730" r:id="rId188"/>
    <sheet name="WorkerTrips SCS 3-13-17" sheetId="731" r:id="rId189"/>
    <sheet name="Equipment SCS 3-20-17" sheetId="732" r:id="rId190"/>
    <sheet name="Construction Trucks SCS 3-20-17" sheetId="733" r:id="rId191"/>
    <sheet name="WorkerTrips SCS 3-20-17" sheetId="734" r:id="rId192"/>
    <sheet name="Equipment SCS 3-27-17" sheetId="735" r:id="rId193"/>
    <sheet name="Construction Truck SCS 3-20-17" sheetId="736" r:id="rId194"/>
    <sheet name="WorkerTrip SCS 3-20-17" sheetId="737" r:id="rId195"/>
    <sheet name="Equipment SCS 3-27-17a" sheetId="738" r:id="rId196"/>
    <sheet name="Construction Truck SCS 3-27-17" sheetId="739" r:id="rId197"/>
    <sheet name="WorkerTrip SCS 3-27-17" sheetId="740" r:id="rId198"/>
    <sheet name="Equipment SCS 4-3-17" sheetId="741" r:id="rId199"/>
    <sheet name="Construction Trucks SCS 4-3-17" sheetId="742" r:id="rId200"/>
    <sheet name="WorkerTrips SCS 4-3-17" sheetId="743" r:id="rId201"/>
    <sheet name="Equipment SCS 4-10-17" sheetId="744" r:id="rId202"/>
    <sheet name="Construction Trucks SCS 4-10-17" sheetId="745" r:id="rId203"/>
    <sheet name="WorkerTrips SCS 4-10-17" sheetId="746" r:id="rId204"/>
    <sheet name="Equipment SCS 4-17-17" sheetId="747" r:id="rId205"/>
    <sheet name="Construction Trucks SCS 4-17-17" sheetId="748" r:id="rId206"/>
    <sheet name="WorkerTrips SCS 4-17-17" sheetId="749" r:id="rId207"/>
    <sheet name="Equipment SCS 4-24-17" sheetId="750" r:id="rId208"/>
    <sheet name="Construction Trucks SCS 4-24-17" sheetId="751" r:id="rId209"/>
    <sheet name="WorkerTrips SCS 4-24-17" sheetId="752" r:id="rId210"/>
    <sheet name="Equipment SCS 5-1-17" sheetId="753" r:id="rId211"/>
    <sheet name="Construction Trucks SCS 5-1-17" sheetId="754" r:id="rId212"/>
    <sheet name="WorkerTrips SCS 5-1-17" sheetId="755" r:id="rId213"/>
    <sheet name="Equipment SCS 5-8-17" sheetId="756" r:id="rId214"/>
    <sheet name="Construction Trucks SCS 5-8-17" sheetId="757" r:id="rId215"/>
    <sheet name="WorkerTrips SCS 5-8-17" sheetId="758" r:id="rId216"/>
    <sheet name="Equipment SCS 5-15-17" sheetId="759" r:id="rId217"/>
    <sheet name="Construction Trucks SCS 5-15-17" sheetId="760" r:id="rId218"/>
    <sheet name="WorkerTrips SCS 5-15-17" sheetId="761" r:id="rId219"/>
    <sheet name="Equipment SCS 6-23-17" sheetId="762" r:id="rId220"/>
    <sheet name="Construction Trucks SCS 6-23-17" sheetId="763" r:id="rId221"/>
    <sheet name="WorkerTrips SCS 6-23-17" sheetId="764" r:id="rId222"/>
    <sheet name="Equipment SCS 6-30-17" sheetId="780" r:id="rId223"/>
    <sheet name="Construction Trucks SCS 6-30-17" sheetId="781" r:id="rId224"/>
    <sheet name="WorkerTrips SCS 6-30-17" sheetId="782" r:id="rId225"/>
    <sheet name="Helicopters" sheetId="26" state="hidden" r:id="rId226"/>
    <sheet name="Helicopter EF" sheetId="27" state="hidden" r:id="rId227"/>
    <sheet name="Equipment 69kV 415-513" sheetId="360" r:id="rId228"/>
    <sheet name="Trucks 69kV 415-513" sheetId="361" r:id="rId229"/>
    <sheet name="WorkerTrips 69kV 415-513" sheetId="362" r:id="rId230"/>
    <sheet name="Equipment 69kV 514-716" sheetId="811" r:id="rId231"/>
    <sheet name="Trucks 69kV 514-716" sheetId="812" r:id="rId232"/>
    <sheet name="WorkerTrips 69kV 514-716" sheetId="813" r:id="rId233"/>
    <sheet name="Equipment 69kV 7-16-16" sheetId="363" r:id="rId234"/>
    <sheet name="Trucks 69kV 7-16-16" sheetId="364" r:id="rId235"/>
    <sheet name="WorkerTrips 69kV 7-16-16" sheetId="365" r:id="rId236"/>
    <sheet name="Equipment 69kV 723-827" sheetId="366" r:id="rId237"/>
    <sheet name="Trucks 69kV 723-827" sheetId="367" r:id="rId238"/>
    <sheet name="WorkerTrips 69kV 723-827" sheetId="368" r:id="rId239"/>
    <sheet name="Equipment 69kV 827-1119" sheetId="185" r:id="rId240"/>
    <sheet name="Trucks 69kV 827-1119" sheetId="186" r:id="rId241"/>
    <sheet name="WorkerTrips 69kV 827-1119" sheetId="187" r:id="rId242"/>
    <sheet name="Equipment 69kV 11-19-16" sheetId="369" r:id="rId243"/>
    <sheet name="Trucks 69kV 11-19-16" sheetId="370" r:id="rId244"/>
    <sheet name="WorkerTrips 69kV 11-19-16" sheetId="371" r:id="rId245"/>
    <sheet name="Equipment 69kV 11-26-16" sheetId="372" r:id="rId246"/>
    <sheet name="Trucks 69kV 11-26-16" sheetId="373" r:id="rId247"/>
    <sheet name="WorkerTrips 69kV 11-26-16" sheetId="374" r:id="rId248"/>
    <sheet name="Equipment 69kV 12-3-16" sheetId="375" r:id="rId249"/>
    <sheet name="Trucks 69kV 12-3-16" sheetId="376" r:id="rId250"/>
    <sheet name="WorkerTrips 69kV 12-3-16" sheetId="377" r:id="rId251"/>
    <sheet name="Equipment 69kV 12-10-16" sheetId="378" r:id="rId252"/>
    <sheet name="Trucks 69kV 12-10-16" sheetId="379" r:id="rId253"/>
    <sheet name="WorkerTrips 69kV 12-10-16" sheetId="380" r:id="rId254"/>
    <sheet name="Equipment 69kV 12-17-16" sheetId="381" r:id="rId255"/>
    <sheet name="Trucks 69kV 12-17-16" sheetId="382" r:id="rId256"/>
    <sheet name="WorkerTrips 69kV 12-17-16" sheetId="383" r:id="rId257"/>
    <sheet name="Equipment 69kV 12-24-16" sheetId="384" r:id="rId258"/>
    <sheet name="Trucks 69kV 12-24-16" sheetId="385" r:id="rId259"/>
    <sheet name="WorkerTrips 69kV 12-24-16" sheetId="386" r:id="rId260"/>
    <sheet name="Equipment 69kV 12-31-16" sheetId="387" r:id="rId261"/>
    <sheet name="Trucks 69kV 12-31-16" sheetId="388" r:id="rId262"/>
    <sheet name="WorkerTrips 69kV 12-31-16" sheetId="389" r:id="rId263"/>
    <sheet name="Equipment 69kV 1-2-17" sheetId="390" r:id="rId264"/>
    <sheet name="Trucks 69kV 1-2-17" sheetId="391" r:id="rId265"/>
    <sheet name="WorkerTrips 69kV 1-2-17" sheetId="392" r:id="rId266"/>
    <sheet name="Equipment 69kV 1-9-17" sheetId="535" r:id="rId267"/>
    <sheet name="Trucks 69kV 1-9-17" sheetId="536" r:id="rId268"/>
    <sheet name="WorkerTrips 69kV 1-9-17" sheetId="537" r:id="rId269"/>
    <sheet name="Equipment 69kV 1-30-17" sheetId="393" r:id="rId270"/>
    <sheet name="Trucks 69kV 1-30-17" sheetId="394" r:id="rId271"/>
    <sheet name="WorkerTrips 69kV 1-30-17" sheetId="395" r:id="rId272"/>
    <sheet name="Equipment 69kV 2-6-17" sheetId="541" r:id="rId273"/>
    <sheet name="Trucks 69kV 2-6-17" sheetId="542" r:id="rId274"/>
    <sheet name="WorkerTrips 69kV 2-6-17" sheetId="543" r:id="rId275"/>
    <sheet name="Equipment 69kV 2-13-17" sheetId="538" r:id="rId276"/>
    <sheet name="Trucks 69kV 2-13-17" sheetId="539" r:id="rId277"/>
    <sheet name="WorkerTrips 69kV 2-13-17" sheetId="540" r:id="rId278"/>
    <sheet name="Equipment TL6910 6-6-16" sheetId="188" r:id="rId279"/>
    <sheet name="Trucks TL6910 6-6-16" sheetId="189" r:id="rId280"/>
    <sheet name="WorkerTrips TL6910 6-6-16" sheetId="190" r:id="rId281"/>
    <sheet name="Equipment TL6910 6-13-16" sheetId="396" r:id="rId282"/>
    <sheet name="Trucks TL6910 6-13-16" sheetId="397" r:id="rId283"/>
    <sheet name="WorkerTrips TL6910 6-13-16" sheetId="398" r:id="rId284"/>
    <sheet name="Equipment TL6910 6-20-16" sheetId="814" r:id="rId285"/>
    <sheet name="Trucks TL6910 6-20-16" sheetId="815" r:id="rId286"/>
    <sheet name="WorkerTrips TL6910 6-20-16" sheetId="816" r:id="rId287"/>
    <sheet name="Equipment TL6910 8-8-16" sheetId="191" r:id="rId288"/>
    <sheet name="Trucks TL6910 8-8-16" sheetId="192" r:id="rId289"/>
    <sheet name="WorkerTrips TL6910 8-8-16" sheetId="193" r:id="rId290"/>
    <sheet name="Equipment TL6910 12-5-16" sheetId="402" r:id="rId291"/>
    <sheet name="Trucks TL6910 12-5-16" sheetId="403" r:id="rId292"/>
    <sheet name="WorkerTrips TL6910 12-5-16" sheetId="404" r:id="rId293"/>
    <sheet name="Equipment TL6910 12-12-16" sheetId="405" r:id="rId294"/>
    <sheet name="Trucks TL6910 12-12-16" sheetId="406" r:id="rId295"/>
    <sheet name="WorkerTrips TL6910 12-12-16" sheetId="407" r:id="rId296"/>
    <sheet name="Equipment TL6910 12-19-16" sheetId="408" r:id="rId297"/>
    <sheet name="Trucks TL6910 12-19-16" sheetId="409" r:id="rId298"/>
    <sheet name="WorkerTrips TL6910 12-19-16" sheetId="410" r:id="rId299"/>
    <sheet name="Equipment TL6910 12-26-16" sheetId="544" r:id="rId300"/>
    <sheet name="Trucks TL6910 12-26-16" sheetId="545" r:id="rId301"/>
    <sheet name="WorkerTrips TL6910 12-26-16" sheetId="546" r:id="rId302"/>
    <sheet name="Equipment TL6910 1-2-17" sheetId="550" r:id="rId303"/>
    <sheet name="Trucks TL6910 1-2-17" sheetId="547" r:id="rId304"/>
    <sheet name="WorkerTrips TL6910 1-2-17" sheetId="548" r:id="rId305"/>
    <sheet name="Equipment TL6910 1-16-17" sheetId="411" r:id="rId306"/>
    <sheet name="Trucks TL6910 1-16-17" sheetId="412" r:id="rId307"/>
    <sheet name="WorkerTrips TL6910 1-16-17" sheetId="413" r:id="rId308"/>
    <sheet name="Equipment TL6910 1-23-17" sheetId="551" r:id="rId309"/>
    <sheet name="Trucks TL6910 1-23-17" sheetId="552" r:id="rId310"/>
    <sheet name="WorkerTrips TL6910 1-23-17" sheetId="553" r:id="rId311"/>
    <sheet name="Equipment 12kV Dist 920-129" sheetId="420" r:id="rId312"/>
    <sheet name="Trucks 12kV Dist 920-129" sheetId="421" r:id="rId313"/>
    <sheet name="WorkerTrips 12kV Dist 920-129" sheetId="422" r:id="rId314"/>
    <sheet name="Equipment 12kV Dist 422-58" sheetId="554" r:id="rId315"/>
    <sheet name="Trucks 12kV Dist 422-58" sheetId="555" r:id="rId316"/>
    <sheet name="WorkerTrips 12kV Dist 422-58" sheetId="556" r:id="rId317"/>
    <sheet name="Equipment Miguel Sub 8-1-16" sheetId="194" r:id="rId318"/>
    <sheet name="Trucks Miguel Sub 8-1-16" sheetId="195" r:id="rId319"/>
    <sheet name="WorkerTrips Miguel Sub 8-1-16" sheetId="196" r:id="rId320"/>
    <sheet name="Equipment Miguel Sub 8-8-16" sheetId="468" r:id="rId321"/>
    <sheet name="Trucks Miguel Sub 8-8-16" sheetId="469" r:id="rId322"/>
    <sheet name="WorkerTrips Miguel Sub 8-8-16" sheetId="470" r:id="rId323"/>
    <sheet name="Equipment Miguel Sub 8-15-16" sheetId="471" r:id="rId324"/>
    <sheet name="Trucks Miguel Sub 8-15-16" sheetId="472" r:id="rId325"/>
    <sheet name="WorkerTrips Miguel Sub 8-15-16" sheetId="473" r:id="rId326"/>
    <sheet name="Equipment Miguel Sub 8-23-16" sheetId="474" r:id="rId327"/>
    <sheet name="Trucks Miguel Sub 8-23-16" sheetId="475" r:id="rId328"/>
    <sheet name="WorkerTrips Miguel Sub 8-23-16" sheetId="476" r:id="rId329"/>
    <sheet name="Equipment Miguel Sub 8-30-16" sheetId="477" r:id="rId330"/>
    <sheet name="Trucks Miguel Sub 8-30-16" sheetId="478" r:id="rId331"/>
    <sheet name="WorkerTrips Miguel Sub 8-30-16" sheetId="479" r:id="rId332"/>
    <sheet name="Equipment Miguel Sub 9-5-16" sheetId="480" r:id="rId333"/>
    <sheet name="Trucks Miguel Sub 9-5-16" sheetId="481" r:id="rId334"/>
    <sheet name="WorkerTrips Miguel Sub 9-5-16" sheetId="482" r:id="rId335"/>
    <sheet name="Equipment Miguel Sub 9-12-16" sheetId="483" r:id="rId336"/>
    <sheet name="Trucks Miguel Sub 9-12-16" sheetId="484" r:id="rId337"/>
    <sheet name="WorkerTrips Miguel Sub 9-12-16" sheetId="485" r:id="rId338"/>
    <sheet name="Equipment Miguel Sub 9-19-16" sheetId="486" r:id="rId339"/>
    <sheet name="Trucks Miguel Sub 9-19-16" sheetId="487" r:id="rId340"/>
    <sheet name="WorkerTrips Miguel Sub 9-19-16" sheetId="488" r:id="rId341"/>
    <sheet name="Equipment Miguel Sub 9-26-16" sheetId="489" r:id="rId342"/>
    <sheet name="Trucks Miguel Sub 9-26-16" sheetId="490" r:id="rId343"/>
    <sheet name="WorkerTrips Miguel Sub 9-26-16" sheetId="491" r:id="rId344"/>
    <sheet name="Equipment Miguel Sub 10-3-16" sheetId="492" r:id="rId345"/>
    <sheet name="Trucks Miguel Sub 10-3-16" sheetId="493" r:id="rId346"/>
    <sheet name="WorkerTrips Miguel Sub 10-3-16" sheetId="494" r:id="rId347"/>
    <sheet name="Equipment Miguel Sub 10-10-16" sheetId="495" r:id="rId348"/>
    <sheet name="Trucks Miguel Sub 10-10-16" sheetId="496" r:id="rId349"/>
    <sheet name="WorkerTrips Miguel Sub 10-10-16" sheetId="497" r:id="rId350"/>
    <sheet name="Equipment Miguel Sub 10-17-16" sheetId="498" r:id="rId351"/>
    <sheet name="Trucks Miguel Sub 10-17-16" sheetId="499" r:id="rId352"/>
    <sheet name="WorkerTrips Miguel Sub 10-17-16" sheetId="500" r:id="rId353"/>
    <sheet name="Equipment Miguel Sub 10-24-16" sheetId="501" r:id="rId354"/>
    <sheet name="Trucks Miguel Sub 10-24-16" sheetId="502" r:id="rId355"/>
    <sheet name="WorkerTrips Miguel Sub 10-24-16" sheetId="503" r:id="rId356"/>
    <sheet name="Equipment Miguel Sub 10-31-16" sheetId="504" r:id="rId357"/>
    <sheet name="Trucks Miguel Sub 10-31-16" sheetId="505" r:id="rId358"/>
    <sheet name="WorkerTrips Miguel Sub 10-31-16" sheetId="506" r:id="rId359"/>
    <sheet name="Equipment Miguel Sub 11-7-16" sheetId="507" r:id="rId360"/>
    <sheet name="Trucks Miguel Sub 11-7-16" sheetId="508" r:id="rId361"/>
    <sheet name="WorkerTrips Miguel Sub 11-7-16" sheetId="509" r:id="rId362"/>
    <sheet name="Equipment Miguel Sub 11-14-16" sheetId="510" r:id="rId363"/>
    <sheet name="Trucks Miguel Sub 11-14-16" sheetId="511" r:id="rId364"/>
    <sheet name="WorkerTrips Miguel Sub 11-14-16" sheetId="512" r:id="rId365"/>
    <sheet name="Equipment Miguel Sub 11-21-16" sheetId="513" r:id="rId366"/>
    <sheet name="Trucks Miguel Sub 11-21-16" sheetId="514" r:id="rId367"/>
    <sheet name="WorkerTrips Miguel Sub 11-21-16" sheetId="515" r:id="rId368"/>
    <sheet name="Equipment Miguel 5-21-17" sheetId="516" r:id="rId369"/>
    <sheet name="Construction Truck Mig 5-21-17" sheetId="517" r:id="rId370"/>
    <sheet name="WorkerTrips Mguel 5-21-17" sheetId="518" r:id="rId371"/>
    <sheet name="Equipment Miguel 6-23-17" sheetId="519" r:id="rId372"/>
    <sheet name="Construction Truck Mig 6-23-17" sheetId="520" r:id="rId373"/>
    <sheet name="WorkerTrips Miguel 6-23-17" sheetId="521" r:id="rId374"/>
    <sheet name="Equipment Miguel 6-30-17" sheetId="525" r:id="rId375"/>
    <sheet name="Construction Truck Mig 6-30-17" sheetId="526" r:id="rId376"/>
    <sheet name="WorkerTrips Miguel 6-30-17" sheetId="527" r:id="rId377"/>
    <sheet name="Equipment AC Mitigation" sheetId="560" r:id="rId378"/>
    <sheet name="Construction AC Mitigation" sheetId="561" r:id="rId379"/>
    <sheet name="WorkerTrips AC Mitigation" sheetId="562" r:id="rId380"/>
    <sheet name="Fugitive Dust AC Mitigation" sheetId="563" r:id="rId381"/>
    <sheet name="Summary NOx" sheetId="25" r:id="rId382"/>
    <sheet name="Offroad Tiers EF (2)" sheetId="50" r:id="rId383"/>
    <sheet name="Offroad Tiers LF" sheetId="51" r:id="rId384"/>
    <sheet name="Summary GHGs" sheetId="817" r:id="rId385"/>
    <sheet name="Fugitive Dust SC Substation" sheetId="786" r:id="rId386"/>
    <sheet name="Fugitive Dust M Substation (2)" sheetId="530" r:id="rId387"/>
  </sheets>
  <definedNames>
    <definedName name="_xlnm.Print_Area" localSheetId="226">'Helicopter EF'!$A$1:$AF$32</definedName>
    <definedName name="_xlnm.Print_Area" localSheetId="225">Helicopters!$A$1:$W$13</definedName>
    <definedName name="_xlnm.Print_Titles" localSheetId="226">'Helicopter EF'!$A:$H</definedName>
  </definedNames>
  <calcPr calcId="124519"/>
</workbook>
</file>

<file path=xl/calcChain.xml><?xml version="1.0" encoding="utf-8"?>
<calcChain xmlns="http://schemas.openxmlformats.org/spreadsheetml/2006/main">
  <c r="BI86" i="817"/>
  <c r="BI85"/>
  <c r="BI84"/>
  <c r="BI83"/>
  <c r="BI82"/>
  <c r="BI81"/>
  <c r="BI80"/>
  <c r="BI79"/>
  <c r="BI78"/>
  <c r="BI77"/>
  <c r="BI76"/>
  <c r="BI75"/>
  <c r="BI74"/>
  <c r="BI73"/>
  <c r="BI72"/>
  <c r="BI71"/>
  <c r="BI70"/>
  <c r="BI69"/>
  <c r="BI68"/>
  <c r="BI67"/>
  <c r="BI66"/>
  <c r="BI65"/>
  <c r="BI64"/>
  <c r="BI63"/>
  <c r="BI62"/>
  <c r="BI61"/>
  <c r="BI60"/>
  <c r="BI59"/>
  <c r="BI58"/>
  <c r="BI57"/>
  <c r="BI56"/>
  <c r="BI55"/>
  <c r="BI54"/>
  <c r="BI53"/>
  <c r="BI52"/>
  <c r="BI51"/>
  <c r="BI50"/>
  <c r="BI49"/>
  <c r="BI48"/>
  <c r="BI47"/>
  <c r="BI46"/>
  <c r="BI45"/>
  <c r="BI44"/>
  <c r="BI43"/>
  <c r="BI42"/>
  <c r="BI41"/>
  <c r="BI40"/>
  <c r="BI39"/>
  <c r="BI38"/>
  <c r="BI37"/>
  <c r="BI36"/>
  <c r="BI35"/>
  <c r="BI34"/>
  <c r="BI33"/>
  <c r="BI32"/>
  <c r="BI31"/>
  <c r="BI30"/>
  <c r="BI29"/>
  <c r="BI25"/>
  <c r="BI24"/>
  <c r="BI23"/>
  <c r="BI22"/>
  <c r="BI21"/>
  <c r="BI20"/>
  <c r="BI19"/>
  <c r="BI18"/>
  <c r="BI17"/>
  <c r="BI16"/>
  <c r="BI15"/>
  <c r="BI14"/>
  <c r="BI13"/>
  <c r="BI12"/>
  <c r="BI11"/>
  <c r="BI10"/>
  <c r="BI9"/>
  <c r="BI8"/>
  <c r="BI7"/>
  <c r="BI6"/>
  <c r="BI5"/>
  <c r="AY86"/>
  <c r="AY85"/>
  <c r="AY84"/>
  <c r="AY83"/>
  <c r="AY82"/>
  <c r="AY81"/>
  <c r="AY80"/>
  <c r="AY79"/>
  <c r="AY70"/>
  <c r="AY69"/>
  <c r="AY68"/>
  <c r="AY67"/>
  <c r="AY66"/>
  <c r="AY65"/>
  <c r="AY64"/>
  <c r="AY63"/>
  <c r="AY62"/>
  <c r="AY61"/>
  <c r="AY60"/>
  <c r="AY59"/>
  <c r="AY58"/>
  <c r="AY57"/>
  <c r="AY56"/>
  <c r="AY55"/>
  <c r="AY54"/>
  <c r="AY53"/>
  <c r="AY52"/>
  <c r="AY34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AY6"/>
  <c r="AY5"/>
  <c r="AO86"/>
  <c r="AO85"/>
  <c r="AO84"/>
  <c r="AO83"/>
  <c r="AO82"/>
  <c r="AO81"/>
  <c r="AO80"/>
  <c r="AO79"/>
  <c r="AO78"/>
  <c r="AO77"/>
  <c r="AO76"/>
  <c r="AO71"/>
  <c r="AO70"/>
  <c r="AO69"/>
  <c r="AO68"/>
  <c r="AO67"/>
  <c r="AO66"/>
  <c r="AO65"/>
  <c r="AO64"/>
  <c r="AO63"/>
  <c r="AO62"/>
  <c r="AO41"/>
  <c r="AO40"/>
  <c r="AO39"/>
  <c r="AO38"/>
  <c r="AO37"/>
  <c r="AO36"/>
  <c r="AO35"/>
  <c r="AO34"/>
  <c r="AO33"/>
  <c r="AO32"/>
  <c r="AO31"/>
  <c r="AO30"/>
  <c r="AO29"/>
  <c r="AO28"/>
  <c r="AO27"/>
  <c r="AO26"/>
  <c r="AO25"/>
  <c r="AO24"/>
  <c r="AO23"/>
  <c r="AO22"/>
  <c r="AO21"/>
  <c r="AO20"/>
  <c r="AO19"/>
  <c r="AO18"/>
  <c r="AO17"/>
  <c r="AO16"/>
  <c r="AO15"/>
  <c r="AO14"/>
  <c r="AO13"/>
  <c r="AO12"/>
  <c r="AO11"/>
  <c r="AO10"/>
  <c r="AO9"/>
  <c r="AO8"/>
  <c r="AO7"/>
  <c r="AO6"/>
  <c r="AO5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52"/>
  <c r="AE51"/>
  <c r="AE50"/>
  <c r="AE49"/>
  <c r="AE48"/>
  <c r="AE47"/>
  <c r="AE46"/>
  <c r="AE45"/>
  <c r="AE44"/>
  <c r="AE43"/>
  <c r="AE42"/>
  <c r="AE41"/>
  <c r="AE40"/>
  <c r="AE39"/>
  <c r="AE38"/>
  <c r="AE37"/>
  <c r="AE35"/>
  <c r="AE34"/>
  <c r="AE33"/>
  <c r="AE32"/>
  <c r="AE31"/>
  <c r="AE30"/>
  <c r="AE26"/>
  <c r="AE25"/>
  <c r="AE24"/>
  <c r="AE23"/>
  <c r="AE22"/>
  <c r="AE21"/>
  <c r="AE20"/>
  <c r="AE19"/>
  <c r="AE18"/>
  <c r="AE17"/>
  <c r="AE16"/>
  <c r="AE15"/>
  <c r="AE14"/>
  <c r="AE13"/>
  <c r="AE12"/>
  <c r="AE11"/>
  <c r="AE10"/>
  <c r="AE9"/>
  <c r="AE8"/>
  <c r="AE7"/>
  <c r="AE6"/>
  <c r="AE5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0"/>
  <c r="U59"/>
  <c r="U18"/>
  <c r="U17"/>
  <c r="U16"/>
  <c r="U15"/>
  <c r="U14"/>
  <c r="U13"/>
  <c r="U12"/>
  <c r="U11"/>
  <c r="U10"/>
  <c r="U9"/>
  <c r="U8"/>
  <c r="U7"/>
  <c r="U6"/>
  <c r="U5"/>
  <c r="AR51"/>
  <c r="AR50"/>
  <c r="AR49"/>
  <c r="AR48"/>
  <c r="AR47"/>
  <c r="AQ51"/>
  <c r="AQ50"/>
  <c r="AQ49"/>
  <c r="AQ48"/>
  <c r="AQ47"/>
  <c r="AU71"/>
  <c r="AU72" s="1"/>
  <c r="AU73" s="1"/>
  <c r="AU74" s="1"/>
  <c r="AT71"/>
  <c r="AT72" s="1"/>
  <c r="AT73" s="1"/>
  <c r="AT74" s="1"/>
  <c r="AS71"/>
  <c r="AP51"/>
  <c r="AP50"/>
  <c r="AP49"/>
  <c r="AP48"/>
  <c r="AP47"/>
  <c r="BI89"/>
  <c r="AY89"/>
  <c r="AO89"/>
  <c r="AE89"/>
  <c r="U89"/>
  <c r="BJ89" s="1"/>
  <c r="BI88"/>
  <c r="AY88"/>
  <c r="AO88"/>
  <c r="AE88"/>
  <c r="U88"/>
  <c r="BI87"/>
  <c r="AY87"/>
  <c r="AO87"/>
  <c r="AE87"/>
  <c r="U87"/>
  <c r="BJ87" s="1"/>
  <c r="AS72"/>
  <c r="AS73" s="1"/>
  <c r="AS74" s="1"/>
  <c r="A14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12"/>
  <c r="A11"/>
  <c r="A10" s="1"/>
  <c r="A9" s="1"/>
  <c r="A8" s="1"/>
  <c r="A7" s="1"/>
  <c r="A6" s="1"/>
  <c r="A5" s="1"/>
  <c r="Y88" i="25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Y30"/>
  <c r="Y29"/>
  <c r="Y28"/>
  <c r="Y24"/>
  <c r="Y23"/>
  <c r="Y22"/>
  <c r="Y21"/>
  <c r="Y20"/>
  <c r="Y19"/>
  <c r="Y18"/>
  <c r="Y17"/>
  <c r="Y16"/>
  <c r="Y15"/>
  <c r="Y14"/>
  <c r="Y13"/>
  <c r="Y12"/>
  <c r="Y10"/>
  <c r="Y9"/>
  <c r="Y8"/>
  <c r="Y7"/>
  <c r="Y6"/>
  <c r="Y5"/>
  <c r="Y4"/>
  <c r="Y11"/>
  <c r="AE4" i="562"/>
  <c r="AC4"/>
  <c r="S10" i="561"/>
  <c r="S9"/>
  <c r="R9"/>
  <c r="M8" i="560"/>
  <c r="J8"/>
  <c r="BJ88" i="817" l="1"/>
  <c r="R46" i="25"/>
  <c r="U11"/>
  <c r="U10"/>
  <c r="U9"/>
  <c r="U8"/>
  <c r="U7"/>
  <c r="U6"/>
  <c r="U5"/>
  <c r="U4"/>
  <c r="Q11"/>
  <c r="Q10"/>
  <c r="Q9"/>
  <c r="Q8"/>
  <c r="Q7"/>
  <c r="Q6"/>
  <c r="Q5"/>
  <c r="Q4"/>
  <c r="M11"/>
  <c r="M10"/>
  <c r="M9"/>
  <c r="M8"/>
  <c r="M7"/>
  <c r="M6"/>
  <c r="M5"/>
  <c r="M4"/>
  <c r="I11"/>
  <c r="I10"/>
  <c r="I9"/>
  <c r="I8"/>
  <c r="I7"/>
  <c r="I6"/>
  <c r="I5"/>
  <c r="I4"/>
  <c r="A11"/>
  <c r="A10" s="1"/>
  <c r="A9" s="1"/>
  <c r="A8" s="1"/>
  <c r="A7" s="1"/>
  <c r="A6" s="1"/>
  <c r="A5" s="1"/>
  <c r="A4" s="1"/>
  <c r="N88" i="816"/>
  <c r="N89" s="1"/>
  <c r="AB29" i="817" s="1"/>
  <c r="K88" i="816"/>
  <c r="K89" s="1"/>
  <c r="J88"/>
  <c r="J89" s="1"/>
  <c r="I88"/>
  <c r="I89" s="1"/>
  <c r="H88"/>
  <c r="H89" s="1"/>
  <c r="G88"/>
  <c r="G89" s="1"/>
  <c r="F88"/>
  <c r="F89" s="1"/>
  <c r="C88"/>
  <c r="B88"/>
  <c r="A88"/>
  <c r="B35"/>
  <c r="B34"/>
  <c r="B21"/>
  <c r="L88" s="1"/>
  <c r="BA9"/>
  <c r="AZ9"/>
  <c r="AZ25" s="1"/>
  <c r="AY9"/>
  <c r="AX9"/>
  <c r="AX25" s="1"/>
  <c r="AW9"/>
  <c r="AV9"/>
  <c r="AV25" s="1"/>
  <c r="AU9"/>
  <c r="AT9"/>
  <c r="AT25" s="1"/>
  <c r="AS9"/>
  <c r="AR9"/>
  <c r="AR25" s="1"/>
  <c r="AO9"/>
  <c r="AN9"/>
  <c r="AN25" s="1"/>
  <c r="AM9"/>
  <c r="AL9"/>
  <c r="AL26" s="1"/>
  <c r="AK9"/>
  <c r="AJ9"/>
  <c r="AJ26" s="1"/>
  <c r="AI9"/>
  <c r="AH9"/>
  <c r="AH26" s="1"/>
  <c r="AG9"/>
  <c r="AF9"/>
  <c r="AF26" s="1"/>
  <c r="AE4"/>
  <c r="P88" s="1"/>
  <c r="P89" s="1"/>
  <c r="AD29" i="817" s="1"/>
  <c r="AC4" i="816"/>
  <c r="O88" s="1"/>
  <c r="O89" s="1"/>
  <c r="AC29" i="817" s="1"/>
  <c r="B375" i="815"/>
  <c r="B374"/>
  <c r="B373"/>
  <c r="AC10"/>
  <c r="Z29" i="817" s="1"/>
  <c r="AB10" i="815"/>
  <c r="Y29" i="817" s="1"/>
  <c r="Z10" i="815"/>
  <c r="Y10"/>
  <c r="X10"/>
  <c r="W10"/>
  <c r="V10"/>
  <c r="U10"/>
  <c r="T10"/>
  <c r="AD10"/>
  <c r="AA29" i="817" s="1"/>
  <c r="X8" i="814"/>
  <c r="X9" s="1"/>
  <c r="X10" s="1"/>
  <c r="W29" i="817" s="1"/>
  <c r="W8" i="814"/>
  <c r="U8"/>
  <c r="T8"/>
  <c r="T9" s="1"/>
  <c r="T10" s="1"/>
  <c r="S8"/>
  <c r="R8"/>
  <c r="Q8"/>
  <c r="M8"/>
  <c r="Y8" s="1"/>
  <c r="J8"/>
  <c r="V8" s="1"/>
  <c r="W9"/>
  <c r="W10" s="1"/>
  <c r="V29" i="817" s="1"/>
  <c r="Q9" i="814"/>
  <c r="Q10" s="1"/>
  <c r="N88" i="813"/>
  <c r="N89" s="1"/>
  <c r="R24" i="817" s="1"/>
  <c r="K88" i="813"/>
  <c r="K89" s="1"/>
  <c r="J88"/>
  <c r="J89" s="1"/>
  <c r="I88"/>
  <c r="I89" s="1"/>
  <c r="H88"/>
  <c r="H89" s="1"/>
  <c r="G88"/>
  <c r="G89" s="1"/>
  <c r="F88"/>
  <c r="F89" s="1"/>
  <c r="C88"/>
  <c r="B88"/>
  <c r="A88"/>
  <c r="B35"/>
  <c r="B34"/>
  <c r="B21"/>
  <c r="L88" s="1"/>
  <c r="BA9"/>
  <c r="AZ9"/>
  <c r="AZ40" s="1"/>
  <c r="AY9"/>
  <c r="AX9"/>
  <c r="AX40" s="1"/>
  <c r="AW9"/>
  <c r="AV9"/>
  <c r="AV40" s="1"/>
  <c r="AU9"/>
  <c r="AT9"/>
  <c r="AT40" s="1"/>
  <c r="AS9"/>
  <c r="AR9"/>
  <c r="AR40" s="1"/>
  <c r="AO9"/>
  <c r="AN9"/>
  <c r="AN40" s="1"/>
  <c r="AM9"/>
  <c r="AL9"/>
  <c r="AL40" s="1"/>
  <c r="AK9"/>
  <c r="AJ9"/>
  <c r="AJ40" s="1"/>
  <c r="AI9"/>
  <c r="AH9"/>
  <c r="AH41" s="1"/>
  <c r="AG9"/>
  <c r="AF9"/>
  <c r="AF41" s="1"/>
  <c r="AE4"/>
  <c r="P88" s="1"/>
  <c r="P89" s="1"/>
  <c r="AC4"/>
  <c r="O88" s="1"/>
  <c r="O89" s="1"/>
  <c r="B349" i="812"/>
  <c r="B348"/>
  <c r="B347"/>
  <c r="AC10"/>
  <c r="AB10"/>
  <c r="Z10"/>
  <c r="AA10" s="1"/>
  <c r="Y10"/>
  <c r="X10"/>
  <c r="W10"/>
  <c r="V10"/>
  <c r="U10"/>
  <c r="T10"/>
  <c r="S10"/>
  <c r="AD10" s="1"/>
  <c r="AC9"/>
  <c r="AC13" s="1"/>
  <c r="AB9"/>
  <c r="AB13" s="1"/>
  <c r="O24" i="817" s="1"/>
  <c r="Z9" i="812"/>
  <c r="Z13" s="1"/>
  <c r="Y9"/>
  <c r="Y13" s="1"/>
  <c r="X9"/>
  <c r="X13" s="1"/>
  <c r="W9"/>
  <c r="W13" s="1"/>
  <c r="V9"/>
  <c r="V13" s="1"/>
  <c r="U9"/>
  <c r="U13" s="1"/>
  <c r="T9"/>
  <c r="T13" s="1"/>
  <c r="S9"/>
  <c r="AD9" s="1"/>
  <c r="AD13" s="1"/>
  <c r="X14" i="811"/>
  <c r="W14"/>
  <c r="U14"/>
  <c r="T14"/>
  <c r="S14"/>
  <c r="R14"/>
  <c r="Q14"/>
  <c r="M14"/>
  <c r="Y14" s="1"/>
  <c r="J14"/>
  <c r="V14" s="1"/>
  <c r="X13"/>
  <c r="W13"/>
  <c r="U13"/>
  <c r="T13"/>
  <c r="S13"/>
  <c r="R13"/>
  <c r="Q13"/>
  <c r="M13"/>
  <c r="Y13" s="1"/>
  <c r="J13"/>
  <c r="V13" s="1"/>
  <c r="X12"/>
  <c r="W12"/>
  <c r="T12"/>
  <c r="Q12"/>
  <c r="X11"/>
  <c r="W11"/>
  <c r="T11"/>
  <c r="Q11"/>
  <c r="X10"/>
  <c r="W10"/>
  <c r="T10"/>
  <c r="Q10"/>
  <c r="X9"/>
  <c r="W9"/>
  <c r="T9"/>
  <c r="Q9"/>
  <c r="X8"/>
  <c r="W8"/>
  <c r="T8"/>
  <c r="Q8"/>
  <c r="Q15" s="1"/>
  <c r="Q18" s="1"/>
  <c r="AC9" i="361"/>
  <c r="AB9"/>
  <c r="Z9"/>
  <c r="AA9" s="1"/>
  <c r="Y9"/>
  <c r="X9"/>
  <c r="W9"/>
  <c r="V9"/>
  <c r="U9"/>
  <c r="T9"/>
  <c r="S9"/>
  <c r="AD9" s="1"/>
  <c r="AB10" i="763"/>
  <c r="Z10"/>
  <c r="AA10" s="1"/>
  <c r="Y10"/>
  <c r="X10"/>
  <c r="W10"/>
  <c r="V10"/>
  <c r="U10"/>
  <c r="T10"/>
  <c r="S10"/>
  <c r="AD10" s="1"/>
  <c r="R10"/>
  <c r="AC10" s="1"/>
  <c r="Y9" i="762"/>
  <c r="D82" i="817" s="1"/>
  <c r="X9" i="762"/>
  <c r="C82" i="817" s="1"/>
  <c r="W9" i="762"/>
  <c r="B82" i="817" s="1"/>
  <c r="V9" i="762"/>
  <c r="U9"/>
  <c r="T9"/>
  <c r="S9"/>
  <c r="R9"/>
  <c r="Q9"/>
  <c r="AB9" i="760"/>
  <c r="AB10" s="1"/>
  <c r="AB11" s="1"/>
  <c r="E76" i="817" s="1"/>
  <c r="Z9" i="760"/>
  <c r="Z10" s="1"/>
  <c r="Z11" s="1"/>
  <c r="Y9"/>
  <c r="Y10" s="1"/>
  <c r="Y11" s="1"/>
  <c r="X9"/>
  <c r="X10" s="1"/>
  <c r="X11" s="1"/>
  <c r="W9"/>
  <c r="W10" s="1"/>
  <c r="W11" s="1"/>
  <c r="V9"/>
  <c r="V10" s="1"/>
  <c r="V11" s="1"/>
  <c r="U9"/>
  <c r="U10" s="1"/>
  <c r="U11" s="1"/>
  <c r="E77" i="817" s="1"/>
  <c r="E78" s="1"/>
  <c r="E79" s="1"/>
  <c r="E80" s="1"/>
  <c r="E81" s="1"/>
  <c r="T9" i="760"/>
  <c r="T10" s="1"/>
  <c r="T11" s="1"/>
  <c r="S9"/>
  <c r="AD9" s="1"/>
  <c r="AD10" s="1"/>
  <c r="AD11" s="1"/>
  <c r="G76" i="817" s="1"/>
  <c r="G77" s="1"/>
  <c r="G78" s="1"/>
  <c r="G79" s="1"/>
  <c r="G80" s="1"/>
  <c r="G81" s="1"/>
  <c r="R9" i="760"/>
  <c r="AC9" s="1"/>
  <c r="AC10" s="1"/>
  <c r="AC11" s="1"/>
  <c r="F76" i="817" s="1"/>
  <c r="F77" s="1"/>
  <c r="F78" s="1"/>
  <c r="F79" s="1"/>
  <c r="F80" s="1"/>
  <c r="F81" s="1"/>
  <c r="Y9" i="759"/>
  <c r="D76" i="817" s="1"/>
  <c r="D77" s="1"/>
  <c r="D78" s="1"/>
  <c r="D79" s="1"/>
  <c r="D80" s="1"/>
  <c r="D81" s="1"/>
  <c r="X9" i="759"/>
  <c r="C76" i="817" s="1"/>
  <c r="C77" s="1"/>
  <c r="C78" s="1"/>
  <c r="C79" s="1"/>
  <c r="C80" s="1"/>
  <c r="C81" s="1"/>
  <c r="W9" i="759"/>
  <c r="B76" i="817" s="1"/>
  <c r="V9" i="759"/>
  <c r="U9"/>
  <c r="T9"/>
  <c r="S9"/>
  <c r="R9"/>
  <c r="Q9"/>
  <c r="AB13" i="757"/>
  <c r="AB14" s="1"/>
  <c r="Z13"/>
  <c r="Z14" s="1"/>
  <c r="Y13"/>
  <c r="Y14" s="1"/>
  <c r="X13"/>
  <c r="X14" s="1"/>
  <c r="W13"/>
  <c r="W14" s="1"/>
  <c r="V13"/>
  <c r="V14" s="1"/>
  <c r="U13"/>
  <c r="U14" s="1"/>
  <c r="T13"/>
  <c r="T14" s="1"/>
  <c r="S13"/>
  <c r="AD13" s="1"/>
  <c r="AD14" s="1"/>
  <c r="R13"/>
  <c r="AC13" s="1"/>
  <c r="AC14" s="1"/>
  <c r="AB9"/>
  <c r="AB10" s="1"/>
  <c r="Z9"/>
  <c r="Z10" s="1"/>
  <c r="Y9"/>
  <c r="Y10" s="1"/>
  <c r="X9"/>
  <c r="X10" s="1"/>
  <c r="W9"/>
  <c r="W10" s="1"/>
  <c r="V9"/>
  <c r="V10" s="1"/>
  <c r="U9"/>
  <c r="U10" s="1"/>
  <c r="T9"/>
  <c r="T10" s="1"/>
  <c r="S9"/>
  <c r="AD9" s="1"/>
  <c r="AD10" s="1"/>
  <c r="R9"/>
  <c r="AC9" s="1"/>
  <c r="AC10" s="1"/>
  <c r="Y12" i="756"/>
  <c r="D75" i="817" s="1"/>
  <c r="X12" i="756"/>
  <c r="C75" i="817" s="1"/>
  <c r="W12" i="756"/>
  <c r="B75" i="817" s="1"/>
  <c r="V12" i="756"/>
  <c r="U12"/>
  <c r="T12"/>
  <c r="S12"/>
  <c r="R12"/>
  <c r="Q12"/>
  <c r="AB13" i="754"/>
  <c r="AB14" s="1"/>
  <c r="Z13"/>
  <c r="Z14" s="1"/>
  <c r="Y13"/>
  <c r="Y14" s="1"/>
  <c r="X13"/>
  <c r="X14" s="1"/>
  <c r="W13"/>
  <c r="W14" s="1"/>
  <c r="V13"/>
  <c r="V14" s="1"/>
  <c r="U13"/>
  <c r="U14" s="1"/>
  <c r="T13"/>
  <c r="T14" s="1"/>
  <c r="S13"/>
  <c r="AD13" s="1"/>
  <c r="AD14" s="1"/>
  <c r="R13"/>
  <c r="AC13" s="1"/>
  <c r="AC14" s="1"/>
  <c r="AB9"/>
  <c r="AB10" s="1"/>
  <c r="AB15" s="1"/>
  <c r="E74" i="817" s="1"/>
  <c r="Z9" i="754"/>
  <c r="Z10" s="1"/>
  <c r="Z15" s="1"/>
  <c r="Y9"/>
  <c r="Y10" s="1"/>
  <c r="Y15" s="1"/>
  <c r="X9"/>
  <c r="X10" s="1"/>
  <c r="X15" s="1"/>
  <c r="W9"/>
  <c r="W10" s="1"/>
  <c r="W15" s="1"/>
  <c r="V9"/>
  <c r="V10" s="1"/>
  <c r="V15" s="1"/>
  <c r="U9"/>
  <c r="U10" s="1"/>
  <c r="U15" s="1"/>
  <c r="T9"/>
  <c r="T10" s="1"/>
  <c r="T15" s="1"/>
  <c r="S9"/>
  <c r="AD9" s="1"/>
  <c r="AD10" s="1"/>
  <c r="AD15" s="1"/>
  <c r="G74" i="817" s="1"/>
  <c r="R9" i="754"/>
  <c r="AC9" s="1"/>
  <c r="AC10" s="1"/>
  <c r="AC15" s="1"/>
  <c r="F74" i="817" s="1"/>
  <c r="Y12" i="753"/>
  <c r="D74" i="817" s="1"/>
  <c r="X12" i="753"/>
  <c r="C74" i="817" s="1"/>
  <c r="W12" i="753"/>
  <c r="B74" i="817" s="1"/>
  <c r="V12" i="753"/>
  <c r="U12"/>
  <c r="T12"/>
  <c r="S12"/>
  <c r="R12"/>
  <c r="Q12"/>
  <c r="AB13" i="751"/>
  <c r="AB14" s="1"/>
  <c r="Z13"/>
  <c r="Z14" s="1"/>
  <c r="Y13"/>
  <c r="Y14" s="1"/>
  <c r="X13"/>
  <c r="X14" s="1"/>
  <c r="W13"/>
  <c r="W14" s="1"/>
  <c r="V13"/>
  <c r="V14" s="1"/>
  <c r="U13"/>
  <c r="U14" s="1"/>
  <c r="T13"/>
  <c r="T14" s="1"/>
  <c r="S13"/>
  <c r="AD13" s="1"/>
  <c r="AD14" s="1"/>
  <c r="R13"/>
  <c r="AC13" s="1"/>
  <c r="AC14" s="1"/>
  <c r="AB9"/>
  <c r="AB10" s="1"/>
  <c r="Z9"/>
  <c r="Z10" s="1"/>
  <c r="Y9"/>
  <c r="Y10" s="1"/>
  <c r="X9"/>
  <c r="X10" s="1"/>
  <c r="W9"/>
  <c r="W10" s="1"/>
  <c r="V9"/>
  <c r="V10" s="1"/>
  <c r="U9"/>
  <c r="U10" s="1"/>
  <c r="T9"/>
  <c r="T10" s="1"/>
  <c r="S9"/>
  <c r="AD9" s="1"/>
  <c r="AD10" s="1"/>
  <c r="R9"/>
  <c r="AC9" s="1"/>
  <c r="AC10" s="1"/>
  <c r="Y12" i="750"/>
  <c r="D73" i="817" s="1"/>
  <c r="X12" i="750"/>
  <c r="C73" i="817" s="1"/>
  <c r="W12" i="750"/>
  <c r="B73" i="817" s="1"/>
  <c r="V12" i="750"/>
  <c r="U12"/>
  <c r="T12"/>
  <c r="S12"/>
  <c r="R12"/>
  <c r="Q12"/>
  <c r="B77" i="817" l="1"/>
  <c r="G23" i="25"/>
  <c r="G24" s="1"/>
  <c r="G25" s="1"/>
  <c r="G26" s="1"/>
  <c r="G27" s="1"/>
  <c r="G28" s="1"/>
  <c r="G29" s="1"/>
  <c r="G30" s="1"/>
  <c r="G31" s="1"/>
  <c r="O25" i="817"/>
  <c r="O26" s="1"/>
  <c r="O27" s="1"/>
  <c r="O28" s="1"/>
  <c r="O29" s="1"/>
  <c r="O30" s="1"/>
  <c r="O31" s="1"/>
  <c r="O32" s="1"/>
  <c r="H23" i="25"/>
  <c r="H24" s="1"/>
  <c r="H25" s="1"/>
  <c r="H26" s="1"/>
  <c r="H27" s="1"/>
  <c r="H28" s="1"/>
  <c r="H29" s="1"/>
  <c r="H30" s="1"/>
  <c r="H31" s="1"/>
  <c r="R25" i="817"/>
  <c r="R26" s="1"/>
  <c r="R27" s="1"/>
  <c r="R28" s="1"/>
  <c r="R29" s="1"/>
  <c r="R30" s="1"/>
  <c r="R31" s="1"/>
  <c r="R32" s="1"/>
  <c r="B81" i="25"/>
  <c r="K28"/>
  <c r="L28"/>
  <c r="W15" i="811"/>
  <c r="W18" s="1"/>
  <c r="L24" i="817" s="1"/>
  <c r="U24" s="1"/>
  <c r="X15" i="811"/>
  <c r="X18" s="1"/>
  <c r="T15"/>
  <c r="T18" s="1"/>
  <c r="AG44" i="816"/>
  <c r="AG43"/>
  <c r="AG42"/>
  <c r="AG41"/>
  <c r="AG40"/>
  <c r="AG39"/>
  <c r="AG38"/>
  <c r="AG37"/>
  <c r="AG36"/>
  <c r="AG33"/>
  <c r="AG32"/>
  <c r="AG31"/>
  <c r="AG30"/>
  <c r="AG29"/>
  <c r="AG28"/>
  <c r="AG27"/>
  <c r="AI44"/>
  <c r="AI43"/>
  <c r="AI42"/>
  <c r="AI41"/>
  <c r="AI40"/>
  <c r="AI39"/>
  <c r="AI38"/>
  <c r="AI37"/>
  <c r="AI36"/>
  <c r="AI33"/>
  <c r="AI32"/>
  <c r="AI31"/>
  <c r="AI30"/>
  <c r="AI29"/>
  <c r="AI28"/>
  <c r="AI27"/>
  <c r="AK44"/>
  <c r="AK43"/>
  <c r="AK42"/>
  <c r="AK41"/>
  <c r="AK40"/>
  <c r="AK39"/>
  <c r="AK38"/>
  <c r="AK37"/>
  <c r="AK36"/>
  <c r="AK33"/>
  <c r="AK32"/>
  <c r="AK31"/>
  <c r="AK30"/>
  <c r="AK29"/>
  <c r="AK28"/>
  <c r="AK27"/>
  <c r="AM44"/>
  <c r="AM43"/>
  <c r="AM42"/>
  <c r="AM41"/>
  <c r="AM40"/>
  <c r="AM39"/>
  <c r="AM38"/>
  <c r="AM37"/>
  <c r="AM36"/>
  <c r="AM33"/>
  <c r="AM32"/>
  <c r="AM31"/>
  <c r="AM30"/>
  <c r="AM29"/>
  <c r="AM28"/>
  <c r="AM27"/>
  <c r="AM26"/>
  <c r="AO44"/>
  <c r="AO43"/>
  <c r="AO42"/>
  <c r="AO41"/>
  <c r="AO40"/>
  <c r="AO39"/>
  <c r="AO38"/>
  <c r="AO37"/>
  <c r="AO36"/>
  <c r="AO33"/>
  <c r="AO32"/>
  <c r="AO31"/>
  <c r="AO30"/>
  <c r="AO29"/>
  <c r="AO28"/>
  <c r="AO27"/>
  <c r="AO26"/>
  <c r="AS44"/>
  <c r="AS43"/>
  <c r="AS42"/>
  <c r="AS41"/>
  <c r="AS40"/>
  <c r="AS39"/>
  <c r="AS38"/>
  <c r="AS37"/>
  <c r="AS36"/>
  <c r="AS33"/>
  <c r="AS32"/>
  <c r="AS31"/>
  <c r="AS30"/>
  <c r="AS29"/>
  <c r="AS28"/>
  <c r="AS27"/>
  <c r="AS26"/>
  <c r="AU44"/>
  <c r="AU43"/>
  <c r="AU42"/>
  <c r="AU41"/>
  <c r="AU40"/>
  <c r="AU39"/>
  <c r="AU38"/>
  <c r="AU37"/>
  <c r="AU36"/>
  <c r="AU33"/>
  <c r="AU32"/>
  <c r="AU31"/>
  <c r="AU30"/>
  <c r="AU29"/>
  <c r="AU28"/>
  <c r="AU27"/>
  <c r="AU26"/>
  <c r="AW44"/>
  <c r="AW43"/>
  <c r="AW42"/>
  <c r="AW41"/>
  <c r="AW40"/>
  <c r="AW39"/>
  <c r="AW38"/>
  <c r="AW37"/>
  <c r="AW36"/>
  <c r="AW33"/>
  <c r="AW32"/>
  <c r="AW31"/>
  <c r="AW30"/>
  <c r="AW29"/>
  <c r="AW28"/>
  <c r="AW27"/>
  <c r="AW26"/>
  <c r="AY44"/>
  <c r="AY43"/>
  <c r="AY42"/>
  <c r="AY41"/>
  <c r="AY40"/>
  <c r="AY39"/>
  <c r="AY38"/>
  <c r="AY37"/>
  <c r="AY36"/>
  <c r="AY33"/>
  <c r="AY32"/>
  <c r="AY31"/>
  <c r="AY30"/>
  <c r="AY29"/>
  <c r="AY28"/>
  <c r="AY27"/>
  <c r="AY26"/>
  <c r="BA44"/>
  <c r="BA43"/>
  <c r="BA42"/>
  <c r="BA41"/>
  <c r="BA40"/>
  <c r="BA39"/>
  <c r="BA38"/>
  <c r="BA37"/>
  <c r="BA36"/>
  <c r="BA33"/>
  <c r="BA32"/>
  <c r="BA31"/>
  <c r="BA30"/>
  <c r="BA29"/>
  <c r="BA28"/>
  <c r="BA27"/>
  <c r="BA26"/>
  <c r="AA10" i="815"/>
  <c r="AG14" i="816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F44"/>
  <c r="AF43"/>
  <c r="AF42"/>
  <c r="AF41"/>
  <c r="AF40"/>
  <c r="AF39"/>
  <c r="AF38"/>
  <c r="AF37"/>
  <c r="AF36"/>
  <c r="AF33"/>
  <c r="AF32"/>
  <c r="AF31"/>
  <c r="AF30"/>
  <c r="AF29"/>
  <c r="AF28"/>
  <c r="AF27"/>
  <c r="AH44"/>
  <c r="AH43"/>
  <c r="AH42"/>
  <c r="AH41"/>
  <c r="AH40"/>
  <c r="AH39"/>
  <c r="AH38"/>
  <c r="AH37"/>
  <c r="AH36"/>
  <c r="AH33"/>
  <c r="AH32"/>
  <c r="AH31"/>
  <c r="AH30"/>
  <c r="AH29"/>
  <c r="AH28"/>
  <c r="AH27"/>
  <c r="AJ44"/>
  <c r="AJ43"/>
  <c r="AJ42"/>
  <c r="AJ41"/>
  <c r="AJ40"/>
  <c r="AJ39"/>
  <c r="AJ38"/>
  <c r="AJ37"/>
  <c r="AJ36"/>
  <c r="AJ33"/>
  <c r="AJ32"/>
  <c r="AJ31"/>
  <c r="AJ30"/>
  <c r="AJ29"/>
  <c r="AJ28"/>
  <c r="AJ27"/>
  <c r="AL44"/>
  <c r="AL43"/>
  <c r="AL42"/>
  <c r="AL41"/>
  <c r="AL40"/>
  <c r="AL39"/>
  <c r="AL38"/>
  <c r="AL37"/>
  <c r="AL36"/>
  <c r="AL33"/>
  <c r="AL32"/>
  <c r="AL31"/>
  <c r="AL30"/>
  <c r="AL29"/>
  <c r="AL28"/>
  <c r="AL27"/>
  <c r="AN44"/>
  <c r="AN43"/>
  <c r="AN42"/>
  <c r="AN41"/>
  <c r="AN40"/>
  <c r="AN39"/>
  <c r="AN38"/>
  <c r="AN37"/>
  <c r="AN36"/>
  <c r="AN33"/>
  <c r="AN32"/>
  <c r="AN31"/>
  <c r="AN30"/>
  <c r="AN29"/>
  <c r="AN28"/>
  <c r="AN27"/>
  <c r="AN26"/>
  <c r="AN70" s="1"/>
  <c r="AR44"/>
  <c r="AR43"/>
  <c r="AR42"/>
  <c r="AR41"/>
  <c r="AR40"/>
  <c r="AR39"/>
  <c r="AR38"/>
  <c r="AR37"/>
  <c r="AR36"/>
  <c r="AR33"/>
  <c r="AR32"/>
  <c r="AR31"/>
  <c r="AR30"/>
  <c r="AR29"/>
  <c r="AR28"/>
  <c r="AR27"/>
  <c r="AR26"/>
  <c r="AT44"/>
  <c r="AT43"/>
  <c r="AT42"/>
  <c r="AT41"/>
  <c r="AT40"/>
  <c r="AT39"/>
  <c r="AT38"/>
  <c r="AT37"/>
  <c r="AT36"/>
  <c r="AT33"/>
  <c r="AT32"/>
  <c r="AT31"/>
  <c r="AT30"/>
  <c r="AT29"/>
  <c r="AT28"/>
  <c r="AT27"/>
  <c r="AT26"/>
  <c r="AT70" s="1"/>
  <c r="AV44"/>
  <c r="AV43"/>
  <c r="AV42"/>
  <c r="AV41"/>
  <c r="AV40"/>
  <c r="AV39"/>
  <c r="AV38"/>
  <c r="AV37"/>
  <c r="AV36"/>
  <c r="AV33"/>
  <c r="AV32"/>
  <c r="AV31"/>
  <c r="AV30"/>
  <c r="AV29"/>
  <c r="AV28"/>
  <c r="AV27"/>
  <c r="AV26"/>
  <c r="AX44"/>
  <c r="AX43"/>
  <c r="AX42"/>
  <c r="AX41"/>
  <c r="AX40"/>
  <c r="AX39"/>
  <c r="AX38"/>
  <c r="AX37"/>
  <c r="AX36"/>
  <c r="AX33"/>
  <c r="AX32"/>
  <c r="AX31"/>
  <c r="AX30"/>
  <c r="AX29"/>
  <c r="AX28"/>
  <c r="AX27"/>
  <c r="AX26"/>
  <c r="AX70" s="1"/>
  <c r="AZ44"/>
  <c r="AZ43"/>
  <c r="AZ42"/>
  <c r="AZ41"/>
  <c r="AZ40"/>
  <c r="AZ39"/>
  <c r="AZ38"/>
  <c r="AZ37"/>
  <c r="AZ36"/>
  <c r="AZ33"/>
  <c r="AZ32"/>
  <c r="AZ31"/>
  <c r="AZ30"/>
  <c r="AZ29"/>
  <c r="AZ28"/>
  <c r="AZ27"/>
  <c r="AZ26"/>
  <c r="L89"/>
  <c r="M88"/>
  <c r="M89" s="1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G44" i="813"/>
  <c r="AG43"/>
  <c r="AG42"/>
  <c r="AI44"/>
  <c r="AI43"/>
  <c r="AI42"/>
  <c r="AI41"/>
  <c r="AK44"/>
  <c r="AK43"/>
  <c r="AK42"/>
  <c r="AK41"/>
  <c r="AM44"/>
  <c r="AM43"/>
  <c r="AM42"/>
  <c r="AM41"/>
  <c r="AO44"/>
  <c r="AO43"/>
  <c r="AO42"/>
  <c r="AO41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F44"/>
  <c r="AF43"/>
  <c r="AF42"/>
  <c r="AH44"/>
  <c r="AH43"/>
  <c r="AH42"/>
  <c r="AJ44"/>
  <c r="AJ43"/>
  <c r="AJ42"/>
  <c r="AJ41"/>
  <c r="AL44"/>
  <c r="AL43"/>
  <c r="AL42"/>
  <c r="AL41"/>
  <c r="AN44"/>
  <c r="AN43"/>
  <c r="AN42"/>
  <c r="AN41"/>
  <c r="AR44"/>
  <c r="AR43"/>
  <c r="AR42"/>
  <c r="AR41"/>
  <c r="AT44"/>
  <c r="AT43"/>
  <c r="AT42"/>
  <c r="AT41"/>
  <c r="AV44"/>
  <c r="AV43"/>
  <c r="AV42"/>
  <c r="AV41"/>
  <c r="AX44"/>
  <c r="AX43"/>
  <c r="AX42"/>
  <c r="AX41"/>
  <c r="AZ44"/>
  <c r="AZ43"/>
  <c r="AZ42"/>
  <c r="AZ41"/>
  <c r="L89"/>
  <c r="M88"/>
  <c r="M89" s="1"/>
  <c r="AA9" i="812"/>
  <c r="AA13" s="1"/>
  <c r="AF14" i="813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A9" i="760"/>
  <c r="AA10" s="1"/>
  <c r="AA11" s="1"/>
  <c r="AA9" i="757"/>
  <c r="AA10" s="1"/>
  <c r="AA13"/>
  <c r="AA14" s="1"/>
  <c r="AA9" i="754"/>
  <c r="AA10" s="1"/>
  <c r="AA13"/>
  <c r="AA14" s="1"/>
  <c r="AA13" i="751"/>
  <c r="AA14" s="1"/>
  <c r="AA9"/>
  <c r="AA10" s="1"/>
  <c r="X10" i="747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X10" i="744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X10" i="741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X10" i="738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X10" i="735"/>
  <c r="W10"/>
  <c r="T10"/>
  <c r="Q10"/>
  <c r="X9"/>
  <c r="W9"/>
  <c r="U9"/>
  <c r="T9"/>
  <c r="S9"/>
  <c r="R9"/>
  <c r="Q9"/>
  <c r="M9"/>
  <c r="Y9" s="1"/>
  <c r="J9"/>
  <c r="V9" s="1"/>
  <c r="X8"/>
  <c r="W8"/>
  <c r="T8"/>
  <c r="T11" s="1"/>
  <c r="T15" s="1"/>
  <c r="Q8"/>
  <c r="D8"/>
  <c r="AB17" i="733"/>
  <c r="AB18" s="1"/>
  <c r="Z17"/>
  <c r="Z18" s="1"/>
  <c r="Y17"/>
  <c r="Y18" s="1"/>
  <c r="X17"/>
  <c r="X18" s="1"/>
  <c r="W17"/>
  <c r="W18" s="1"/>
  <c r="V17"/>
  <c r="V18" s="1"/>
  <c r="U17"/>
  <c r="U18" s="1"/>
  <c r="T17"/>
  <c r="T18" s="1"/>
  <c r="S17"/>
  <c r="AD17" s="1"/>
  <c r="AD18" s="1"/>
  <c r="R17"/>
  <c r="AC17" s="1"/>
  <c r="AC18" s="1"/>
  <c r="AB13"/>
  <c r="AB14" s="1"/>
  <c r="Z13"/>
  <c r="Z14" s="1"/>
  <c r="Y13"/>
  <c r="Y14" s="1"/>
  <c r="X13"/>
  <c r="X14" s="1"/>
  <c r="W13"/>
  <c r="W14" s="1"/>
  <c r="V13"/>
  <c r="V14" s="1"/>
  <c r="U13"/>
  <c r="U14" s="1"/>
  <c r="T13"/>
  <c r="T14" s="1"/>
  <c r="S13"/>
  <c r="AD13" s="1"/>
  <c r="AD14" s="1"/>
  <c r="R13"/>
  <c r="AC13" s="1"/>
  <c r="AC14" s="1"/>
  <c r="AB9"/>
  <c r="AB10" s="1"/>
  <c r="Z9"/>
  <c r="Z10" s="1"/>
  <c r="Y9"/>
  <c r="Y10" s="1"/>
  <c r="X9"/>
  <c r="X10" s="1"/>
  <c r="W9"/>
  <c r="W10" s="1"/>
  <c r="V9"/>
  <c r="V10" s="1"/>
  <c r="U9"/>
  <c r="U10" s="1"/>
  <c r="T9"/>
  <c r="T10" s="1"/>
  <c r="S9"/>
  <c r="AD9" s="1"/>
  <c r="AD10" s="1"/>
  <c r="R9"/>
  <c r="AC9" s="1"/>
  <c r="AC10" s="1"/>
  <c r="X14" i="732"/>
  <c r="X15" s="1"/>
  <c r="W14"/>
  <c r="W15" s="1"/>
  <c r="U14"/>
  <c r="U15" s="1"/>
  <c r="T14"/>
  <c r="T15" s="1"/>
  <c r="S14"/>
  <c r="S15" s="1"/>
  <c r="R14"/>
  <c r="R15" s="1"/>
  <c r="Q14"/>
  <c r="Q15" s="1"/>
  <c r="M14"/>
  <c r="Y14" s="1"/>
  <c r="Y15" s="1"/>
  <c r="J14"/>
  <c r="V14" s="1"/>
  <c r="V15" s="1"/>
  <c r="X10"/>
  <c r="W10"/>
  <c r="T10"/>
  <c r="Q10"/>
  <c r="X9"/>
  <c r="W9"/>
  <c r="U9"/>
  <c r="T9"/>
  <c r="S9"/>
  <c r="R9"/>
  <c r="Q9"/>
  <c r="M9"/>
  <c r="Y9" s="1"/>
  <c r="J9"/>
  <c r="V9" s="1"/>
  <c r="X8"/>
  <c r="W8"/>
  <c r="W11" s="1"/>
  <c r="W19" s="1"/>
  <c r="B68" i="817" s="1"/>
  <c r="T8" i="732"/>
  <c r="Q8"/>
  <c r="Q11" s="1"/>
  <c r="Q19" s="1"/>
  <c r="D8"/>
  <c r="AB17" i="730"/>
  <c r="AB18" s="1"/>
  <c r="Z17"/>
  <c r="Z18" s="1"/>
  <c r="Y17"/>
  <c r="Y18" s="1"/>
  <c r="X17"/>
  <c r="X18" s="1"/>
  <c r="W17"/>
  <c r="W18" s="1"/>
  <c r="V17"/>
  <c r="V18" s="1"/>
  <c r="U17"/>
  <c r="U18" s="1"/>
  <c r="T17"/>
  <c r="T18" s="1"/>
  <c r="S17"/>
  <c r="AD17" s="1"/>
  <c r="AD18" s="1"/>
  <c r="R17"/>
  <c r="AC17" s="1"/>
  <c r="AC18" s="1"/>
  <c r="AB13"/>
  <c r="AB14" s="1"/>
  <c r="Z13"/>
  <c r="Z14" s="1"/>
  <c r="Y13"/>
  <c r="Y14" s="1"/>
  <c r="X13"/>
  <c r="X14" s="1"/>
  <c r="W13"/>
  <c r="W14" s="1"/>
  <c r="V13"/>
  <c r="V14" s="1"/>
  <c r="U13"/>
  <c r="U14" s="1"/>
  <c r="T13"/>
  <c r="T14" s="1"/>
  <c r="S13"/>
  <c r="AD13" s="1"/>
  <c r="AD14" s="1"/>
  <c r="R13"/>
  <c r="AC13" s="1"/>
  <c r="AC14" s="1"/>
  <c r="AB9"/>
  <c r="AB10" s="1"/>
  <c r="Z9"/>
  <c r="Z10" s="1"/>
  <c r="Y9"/>
  <c r="Y10" s="1"/>
  <c r="X9"/>
  <c r="X10" s="1"/>
  <c r="W9"/>
  <c r="W10" s="1"/>
  <c r="V9"/>
  <c r="V10" s="1"/>
  <c r="U9"/>
  <c r="U10" s="1"/>
  <c r="T9"/>
  <c r="T10" s="1"/>
  <c r="S9"/>
  <c r="AD9" s="1"/>
  <c r="AD10" s="1"/>
  <c r="R9"/>
  <c r="AC9" s="1"/>
  <c r="AC10" s="1"/>
  <c r="X14" i="729"/>
  <c r="X15" s="1"/>
  <c r="W14"/>
  <c r="W15" s="1"/>
  <c r="U14"/>
  <c r="U15" s="1"/>
  <c r="T14"/>
  <c r="T15" s="1"/>
  <c r="S14"/>
  <c r="S15" s="1"/>
  <c r="R14"/>
  <c r="R15" s="1"/>
  <c r="Q14"/>
  <c r="Q15" s="1"/>
  <c r="M14"/>
  <c r="Y14" s="1"/>
  <c r="Y15" s="1"/>
  <c r="J14"/>
  <c r="V14" s="1"/>
  <c r="V15" s="1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T11" s="1"/>
  <c r="T19" s="1"/>
  <c r="Q8"/>
  <c r="D8"/>
  <c r="AB17" i="727"/>
  <c r="AB18" s="1"/>
  <c r="Z17"/>
  <c r="Z18" s="1"/>
  <c r="Y17"/>
  <c r="Y18" s="1"/>
  <c r="X17"/>
  <c r="X18" s="1"/>
  <c r="W17"/>
  <c r="W18" s="1"/>
  <c r="V17"/>
  <c r="V18" s="1"/>
  <c r="U17"/>
  <c r="U18" s="1"/>
  <c r="T17"/>
  <c r="T18" s="1"/>
  <c r="S17"/>
  <c r="AD17" s="1"/>
  <c r="AD18" s="1"/>
  <c r="R17"/>
  <c r="AC17" s="1"/>
  <c r="AC18" s="1"/>
  <c r="AB13"/>
  <c r="AB14" s="1"/>
  <c r="Z13"/>
  <c r="Z14" s="1"/>
  <c r="Y13"/>
  <c r="Y14" s="1"/>
  <c r="X13"/>
  <c r="X14" s="1"/>
  <c r="W13"/>
  <c r="W14" s="1"/>
  <c r="V13"/>
  <c r="V14" s="1"/>
  <c r="U13"/>
  <c r="U14" s="1"/>
  <c r="T13"/>
  <c r="T14" s="1"/>
  <c r="S13"/>
  <c r="AD13" s="1"/>
  <c r="AD14" s="1"/>
  <c r="R13"/>
  <c r="AC13" s="1"/>
  <c r="AC14" s="1"/>
  <c r="AB9"/>
  <c r="AB10" s="1"/>
  <c r="Z9"/>
  <c r="Z10" s="1"/>
  <c r="Y9"/>
  <c r="Y10" s="1"/>
  <c r="X9"/>
  <c r="X10" s="1"/>
  <c r="W9"/>
  <c r="W10" s="1"/>
  <c r="V9"/>
  <c r="V10" s="1"/>
  <c r="U9"/>
  <c r="U10" s="1"/>
  <c r="T9"/>
  <c r="T10" s="1"/>
  <c r="S9"/>
  <c r="AD9" s="1"/>
  <c r="AD10" s="1"/>
  <c r="R9"/>
  <c r="AC9" s="1"/>
  <c r="AC10" s="1"/>
  <c r="X14" i="726"/>
  <c r="X15" s="1"/>
  <c r="W14"/>
  <c r="W15" s="1"/>
  <c r="U14"/>
  <c r="U15" s="1"/>
  <c r="T14"/>
  <c r="T15" s="1"/>
  <c r="S14"/>
  <c r="S15" s="1"/>
  <c r="R14"/>
  <c r="R15" s="1"/>
  <c r="Q14"/>
  <c r="Q15" s="1"/>
  <c r="M14"/>
  <c r="Y14" s="1"/>
  <c r="Y15" s="1"/>
  <c r="J14"/>
  <c r="V14" s="1"/>
  <c r="V15" s="1"/>
  <c r="X10"/>
  <c r="W10"/>
  <c r="T10"/>
  <c r="Q10"/>
  <c r="X9"/>
  <c r="W9"/>
  <c r="U9"/>
  <c r="T9"/>
  <c r="S9"/>
  <c r="R9"/>
  <c r="Q9"/>
  <c r="M9"/>
  <c r="Y9" s="1"/>
  <c r="J9"/>
  <c r="V9" s="1"/>
  <c r="X8"/>
  <c r="W8"/>
  <c r="W11" s="1"/>
  <c r="W19" s="1"/>
  <c r="B66" i="817" s="1"/>
  <c r="T8" i="726"/>
  <c r="Q8"/>
  <c r="Q11" s="1"/>
  <c r="Q19" s="1"/>
  <c r="D8"/>
  <c r="AB17" i="724"/>
  <c r="AB18" s="1"/>
  <c r="Z17"/>
  <c r="Z18" s="1"/>
  <c r="Y17"/>
  <c r="Y18" s="1"/>
  <c r="X17"/>
  <c r="X18" s="1"/>
  <c r="W17"/>
  <c r="W18" s="1"/>
  <c r="V17"/>
  <c r="V18" s="1"/>
  <c r="U17"/>
  <c r="U18" s="1"/>
  <c r="T17"/>
  <c r="T18" s="1"/>
  <c r="S17"/>
  <c r="AD17" s="1"/>
  <c r="AD18" s="1"/>
  <c r="R17"/>
  <c r="AC17" s="1"/>
  <c r="AC18" s="1"/>
  <c r="AB13"/>
  <c r="AB14" s="1"/>
  <c r="Z13"/>
  <c r="Z14" s="1"/>
  <c r="Y13"/>
  <c r="Y14" s="1"/>
  <c r="X13"/>
  <c r="X14" s="1"/>
  <c r="W13"/>
  <c r="W14" s="1"/>
  <c r="V13"/>
  <c r="V14" s="1"/>
  <c r="U13"/>
  <c r="U14" s="1"/>
  <c r="T13"/>
  <c r="T14" s="1"/>
  <c r="S13"/>
  <c r="AD13" s="1"/>
  <c r="AD14" s="1"/>
  <c r="R13"/>
  <c r="AC13" s="1"/>
  <c r="AC14" s="1"/>
  <c r="AB9"/>
  <c r="AB10" s="1"/>
  <c r="Z9"/>
  <c r="Z10" s="1"/>
  <c r="Y9"/>
  <c r="Y10" s="1"/>
  <c r="X9"/>
  <c r="X10" s="1"/>
  <c r="W9"/>
  <c r="W10" s="1"/>
  <c r="V9"/>
  <c r="V10" s="1"/>
  <c r="U9"/>
  <c r="U10" s="1"/>
  <c r="T9"/>
  <c r="T10" s="1"/>
  <c r="S9"/>
  <c r="AD9" s="1"/>
  <c r="AD10" s="1"/>
  <c r="R9"/>
  <c r="AC9" s="1"/>
  <c r="AC10" s="1"/>
  <c r="X14" i="723"/>
  <c r="X15" s="1"/>
  <c r="W14"/>
  <c r="W15" s="1"/>
  <c r="U14"/>
  <c r="U15" s="1"/>
  <c r="T14"/>
  <c r="T15" s="1"/>
  <c r="S14"/>
  <c r="S15" s="1"/>
  <c r="R14"/>
  <c r="R15" s="1"/>
  <c r="Q14"/>
  <c r="Q15" s="1"/>
  <c r="M14"/>
  <c r="Y14" s="1"/>
  <c r="Y15" s="1"/>
  <c r="J14"/>
  <c r="V14" s="1"/>
  <c r="V15" s="1"/>
  <c r="X10"/>
  <c r="W10"/>
  <c r="T10"/>
  <c r="Q10"/>
  <c r="X9"/>
  <c r="W9"/>
  <c r="U9"/>
  <c r="T9"/>
  <c r="S9"/>
  <c r="R9"/>
  <c r="Q9"/>
  <c r="M9"/>
  <c r="Y9" s="1"/>
  <c r="J9"/>
  <c r="V9" s="1"/>
  <c r="X8"/>
  <c r="X11" s="1"/>
  <c r="X20" s="1"/>
  <c r="C65" i="817" s="1"/>
  <c r="W8" i="723"/>
  <c r="T8"/>
  <c r="T11" s="1"/>
  <c r="T20" s="1"/>
  <c r="Q8"/>
  <c r="D8"/>
  <c r="AB17" i="721"/>
  <c r="AB18" s="1"/>
  <c r="Z17"/>
  <c r="Z18" s="1"/>
  <c r="Y17"/>
  <c r="Y18" s="1"/>
  <c r="X17"/>
  <c r="X18" s="1"/>
  <c r="W17"/>
  <c r="W18" s="1"/>
  <c r="V17"/>
  <c r="V18" s="1"/>
  <c r="U17"/>
  <c r="U18" s="1"/>
  <c r="T17"/>
  <c r="T18" s="1"/>
  <c r="S17"/>
  <c r="AD17" s="1"/>
  <c r="AD18" s="1"/>
  <c r="R17"/>
  <c r="AC17" s="1"/>
  <c r="AC18" s="1"/>
  <c r="AB13"/>
  <c r="AB14" s="1"/>
  <c r="Z13"/>
  <c r="Z14" s="1"/>
  <c r="Y13"/>
  <c r="Y14" s="1"/>
  <c r="X13"/>
  <c r="X14" s="1"/>
  <c r="W13"/>
  <c r="W14" s="1"/>
  <c r="V13"/>
  <c r="V14" s="1"/>
  <c r="U13"/>
  <c r="U14" s="1"/>
  <c r="T13"/>
  <c r="T14" s="1"/>
  <c r="S13"/>
  <c r="AD13" s="1"/>
  <c r="AD14" s="1"/>
  <c r="R13"/>
  <c r="AC13" s="1"/>
  <c r="AC14" s="1"/>
  <c r="AB9"/>
  <c r="AB10" s="1"/>
  <c r="Z9"/>
  <c r="Z10" s="1"/>
  <c r="Y9"/>
  <c r="Y10" s="1"/>
  <c r="X9"/>
  <c r="X10" s="1"/>
  <c r="W9"/>
  <c r="W10" s="1"/>
  <c r="V9"/>
  <c r="V10" s="1"/>
  <c r="U9"/>
  <c r="U10" s="1"/>
  <c r="T9"/>
  <c r="T10" s="1"/>
  <c r="S9"/>
  <c r="AD9" s="1"/>
  <c r="AD10" s="1"/>
  <c r="R9"/>
  <c r="AC9" s="1"/>
  <c r="AC10" s="1"/>
  <c r="X14" i="720"/>
  <c r="X15" s="1"/>
  <c r="W14"/>
  <c r="W15" s="1"/>
  <c r="U14"/>
  <c r="U15" s="1"/>
  <c r="T14"/>
  <c r="T15" s="1"/>
  <c r="S14"/>
  <c r="S15" s="1"/>
  <c r="R14"/>
  <c r="R15" s="1"/>
  <c r="Q14"/>
  <c r="Q15" s="1"/>
  <c r="M14"/>
  <c r="Y14" s="1"/>
  <c r="Y15" s="1"/>
  <c r="J14"/>
  <c r="V14" s="1"/>
  <c r="V15" s="1"/>
  <c r="X10"/>
  <c r="W10"/>
  <c r="T10"/>
  <c r="Q10"/>
  <c r="X9"/>
  <c r="W9"/>
  <c r="U9"/>
  <c r="T9"/>
  <c r="S9"/>
  <c r="R9"/>
  <c r="Q9"/>
  <c r="M9"/>
  <c r="Y9" s="1"/>
  <c r="J9"/>
  <c r="V9" s="1"/>
  <c r="X8"/>
  <c r="W8"/>
  <c r="W11" s="1"/>
  <c r="W20" s="1"/>
  <c r="B64" i="817" s="1"/>
  <c r="T8" i="720"/>
  <c r="Q8"/>
  <c r="Q11" s="1"/>
  <c r="Q20" s="1"/>
  <c r="D8"/>
  <c r="AC18" i="718"/>
  <c r="AB18"/>
  <c r="Z18"/>
  <c r="AA18" s="1"/>
  <c r="Y18"/>
  <c r="X18"/>
  <c r="W18"/>
  <c r="V18"/>
  <c r="U18"/>
  <c r="T18"/>
  <c r="S18"/>
  <c r="AD18" s="1"/>
  <c r="X14" i="717"/>
  <c r="X15" s="1"/>
  <c r="W14"/>
  <c r="W15" s="1"/>
  <c r="U14"/>
  <c r="U15" s="1"/>
  <c r="T14"/>
  <c r="T15" s="1"/>
  <c r="S14"/>
  <c r="S15" s="1"/>
  <c r="R14"/>
  <c r="R15" s="1"/>
  <c r="Q14"/>
  <c r="Q15" s="1"/>
  <c r="M14"/>
  <c r="Y14" s="1"/>
  <c r="Y15" s="1"/>
  <c r="J14"/>
  <c r="V14" s="1"/>
  <c r="V15" s="1"/>
  <c r="X10"/>
  <c r="W10"/>
  <c r="T10"/>
  <c r="Q10"/>
  <c r="X9"/>
  <c r="W9"/>
  <c r="U9"/>
  <c r="T9"/>
  <c r="S9"/>
  <c r="R9"/>
  <c r="Q9"/>
  <c r="M9"/>
  <c r="Y9" s="1"/>
  <c r="J9"/>
  <c r="V9" s="1"/>
  <c r="X8"/>
  <c r="X11" s="1"/>
  <c r="X20" s="1"/>
  <c r="C63" i="817" s="1"/>
  <c r="W8" i="717"/>
  <c r="T8"/>
  <c r="T11" s="1"/>
  <c r="T20" s="1"/>
  <c r="Q8"/>
  <c r="D8"/>
  <c r="AC14" i="715"/>
  <c r="AC15" s="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AC10"/>
  <c r="AB10"/>
  <c r="Z10"/>
  <c r="AA10" s="1"/>
  <c r="Y10"/>
  <c r="X10"/>
  <c r="W10"/>
  <c r="V10"/>
  <c r="U10"/>
  <c r="T10"/>
  <c r="S10"/>
  <c r="AD10" s="1"/>
  <c r="AB9"/>
  <c r="Z9"/>
  <c r="Z11" s="1"/>
  <c r="Z16" s="1"/>
  <c r="Y9"/>
  <c r="X9"/>
  <c r="X11" s="1"/>
  <c r="X16" s="1"/>
  <c r="W9"/>
  <c r="V9"/>
  <c r="V11" s="1"/>
  <c r="V16" s="1"/>
  <c r="U9"/>
  <c r="T9"/>
  <c r="T11" s="1"/>
  <c r="T16" s="1"/>
  <c r="S9"/>
  <c r="AD9" s="1"/>
  <c r="R9"/>
  <c r="AC9" s="1"/>
  <c r="AC11" s="1"/>
  <c r="AC16" s="1"/>
  <c r="F62" i="817" s="1"/>
  <c r="X14" i="714"/>
  <c r="X15" s="1"/>
  <c r="W14"/>
  <c r="W15" s="1"/>
  <c r="U14"/>
  <c r="U15" s="1"/>
  <c r="T14"/>
  <c r="T15" s="1"/>
  <c r="S14"/>
  <c r="S15" s="1"/>
  <c r="R14"/>
  <c r="R15" s="1"/>
  <c r="Q14"/>
  <c r="Q15" s="1"/>
  <c r="M14"/>
  <c r="Y14" s="1"/>
  <c r="Y15" s="1"/>
  <c r="J14"/>
  <c r="V14" s="1"/>
  <c r="V15" s="1"/>
  <c r="X10"/>
  <c r="W10"/>
  <c r="T10"/>
  <c r="Q10"/>
  <c r="X9"/>
  <c r="W9"/>
  <c r="U9"/>
  <c r="T9"/>
  <c r="S9"/>
  <c r="R9"/>
  <c r="Q9"/>
  <c r="M9"/>
  <c r="Y9" s="1"/>
  <c r="J9"/>
  <c r="V9" s="1"/>
  <c r="X8"/>
  <c r="W8"/>
  <c r="W11" s="1"/>
  <c r="W16" s="1"/>
  <c r="B62" i="817" s="1"/>
  <c r="T8" i="714"/>
  <c r="Q8"/>
  <c r="Q11" s="1"/>
  <c r="Q16" s="1"/>
  <c r="D8"/>
  <c r="AC14" i="712"/>
  <c r="AC15" s="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AC10"/>
  <c r="AB10"/>
  <c r="Z10"/>
  <c r="AA10" s="1"/>
  <c r="Y10"/>
  <c r="X10"/>
  <c r="W10"/>
  <c r="V10"/>
  <c r="U10"/>
  <c r="T10"/>
  <c r="S10"/>
  <c r="AD10" s="1"/>
  <c r="AB9"/>
  <c r="AB11" s="1"/>
  <c r="AB16" s="1"/>
  <c r="E61" i="817" s="1"/>
  <c r="Z9" i="712"/>
  <c r="Y9"/>
  <c r="Y11" s="1"/>
  <c r="Y16" s="1"/>
  <c r="X9"/>
  <c r="W9"/>
  <c r="W11" s="1"/>
  <c r="W16" s="1"/>
  <c r="V9"/>
  <c r="U9"/>
  <c r="U11" s="1"/>
  <c r="U16" s="1"/>
  <c r="T9"/>
  <c r="S9"/>
  <c r="AD9" s="1"/>
  <c r="AD11" s="1"/>
  <c r="AD16" s="1"/>
  <c r="G61" i="817" s="1"/>
  <c r="R9" i="712"/>
  <c r="AC9" s="1"/>
  <c r="X14" i="711"/>
  <c r="X15" s="1"/>
  <c r="W14"/>
  <c r="W15" s="1"/>
  <c r="U14"/>
  <c r="U15" s="1"/>
  <c r="T14"/>
  <c r="T15" s="1"/>
  <c r="S14"/>
  <c r="S15" s="1"/>
  <c r="R14"/>
  <c r="R15" s="1"/>
  <c r="Q14"/>
  <c r="Q15" s="1"/>
  <c r="M14"/>
  <c r="Y14" s="1"/>
  <c r="Y15" s="1"/>
  <c r="J14"/>
  <c r="V14" s="1"/>
  <c r="V15" s="1"/>
  <c r="X10"/>
  <c r="W10"/>
  <c r="T10"/>
  <c r="Q10"/>
  <c r="X9"/>
  <c r="W9"/>
  <c r="U9"/>
  <c r="T9"/>
  <c r="S9"/>
  <c r="R9"/>
  <c r="Q9"/>
  <c r="M9"/>
  <c r="Y9" s="1"/>
  <c r="J9"/>
  <c r="V9" s="1"/>
  <c r="X8"/>
  <c r="X11" s="1"/>
  <c r="X16" s="1"/>
  <c r="C61" i="817" s="1"/>
  <c r="W8" i="711"/>
  <c r="T8"/>
  <c r="T11" s="1"/>
  <c r="T16" s="1"/>
  <c r="Q8"/>
  <c r="D8"/>
  <c r="AC14" i="709"/>
  <c r="AC15" s="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AC10"/>
  <c r="AB10"/>
  <c r="Z10"/>
  <c r="AA10" s="1"/>
  <c r="Y10"/>
  <c r="X10"/>
  <c r="W10"/>
  <c r="V10"/>
  <c r="U10"/>
  <c r="T10"/>
  <c r="S10"/>
  <c r="AD10" s="1"/>
  <c r="AB9"/>
  <c r="Z9"/>
  <c r="Z11" s="1"/>
  <c r="Z16" s="1"/>
  <c r="Y9"/>
  <c r="X9"/>
  <c r="X11" s="1"/>
  <c r="X16" s="1"/>
  <c r="W9"/>
  <c r="V9"/>
  <c r="V11" s="1"/>
  <c r="V16" s="1"/>
  <c r="U9"/>
  <c r="T9"/>
  <c r="T11" s="1"/>
  <c r="T16" s="1"/>
  <c r="S9"/>
  <c r="AD9" s="1"/>
  <c r="R9"/>
  <c r="AC9" s="1"/>
  <c r="AC11" s="1"/>
  <c r="AC16" s="1"/>
  <c r="F60" i="817" s="1"/>
  <c r="X14" i="708"/>
  <c r="X15" s="1"/>
  <c r="W14"/>
  <c r="W15" s="1"/>
  <c r="U14"/>
  <c r="U15" s="1"/>
  <c r="T14"/>
  <c r="T15" s="1"/>
  <c r="S14"/>
  <c r="S15" s="1"/>
  <c r="R14"/>
  <c r="R15" s="1"/>
  <c r="Q14"/>
  <c r="Q15" s="1"/>
  <c r="M14"/>
  <c r="Y14" s="1"/>
  <c r="Y15" s="1"/>
  <c r="J14"/>
  <c r="V14" s="1"/>
  <c r="V15" s="1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Q11" s="1"/>
  <c r="Q16" s="1"/>
  <c r="D8"/>
  <c r="AC14" i="706"/>
  <c r="AC15" s="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AC10"/>
  <c r="AB10"/>
  <c r="Z10"/>
  <c r="AA10" s="1"/>
  <c r="Y10"/>
  <c r="X10"/>
  <c r="W10"/>
  <c r="V10"/>
  <c r="U10"/>
  <c r="T10"/>
  <c r="S10"/>
  <c r="AD10" s="1"/>
  <c r="AB9"/>
  <c r="AB11" s="1"/>
  <c r="AB16" s="1"/>
  <c r="E59" i="817" s="1"/>
  <c r="Z9" i="706"/>
  <c r="Y9"/>
  <c r="Y11" s="1"/>
  <c r="Y16" s="1"/>
  <c r="X9"/>
  <c r="W9"/>
  <c r="W11" s="1"/>
  <c r="W16" s="1"/>
  <c r="V9"/>
  <c r="U9"/>
  <c r="U11" s="1"/>
  <c r="U16" s="1"/>
  <c r="T9"/>
  <c r="S9"/>
  <c r="AD9" s="1"/>
  <c r="AD11" s="1"/>
  <c r="AD16" s="1"/>
  <c r="G59" i="817" s="1"/>
  <c r="R9" i="706"/>
  <c r="AC9" s="1"/>
  <c r="X14" i="705"/>
  <c r="X15" s="1"/>
  <c r="W14"/>
  <c r="W15" s="1"/>
  <c r="U14"/>
  <c r="U15" s="1"/>
  <c r="T14"/>
  <c r="T15" s="1"/>
  <c r="S14"/>
  <c r="S15" s="1"/>
  <c r="R14"/>
  <c r="R15" s="1"/>
  <c r="Q14"/>
  <c r="Q15" s="1"/>
  <c r="M14"/>
  <c r="Y14" s="1"/>
  <c r="Y15" s="1"/>
  <c r="J14"/>
  <c r="V14" s="1"/>
  <c r="V15" s="1"/>
  <c r="X10"/>
  <c r="W10"/>
  <c r="T10"/>
  <c r="Q10"/>
  <c r="X9"/>
  <c r="W9"/>
  <c r="U9"/>
  <c r="T9"/>
  <c r="S9"/>
  <c r="R9"/>
  <c r="Q9"/>
  <c r="M9"/>
  <c r="Y9" s="1"/>
  <c r="J9"/>
  <c r="V9" s="1"/>
  <c r="X8"/>
  <c r="X11" s="1"/>
  <c r="X16" s="1"/>
  <c r="C59" i="817" s="1"/>
  <c r="W8" i="705"/>
  <c r="T8"/>
  <c r="T11" s="1"/>
  <c r="T16" s="1"/>
  <c r="Q8"/>
  <c r="D8"/>
  <c r="AC14" i="703"/>
  <c r="AC15" s="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AC10"/>
  <c r="AB10"/>
  <c r="Z10"/>
  <c r="AA10" s="1"/>
  <c r="Y10"/>
  <c r="X10"/>
  <c r="W10"/>
  <c r="V10"/>
  <c r="U10"/>
  <c r="T10"/>
  <c r="S10"/>
  <c r="AD10" s="1"/>
  <c r="AB9"/>
  <c r="Z9"/>
  <c r="Z11" s="1"/>
  <c r="Z16" s="1"/>
  <c r="Y9"/>
  <c r="X9"/>
  <c r="X11" s="1"/>
  <c r="X16" s="1"/>
  <c r="W9"/>
  <c r="V9"/>
  <c r="V11" s="1"/>
  <c r="V16" s="1"/>
  <c r="U9"/>
  <c r="T9"/>
  <c r="T11" s="1"/>
  <c r="T16" s="1"/>
  <c r="S9"/>
  <c r="AD9" s="1"/>
  <c r="R9"/>
  <c r="AC9" s="1"/>
  <c r="AC11" s="1"/>
  <c r="AC16" s="1"/>
  <c r="F58" i="817" s="1"/>
  <c r="X14" i="702"/>
  <c r="X15" s="1"/>
  <c r="W14"/>
  <c r="W15" s="1"/>
  <c r="U14"/>
  <c r="U15" s="1"/>
  <c r="T14"/>
  <c r="T15" s="1"/>
  <c r="S14"/>
  <c r="S15" s="1"/>
  <c r="R14"/>
  <c r="R15" s="1"/>
  <c r="Q14"/>
  <c r="Q15" s="1"/>
  <c r="M14"/>
  <c r="Y14" s="1"/>
  <c r="Y15" s="1"/>
  <c r="J14"/>
  <c r="V14" s="1"/>
  <c r="V15" s="1"/>
  <c r="X10"/>
  <c r="W10"/>
  <c r="T10"/>
  <c r="Q10"/>
  <c r="X9"/>
  <c r="W9"/>
  <c r="U9"/>
  <c r="T9"/>
  <c r="S9"/>
  <c r="R9"/>
  <c r="Q9"/>
  <c r="M9"/>
  <c r="Y9" s="1"/>
  <c r="J9"/>
  <c r="V9" s="1"/>
  <c r="X8"/>
  <c r="W8"/>
  <c r="W11" s="1"/>
  <c r="W16" s="1"/>
  <c r="B58" i="817" s="1"/>
  <c r="T8" i="702"/>
  <c r="Q8"/>
  <c r="Q11" s="1"/>
  <c r="Q16" s="1"/>
  <c r="D8"/>
  <c r="AC14" i="700"/>
  <c r="AC15" s="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AC10"/>
  <c r="AB10"/>
  <c r="Z10"/>
  <c r="AA10" s="1"/>
  <c r="Y10"/>
  <c r="X10"/>
  <c r="W10"/>
  <c r="V10"/>
  <c r="U10"/>
  <c r="T10"/>
  <c r="S10"/>
  <c r="AD10" s="1"/>
  <c r="AB9"/>
  <c r="AB11" s="1"/>
  <c r="AB16" s="1"/>
  <c r="E57" i="817" s="1"/>
  <c r="Z9" i="700"/>
  <c r="Y9"/>
  <c r="Y11" s="1"/>
  <c r="Y16" s="1"/>
  <c r="X9"/>
  <c r="W9"/>
  <c r="W11" s="1"/>
  <c r="W16" s="1"/>
  <c r="V9"/>
  <c r="U9"/>
  <c r="U11" s="1"/>
  <c r="U16" s="1"/>
  <c r="T9"/>
  <c r="S9"/>
  <c r="AD9" s="1"/>
  <c r="AD11" s="1"/>
  <c r="AD16" s="1"/>
  <c r="G57" i="817" s="1"/>
  <c r="R9" i="700"/>
  <c r="AC9" s="1"/>
  <c r="X14" i="699"/>
  <c r="X15" s="1"/>
  <c r="W14"/>
  <c r="W15" s="1"/>
  <c r="U14"/>
  <c r="U15" s="1"/>
  <c r="T14"/>
  <c r="T15" s="1"/>
  <c r="S14"/>
  <c r="S15" s="1"/>
  <c r="R14"/>
  <c r="R15" s="1"/>
  <c r="Q14"/>
  <c r="Q15" s="1"/>
  <c r="M14"/>
  <c r="Y14" s="1"/>
  <c r="Y15" s="1"/>
  <c r="J14"/>
  <c r="V14" s="1"/>
  <c r="V15" s="1"/>
  <c r="X10"/>
  <c r="W10"/>
  <c r="T10"/>
  <c r="Q10"/>
  <c r="X9"/>
  <c r="W9"/>
  <c r="U9"/>
  <c r="T9"/>
  <c r="S9"/>
  <c r="R9"/>
  <c r="Q9"/>
  <c r="M9"/>
  <c r="Y9" s="1"/>
  <c r="J9"/>
  <c r="V9" s="1"/>
  <c r="X8"/>
  <c r="X11" s="1"/>
  <c r="X16" s="1"/>
  <c r="C57" i="817" s="1"/>
  <c r="W8" i="699"/>
  <c r="T8"/>
  <c r="T11" s="1"/>
  <c r="T16" s="1"/>
  <c r="Q8"/>
  <c r="D8"/>
  <c r="AC14" i="697"/>
  <c r="AC15" s="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AC10"/>
  <c r="AB10"/>
  <c r="Z10"/>
  <c r="AA10" s="1"/>
  <c r="Y10"/>
  <c r="X10"/>
  <c r="W10"/>
  <c r="V10"/>
  <c r="U10"/>
  <c r="T10"/>
  <c r="S10"/>
  <c r="AD10" s="1"/>
  <c r="AB9"/>
  <c r="Z9"/>
  <c r="Z11" s="1"/>
  <c r="Z16" s="1"/>
  <c r="Y9"/>
  <c r="X9"/>
  <c r="X11" s="1"/>
  <c r="X16" s="1"/>
  <c r="W9"/>
  <c r="V9"/>
  <c r="V11" s="1"/>
  <c r="V16" s="1"/>
  <c r="U9"/>
  <c r="T9"/>
  <c r="T11" s="1"/>
  <c r="T16" s="1"/>
  <c r="S9"/>
  <c r="AD9" s="1"/>
  <c r="R9"/>
  <c r="AC9" s="1"/>
  <c r="AC11" s="1"/>
  <c r="AC16" s="1"/>
  <c r="F56" i="817" s="1"/>
  <c r="X14" i="696"/>
  <c r="X15" s="1"/>
  <c r="W14"/>
  <c r="W15" s="1"/>
  <c r="U14"/>
  <c r="U15" s="1"/>
  <c r="T14"/>
  <c r="T15" s="1"/>
  <c r="S14"/>
  <c r="S15" s="1"/>
  <c r="R14"/>
  <c r="R15" s="1"/>
  <c r="Q14"/>
  <c r="Q15" s="1"/>
  <c r="M14"/>
  <c r="Y14" s="1"/>
  <c r="Y15" s="1"/>
  <c r="J14"/>
  <c r="V14" s="1"/>
  <c r="V15" s="1"/>
  <c r="X10"/>
  <c r="W10"/>
  <c r="T10"/>
  <c r="Q10"/>
  <c r="X9"/>
  <c r="W9"/>
  <c r="U9"/>
  <c r="T9"/>
  <c r="S9"/>
  <c r="R9"/>
  <c r="Q9"/>
  <c r="M9"/>
  <c r="Y9" s="1"/>
  <c r="J9"/>
  <c r="V9" s="1"/>
  <c r="X8"/>
  <c r="W8"/>
  <c r="W11" s="1"/>
  <c r="W16" s="1"/>
  <c r="B56" i="817" s="1"/>
  <c r="T8" i="696"/>
  <c r="Q8"/>
  <c r="Q11" s="1"/>
  <c r="Q16" s="1"/>
  <c r="D8"/>
  <c r="AC14" i="694"/>
  <c r="AC15" s="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14" i="693"/>
  <c r="X15" s="1"/>
  <c r="W14"/>
  <c r="W15" s="1"/>
  <c r="U14"/>
  <c r="U15" s="1"/>
  <c r="T14"/>
  <c r="T15" s="1"/>
  <c r="S14"/>
  <c r="S15" s="1"/>
  <c r="R14"/>
  <c r="R15" s="1"/>
  <c r="Q14"/>
  <c r="Q15" s="1"/>
  <c r="M14"/>
  <c r="Y14" s="1"/>
  <c r="Y15" s="1"/>
  <c r="J14"/>
  <c r="V14" s="1"/>
  <c r="V15" s="1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AC14" i="691"/>
  <c r="AC15" s="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14" i="690"/>
  <c r="X15" s="1"/>
  <c r="W14"/>
  <c r="W15" s="1"/>
  <c r="U14"/>
  <c r="U15" s="1"/>
  <c r="T14"/>
  <c r="T15" s="1"/>
  <c r="S14"/>
  <c r="S15" s="1"/>
  <c r="R14"/>
  <c r="R15" s="1"/>
  <c r="Q14"/>
  <c r="Q15" s="1"/>
  <c r="M14"/>
  <c r="Y14" s="1"/>
  <c r="Y15" s="1"/>
  <c r="J14"/>
  <c r="V14" s="1"/>
  <c r="V15" s="1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AC18" i="688"/>
  <c r="AC19" s="1"/>
  <c r="AB18"/>
  <c r="AB19" s="1"/>
  <c r="Z18"/>
  <c r="Z19" s="1"/>
  <c r="Y18"/>
  <c r="Y19" s="1"/>
  <c r="X18"/>
  <c r="X19" s="1"/>
  <c r="W18"/>
  <c r="W19" s="1"/>
  <c r="V18"/>
  <c r="V19" s="1"/>
  <c r="U18"/>
  <c r="U19" s="1"/>
  <c r="T18"/>
  <c r="T19" s="1"/>
  <c r="S18"/>
  <c r="AD18" s="1"/>
  <c r="AD19" s="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R14"/>
  <c r="AC14" s="1"/>
  <c r="AC15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19" i="687"/>
  <c r="X20" s="1"/>
  <c r="W19"/>
  <c r="W20" s="1"/>
  <c r="U19"/>
  <c r="U20" s="1"/>
  <c r="T19"/>
  <c r="T20" s="1"/>
  <c r="S19"/>
  <c r="S20" s="1"/>
  <c r="R19"/>
  <c r="R20" s="1"/>
  <c r="Q19"/>
  <c r="Q20" s="1"/>
  <c r="M19"/>
  <c r="Y19" s="1"/>
  <c r="Y20" s="1"/>
  <c r="J19"/>
  <c r="V19" s="1"/>
  <c r="V20" s="1"/>
  <c r="X15"/>
  <c r="W15"/>
  <c r="U15"/>
  <c r="T15"/>
  <c r="S15"/>
  <c r="R15"/>
  <c r="Q15"/>
  <c r="M15"/>
  <c r="Y15" s="1"/>
  <c r="J15"/>
  <c r="V15" s="1"/>
  <c r="X14"/>
  <c r="W14"/>
  <c r="U14"/>
  <c r="T14"/>
  <c r="S14"/>
  <c r="R14"/>
  <c r="Q14"/>
  <c r="M14"/>
  <c r="Y14" s="1"/>
  <c r="J14"/>
  <c r="V14" s="1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AC18" i="685"/>
  <c r="AC19" s="1"/>
  <c r="AB18"/>
  <c r="AB19" s="1"/>
  <c r="Z18"/>
  <c r="Z19" s="1"/>
  <c r="Y18"/>
  <c r="Y19" s="1"/>
  <c r="X18"/>
  <c r="X19" s="1"/>
  <c r="W18"/>
  <c r="W19" s="1"/>
  <c r="V18"/>
  <c r="V19" s="1"/>
  <c r="U18"/>
  <c r="U19" s="1"/>
  <c r="T18"/>
  <c r="T19" s="1"/>
  <c r="S18"/>
  <c r="AD18" s="1"/>
  <c r="AD19" s="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R14"/>
  <c r="AC14" s="1"/>
  <c r="AC15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19" i="684"/>
  <c r="X20" s="1"/>
  <c r="W19"/>
  <c r="W20" s="1"/>
  <c r="U19"/>
  <c r="U20" s="1"/>
  <c r="T19"/>
  <c r="T20" s="1"/>
  <c r="S19"/>
  <c r="S20" s="1"/>
  <c r="R19"/>
  <c r="R20" s="1"/>
  <c r="Q19"/>
  <c r="Q20" s="1"/>
  <c r="M19"/>
  <c r="Y19" s="1"/>
  <c r="Y20" s="1"/>
  <c r="J19"/>
  <c r="V19" s="1"/>
  <c r="V20" s="1"/>
  <c r="X15"/>
  <c r="W15"/>
  <c r="U15"/>
  <c r="T15"/>
  <c r="S15"/>
  <c r="R15"/>
  <c r="Q15"/>
  <c r="M15"/>
  <c r="Y15" s="1"/>
  <c r="J15"/>
  <c r="V15" s="1"/>
  <c r="X14"/>
  <c r="W14"/>
  <c r="U14"/>
  <c r="T14"/>
  <c r="S14"/>
  <c r="R14"/>
  <c r="Q14"/>
  <c r="M14"/>
  <c r="Y14" s="1"/>
  <c r="J14"/>
  <c r="V14" s="1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AC18" i="679"/>
  <c r="AB18"/>
  <c r="Z18"/>
  <c r="AA18" s="1"/>
  <c r="Y18"/>
  <c r="X18"/>
  <c r="W18"/>
  <c r="V18"/>
  <c r="U18"/>
  <c r="T18"/>
  <c r="S18"/>
  <c r="AD18" s="1"/>
  <c r="AC18" i="682"/>
  <c r="AB18"/>
  <c r="Z18"/>
  <c r="AA18" s="1"/>
  <c r="Y18"/>
  <c r="X18"/>
  <c r="W18"/>
  <c r="V18"/>
  <c r="U18"/>
  <c r="T18"/>
  <c r="S18"/>
  <c r="AD18" s="1"/>
  <c r="AC19"/>
  <c r="AB19"/>
  <c r="Z19"/>
  <c r="AA19" s="1"/>
  <c r="Y19"/>
  <c r="X19"/>
  <c r="W19"/>
  <c r="V19"/>
  <c r="U19"/>
  <c r="T19"/>
  <c r="S19"/>
  <c r="AD19" s="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R14"/>
  <c r="AC14" s="1"/>
  <c r="AC15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17" i="681"/>
  <c r="W17"/>
  <c r="U17"/>
  <c r="T17"/>
  <c r="S17"/>
  <c r="R17"/>
  <c r="Q17"/>
  <c r="M17"/>
  <c r="Y17" s="1"/>
  <c r="J17"/>
  <c r="V17" s="1"/>
  <c r="X16"/>
  <c r="W16"/>
  <c r="U16"/>
  <c r="T16"/>
  <c r="S16"/>
  <c r="R16"/>
  <c r="Q16"/>
  <c r="M16"/>
  <c r="Y16" s="1"/>
  <c r="J16"/>
  <c r="V16" s="1"/>
  <c r="X21"/>
  <c r="X22" s="1"/>
  <c r="W21"/>
  <c r="W22" s="1"/>
  <c r="U21"/>
  <c r="U22" s="1"/>
  <c r="T21"/>
  <c r="T22" s="1"/>
  <c r="S21"/>
  <c r="S22" s="1"/>
  <c r="R21"/>
  <c r="R22" s="1"/>
  <c r="Q21"/>
  <c r="Q22" s="1"/>
  <c r="M21"/>
  <c r="Y21" s="1"/>
  <c r="Y22" s="1"/>
  <c r="J21"/>
  <c r="V21" s="1"/>
  <c r="V22" s="1"/>
  <c r="X15"/>
  <c r="W15"/>
  <c r="U15"/>
  <c r="T15"/>
  <c r="S15"/>
  <c r="R15"/>
  <c r="Q15"/>
  <c r="M15"/>
  <c r="Y15" s="1"/>
  <c r="J15"/>
  <c r="V15" s="1"/>
  <c r="X14"/>
  <c r="W14"/>
  <c r="U14"/>
  <c r="T14"/>
  <c r="S14"/>
  <c r="R14"/>
  <c r="Q14"/>
  <c r="M14"/>
  <c r="Y14" s="1"/>
  <c r="J14"/>
  <c r="V14" s="1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AC19" i="679"/>
  <c r="AB19"/>
  <c r="Z19"/>
  <c r="AA19" s="1"/>
  <c r="Y19"/>
  <c r="X19"/>
  <c r="W19"/>
  <c r="V19"/>
  <c r="U19"/>
  <c r="T19"/>
  <c r="S19"/>
  <c r="AD19" s="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R14"/>
  <c r="AC14" s="1"/>
  <c r="AC15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15" i="678"/>
  <c r="W15"/>
  <c r="U15"/>
  <c r="T15"/>
  <c r="S15"/>
  <c r="R15"/>
  <c r="Q15"/>
  <c r="M15"/>
  <c r="Y15" s="1"/>
  <c r="J15"/>
  <c r="V15" s="1"/>
  <c r="X14"/>
  <c r="W14"/>
  <c r="U14"/>
  <c r="T14"/>
  <c r="S14"/>
  <c r="R14"/>
  <c r="Q14"/>
  <c r="M14"/>
  <c r="Y14" s="1"/>
  <c r="J14"/>
  <c r="V14" s="1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AB18" i="676"/>
  <c r="AB19" s="1"/>
  <c r="Z18"/>
  <c r="Z19" s="1"/>
  <c r="Y18"/>
  <c r="Y19" s="1"/>
  <c r="X18"/>
  <c r="X19" s="1"/>
  <c r="W18"/>
  <c r="W19" s="1"/>
  <c r="V18"/>
  <c r="V19" s="1"/>
  <c r="U18"/>
  <c r="U19" s="1"/>
  <c r="T18"/>
  <c r="T19" s="1"/>
  <c r="S18"/>
  <c r="AD18" s="1"/>
  <c r="AD19" s="1"/>
  <c r="R18"/>
  <c r="AC18" s="1"/>
  <c r="AC19" s="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R14"/>
  <c r="AC14" s="1"/>
  <c r="AC15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22" i="675"/>
  <c r="W22"/>
  <c r="T22"/>
  <c r="Q22"/>
  <c r="X21"/>
  <c r="W21"/>
  <c r="U21"/>
  <c r="T21"/>
  <c r="S21"/>
  <c r="R21"/>
  <c r="Q21"/>
  <c r="M21"/>
  <c r="Y21" s="1"/>
  <c r="J21"/>
  <c r="V21" s="1"/>
  <c r="X20"/>
  <c r="W20"/>
  <c r="U20"/>
  <c r="T20"/>
  <c r="S20"/>
  <c r="R20"/>
  <c r="Q20"/>
  <c r="M20"/>
  <c r="Y20" s="1"/>
  <c r="J20"/>
  <c r="V20" s="1"/>
  <c r="X16"/>
  <c r="W16"/>
  <c r="U16"/>
  <c r="T16"/>
  <c r="S16"/>
  <c r="R16"/>
  <c r="Q16"/>
  <c r="M16"/>
  <c r="Y16" s="1"/>
  <c r="J16"/>
  <c r="V16" s="1"/>
  <c r="X15"/>
  <c r="W15"/>
  <c r="T15"/>
  <c r="Q15"/>
  <c r="P15"/>
  <c r="X14"/>
  <c r="W14"/>
  <c r="T14"/>
  <c r="Q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AB18" i="673"/>
  <c r="AB19" s="1"/>
  <c r="Z18"/>
  <c r="Z19" s="1"/>
  <c r="Y18"/>
  <c r="Y19" s="1"/>
  <c r="X18"/>
  <c r="X19" s="1"/>
  <c r="W18"/>
  <c r="W19" s="1"/>
  <c r="V18"/>
  <c r="V19" s="1"/>
  <c r="U18"/>
  <c r="U19" s="1"/>
  <c r="T18"/>
  <c r="T19" s="1"/>
  <c r="S18"/>
  <c r="AD18" s="1"/>
  <c r="AD19" s="1"/>
  <c r="R18"/>
  <c r="AC18" s="1"/>
  <c r="AC19" s="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R14"/>
  <c r="AC14" s="1"/>
  <c r="AC15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22" i="672"/>
  <c r="W22"/>
  <c r="T22"/>
  <c r="Q22"/>
  <c r="X21"/>
  <c r="W21"/>
  <c r="U21"/>
  <c r="T21"/>
  <c r="S21"/>
  <c r="R21"/>
  <c r="Q21"/>
  <c r="M21"/>
  <c r="Y21" s="1"/>
  <c r="J21"/>
  <c r="V21" s="1"/>
  <c r="X20"/>
  <c r="W20"/>
  <c r="U20"/>
  <c r="T20"/>
  <c r="S20"/>
  <c r="R20"/>
  <c r="Q20"/>
  <c r="M20"/>
  <c r="Y20" s="1"/>
  <c r="J20"/>
  <c r="V20" s="1"/>
  <c r="X16"/>
  <c r="W16"/>
  <c r="U16"/>
  <c r="T16"/>
  <c r="S16"/>
  <c r="R16"/>
  <c r="Q16"/>
  <c r="M16"/>
  <c r="Y16" s="1"/>
  <c r="J16"/>
  <c r="V16" s="1"/>
  <c r="X15"/>
  <c r="W15"/>
  <c r="T15"/>
  <c r="Q15"/>
  <c r="P15"/>
  <c r="X14"/>
  <c r="W14"/>
  <c r="T14"/>
  <c r="Q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AB18" i="670"/>
  <c r="AB19" s="1"/>
  <c r="Z18"/>
  <c r="Z19" s="1"/>
  <c r="Y18"/>
  <c r="Y19" s="1"/>
  <c r="X18"/>
  <c r="X19" s="1"/>
  <c r="W18"/>
  <c r="W19" s="1"/>
  <c r="V18"/>
  <c r="V19" s="1"/>
  <c r="U18"/>
  <c r="U19" s="1"/>
  <c r="T18"/>
  <c r="T19" s="1"/>
  <c r="S18"/>
  <c r="AD18" s="1"/>
  <c r="AD19" s="1"/>
  <c r="R18"/>
  <c r="AC18" s="1"/>
  <c r="AC19" s="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R14"/>
  <c r="AC14" s="1"/>
  <c r="AC15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22" i="669"/>
  <c r="W22"/>
  <c r="T22"/>
  <c r="Q22"/>
  <c r="X21"/>
  <c r="W21"/>
  <c r="U21"/>
  <c r="T21"/>
  <c r="S21"/>
  <c r="R21"/>
  <c r="Q21"/>
  <c r="M21"/>
  <c r="Y21" s="1"/>
  <c r="J21"/>
  <c r="V21" s="1"/>
  <c r="X20"/>
  <c r="W20"/>
  <c r="U20"/>
  <c r="T20"/>
  <c r="S20"/>
  <c r="R20"/>
  <c r="Q20"/>
  <c r="M20"/>
  <c r="Y20" s="1"/>
  <c r="J20"/>
  <c r="V20" s="1"/>
  <c r="X16"/>
  <c r="W16"/>
  <c r="U16"/>
  <c r="T16"/>
  <c r="S16"/>
  <c r="R16"/>
  <c r="Q16"/>
  <c r="M16"/>
  <c r="Y16" s="1"/>
  <c r="J16"/>
  <c r="V16" s="1"/>
  <c r="X15"/>
  <c r="W15"/>
  <c r="T15"/>
  <c r="Q15"/>
  <c r="P15"/>
  <c r="X14"/>
  <c r="W14"/>
  <c r="T14"/>
  <c r="Q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AC19" i="667"/>
  <c r="AB19"/>
  <c r="Z19"/>
  <c r="AA19" s="1"/>
  <c r="Y19"/>
  <c r="X19"/>
  <c r="W19"/>
  <c r="V19"/>
  <c r="U19"/>
  <c r="T19"/>
  <c r="S19"/>
  <c r="AD19" s="1"/>
  <c r="AB18"/>
  <c r="Z18"/>
  <c r="Y18"/>
  <c r="X18"/>
  <c r="W18"/>
  <c r="V18"/>
  <c r="U18"/>
  <c r="T18"/>
  <c r="S18"/>
  <c r="AD18" s="1"/>
  <c r="R18"/>
  <c r="AC18" s="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R14"/>
  <c r="AC14" s="1"/>
  <c r="AC15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22" i="666"/>
  <c r="W22"/>
  <c r="T22"/>
  <c r="Q22"/>
  <c r="X21"/>
  <c r="W21"/>
  <c r="U21"/>
  <c r="T21"/>
  <c r="S21"/>
  <c r="R21"/>
  <c r="Q21"/>
  <c r="M21"/>
  <c r="Y21" s="1"/>
  <c r="J21"/>
  <c r="V21" s="1"/>
  <c r="X20"/>
  <c r="W20"/>
  <c r="U20"/>
  <c r="T20"/>
  <c r="S20"/>
  <c r="R20"/>
  <c r="Q20"/>
  <c r="M20"/>
  <c r="Y20" s="1"/>
  <c r="J20"/>
  <c r="V20" s="1"/>
  <c r="X16"/>
  <c r="W16"/>
  <c r="U16"/>
  <c r="T16"/>
  <c r="S16"/>
  <c r="R16"/>
  <c r="Q16"/>
  <c r="M16"/>
  <c r="Y16" s="1"/>
  <c r="J16"/>
  <c r="V16" s="1"/>
  <c r="X15"/>
  <c r="W15"/>
  <c r="T15"/>
  <c r="Q15"/>
  <c r="P15"/>
  <c r="X14"/>
  <c r="W14"/>
  <c r="T14"/>
  <c r="Q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AB18" i="664"/>
  <c r="AB19" s="1"/>
  <c r="Z18"/>
  <c r="Z19" s="1"/>
  <c r="Y18"/>
  <c r="Y19" s="1"/>
  <c r="X18"/>
  <c r="X19" s="1"/>
  <c r="W18"/>
  <c r="W19" s="1"/>
  <c r="V18"/>
  <c r="V19" s="1"/>
  <c r="U18"/>
  <c r="U19" s="1"/>
  <c r="T18"/>
  <c r="T19" s="1"/>
  <c r="S18"/>
  <c r="AD18" s="1"/>
  <c r="AD19" s="1"/>
  <c r="R18"/>
  <c r="AC18" s="1"/>
  <c r="AC19" s="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R14"/>
  <c r="AC14" s="1"/>
  <c r="AC15" s="1"/>
  <c r="AC10"/>
  <c r="AB10"/>
  <c r="Z10"/>
  <c r="AA10" s="1"/>
  <c r="Y10"/>
  <c r="X10"/>
  <c r="W10"/>
  <c r="V10"/>
  <c r="U10"/>
  <c r="T10"/>
  <c r="S10"/>
  <c r="AD10" s="1"/>
  <c r="AB9"/>
  <c r="Z9"/>
  <c r="Z11" s="1"/>
  <c r="Z20" s="1"/>
  <c r="Y9"/>
  <c r="X9"/>
  <c r="X11" s="1"/>
  <c r="X20" s="1"/>
  <c r="W9"/>
  <c r="V9"/>
  <c r="V11" s="1"/>
  <c r="V20" s="1"/>
  <c r="U9"/>
  <c r="T9"/>
  <c r="T11" s="1"/>
  <c r="T20" s="1"/>
  <c r="S9"/>
  <c r="AD9" s="1"/>
  <c r="R9"/>
  <c r="AC9" s="1"/>
  <c r="AC11" s="1"/>
  <c r="AC20" s="1"/>
  <c r="F45" i="817" s="1"/>
  <c r="X21" i="663"/>
  <c r="W21"/>
  <c r="U21"/>
  <c r="T21"/>
  <c r="S21"/>
  <c r="R21"/>
  <c r="Q21"/>
  <c r="M21"/>
  <c r="Y21" s="1"/>
  <c r="J21"/>
  <c r="V21" s="1"/>
  <c r="X20"/>
  <c r="X22" s="1"/>
  <c r="W20"/>
  <c r="U20"/>
  <c r="U22" s="1"/>
  <c r="T20"/>
  <c r="S20"/>
  <c r="S22" s="1"/>
  <c r="R20"/>
  <c r="Q20"/>
  <c r="Q22" s="1"/>
  <c r="M20"/>
  <c r="Y20" s="1"/>
  <c r="J20"/>
  <c r="V20" s="1"/>
  <c r="X16"/>
  <c r="W16"/>
  <c r="U16"/>
  <c r="T16"/>
  <c r="S16"/>
  <c r="R16"/>
  <c r="Q16"/>
  <c r="M16"/>
  <c r="Y16" s="1"/>
  <c r="J16"/>
  <c r="V16" s="1"/>
  <c r="X15"/>
  <c r="W15"/>
  <c r="T15"/>
  <c r="Q15"/>
  <c r="P15"/>
  <c r="X14"/>
  <c r="W14"/>
  <c r="W17" s="1"/>
  <c r="T14"/>
  <c r="Q14"/>
  <c r="Q17" s="1"/>
  <c r="X10"/>
  <c r="W10"/>
  <c r="T10"/>
  <c r="Q10"/>
  <c r="X9"/>
  <c r="W9"/>
  <c r="U9"/>
  <c r="T9"/>
  <c r="S9"/>
  <c r="R9"/>
  <c r="Q9"/>
  <c r="M9"/>
  <c r="Y9" s="1"/>
  <c r="J9"/>
  <c r="V9" s="1"/>
  <c r="X8"/>
  <c r="X11" s="1"/>
  <c r="W8"/>
  <c r="T8"/>
  <c r="T11" s="1"/>
  <c r="Q8"/>
  <c r="D8"/>
  <c r="AB18" i="661"/>
  <c r="AB19" s="1"/>
  <c r="Z18"/>
  <c r="Z19" s="1"/>
  <c r="Y18"/>
  <c r="Y19" s="1"/>
  <c r="X18"/>
  <c r="X19" s="1"/>
  <c r="W18"/>
  <c r="W19" s="1"/>
  <c r="V18"/>
  <c r="V19" s="1"/>
  <c r="U18"/>
  <c r="U19" s="1"/>
  <c r="T18"/>
  <c r="T19" s="1"/>
  <c r="S18"/>
  <c r="AD18" s="1"/>
  <c r="AD19" s="1"/>
  <c r="R18"/>
  <c r="AC18" s="1"/>
  <c r="AC19" s="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R14"/>
  <c r="AC14" s="1"/>
  <c r="AC15" s="1"/>
  <c r="AC10"/>
  <c r="AB10"/>
  <c r="Z10"/>
  <c r="AA10" s="1"/>
  <c r="Y10"/>
  <c r="X10"/>
  <c r="W10"/>
  <c r="V10"/>
  <c r="U10"/>
  <c r="T10"/>
  <c r="S10"/>
  <c r="AD10" s="1"/>
  <c r="AB9"/>
  <c r="Z9"/>
  <c r="Z11" s="1"/>
  <c r="Z20" s="1"/>
  <c r="Y9"/>
  <c r="X9"/>
  <c r="X11" s="1"/>
  <c r="X20" s="1"/>
  <c r="W9"/>
  <c r="V9"/>
  <c r="V11" s="1"/>
  <c r="V20" s="1"/>
  <c r="U9"/>
  <c r="T9"/>
  <c r="T11" s="1"/>
  <c r="T20" s="1"/>
  <c r="S9"/>
  <c r="AD9" s="1"/>
  <c r="R9"/>
  <c r="AC9" s="1"/>
  <c r="AC11" s="1"/>
  <c r="AC20" s="1"/>
  <c r="F44" i="817" s="1"/>
  <c r="X21" i="660"/>
  <c r="W21"/>
  <c r="U21"/>
  <c r="T21"/>
  <c r="S21"/>
  <c r="R21"/>
  <c r="Q21"/>
  <c r="M21"/>
  <c r="Y21" s="1"/>
  <c r="J21"/>
  <c r="V21" s="1"/>
  <c r="X20"/>
  <c r="X22" s="1"/>
  <c r="W20"/>
  <c r="U20"/>
  <c r="U22" s="1"/>
  <c r="T20"/>
  <c r="S20"/>
  <c r="S22" s="1"/>
  <c r="R20"/>
  <c r="Q20"/>
  <c r="Q22" s="1"/>
  <c r="M20"/>
  <c r="Y20" s="1"/>
  <c r="J20"/>
  <c r="V20" s="1"/>
  <c r="V22" s="1"/>
  <c r="X16"/>
  <c r="W16"/>
  <c r="U16"/>
  <c r="T16"/>
  <c r="S16"/>
  <c r="R16"/>
  <c r="Q16"/>
  <c r="M16"/>
  <c r="Y16" s="1"/>
  <c r="J16"/>
  <c r="V16" s="1"/>
  <c r="X15"/>
  <c r="W15"/>
  <c r="T15"/>
  <c r="Q15"/>
  <c r="P15"/>
  <c r="X14"/>
  <c r="W14"/>
  <c r="W17" s="1"/>
  <c r="T14"/>
  <c r="Q14"/>
  <c r="Q17" s="1"/>
  <c r="X10"/>
  <c r="W10"/>
  <c r="T10"/>
  <c r="Q10"/>
  <c r="X9"/>
  <c r="W9"/>
  <c r="U9"/>
  <c r="T9"/>
  <c r="S9"/>
  <c r="R9"/>
  <c r="Q9"/>
  <c r="M9"/>
  <c r="Y9" s="1"/>
  <c r="J9"/>
  <c r="V9" s="1"/>
  <c r="X8"/>
  <c r="X11" s="1"/>
  <c r="W8"/>
  <c r="T8"/>
  <c r="T11" s="1"/>
  <c r="Q8"/>
  <c r="D8"/>
  <c r="AB18" i="658"/>
  <c r="AB19" s="1"/>
  <c r="Z18"/>
  <c r="Z19" s="1"/>
  <c r="Y18"/>
  <c r="Y19" s="1"/>
  <c r="X18"/>
  <c r="X19" s="1"/>
  <c r="W18"/>
  <c r="W19" s="1"/>
  <c r="V18"/>
  <c r="V19" s="1"/>
  <c r="U18"/>
  <c r="U19" s="1"/>
  <c r="T18"/>
  <c r="T19" s="1"/>
  <c r="S18"/>
  <c r="AD18" s="1"/>
  <c r="AD19" s="1"/>
  <c r="R18"/>
  <c r="AC18" s="1"/>
  <c r="AC19" s="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R14"/>
  <c r="AC14" s="1"/>
  <c r="AC15" s="1"/>
  <c r="AC10"/>
  <c r="AB10"/>
  <c r="Z10"/>
  <c r="AA10" s="1"/>
  <c r="Y10"/>
  <c r="X10"/>
  <c r="W10"/>
  <c r="V10"/>
  <c r="U10"/>
  <c r="T10"/>
  <c r="S10"/>
  <c r="AD10" s="1"/>
  <c r="AB9"/>
  <c r="Z9"/>
  <c r="Z11" s="1"/>
  <c r="Z20" s="1"/>
  <c r="Y9"/>
  <c r="X9"/>
  <c r="X11" s="1"/>
  <c r="X20" s="1"/>
  <c r="W9"/>
  <c r="V9"/>
  <c r="V11" s="1"/>
  <c r="V20" s="1"/>
  <c r="U9"/>
  <c r="T9"/>
  <c r="T11" s="1"/>
  <c r="T20" s="1"/>
  <c r="S9"/>
  <c r="AD9" s="1"/>
  <c r="R9"/>
  <c r="AC9" s="1"/>
  <c r="AC11" s="1"/>
  <c r="AC20" s="1"/>
  <c r="F43" i="817" s="1"/>
  <c r="X22" i="657"/>
  <c r="W22"/>
  <c r="U22"/>
  <c r="T22"/>
  <c r="S22"/>
  <c r="R22"/>
  <c r="Q22"/>
  <c r="M22"/>
  <c r="Y22" s="1"/>
  <c r="J22"/>
  <c r="V22" s="1"/>
  <c r="X21"/>
  <c r="W21"/>
  <c r="U21"/>
  <c r="T21"/>
  <c r="S21"/>
  <c r="R21"/>
  <c r="Q21"/>
  <c r="M21"/>
  <c r="Y21" s="1"/>
  <c r="J21"/>
  <c r="V21" s="1"/>
  <c r="X17"/>
  <c r="W17"/>
  <c r="U17"/>
  <c r="T17"/>
  <c r="S17"/>
  <c r="R17"/>
  <c r="Q17"/>
  <c r="M17"/>
  <c r="Y17" s="1"/>
  <c r="J17"/>
  <c r="V17" s="1"/>
  <c r="X16"/>
  <c r="W16"/>
  <c r="T16"/>
  <c r="Q16"/>
  <c r="X15"/>
  <c r="W15"/>
  <c r="T15"/>
  <c r="Q15"/>
  <c r="P15"/>
  <c r="X14"/>
  <c r="W14"/>
  <c r="T14"/>
  <c r="Q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T11" s="1"/>
  <c r="Q8"/>
  <c r="D8"/>
  <c r="N91" i="656"/>
  <c r="K91"/>
  <c r="J91"/>
  <c r="I91"/>
  <c r="H91"/>
  <c r="G91"/>
  <c r="F91"/>
  <c r="C91"/>
  <c r="B91"/>
  <c r="A91"/>
  <c r="AE5"/>
  <c r="P91" s="1"/>
  <c r="AC5"/>
  <c r="O91" s="1"/>
  <c r="AB18" i="655"/>
  <c r="AB19" s="1"/>
  <c r="Z18"/>
  <c r="Z19" s="1"/>
  <c r="Y18"/>
  <c r="Y19" s="1"/>
  <c r="X18"/>
  <c r="X19" s="1"/>
  <c r="W18"/>
  <c r="W19" s="1"/>
  <c r="V18"/>
  <c r="V19" s="1"/>
  <c r="U18"/>
  <c r="U19" s="1"/>
  <c r="T18"/>
  <c r="T19" s="1"/>
  <c r="S18"/>
  <c r="AD18" s="1"/>
  <c r="AD19" s="1"/>
  <c r="R18"/>
  <c r="AC18" s="1"/>
  <c r="AC19" s="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R14"/>
  <c r="AC14" s="1"/>
  <c r="AC15" s="1"/>
  <c r="AC10"/>
  <c r="AB10"/>
  <c r="Z10"/>
  <c r="AA10" s="1"/>
  <c r="Y10"/>
  <c r="X10"/>
  <c r="W10"/>
  <c r="V10"/>
  <c r="U10"/>
  <c r="T10"/>
  <c r="S10"/>
  <c r="AD10" s="1"/>
  <c r="AB9"/>
  <c r="Z9"/>
  <c r="Z11" s="1"/>
  <c r="Z20" s="1"/>
  <c r="Y9"/>
  <c r="X9"/>
  <c r="X11" s="1"/>
  <c r="X20" s="1"/>
  <c r="W9"/>
  <c r="V9"/>
  <c r="V11" s="1"/>
  <c r="V20" s="1"/>
  <c r="U9"/>
  <c r="T9"/>
  <c r="T11" s="1"/>
  <c r="T20" s="1"/>
  <c r="S9"/>
  <c r="AD9" s="1"/>
  <c r="R9"/>
  <c r="AC9" s="1"/>
  <c r="AC11" s="1"/>
  <c r="AC20" s="1"/>
  <c r="F42" i="817" s="1"/>
  <c r="X22" i="654"/>
  <c r="W22"/>
  <c r="U22"/>
  <c r="T22"/>
  <c r="S22"/>
  <c r="R22"/>
  <c r="Q22"/>
  <c r="M22"/>
  <c r="Y22" s="1"/>
  <c r="J22"/>
  <c r="V22" s="1"/>
  <c r="X21"/>
  <c r="X23" s="1"/>
  <c r="W21"/>
  <c r="U21"/>
  <c r="U23" s="1"/>
  <c r="T21"/>
  <c r="S21"/>
  <c r="S23" s="1"/>
  <c r="R21"/>
  <c r="Q21"/>
  <c r="Q23" s="1"/>
  <c r="M21"/>
  <c r="Y21" s="1"/>
  <c r="J21"/>
  <c r="V21" s="1"/>
  <c r="X17"/>
  <c r="W17"/>
  <c r="U17"/>
  <c r="T17"/>
  <c r="S17"/>
  <c r="R17"/>
  <c r="Q17"/>
  <c r="M17"/>
  <c r="Y17" s="1"/>
  <c r="J17"/>
  <c r="V17" s="1"/>
  <c r="X16"/>
  <c r="W16"/>
  <c r="T16"/>
  <c r="Q16"/>
  <c r="X15"/>
  <c r="W15"/>
  <c r="T15"/>
  <c r="Q15"/>
  <c r="P15"/>
  <c r="X14"/>
  <c r="W14"/>
  <c r="W18" s="1"/>
  <c r="T14"/>
  <c r="Q14"/>
  <c r="Q18" s="1"/>
  <c r="X10"/>
  <c r="W10"/>
  <c r="T10"/>
  <c r="Q10"/>
  <c r="X9"/>
  <c r="W9"/>
  <c r="U9"/>
  <c r="T9"/>
  <c r="S9"/>
  <c r="R9"/>
  <c r="Q9"/>
  <c r="M9"/>
  <c r="Y9" s="1"/>
  <c r="J9"/>
  <c r="V9" s="1"/>
  <c r="X8"/>
  <c r="X11" s="1"/>
  <c r="W8"/>
  <c r="T8"/>
  <c r="T11" s="1"/>
  <c r="Q8"/>
  <c r="D8"/>
  <c r="N92" i="653"/>
  <c r="K92"/>
  <c r="J92"/>
  <c r="I92"/>
  <c r="H92"/>
  <c r="G92"/>
  <c r="F92"/>
  <c r="C92"/>
  <c r="B92"/>
  <c r="A92"/>
  <c r="AE6"/>
  <c r="P92" s="1"/>
  <c r="AC6"/>
  <c r="O92" s="1"/>
  <c r="AB18" i="652"/>
  <c r="AB19" s="1"/>
  <c r="Z18"/>
  <c r="Z19" s="1"/>
  <c r="Y18"/>
  <c r="Y19" s="1"/>
  <c r="X18"/>
  <c r="X19" s="1"/>
  <c r="W18"/>
  <c r="W19" s="1"/>
  <c r="V18"/>
  <c r="V19" s="1"/>
  <c r="U18"/>
  <c r="U19" s="1"/>
  <c r="T18"/>
  <c r="T19" s="1"/>
  <c r="S18"/>
  <c r="AD18" s="1"/>
  <c r="AD19" s="1"/>
  <c r="R18"/>
  <c r="AC18" s="1"/>
  <c r="AC19" s="1"/>
  <c r="X22" i="651"/>
  <c r="W22"/>
  <c r="U22"/>
  <c r="T22"/>
  <c r="S22"/>
  <c r="R22"/>
  <c r="Q22"/>
  <c r="M22"/>
  <c r="Y22" s="1"/>
  <c r="J22"/>
  <c r="V22" s="1"/>
  <c r="X21"/>
  <c r="X23" s="1"/>
  <c r="W21"/>
  <c r="U21"/>
  <c r="U23" s="1"/>
  <c r="T21"/>
  <c r="S21"/>
  <c r="S23" s="1"/>
  <c r="R21"/>
  <c r="Q21"/>
  <c r="Q23" s="1"/>
  <c r="M21"/>
  <c r="Y21" s="1"/>
  <c r="J21"/>
  <c r="V21" s="1"/>
  <c r="V23" s="1"/>
  <c r="AB14" i="652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R14"/>
  <c r="AC14" s="1"/>
  <c r="AC15" s="1"/>
  <c r="AC10"/>
  <c r="AB10"/>
  <c r="Z10"/>
  <c r="AA10" s="1"/>
  <c r="Y10"/>
  <c r="X10"/>
  <c r="W10"/>
  <c r="V10"/>
  <c r="U10"/>
  <c r="T10"/>
  <c r="S10"/>
  <c r="AD10" s="1"/>
  <c r="AB9"/>
  <c r="Z9"/>
  <c r="AA9" s="1"/>
  <c r="AA11" s="1"/>
  <c r="Y9"/>
  <c r="X9"/>
  <c r="X11" s="1"/>
  <c r="X20" s="1"/>
  <c r="W9"/>
  <c r="V9"/>
  <c r="V11" s="1"/>
  <c r="V20" s="1"/>
  <c r="U9"/>
  <c r="T9"/>
  <c r="T11" s="1"/>
  <c r="T20" s="1"/>
  <c r="S9"/>
  <c r="AD9" s="1"/>
  <c r="R9"/>
  <c r="AC9" s="1"/>
  <c r="AC11" s="1"/>
  <c r="AC20" s="1"/>
  <c r="F41" i="817" s="1"/>
  <c r="X17" i="651"/>
  <c r="W17"/>
  <c r="U17"/>
  <c r="T17"/>
  <c r="S17"/>
  <c r="R17"/>
  <c r="Q17"/>
  <c r="M17"/>
  <c r="Y17" s="1"/>
  <c r="J17"/>
  <c r="V17" s="1"/>
  <c r="X16"/>
  <c r="W16"/>
  <c r="T16"/>
  <c r="Q16"/>
  <c r="X15"/>
  <c r="W15"/>
  <c r="T15"/>
  <c r="Q15"/>
  <c r="P15"/>
  <c r="X14"/>
  <c r="W14"/>
  <c r="W18" s="1"/>
  <c r="T14"/>
  <c r="Q14"/>
  <c r="Q18" s="1"/>
  <c r="X10"/>
  <c r="W10"/>
  <c r="T10"/>
  <c r="Q10"/>
  <c r="X9"/>
  <c r="W9"/>
  <c r="U9"/>
  <c r="T9"/>
  <c r="S9"/>
  <c r="R9"/>
  <c r="Q9"/>
  <c r="M9"/>
  <c r="Y9" s="1"/>
  <c r="J9"/>
  <c r="V9" s="1"/>
  <c r="X8"/>
  <c r="X11" s="1"/>
  <c r="W8"/>
  <c r="T8"/>
  <c r="T11" s="1"/>
  <c r="Q8"/>
  <c r="D8"/>
  <c r="X16" i="648"/>
  <c r="W16"/>
  <c r="T16"/>
  <c r="Q16"/>
  <c r="AB14" i="649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R14"/>
  <c r="AC14" s="1"/>
  <c r="AC15" s="1"/>
  <c r="AC10"/>
  <c r="AB10"/>
  <c r="Z10"/>
  <c r="AA10" s="1"/>
  <c r="Y10"/>
  <c r="X10"/>
  <c r="W10"/>
  <c r="V10"/>
  <c r="U10"/>
  <c r="T10"/>
  <c r="S10"/>
  <c r="AD10" s="1"/>
  <c r="AB9"/>
  <c r="Z9"/>
  <c r="Z11" s="1"/>
  <c r="Z16" s="1"/>
  <c r="Y9"/>
  <c r="X9"/>
  <c r="X11" s="1"/>
  <c r="X16" s="1"/>
  <c r="W9"/>
  <c r="V9"/>
  <c r="V11" s="1"/>
  <c r="V16" s="1"/>
  <c r="U9"/>
  <c r="T9"/>
  <c r="T11" s="1"/>
  <c r="T16" s="1"/>
  <c r="S9"/>
  <c r="AD9" s="1"/>
  <c r="R9"/>
  <c r="AC9" s="1"/>
  <c r="AC11" s="1"/>
  <c r="AC16" s="1"/>
  <c r="F40" i="817" s="1"/>
  <c r="X17" i="648"/>
  <c r="W17"/>
  <c r="U17"/>
  <c r="T17"/>
  <c r="S17"/>
  <c r="R17"/>
  <c r="Q17"/>
  <c r="M17"/>
  <c r="Y17" s="1"/>
  <c r="J17"/>
  <c r="V17" s="1"/>
  <c r="X15"/>
  <c r="W15"/>
  <c r="T15"/>
  <c r="Q15"/>
  <c r="P15"/>
  <c r="X14"/>
  <c r="W14"/>
  <c r="W18" s="1"/>
  <c r="T14"/>
  <c r="Q14"/>
  <c r="Q18" s="1"/>
  <c r="X10"/>
  <c r="W10"/>
  <c r="T10"/>
  <c r="Q10"/>
  <c r="X9"/>
  <c r="W9"/>
  <c r="U9"/>
  <c r="T9"/>
  <c r="S9"/>
  <c r="R9"/>
  <c r="Q9"/>
  <c r="M9"/>
  <c r="Y9" s="1"/>
  <c r="J9"/>
  <c r="V9" s="1"/>
  <c r="X8"/>
  <c r="X11" s="1"/>
  <c r="W8"/>
  <c r="T8"/>
  <c r="T11" s="1"/>
  <c r="Q8"/>
  <c r="D8"/>
  <c r="AB14" i="646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R14"/>
  <c r="AC14" s="1"/>
  <c r="AC15" s="1"/>
  <c r="AC10"/>
  <c r="AB10"/>
  <c r="Z10"/>
  <c r="AA10" s="1"/>
  <c r="Y10"/>
  <c r="X10"/>
  <c r="W10"/>
  <c r="V10"/>
  <c r="U10"/>
  <c r="T10"/>
  <c r="S10"/>
  <c r="AD10" s="1"/>
  <c r="AB9"/>
  <c r="Z9"/>
  <c r="Z11" s="1"/>
  <c r="Z16" s="1"/>
  <c r="Y9"/>
  <c r="X9"/>
  <c r="X11" s="1"/>
  <c r="X16" s="1"/>
  <c r="W9"/>
  <c r="V9"/>
  <c r="V11" s="1"/>
  <c r="V16" s="1"/>
  <c r="U9"/>
  <c r="T9"/>
  <c r="T11" s="1"/>
  <c r="T16" s="1"/>
  <c r="S9"/>
  <c r="AD9" s="1"/>
  <c r="R9"/>
  <c r="AC9" s="1"/>
  <c r="AC11" s="1"/>
  <c r="AC16" s="1"/>
  <c r="F39" i="817" s="1"/>
  <c r="X16" i="645"/>
  <c r="W16"/>
  <c r="U16"/>
  <c r="T16"/>
  <c r="S16"/>
  <c r="R16"/>
  <c r="Q16"/>
  <c r="M16"/>
  <c r="Y16" s="1"/>
  <c r="J16"/>
  <c r="V16" s="1"/>
  <c r="X15"/>
  <c r="W15"/>
  <c r="T15"/>
  <c r="Q15"/>
  <c r="P15"/>
  <c r="X14"/>
  <c r="W14"/>
  <c r="W17" s="1"/>
  <c r="T14"/>
  <c r="Q14"/>
  <c r="Q17" s="1"/>
  <c r="X10"/>
  <c r="W10"/>
  <c r="T10"/>
  <c r="Q10"/>
  <c r="X9"/>
  <c r="W9"/>
  <c r="U9"/>
  <c r="T9"/>
  <c r="S9"/>
  <c r="R9"/>
  <c r="Q9"/>
  <c r="M9"/>
  <c r="Y9" s="1"/>
  <c r="J9"/>
  <c r="V9" s="1"/>
  <c r="X8"/>
  <c r="X11" s="1"/>
  <c r="W8"/>
  <c r="T8"/>
  <c r="T11" s="1"/>
  <c r="Q8"/>
  <c r="D8"/>
  <c r="AB14" i="643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R14"/>
  <c r="AC14" s="1"/>
  <c r="AC15" s="1"/>
  <c r="AC10"/>
  <c r="AB10"/>
  <c r="Z10"/>
  <c r="AA10" s="1"/>
  <c r="Y10"/>
  <c r="X10"/>
  <c r="W10"/>
  <c r="V10"/>
  <c r="U10"/>
  <c r="T10"/>
  <c r="S10"/>
  <c r="AD10" s="1"/>
  <c r="AB9"/>
  <c r="Z9"/>
  <c r="Z11" s="1"/>
  <c r="Z16" s="1"/>
  <c r="Y9"/>
  <c r="X9"/>
  <c r="X11" s="1"/>
  <c r="X16" s="1"/>
  <c r="W9"/>
  <c r="V9"/>
  <c r="V11" s="1"/>
  <c r="V16" s="1"/>
  <c r="U9"/>
  <c r="T9"/>
  <c r="T11" s="1"/>
  <c r="T16" s="1"/>
  <c r="S9"/>
  <c r="AD9" s="1"/>
  <c r="R9"/>
  <c r="AC9" s="1"/>
  <c r="AC11" s="1"/>
  <c r="AC16" s="1"/>
  <c r="F38" i="817" s="1"/>
  <c r="X16" i="642"/>
  <c r="W16"/>
  <c r="U16"/>
  <c r="T16"/>
  <c r="S16"/>
  <c r="R16"/>
  <c r="Q16"/>
  <c r="M16"/>
  <c r="Y16" s="1"/>
  <c r="J16"/>
  <c r="V16" s="1"/>
  <c r="X15"/>
  <c r="W15"/>
  <c r="T15"/>
  <c r="Q15"/>
  <c r="P15"/>
  <c r="X14"/>
  <c r="W14"/>
  <c r="W17" s="1"/>
  <c r="T14"/>
  <c r="Q14"/>
  <c r="Q17" s="1"/>
  <c r="X10"/>
  <c r="W10"/>
  <c r="T10"/>
  <c r="Q10"/>
  <c r="X9"/>
  <c r="W9"/>
  <c r="U9"/>
  <c r="T9"/>
  <c r="S9"/>
  <c r="R9"/>
  <c r="Q9"/>
  <c r="M9"/>
  <c r="Y9" s="1"/>
  <c r="J9"/>
  <c r="V9" s="1"/>
  <c r="X8"/>
  <c r="X11" s="1"/>
  <c r="W8"/>
  <c r="T8"/>
  <c r="T11" s="1"/>
  <c r="Q8"/>
  <c r="D8"/>
  <c r="AB14" i="640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R14"/>
  <c r="AC14" s="1"/>
  <c r="AC15" s="1"/>
  <c r="AC10"/>
  <c r="AB10"/>
  <c r="Z10"/>
  <c r="AA10" s="1"/>
  <c r="Y10"/>
  <c r="X10"/>
  <c r="W10"/>
  <c r="V10"/>
  <c r="U10"/>
  <c r="T10"/>
  <c r="S10"/>
  <c r="AD10" s="1"/>
  <c r="AB9"/>
  <c r="Z9"/>
  <c r="Z11" s="1"/>
  <c r="Z16" s="1"/>
  <c r="Y9"/>
  <c r="X9"/>
  <c r="X11" s="1"/>
  <c r="X16" s="1"/>
  <c r="W9"/>
  <c r="V9"/>
  <c r="V11" s="1"/>
  <c r="V16" s="1"/>
  <c r="U9"/>
  <c r="T9"/>
  <c r="T11" s="1"/>
  <c r="T16" s="1"/>
  <c r="S9"/>
  <c r="AD9" s="1"/>
  <c r="R9"/>
  <c r="AC9" s="1"/>
  <c r="AC11" s="1"/>
  <c r="AC16" s="1"/>
  <c r="F37" i="817" s="1"/>
  <c r="X17" i="639"/>
  <c r="W17"/>
  <c r="U17"/>
  <c r="T17"/>
  <c r="S17"/>
  <c r="R17"/>
  <c r="Q17"/>
  <c r="M17"/>
  <c r="Y17" s="1"/>
  <c r="J17"/>
  <c r="V17" s="1"/>
  <c r="X16"/>
  <c r="W16"/>
  <c r="T16"/>
  <c r="Q16"/>
  <c r="P16"/>
  <c r="X15"/>
  <c r="W15"/>
  <c r="T15"/>
  <c r="Q15"/>
  <c r="X14"/>
  <c r="W14"/>
  <c r="W18" s="1"/>
  <c r="T14"/>
  <c r="Q14"/>
  <c r="Q18" s="1"/>
  <c r="X10"/>
  <c r="W10"/>
  <c r="T10"/>
  <c r="Q10"/>
  <c r="X9"/>
  <c r="W9"/>
  <c r="U9"/>
  <c r="T9"/>
  <c r="S9"/>
  <c r="R9"/>
  <c r="Q9"/>
  <c r="M9"/>
  <c r="Y9" s="1"/>
  <c r="J9"/>
  <c r="V9" s="1"/>
  <c r="X8"/>
  <c r="X11" s="1"/>
  <c r="W8"/>
  <c r="T8"/>
  <c r="T11" s="1"/>
  <c r="Q8"/>
  <c r="D8"/>
  <c r="X17" i="636"/>
  <c r="W17"/>
  <c r="U17"/>
  <c r="T17"/>
  <c r="S17"/>
  <c r="R17"/>
  <c r="Q17"/>
  <c r="M17"/>
  <c r="Y17" s="1"/>
  <c r="J17"/>
  <c r="V17" s="1"/>
  <c r="X16"/>
  <c r="W16"/>
  <c r="T16"/>
  <c r="Q16"/>
  <c r="P16"/>
  <c r="X15"/>
  <c r="W15"/>
  <c r="T15"/>
  <c r="Q15"/>
  <c r="X14"/>
  <c r="W14"/>
  <c r="W18" s="1"/>
  <c r="T14"/>
  <c r="Q14"/>
  <c r="Q18" s="1"/>
  <c r="X10"/>
  <c r="W10"/>
  <c r="T10"/>
  <c r="Q10"/>
  <c r="X9"/>
  <c r="W9"/>
  <c r="U9"/>
  <c r="T9"/>
  <c r="S9"/>
  <c r="R9"/>
  <c r="Q9"/>
  <c r="M9"/>
  <c r="Y9" s="1"/>
  <c r="J9"/>
  <c r="V9" s="1"/>
  <c r="X8"/>
  <c r="X11" s="1"/>
  <c r="W8"/>
  <c r="T8"/>
  <c r="T11" s="1"/>
  <c r="Q8"/>
  <c r="D8"/>
  <c r="X17" i="633"/>
  <c r="W17"/>
  <c r="U17"/>
  <c r="T17"/>
  <c r="S17"/>
  <c r="R17"/>
  <c r="Q17"/>
  <c r="M17"/>
  <c r="Y17" s="1"/>
  <c r="J17"/>
  <c r="V17" s="1"/>
  <c r="X16"/>
  <c r="W16"/>
  <c r="T16"/>
  <c r="Q16"/>
  <c r="P16"/>
  <c r="X15"/>
  <c r="W15"/>
  <c r="T15"/>
  <c r="Q15"/>
  <c r="X14"/>
  <c r="W14"/>
  <c r="W18" s="1"/>
  <c r="T14"/>
  <c r="Q14"/>
  <c r="Q18" s="1"/>
  <c r="X10"/>
  <c r="W10"/>
  <c r="T10"/>
  <c r="Q10"/>
  <c r="X9"/>
  <c r="W9"/>
  <c r="U9"/>
  <c r="T9"/>
  <c r="S9"/>
  <c r="R9"/>
  <c r="Q9"/>
  <c r="M9"/>
  <c r="Y9" s="1"/>
  <c r="J9"/>
  <c r="V9" s="1"/>
  <c r="X8"/>
  <c r="X11" s="1"/>
  <c r="W8"/>
  <c r="T8"/>
  <c r="T11" s="1"/>
  <c r="Q8"/>
  <c r="D8"/>
  <c r="AB14" i="628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R14"/>
  <c r="AC14" s="1"/>
  <c r="AC15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17" i="627"/>
  <c r="W17"/>
  <c r="U17"/>
  <c r="T17"/>
  <c r="S17"/>
  <c r="R17"/>
  <c r="Q17"/>
  <c r="M17"/>
  <c r="Y17" s="1"/>
  <c r="J17"/>
  <c r="V17" s="1"/>
  <c r="X16"/>
  <c r="W16"/>
  <c r="T16"/>
  <c r="Q16"/>
  <c r="P16"/>
  <c r="X15"/>
  <c r="W15"/>
  <c r="T15"/>
  <c r="Q15"/>
  <c r="X14"/>
  <c r="W14"/>
  <c r="W18" s="1"/>
  <c r="T14"/>
  <c r="Q14"/>
  <c r="Q18" s="1"/>
  <c r="X10"/>
  <c r="W10"/>
  <c r="T10"/>
  <c r="Q10"/>
  <c r="X9"/>
  <c r="W9"/>
  <c r="U9"/>
  <c r="T9"/>
  <c r="S9"/>
  <c r="R9"/>
  <c r="Q9"/>
  <c r="M9"/>
  <c r="Y9" s="1"/>
  <c r="J9"/>
  <c r="V9" s="1"/>
  <c r="X8"/>
  <c r="X11" s="1"/>
  <c r="W8"/>
  <c r="T8"/>
  <c r="T11" s="1"/>
  <c r="Q8"/>
  <c r="D8"/>
  <c r="AB14" i="625"/>
  <c r="AB15" s="1"/>
  <c r="Z14"/>
  <c r="Y14"/>
  <c r="Y15" s="1"/>
  <c r="X14"/>
  <c r="W14"/>
  <c r="W15" s="1"/>
  <c r="V14"/>
  <c r="U14"/>
  <c r="U15" s="1"/>
  <c r="T14"/>
  <c r="S14"/>
  <c r="AD14" s="1"/>
  <c r="AD15" s="1"/>
  <c r="R14"/>
  <c r="AC14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18" i="624"/>
  <c r="W18"/>
  <c r="U18"/>
  <c r="T18"/>
  <c r="S18"/>
  <c r="R18"/>
  <c r="Q18"/>
  <c r="M18"/>
  <c r="Y18" s="1"/>
  <c r="J18"/>
  <c r="V18" s="1"/>
  <c r="X17"/>
  <c r="W17"/>
  <c r="U17"/>
  <c r="T17"/>
  <c r="S17"/>
  <c r="R17"/>
  <c r="Q17"/>
  <c r="M17"/>
  <c r="Y17" s="1"/>
  <c r="J17"/>
  <c r="V17" s="1"/>
  <c r="X16"/>
  <c r="W16"/>
  <c r="T16"/>
  <c r="Q16"/>
  <c r="P16"/>
  <c r="X15"/>
  <c r="W15"/>
  <c r="T15"/>
  <c r="Q15"/>
  <c r="X14"/>
  <c r="X19" s="1"/>
  <c r="W14"/>
  <c r="T14"/>
  <c r="T19" s="1"/>
  <c r="Q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AC15" i="622"/>
  <c r="AB15"/>
  <c r="Z15"/>
  <c r="AA15" s="1"/>
  <c r="Y15"/>
  <c r="X15"/>
  <c r="W15"/>
  <c r="V15"/>
  <c r="U15"/>
  <c r="T15"/>
  <c r="S15"/>
  <c r="AD15" s="1"/>
  <c r="AB14"/>
  <c r="Z14"/>
  <c r="Y14"/>
  <c r="X14"/>
  <c r="W14"/>
  <c r="V14"/>
  <c r="U14"/>
  <c r="T14"/>
  <c r="S14"/>
  <c r="AD14" s="1"/>
  <c r="R14"/>
  <c r="AC14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18" i="621"/>
  <c r="W18"/>
  <c r="U18"/>
  <c r="T18"/>
  <c r="S18"/>
  <c r="R18"/>
  <c r="Q18"/>
  <c r="M18"/>
  <c r="Y18" s="1"/>
  <c r="J18"/>
  <c r="V18" s="1"/>
  <c r="X17"/>
  <c r="W17"/>
  <c r="U17"/>
  <c r="T17"/>
  <c r="S17"/>
  <c r="R17"/>
  <c r="Q17"/>
  <c r="M17"/>
  <c r="Y17" s="1"/>
  <c r="J17"/>
  <c r="V17" s="1"/>
  <c r="X16"/>
  <c r="W16"/>
  <c r="T16"/>
  <c r="Q16"/>
  <c r="P16"/>
  <c r="X15"/>
  <c r="W15"/>
  <c r="T15"/>
  <c r="Q15"/>
  <c r="X14"/>
  <c r="W14"/>
  <c r="T14"/>
  <c r="Q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AC15" i="619"/>
  <c r="AB15"/>
  <c r="Z15"/>
  <c r="AA15" s="1"/>
  <c r="Y15"/>
  <c r="X15"/>
  <c r="W15"/>
  <c r="V15"/>
  <c r="U15"/>
  <c r="T15"/>
  <c r="S15"/>
  <c r="AD15" s="1"/>
  <c r="AB14"/>
  <c r="Z14"/>
  <c r="Y14"/>
  <c r="X14"/>
  <c r="W14"/>
  <c r="V14"/>
  <c r="U14"/>
  <c r="T14"/>
  <c r="S14"/>
  <c r="AD14" s="1"/>
  <c r="R14"/>
  <c r="AC14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18" i="618"/>
  <c r="W18"/>
  <c r="U18"/>
  <c r="T18"/>
  <c r="S18"/>
  <c r="R18"/>
  <c r="Q18"/>
  <c r="M18"/>
  <c r="Y18" s="1"/>
  <c r="J18"/>
  <c r="V18" s="1"/>
  <c r="X17"/>
  <c r="W17"/>
  <c r="U17"/>
  <c r="T17"/>
  <c r="S17"/>
  <c r="R17"/>
  <c r="Q17"/>
  <c r="M17"/>
  <c r="Y17" s="1"/>
  <c r="J17"/>
  <c r="V17" s="1"/>
  <c r="X16"/>
  <c r="W16"/>
  <c r="T16"/>
  <c r="Q16"/>
  <c r="P16"/>
  <c r="X15"/>
  <c r="W15"/>
  <c r="T15"/>
  <c r="Q15"/>
  <c r="X14"/>
  <c r="W14"/>
  <c r="T14"/>
  <c r="Q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AC15" i="616"/>
  <c r="AB15"/>
  <c r="Z15"/>
  <c r="AA15" s="1"/>
  <c r="Y15"/>
  <c r="X15"/>
  <c r="W15"/>
  <c r="V15"/>
  <c r="U15"/>
  <c r="T15"/>
  <c r="S15"/>
  <c r="AD15" s="1"/>
  <c r="AB14"/>
  <c r="Z14"/>
  <c r="Y14"/>
  <c r="X14"/>
  <c r="W14"/>
  <c r="V14"/>
  <c r="U14"/>
  <c r="T14"/>
  <c r="S14"/>
  <c r="AD14" s="1"/>
  <c r="R14"/>
  <c r="AC14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17" i="615"/>
  <c r="W17"/>
  <c r="U17"/>
  <c r="T17"/>
  <c r="S17"/>
  <c r="R17"/>
  <c r="Q17"/>
  <c r="M17"/>
  <c r="Y17" s="1"/>
  <c r="J17"/>
  <c r="V17" s="1"/>
  <c r="X18"/>
  <c r="W18"/>
  <c r="U18"/>
  <c r="T18"/>
  <c r="S18"/>
  <c r="R18"/>
  <c r="Q18"/>
  <c r="M18"/>
  <c r="Y18" s="1"/>
  <c r="J18"/>
  <c r="V18" s="1"/>
  <c r="X16"/>
  <c r="W16"/>
  <c r="T16"/>
  <c r="Q16"/>
  <c r="P16"/>
  <c r="X15"/>
  <c r="W15"/>
  <c r="T15"/>
  <c r="Q15"/>
  <c r="X14"/>
  <c r="W14"/>
  <c r="T14"/>
  <c r="Q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AC24" i="613"/>
  <c r="AB24"/>
  <c r="Z24"/>
  <c r="AA24" s="1"/>
  <c r="Y24"/>
  <c r="X24"/>
  <c r="W24"/>
  <c r="V24"/>
  <c r="U24"/>
  <c r="T24"/>
  <c r="S24"/>
  <c r="AD24" s="1"/>
  <c r="AB23"/>
  <c r="Z23"/>
  <c r="Y23"/>
  <c r="X23"/>
  <c r="W23"/>
  <c r="V23"/>
  <c r="U23"/>
  <c r="T23"/>
  <c r="S23"/>
  <c r="AD23" s="1"/>
  <c r="R23"/>
  <c r="AC23" s="1"/>
  <c r="AB19"/>
  <c r="AB20" s="1"/>
  <c r="Z19"/>
  <c r="Z20" s="1"/>
  <c r="Y19"/>
  <c r="Y20" s="1"/>
  <c r="X19"/>
  <c r="X20" s="1"/>
  <c r="W19"/>
  <c r="W20" s="1"/>
  <c r="V19"/>
  <c r="V20" s="1"/>
  <c r="U19"/>
  <c r="U20" s="1"/>
  <c r="T19"/>
  <c r="T20" s="1"/>
  <c r="S19"/>
  <c r="AD19" s="1"/>
  <c r="AD20" s="1"/>
  <c r="R19"/>
  <c r="AC19" s="1"/>
  <c r="AC20" s="1"/>
  <c r="AC15"/>
  <c r="AB15"/>
  <c r="Z15"/>
  <c r="AA15" s="1"/>
  <c r="Y15"/>
  <c r="X15"/>
  <c r="W15"/>
  <c r="V15"/>
  <c r="U15"/>
  <c r="T15"/>
  <c r="S15"/>
  <c r="AD15" s="1"/>
  <c r="AB14"/>
  <c r="Z14"/>
  <c r="Y14"/>
  <c r="X14"/>
  <c r="W14"/>
  <c r="V14"/>
  <c r="U14"/>
  <c r="T14"/>
  <c r="S14"/>
  <c r="AD14" s="1"/>
  <c r="R14"/>
  <c r="AC14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27" i="612"/>
  <c r="W27"/>
  <c r="U27"/>
  <c r="T27"/>
  <c r="S27"/>
  <c r="R27"/>
  <c r="Q27"/>
  <c r="M27"/>
  <c r="Y27" s="1"/>
  <c r="J27"/>
  <c r="V27" s="1"/>
  <c r="X26"/>
  <c r="W26"/>
  <c r="T26"/>
  <c r="Q26"/>
  <c r="P26"/>
  <c r="X25"/>
  <c r="W25"/>
  <c r="T25"/>
  <c r="Q25"/>
  <c r="X24"/>
  <c r="W24"/>
  <c r="T24"/>
  <c r="Q24"/>
  <c r="X20"/>
  <c r="X21" s="1"/>
  <c r="W20"/>
  <c r="W21" s="1"/>
  <c r="U20"/>
  <c r="U21" s="1"/>
  <c r="T20"/>
  <c r="T21" s="1"/>
  <c r="S20"/>
  <c r="S21" s="1"/>
  <c r="R20"/>
  <c r="R21" s="1"/>
  <c r="Q20"/>
  <c r="Q21" s="1"/>
  <c r="M20"/>
  <c r="Y20" s="1"/>
  <c r="Y21" s="1"/>
  <c r="J20"/>
  <c r="V20" s="1"/>
  <c r="V21" s="1"/>
  <c r="X16"/>
  <c r="W16"/>
  <c r="T16"/>
  <c r="Q16"/>
  <c r="X15"/>
  <c r="W15"/>
  <c r="U15"/>
  <c r="T15"/>
  <c r="S15"/>
  <c r="R15"/>
  <c r="Q15"/>
  <c r="M15"/>
  <c r="Y15" s="1"/>
  <c r="J15"/>
  <c r="V15" s="1"/>
  <c r="X14"/>
  <c r="W14"/>
  <c r="T14"/>
  <c r="Q14"/>
  <c r="D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AC26" i="610"/>
  <c r="AB26"/>
  <c r="Z26"/>
  <c r="AA26" s="1"/>
  <c r="Y26"/>
  <c r="X26"/>
  <c r="W26"/>
  <c r="V26"/>
  <c r="U26"/>
  <c r="T26"/>
  <c r="S26"/>
  <c r="AD26" s="1"/>
  <c r="AC25"/>
  <c r="AB25"/>
  <c r="Z25"/>
  <c r="AA25" s="1"/>
  <c r="Y25"/>
  <c r="X25"/>
  <c r="W25"/>
  <c r="V25"/>
  <c r="U25"/>
  <c r="T25"/>
  <c r="S25"/>
  <c r="AD25" s="1"/>
  <c r="AB24"/>
  <c r="Z24"/>
  <c r="Y24"/>
  <c r="X24"/>
  <c r="W24"/>
  <c r="V24"/>
  <c r="U24"/>
  <c r="T24"/>
  <c r="S24"/>
  <c r="AD24" s="1"/>
  <c r="R24"/>
  <c r="AC24" s="1"/>
  <c r="AC20"/>
  <c r="AB20"/>
  <c r="Z20"/>
  <c r="AA20" s="1"/>
  <c r="Y20"/>
  <c r="X20"/>
  <c r="W20"/>
  <c r="V20"/>
  <c r="U20"/>
  <c r="T20"/>
  <c r="S20"/>
  <c r="AD20" s="1"/>
  <c r="AB19"/>
  <c r="Z19"/>
  <c r="Y19"/>
  <c r="X19"/>
  <c r="W19"/>
  <c r="V19"/>
  <c r="U19"/>
  <c r="T19"/>
  <c r="S19"/>
  <c r="AD19" s="1"/>
  <c r="R19"/>
  <c r="AC19" s="1"/>
  <c r="AC15"/>
  <c r="AB15"/>
  <c r="Z15"/>
  <c r="AA15" s="1"/>
  <c r="Y15"/>
  <c r="X15"/>
  <c r="W15"/>
  <c r="V15"/>
  <c r="U15"/>
  <c r="T15"/>
  <c r="S15"/>
  <c r="AD15" s="1"/>
  <c r="AB14"/>
  <c r="Z14"/>
  <c r="Y14"/>
  <c r="X14"/>
  <c r="W14"/>
  <c r="V14"/>
  <c r="U14"/>
  <c r="T14"/>
  <c r="S14"/>
  <c r="AD14" s="1"/>
  <c r="R14"/>
  <c r="AC14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27" i="609"/>
  <c r="W27"/>
  <c r="U27"/>
  <c r="T27"/>
  <c r="S27"/>
  <c r="R27"/>
  <c r="Q27"/>
  <c r="M27"/>
  <c r="Y27" s="1"/>
  <c r="J27"/>
  <c r="V27" s="1"/>
  <c r="X26"/>
  <c r="W26"/>
  <c r="T26"/>
  <c r="Q26"/>
  <c r="P26"/>
  <c r="X25"/>
  <c r="W25"/>
  <c r="T25"/>
  <c r="Q25"/>
  <c r="X24"/>
  <c r="W24"/>
  <c r="T24"/>
  <c r="Q24"/>
  <c r="X20"/>
  <c r="X21" s="1"/>
  <c r="W20"/>
  <c r="U20"/>
  <c r="U21" s="1"/>
  <c r="T20"/>
  <c r="T21" s="1"/>
  <c r="S20"/>
  <c r="R20"/>
  <c r="R21" s="1"/>
  <c r="Q20"/>
  <c r="M20"/>
  <c r="Y20" s="1"/>
  <c r="J20"/>
  <c r="V20" s="1"/>
  <c r="W21"/>
  <c r="Q21"/>
  <c r="X16"/>
  <c r="W16"/>
  <c r="T16"/>
  <c r="Q16"/>
  <c r="X15"/>
  <c r="W15"/>
  <c r="U15"/>
  <c r="T15"/>
  <c r="S15"/>
  <c r="R15"/>
  <c r="Q15"/>
  <c r="M15"/>
  <c r="Y15" s="1"/>
  <c r="J15"/>
  <c r="V15" s="1"/>
  <c r="X14"/>
  <c r="W14"/>
  <c r="T14"/>
  <c r="Q14"/>
  <c r="D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X21" i="606"/>
  <c r="W21"/>
  <c r="T21"/>
  <c r="Q21"/>
  <c r="N93" i="608"/>
  <c r="K93"/>
  <c r="J93"/>
  <c r="I93"/>
  <c r="H93"/>
  <c r="G93"/>
  <c r="F93"/>
  <c r="C93"/>
  <c r="B93"/>
  <c r="A93"/>
  <c r="AE6"/>
  <c r="P93" s="1"/>
  <c r="AC6"/>
  <c r="O93" s="1"/>
  <c r="AC20" i="607"/>
  <c r="AB20"/>
  <c r="Z20"/>
  <c r="AA20" s="1"/>
  <c r="Y20"/>
  <c r="X20"/>
  <c r="W20"/>
  <c r="V20"/>
  <c r="U20"/>
  <c r="T20"/>
  <c r="S20"/>
  <c r="AD20" s="1"/>
  <c r="AC21"/>
  <c r="AB21"/>
  <c r="Z21"/>
  <c r="AA21" s="1"/>
  <c r="Y21"/>
  <c r="X21"/>
  <c r="W21"/>
  <c r="V21"/>
  <c r="U21"/>
  <c r="T21"/>
  <c r="S21"/>
  <c r="AD21" s="1"/>
  <c r="AC27"/>
  <c r="AB27"/>
  <c r="Z27"/>
  <c r="AA27" s="1"/>
  <c r="Y27"/>
  <c r="X27"/>
  <c r="W27"/>
  <c r="V27"/>
  <c r="U27"/>
  <c r="T27"/>
  <c r="S27"/>
  <c r="AD27" s="1"/>
  <c r="AC26"/>
  <c r="AB26"/>
  <c r="Z26"/>
  <c r="AA26" s="1"/>
  <c r="Y26"/>
  <c r="X26"/>
  <c r="W26"/>
  <c r="V26"/>
  <c r="U26"/>
  <c r="T26"/>
  <c r="S26"/>
  <c r="AD26" s="1"/>
  <c r="AB25"/>
  <c r="Z25"/>
  <c r="Y25"/>
  <c r="X25"/>
  <c r="W25"/>
  <c r="V25"/>
  <c r="U25"/>
  <c r="T25"/>
  <c r="S25"/>
  <c r="AD25" s="1"/>
  <c r="R25"/>
  <c r="AC25" s="1"/>
  <c r="AB19"/>
  <c r="Z19"/>
  <c r="Y19"/>
  <c r="X19"/>
  <c r="W19"/>
  <c r="V19"/>
  <c r="U19"/>
  <c r="T19"/>
  <c r="S19"/>
  <c r="AD19" s="1"/>
  <c r="R19"/>
  <c r="AC19" s="1"/>
  <c r="AC15"/>
  <c r="AB15"/>
  <c r="Z15"/>
  <c r="AA15" s="1"/>
  <c r="Y15"/>
  <c r="X15"/>
  <c r="W15"/>
  <c r="V15"/>
  <c r="U15"/>
  <c r="T15"/>
  <c r="S15"/>
  <c r="AD15" s="1"/>
  <c r="AB14"/>
  <c r="Z14"/>
  <c r="Y14"/>
  <c r="X14"/>
  <c r="W14"/>
  <c r="V14"/>
  <c r="U14"/>
  <c r="T14"/>
  <c r="S14"/>
  <c r="AD14" s="1"/>
  <c r="R14"/>
  <c r="AC14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30" i="606"/>
  <c r="W30"/>
  <c r="U30"/>
  <c r="T30"/>
  <c r="S30"/>
  <c r="R30"/>
  <c r="Q30"/>
  <c r="M30"/>
  <c r="Y30" s="1"/>
  <c r="J30"/>
  <c r="V30" s="1"/>
  <c r="X29"/>
  <c r="W29"/>
  <c r="T29"/>
  <c r="Q29"/>
  <c r="P29"/>
  <c r="X28"/>
  <c r="W28"/>
  <c r="T28"/>
  <c r="Q28"/>
  <c r="X27"/>
  <c r="W27"/>
  <c r="T27"/>
  <c r="Q27"/>
  <c r="X23"/>
  <c r="W23"/>
  <c r="T23"/>
  <c r="Q23"/>
  <c r="X22"/>
  <c r="W22"/>
  <c r="U22"/>
  <c r="T22"/>
  <c r="S22"/>
  <c r="R22"/>
  <c r="Q22"/>
  <c r="M22"/>
  <c r="Y22" s="1"/>
  <c r="J22"/>
  <c r="V22" s="1"/>
  <c r="X20"/>
  <c r="W20"/>
  <c r="T20"/>
  <c r="Q20"/>
  <c r="P20"/>
  <c r="X16"/>
  <c r="W16"/>
  <c r="T16"/>
  <c r="Q16"/>
  <c r="X15"/>
  <c r="W15"/>
  <c r="U15"/>
  <c r="T15"/>
  <c r="S15"/>
  <c r="R15"/>
  <c r="Q15"/>
  <c r="M15"/>
  <c r="Y15" s="1"/>
  <c r="J15"/>
  <c r="V15" s="1"/>
  <c r="X14"/>
  <c r="W14"/>
  <c r="T14"/>
  <c r="Q14"/>
  <c r="D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AC25" i="604"/>
  <c r="AB25"/>
  <c r="Z25"/>
  <c r="AA25" s="1"/>
  <c r="Y25"/>
  <c r="X25"/>
  <c r="W25"/>
  <c r="V25"/>
  <c r="U25"/>
  <c r="T25"/>
  <c r="S25"/>
  <c r="AD25" s="1"/>
  <c r="N93" i="605"/>
  <c r="K93"/>
  <c r="J93"/>
  <c r="I93"/>
  <c r="H93"/>
  <c r="G93"/>
  <c r="F93"/>
  <c r="C93"/>
  <c r="B93"/>
  <c r="A93"/>
  <c r="AE6"/>
  <c r="P93" s="1"/>
  <c r="AC6"/>
  <c r="O93" s="1"/>
  <c r="AC24" i="604"/>
  <c r="AB24"/>
  <c r="Z24"/>
  <c r="AA24" s="1"/>
  <c r="Y24"/>
  <c r="X24"/>
  <c r="W24"/>
  <c r="V24"/>
  <c r="U24"/>
  <c r="T24"/>
  <c r="S24"/>
  <c r="AD24" s="1"/>
  <c r="AB23"/>
  <c r="Z23"/>
  <c r="Y23"/>
  <c r="X23"/>
  <c r="W23"/>
  <c r="V23"/>
  <c r="U23"/>
  <c r="T23"/>
  <c r="S23"/>
  <c r="AD23" s="1"/>
  <c r="R23"/>
  <c r="AC23" s="1"/>
  <c r="X30" i="603"/>
  <c r="W30"/>
  <c r="U30"/>
  <c r="T30"/>
  <c r="S30"/>
  <c r="R30"/>
  <c r="Q30"/>
  <c r="M30"/>
  <c r="Y30" s="1"/>
  <c r="J30"/>
  <c r="V30" s="1"/>
  <c r="X29"/>
  <c r="W29"/>
  <c r="T29"/>
  <c r="Q29"/>
  <c r="P29"/>
  <c r="X28"/>
  <c r="W28"/>
  <c r="T28"/>
  <c r="Q28"/>
  <c r="X27"/>
  <c r="W27"/>
  <c r="T27"/>
  <c r="Q27"/>
  <c r="AB19" i="604"/>
  <c r="AB20" s="1"/>
  <c r="Z19"/>
  <c r="Z20" s="1"/>
  <c r="Y19"/>
  <c r="Y20" s="1"/>
  <c r="X19"/>
  <c r="X20" s="1"/>
  <c r="W19"/>
  <c r="W20" s="1"/>
  <c r="V19"/>
  <c r="V20" s="1"/>
  <c r="U19"/>
  <c r="U20" s="1"/>
  <c r="T19"/>
  <c r="T20" s="1"/>
  <c r="S19"/>
  <c r="AD19" s="1"/>
  <c r="AD20" s="1"/>
  <c r="R19"/>
  <c r="AC19" s="1"/>
  <c r="AC20" s="1"/>
  <c r="AC15"/>
  <c r="AB15"/>
  <c r="Z15"/>
  <c r="AA15" s="1"/>
  <c r="Y15"/>
  <c r="X15"/>
  <c r="W15"/>
  <c r="V15"/>
  <c r="U15"/>
  <c r="T15"/>
  <c r="S15"/>
  <c r="AD15" s="1"/>
  <c r="AB14"/>
  <c r="Z14"/>
  <c r="Y14"/>
  <c r="X14"/>
  <c r="W14"/>
  <c r="V14"/>
  <c r="U14"/>
  <c r="T14"/>
  <c r="S14"/>
  <c r="AD14" s="1"/>
  <c r="R14"/>
  <c r="AC14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23" i="603"/>
  <c r="W23"/>
  <c r="T23"/>
  <c r="Q23"/>
  <c r="X22"/>
  <c r="W22"/>
  <c r="U22"/>
  <c r="T22"/>
  <c r="S22"/>
  <c r="R22"/>
  <c r="Q22"/>
  <c r="M22"/>
  <c r="Y22" s="1"/>
  <c r="J22"/>
  <c r="V22" s="1"/>
  <c r="X21"/>
  <c r="W21"/>
  <c r="T21"/>
  <c r="Q21"/>
  <c r="P21"/>
  <c r="X20"/>
  <c r="W20"/>
  <c r="T20"/>
  <c r="Q20"/>
  <c r="P20"/>
  <c r="X16"/>
  <c r="W16"/>
  <c r="T16"/>
  <c r="Q16"/>
  <c r="X15"/>
  <c r="W15"/>
  <c r="U15"/>
  <c r="T15"/>
  <c r="S15"/>
  <c r="R15"/>
  <c r="Q15"/>
  <c r="M15"/>
  <c r="Y15" s="1"/>
  <c r="J15"/>
  <c r="V15" s="1"/>
  <c r="X14"/>
  <c r="W14"/>
  <c r="T14"/>
  <c r="Q14"/>
  <c r="D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AE5" i="602"/>
  <c r="AC5"/>
  <c r="P91"/>
  <c r="O91"/>
  <c r="N91"/>
  <c r="K91"/>
  <c r="J91"/>
  <c r="I91"/>
  <c r="H91"/>
  <c r="G91"/>
  <c r="F91"/>
  <c r="C91"/>
  <c r="B91"/>
  <c r="A91"/>
  <c r="AB19" i="601"/>
  <c r="AB20" s="1"/>
  <c r="Z19"/>
  <c r="Z20" s="1"/>
  <c r="Y19"/>
  <c r="Y20" s="1"/>
  <c r="X19"/>
  <c r="X20" s="1"/>
  <c r="W19"/>
  <c r="W20" s="1"/>
  <c r="V19"/>
  <c r="V20" s="1"/>
  <c r="U19"/>
  <c r="U20" s="1"/>
  <c r="T19"/>
  <c r="T20" s="1"/>
  <c r="S19"/>
  <c r="AD19" s="1"/>
  <c r="AD20" s="1"/>
  <c r="R19"/>
  <c r="AC19" s="1"/>
  <c r="AC20" s="1"/>
  <c r="X20" i="600"/>
  <c r="W20"/>
  <c r="T20"/>
  <c r="Q20"/>
  <c r="P20"/>
  <c r="X23"/>
  <c r="W23"/>
  <c r="T23"/>
  <c r="Q23"/>
  <c r="X22"/>
  <c r="W22"/>
  <c r="U22"/>
  <c r="T22"/>
  <c r="S22"/>
  <c r="R22"/>
  <c r="Q22"/>
  <c r="M22"/>
  <c r="Y22" s="1"/>
  <c r="J22"/>
  <c r="V22" s="1"/>
  <c r="X21"/>
  <c r="W21"/>
  <c r="T21"/>
  <c r="Q21"/>
  <c r="P21"/>
  <c r="N92" i="602"/>
  <c r="K92"/>
  <c r="J92"/>
  <c r="I92"/>
  <c r="H92"/>
  <c r="G92"/>
  <c r="F92"/>
  <c r="C92"/>
  <c r="B92"/>
  <c r="A92"/>
  <c r="AE6"/>
  <c r="P92" s="1"/>
  <c r="AC6"/>
  <c r="O92" s="1"/>
  <c r="AC15" i="601"/>
  <c r="AB15"/>
  <c r="Z15"/>
  <c r="AA15" s="1"/>
  <c r="Y15"/>
  <c r="X15"/>
  <c r="W15"/>
  <c r="V15"/>
  <c r="U15"/>
  <c r="T15"/>
  <c r="S15"/>
  <c r="AD15" s="1"/>
  <c r="AB14"/>
  <c r="Z14"/>
  <c r="Y14"/>
  <c r="X14"/>
  <c r="W14"/>
  <c r="V14"/>
  <c r="U14"/>
  <c r="T14"/>
  <c r="S14"/>
  <c r="AD14" s="1"/>
  <c r="R14"/>
  <c r="AC14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16" i="600"/>
  <c r="W16"/>
  <c r="T16"/>
  <c r="Q16"/>
  <c r="X15"/>
  <c r="W15"/>
  <c r="U15"/>
  <c r="T15"/>
  <c r="S15"/>
  <c r="R15"/>
  <c r="Q15"/>
  <c r="M15"/>
  <c r="Y15" s="1"/>
  <c r="J15"/>
  <c r="V15" s="1"/>
  <c r="X14"/>
  <c r="W14"/>
  <c r="T14"/>
  <c r="Q14"/>
  <c r="D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N91" i="599"/>
  <c r="K91"/>
  <c r="J91"/>
  <c r="I91"/>
  <c r="H91"/>
  <c r="G91"/>
  <c r="F91"/>
  <c r="C91"/>
  <c r="B91"/>
  <c r="A91"/>
  <c r="AE5"/>
  <c r="P91" s="1"/>
  <c r="AC5"/>
  <c r="O91" s="1"/>
  <c r="AB19" i="598"/>
  <c r="AB20" s="1"/>
  <c r="Z19"/>
  <c r="Z20" s="1"/>
  <c r="Y19"/>
  <c r="Y20" s="1"/>
  <c r="X19"/>
  <c r="X20" s="1"/>
  <c r="W19"/>
  <c r="W20" s="1"/>
  <c r="V19"/>
  <c r="V20" s="1"/>
  <c r="U19"/>
  <c r="U20" s="1"/>
  <c r="T19"/>
  <c r="T20" s="1"/>
  <c r="S19"/>
  <c r="AD19" s="1"/>
  <c r="AD20" s="1"/>
  <c r="R19"/>
  <c r="AC19" s="1"/>
  <c r="AC20" s="1"/>
  <c r="AC15"/>
  <c r="AB15"/>
  <c r="Z15"/>
  <c r="AA15" s="1"/>
  <c r="Y15"/>
  <c r="X15"/>
  <c r="W15"/>
  <c r="V15"/>
  <c r="U15"/>
  <c r="T15"/>
  <c r="S15"/>
  <c r="AD15" s="1"/>
  <c r="AB14"/>
  <c r="Z14"/>
  <c r="AA14" s="1"/>
  <c r="Y14"/>
  <c r="X14"/>
  <c r="W14"/>
  <c r="V14"/>
  <c r="U14"/>
  <c r="T14"/>
  <c r="S14"/>
  <c r="AD14" s="1"/>
  <c r="R14"/>
  <c r="AC14" s="1"/>
  <c r="AC10"/>
  <c r="AB10"/>
  <c r="Z10"/>
  <c r="AA10" s="1"/>
  <c r="Y10"/>
  <c r="X10"/>
  <c r="W10"/>
  <c r="V10"/>
  <c r="U10"/>
  <c r="T10"/>
  <c r="S10"/>
  <c r="AD10" s="1"/>
  <c r="AB9"/>
  <c r="Z9"/>
  <c r="AA9" s="1"/>
  <c r="Y9"/>
  <c r="X9"/>
  <c r="W9"/>
  <c r="V9"/>
  <c r="U9"/>
  <c r="T9"/>
  <c r="S9"/>
  <c r="AD9" s="1"/>
  <c r="R9"/>
  <c r="AC9" s="1"/>
  <c r="X22" i="597"/>
  <c r="W22"/>
  <c r="U22"/>
  <c r="T22"/>
  <c r="S22"/>
  <c r="R22"/>
  <c r="Q22"/>
  <c r="M22"/>
  <c r="Y22" s="1"/>
  <c r="J22"/>
  <c r="V22" s="1"/>
  <c r="X21"/>
  <c r="W21"/>
  <c r="T21"/>
  <c r="Q21"/>
  <c r="X20"/>
  <c r="W20"/>
  <c r="T20"/>
  <c r="Q20"/>
  <c r="Q23" s="1"/>
  <c r="X16"/>
  <c r="W16"/>
  <c r="T16"/>
  <c r="Q16"/>
  <c r="X15"/>
  <c r="W15"/>
  <c r="U15"/>
  <c r="T15"/>
  <c r="S15"/>
  <c r="R15"/>
  <c r="Q15"/>
  <c r="M15"/>
  <c r="Y15" s="1"/>
  <c r="J15"/>
  <c r="V15" s="1"/>
  <c r="X14"/>
  <c r="W14"/>
  <c r="T14"/>
  <c r="Q14"/>
  <c r="D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N91" i="596"/>
  <c r="K91"/>
  <c r="J91"/>
  <c r="I91"/>
  <c r="H91"/>
  <c r="G91"/>
  <c r="F91"/>
  <c r="C91"/>
  <c r="B91"/>
  <c r="A91"/>
  <c r="AE5"/>
  <c r="P91" s="1"/>
  <c r="AC5"/>
  <c r="O91" s="1"/>
  <c r="AB19" i="595"/>
  <c r="AB20" s="1"/>
  <c r="Z19"/>
  <c r="Z20" s="1"/>
  <c r="Y19"/>
  <c r="Y20" s="1"/>
  <c r="X19"/>
  <c r="X20" s="1"/>
  <c r="W19"/>
  <c r="W20" s="1"/>
  <c r="V19"/>
  <c r="V20" s="1"/>
  <c r="U19"/>
  <c r="U20" s="1"/>
  <c r="T19"/>
  <c r="T20" s="1"/>
  <c r="S19"/>
  <c r="AD19" s="1"/>
  <c r="AD20" s="1"/>
  <c r="R19"/>
  <c r="AC19" s="1"/>
  <c r="AC20" s="1"/>
  <c r="AC15"/>
  <c r="AB15"/>
  <c r="Z15"/>
  <c r="AA15" s="1"/>
  <c r="Y15"/>
  <c r="X15"/>
  <c r="W15"/>
  <c r="V15"/>
  <c r="U15"/>
  <c r="T15"/>
  <c r="S15"/>
  <c r="AD15" s="1"/>
  <c r="AB14"/>
  <c r="Z14"/>
  <c r="Y14"/>
  <c r="X14"/>
  <c r="W14"/>
  <c r="V14"/>
  <c r="U14"/>
  <c r="T14"/>
  <c r="S14"/>
  <c r="AD14" s="1"/>
  <c r="R14"/>
  <c r="AC14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22" i="594"/>
  <c r="W22"/>
  <c r="U22"/>
  <c r="T22"/>
  <c r="S22"/>
  <c r="R22"/>
  <c r="Q22"/>
  <c r="M22"/>
  <c r="Y22" s="1"/>
  <c r="J22"/>
  <c r="V22" s="1"/>
  <c r="X21"/>
  <c r="W21"/>
  <c r="T21"/>
  <c r="Q21"/>
  <c r="X20"/>
  <c r="W20"/>
  <c r="T20"/>
  <c r="Q20"/>
  <c r="Q23" s="1"/>
  <c r="X16"/>
  <c r="W16"/>
  <c r="T16"/>
  <c r="Q16"/>
  <c r="X15"/>
  <c r="W15"/>
  <c r="U15"/>
  <c r="T15"/>
  <c r="S15"/>
  <c r="R15"/>
  <c r="Q15"/>
  <c r="M15"/>
  <c r="Y15" s="1"/>
  <c r="J15"/>
  <c r="V15" s="1"/>
  <c r="X14"/>
  <c r="W14"/>
  <c r="T14"/>
  <c r="Q14"/>
  <c r="D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N92" i="593"/>
  <c r="K92"/>
  <c r="J92"/>
  <c r="I92"/>
  <c r="H92"/>
  <c r="G92"/>
  <c r="F92"/>
  <c r="C92"/>
  <c r="B92"/>
  <c r="A92"/>
  <c r="N93"/>
  <c r="K93"/>
  <c r="J93"/>
  <c r="I93"/>
  <c r="H93"/>
  <c r="G93"/>
  <c r="F93"/>
  <c r="C93"/>
  <c r="B93"/>
  <c r="A93"/>
  <c r="AE5"/>
  <c r="P92" s="1"/>
  <c r="AC5"/>
  <c r="O92" s="1"/>
  <c r="AE6"/>
  <c r="P93" s="1"/>
  <c r="AC6"/>
  <c r="O93" s="1"/>
  <c r="AC24" i="592"/>
  <c r="AB24"/>
  <c r="Z24"/>
  <c r="AA24" s="1"/>
  <c r="Y24"/>
  <c r="X24"/>
  <c r="W24"/>
  <c r="V24"/>
  <c r="U24"/>
  <c r="T24"/>
  <c r="S24"/>
  <c r="AD24" s="1"/>
  <c r="AB23"/>
  <c r="Z23"/>
  <c r="Y23"/>
  <c r="X23"/>
  <c r="W23"/>
  <c r="V23"/>
  <c r="U23"/>
  <c r="T23"/>
  <c r="S23"/>
  <c r="AD23" s="1"/>
  <c r="R23"/>
  <c r="AC23" s="1"/>
  <c r="AB19"/>
  <c r="AB20" s="1"/>
  <c r="Z19"/>
  <c r="Z20" s="1"/>
  <c r="Y19"/>
  <c r="Y20" s="1"/>
  <c r="X19"/>
  <c r="X20" s="1"/>
  <c r="W19"/>
  <c r="W20" s="1"/>
  <c r="V19"/>
  <c r="V20" s="1"/>
  <c r="U19"/>
  <c r="U20" s="1"/>
  <c r="T19"/>
  <c r="T20" s="1"/>
  <c r="S19"/>
  <c r="AD19" s="1"/>
  <c r="AD20" s="1"/>
  <c r="R19"/>
  <c r="AC19" s="1"/>
  <c r="AC20" s="1"/>
  <c r="AC15"/>
  <c r="AB15"/>
  <c r="Z15"/>
  <c r="AA15" s="1"/>
  <c r="Y15"/>
  <c r="X15"/>
  <c r="W15"/>
  <c r="V15"/>
  <c r="U15"/>
  <c r="T15"/>
  <c r="S15"/>
  <c r="AD15" s="1"/>
  <c r="AB14"/>
  <c r="Z14"/>
  <c r="Y14"/>
  <c r="X14"/>
  <c r="W14"/>
  <c r="V14"/>
  <c r="U14"/>
  <c r="T14"/>
  <c r="S14"/>
  <c r="AD14" s="1"/>
  <c r="R14"/>
  <c r="AC14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28" i="591"/>
  <c r="W28"/>
  <c r="U28"/>
  <c r="T28"/>
  <c r="S28"/>
  <c r="R28"/>
  <c r="Q28"/>
  <c r="M28"/>
  <c r="Y28" s="1"/>
  <c r="J28"/>
  <c r="V28" s="1"/>
  <c r="X27"/>
  <c r="W27"/>
  <c r="T27"/>
  <c r="Q27"/>
  <c r="X26"/>
  <c r="W26"/>
  <c r="T26"/>
  <c r="Q26"/>
  <c r="X25"/>
  <c r="W25"/>
  <c r="T25"/>
  <c r="Q25"/>
  <c r="Q29" s="1"/>
  <c r="X21"/>
  <c r="W21"/>
  <c r="U21"/>
  <c r="T21"/>
  <c r="S21"/>
  <c r="R21"/>
  <c r="Q21"/>
  <c r="M21"/>
  <c r="Y21" s="1"/>
  <c r="J21"/>
  <c r="V21" s="1"/>
  <c r="X20"/>
  <c r="W20"/>
  <c r="T20"/>
  <c r="T22" s="1"/>
  <c r="Q20"/>
  <c r="Q22" s="1"/>
  <c r="X16"/>
  <c r="W16"/>
  <c r="T16"/>
  <c r="Q16"/>
  <c r="X15"/>
  <c r="W15"/>
  <c r="U15"/>
  <c r="T15"/>
  <c r="S15"/>
  <c r="R15"/>
  <c r="Q15"/>
  <c r="M15"/>
  <c r="Y15" s="1"/>
  <c r="J15"/>
  <c r="V15" s="1"/>
  <c r="X14"/>
  <c r="W14"/>
  <c r="T14"/>
  <c r="Q14"/>
  <c r="D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AE6" i="590"/>
  <c r="AC6"/>
  <c r="P93"/>
  <c r="O93"/>
  <c r="N93"/>
  <c r="K93"/>
  <c r="J93"/>
  <c r="I93"/>
  <c r="H93"/>
  <c r="G93"/>
  <c r="F93"/>
  <c r="C93"/>
  <c r="B93"/>
  <c r="A93"/>
  <c r="AC24" i="589"/>
  <c r="AB24"/>
  <c r="Z24"/>
  <c r="AA24" s="1"/>
  <c r="Y24"/>
  <c r="X24"/>
  <c r="W24"/>
  <c r="V24"/>
  <c r="U24"/>
  <c r="T24"/>
  <c r="S24"/>
  <c r="AD24" s="1"/>
  <c r="AB23"/>
  <c r="Z23"/>
  <c r="Y23"/>
  <c r="X23"/>
  <c r="W23"/>
  <c r="V23"/>
  <c r="U23"/>
  <c r="T23"/>
  <c r="S23"/>
  <c r="AD23" s="1"/>
  <c r="R23"/>
  <c r="AC23" s="1"/>
  <c r="AB19"/>
  <c r="AB20" s="1"/>
  <c r="Z19"/>
  <c r="Z20" s="1"/>
  <c r="Y19"/>
  <c r="Y20" s="1"/>
  <c r="X19"/>
  <c r="X20" s="1"/>
  <c r="W19"/>
  <c r="W20" s="1"/>
  <c r="V19"/>
  <c r="V20" s="1"/>
  <c r="U19"/>
  <c r="U20" s="1"/>
  <c r="T19"/>
  <c r="T20" s="1"/>
  <c r="S19"/>
  <c r="AD19" s="1"/>
  <c r="AD20" s="1"/>
  <c r="R19"/>
  <c r="AC19" s="1"/>
  <c r="AC20" s="1"/>
  <c r="AC15"/>
  <c r="AB15"/>
  <c r="Z15"/>
  <c r="AA15" s="1"/>
  <c r="Y15"/>
  <c r="X15"/>
  <c r="W15"/>
  <c r="V15"/>
  <c r="U15"/>
  <c r="T15"/>
  <c r="S15"/>
  <c r="AD15" s="1"/>
  <c r="AB14"/>
  <c r="Z14"/>
  <c r="Y14"/>
  <c r="X14"/>
  <c r="W14"/>
  <c r="V14"/>
  <c r="U14"/>
  <c r="T14"/>
  <c r="S14"/>
  <c r="AD14" s="1"/>
  <c r="R14"/>
  <c r="AC14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28" i="588"/>
  <c r="W28"/>
  <c r="U28"/>
  <c r="T28"/>
  <c r="S28"/>
  <c r="R28"/>
  <c r="Q28"/>
  <c r="M28"/>
  <c r="Y28" s="1"/>
  <c r="J28"/>
  <c r="V28" s="1"/>
  <c r="X27"/>
  <c r="W27"/>
  <c r="T27"/>
  <c r="Q27"/>
  <c r="X26"/>
  <c r="W26"/>
  <c r="T26"/>
  <c r="Q26"/>
  <c r="X25"/>
  <c r="W25"/>
  <c r="T25"/>
  <c r="T29" s="1"/>
  <c r="Q25"/>
  <c r="X21"/>
  <c r="W21"/>
  <c r="U21"/>
  <c r="T21"/>
  <c r="S21"/>
  <c r="R21"/>
  <c r="Q21"/>
  <c r="M21"/>
  <c r="Y21" s="1"/>
  <c r="J21"/>
  <c r="V21" s="1"/>
  <c r="X20"/>
  <c r="W20"/>
  <c r="T20"/>
  <c r="T22" s="1"/>
  <c r="Q20"/>
  <c r="Q22" s="1"/>
  <c r="X16"/>
  <c r="W16"/>
  <c r="T16"/>
  <c r="Q16"/>
  <c r="X15"/>
  <c r="W15"/>
  <c r="U15"/>
  <c r="T15"/>
  <c r="S15"/>
  <c r="R15"/>
  <c r="Q15"/>
  <c r="M15"/>
  <c r="Y15" s="1"/>
  <c r="J15"/>
  <c r="V15" s="1"/>
  <c r="X14"/>
  <c r="W14"/>
  <c r="T14"/>
  <c r="Q14"/>
  <c r="D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AC24" i="586"/>
  <c r="AB24"/>
  <c r="Z24"/>
  <c r="AA24" s="1"/>
  <c r="Y24"/>
  <c r="X24"/>
  <c r="W24"/>
  <c r="V24"/>
  <c r="U24"/>
  <c r="T24"/>
  <c r="S24"/>
  <c r="AD24" s="1"/>
  <c r="AB23"/>
  <c r="Z23"/>
  <c r="Y23"/>
  <c r="X23"/>
  <c r="W23"/>
  <c r="V23"/>
  <c r="U23"/>
  <c r="T23"/>
  <c r="S23"/>
  <c r="AD23" s="1"/>
  <c r="R23"/>
  <c r="AC23" s="1"/>
  <c r="X28" i="585"/>
  <c r="W28"/>
  <c r="U28"/>
  <c r="T28"/>
  <c r="S28"/>
  <c r="R28"/>
  <c r="Q28"/>
  <c r="M28"/>
  <c r="Y28" s="1"/>
  <c r="J28"/>
  <c r="V28" s="1"/>
  <c r="X27"/>
  <c r="W27"/>
  <c r="T27"/>
  <c r="Q27"/>
  <c r="X26"/>
  <c r="W26"/>
  <c r="T26"/>
  <c r="Q26"/>
  <c r="X25"/>
  <c r="W25"/>
  <c r="T25"/>
  <c r="T29" s="1"/>
  <c r="Q25"/>
  <c r="AE6" i="587"/>
  <c r="AC6"/>
  <c r="O93" s="1"/>
  <c r="AE5"/>
  <c r="AC5"/>
  <c r="P92"/>
  <c r="O92"/>
  <c r="N92"/>
  <c r="K92"/>
  <c r="J92"/>
  <c r="I92"/>
  <c r="H92"/>
  <c r="G92"/>
  <c r="F92"/>
  <c r="C92"/>
  <c r="B92"/>
  <c r="A92"/>
  <c r="P93"/>
  <c r="N93"/>
  <c r="K93"/>
  <c r="J93"/>
  <c r="I93"/>
  <c r="H93"/>
  <c r="G93"/>
  <c r="F93"/>
  <c r="C93"/>
  <c r="B93"/>
  <c r="A93"/>
  <c r="AB19" i="586"/>
  <c r="AB20" s="1"/>
  <c r="Z19"/>
  <c r="Z20" s="1"/>
  <c r="Y19"/>
  <c r="Y20" s="1"/>
  <c r="X19"/>
  <c r="X20" s="1"/>
  <c r="W19"/>
  <c r="W20" s="1"/>
  <c r="V19"/>
  <c r="V20" s="1"/>
  <c r="U19"/>
  <c r="U20" s="1"/>
  <c r="T19"/>
  <c r="T20" s="1"/>
  <c r="S19"/>
  <c r="AD19" s="1"/>
  <c r="AD20" s="1"/>
  <c r="R19"/>
  <c r="AC19" s="1"/>
  <c r="AC20" s="1"/>
  <c r="AC15"/>
  <c r="AB15"/>
  <c r="Z15"/>
  <c r="AA15" s="1"/>
  <c r="Y15"/>
  <c r="X15"/>
  <c r="W15"/>
  <c r="V15"/>
  <c r="U15"/>
  <c r="T15"/>
  <c r="S15"/>
  <c r="AD15" s="1"/>
  <c r="AB14"/>
  <c r="Z14"/>
  <c r="Y14"/>
  <c r="X14"/>
  <c r="W14"/>
  <c r="V14"/>
  <c r="U14"/>
  <c r="T14"/>
  <c r="S14"/>
  <c r="AD14" s="1"/>
  <c r="R14"/>
  <c r="AC14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21" i="585"/>
  <c r="W21"/>
  <c r="U21"/>
  <c r="T21"/>
  <c r="S21"/>
  <c r="R21"/>
  <c r="Q21"/>
  <c r="M21"/>
  <c r="Y21" s="1"/>
  <c r="J21"/>
  <c r="V21" s="1"/>
  <c r="X20"/>
  <c r="W20"/>
  <c r="T20"/>
  <c r="T22" s="1"/>
  <c r="Q20"/>
  <c r="Q22" s="1"/>
  <c r="X16"/>
  <c r="W16"/>
  <c r="T16"/>
  <c r="Q16"/>
  <c r="X15"/>
  <c r="W15"/>
  <c r="U15"/>
  <c r="T15"/>
  <c r="S15"/>
  <c r="R15"/>
  <c r="Q15"/>
  <c r="M15"/>
  <c r="Y15" s="1"/>
  <c r="J15"/>
  <c r="V15" s="1"/>
  <c r="X14"/>
  <c r="W14"/>
  <c r="T14"/>
  <c r="Q14"/>
  <c r="D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AB23" i="583"/>
  <c r="AB24" s="1"/>
  <c r="Z23"/>
  <c r="Z24" s="1"/>
  <c r="Y23"/>
  <c r="Y24" s="1"/>
  <c r="X23"/>
  <c r="X24" s="1"/>
  <c r="W23"/>
  <c r="W24" s="1"/>
  <c r="V23"/>
  <c r="V24" s="1"/>
  <c r="U23"/>
  <c r="U24" s="1"/>
  <c r="T23"/>
  <c r="T24" s="1"/>
  <c r="S23"/>
  <c r="AD23" s="1"/>
  <c r="AD24" s="1"/>
  <c r="R23"/>
  <c r="AC23" s="1"/>
  <c r="AC24" s="1"/>
  <c r="AB19"/>
  <c r="AB20" s="1"/>
  <c r="Z19"/>
  <c r="Z20" s="1"/>
  <c r="Y19"/>
  <c r="Y20" s="1"/>
  <c r="X19"/>
  <c r="X20" s="1"/>
  <c r="W19"/>
  <c r="W20" s="1"/>
  <c r="V19"/>
  <c r="V20" s="1"/>
  <c r="U19"/>
  <c r="U20" s="1"/>
  <c r="T19"/>
  <c r="T20" s="1"/>
  <c r="S19"/>
  <c r="AD19" s="1"/>
  <c r="AD20" s="1"/>
  <c r="R19"/>
  <c r="AC19" s="1"/>
  <c r="AC20" s="1"/>
  <c r="AC15"/>
  <c r="AB15"/>
  <c r="Z15"/>
  <c r="AA15" s="1"/>
  <c r="Y15"/>
  <c r="X15"/>
  <c r="W15"/>
  <c r="V15"/>
  <c r="U15"/>
  <c r="T15"/>
  <c r="S15"/>
  <c r="AD15" s="1"/>
  <c r="AB14"/>
  <c r="Z14"/>
  <c r="Y14"/>
  <c r="X14"/>
  <c r="W14"/>
  <c r="V14"/>
  <c r="U14"/>
  <c r="T14"/>
  <c r="S14"/>
  <c r="AD14" s="1"/>
  <c r="R14"/>
  <c r="AC14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31" i="582"/>
  <c r="W31"/>
  <c r="T31"/>
  <c r="Q31"/>
  <c r="X30"/>
  <c r="W30"/>
  <c r="U30"/>
  <c r="T30"/>
  <c r="S30"/>
  <c r="R30"/>
  <c r="Q30"/>
  <c r="M30"/>
  <c r="Y30" s="1"/>
  <c r="J30"/>
  <c r="V30" s="1"/>
  <c r="X29"/>
  <c r="W29"/>
  <c r="T29"/>
  <c r="Q29"/>
  <c r="X28"/>
  <c r="W28"/>
  <c r="T28"/>
  <c r="Q28"/>
  <c r="X24"/>
  <c r="W24"/>
  <c r="U24"/>
  <c r="T24"/>
  <c r="S24"/>
  <c r="R24"/>
  <c r="Q24"/>
  <c r="M24"/>
  <c r="Y24" s="1"/>
  <c r="J24"/>
  <c r="V24" s="1"/>
  <c r="X23"/>
  <c r="W23"/>
  <c r="T23"/>
  <c r="Q23"/>
  <c r="X22"/>
  <c r="W22"/>
  <c r="T22"/>
  <c r="Q22"/>
  <c r="X21"/>
  <c r="W21"/>
  <c r="T21"/>
  <c r="Q21"/>
  <c r="X20"/>
  <c r="W20"/>
  <c r="T20"/>
  <c r="Q20"/>
  <c r="Q25" s="1"/>
  <c r="X16"/>
  <c r="W16"/>
  <c r="T16"/>
  <c r="Q16"/>
  <c r="X15"/>
  <c r="W15"/>
  <c r="U15"/>
  <c r="T15"/>
  <c r="S15"/>
  <c r="R15"/>
  <c r="Q15"/>
  <c r="M15"/>
  <c r="Y15" s="1"/>
  <c r="J15"/>
  <c r="V15" s="1"/>
  <c r="X14"/>
  <c r="W14"/>
  <c r="T14"/>
  <c r="Q14"/>
  <c r="D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AE7" i="581"/>
  <c r="AC7"/>
  <c r="AE6"/>
  <c r="AC6"/>
  <c r="AE5"/>
  <c r="AC5"/>
  <c r="AE4"/>
  <c r="AC4"/>
  <c r="AB23" i="580"/>
  <c r="AB24" s="1"/>
  <c r="Z23"/>
  <c r="Z24" s="1"/>
  <c r="Y23"/>
  <c r="Y24" s="1"/>
  <c r="X23"/>
  <c r="X24" s="1"/>
  <c r="W23"/>
  <c r="W24" s="1"/>
  <c r="V23"/>
  <c r="V24" s="1"/>
  <c r="U23"/>
  <c r="U24" s="1"/>
  <c r="T23"/>
  <c r="T24" s="1"/>
  <c r="S23"/>
  <c r="AD23" s="1"/>
  <c r="AD24" s="1"/>
  <c r="R23"/>
  <c r="AC23" s="1"/>
  <c r="AC24" s="1"/>
  <c r="AB19"/>
  <c r="AB20" s="1"/>
  <c r="Z19"/>
  <c r="Z20" s="1"/>
  <c r="Y19"/>
  <c r="Y20" s="1"/>
  <c r="X19"/>
  <c r="X20" s="1"/>
  <c r="W19"/>
  <c r="W20" s="1"/>
  <c r="V19"/>
  <c r="V20" s="1"/>
  <c r="U19"/>
  <c r="U20" s="1"/>
  <c r="T19"/>
  <c r="T20" s="1"/>
  <c r="S19"/>
  <c r="AD19" s="1"/>
  <c r="AD20" s="1"/>
  <c r="R19"/>
  <c r="AC19" s="1"/>
  <c r="AC20" s="1"/>
  <c r="AC15"/>
  <c r="AB15"/>
  <c r="Z15"/>
  <c r="AA15" s="1"/>
  <c r="Y15"/>
  <c r="X15"/>
  <c r="W15"/>
  <c r="V15"/>
  <c r="U15"/>
  <c r="T15"/>
  <c r="S15"/>
  <c r="AD15" s="1"/>
  <c r="AB14"/>
  <c r="Z14"/>
  <c r="Y14"/>
  <c r="X14"/>
  <c r="W14"/>
  <c r="V14"/>
  <c r="U14"/>
  <c r="T14"/>
  <c r="S14"/>
  <c r="AD14" s="1"/>
  <c r="R14"/>
  <c r="AC14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31" i="579"/>
  <c r="W31"/>
  <c r="T31"/>
  <c r="Q31"/>
  <c r="X30"/>
  <c r="W30"/>
  <c r="U30"/>
  <c r="T30"/>
  <c r="S30"/>
  <c r="R30"/>
  <c r="Q30"/>
  <c r="M30"/>
  <c r="Y30" s="1"/>
  <c r="J30"/>
  <c r="V30" s="1"/>
  <c r="X29"/>
  <c r="W29"/>
  <c r="T29"/>
  <c r="Q29"/>
  <c r="X28"/>
  <c r="W28"/>
  <c r="T28"/>
  <c r="Q28"/>
  <c r="X24"/>
  <c r="W24"/>
  <c r="U24"/>
  <c r="T24"/>
  <c r="S24"/>
  <c r="R24"/>
  <c r="Q24"/>
  <c r="M24"/>
  <c r="Y24" s="1"/>
  <c r="J24"/>
  <c r="V24" s="1"/>
  <c r="X23"/>
  <c r="W23"/>
  <c r="T23"/>
  <c r="Q23"/>
  <c r="X22"/>
  <c r="W22"/>
  <c r="T22"/>
  <c r="Q22"/>
  <c r="X21"/>
  <c r="W21"/>
  <c r="T21"/>
  <c r="Q21"/>
  <c r="X20"/>
  <c r="W20"/>
  <c r="T20"/>
  <c r="Q20"/>
  <c r="X16"/>
  <c r="W16"/>
  <c r="T16"/>
  <c r="Q16"/>
  <c r="X15"/>
  <c r="W15"/>
  <c r="U15"/>
  <c r="T15"/>
  <c r="S15"/>
  <c r="R15"/>
  <c r="Q15"/>
  <c r="M15"/>
  <c r="Y15" s="1"/>
  <c r="J15"/>
  <c r="V15" s="1"/>
  <c r="X14"/>
  <c r="W14"/>
  <c r="T14"/>
  <c r="Q14"/>
  <c r="D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AB23" i="577"/>
  <c r="AB24" s="1"/>
  <c r="Z23"/>
  <c r="Z24" s="1"/>
  <c r="Y23"/>
  <c r="Y24" s="1"/>
  <c r="X23"/>
  <c r="X24" s="1"/>
  <c r="W23"/>
  <c r="W24" s="1"/>
  <c r="V23"/>
  <c r="V24" s="1"/>
  <c r="U23"/>
  <c r="U24" s="1"/>
  <c r="T23"/>
  <c r="T24" s="1"/>
  <c r="S23"/>
  <c r="AD23" s="1"/>
  <c r="AD24" s="1"/>
  <c r="R23"/>
  <c r="AC23" s="1"/>
  <c r="AC24" s="1"/>
  <c r="AB19"/>
  <c r="AB20" s="1"/>
  <c r="Z19"/>
  <c r="Z20" s="1"/>
  <c r="Y19"/>
  <c r="Y20" s="1"/>
  <c r="X19"/>
  <c r="X20" s="1"/>
  <c r="W19"/>
  <c r="W20" s="1"/>
  <c r="V19"/>
  <c r="V20" s="1"/>
  <c r="U19"/>
  <c r="U20" s="1"/>
  <c r="T19"/>
  <c r="T20" s="1"/>
  <c r="S19"/>
  <c r="AD19" s="1"/>
  <c r="AD20" s="1"/>
  <c r="R19"/>
  <c r="AC19" s="1"/>
  <c r="AC20" s="1"/>
  <c r="AC15"/>
  <c r="AB15"/>
  <c r="Z15"/>
  <c r="AA15" s="1"/>
  <c r="Y15"/>
  <c r="X15"/>
  <c r="W15"/>
  <c r="V15"/>
  <c r="U15"/>
  <c r="T15"/>
  <c r="S15"/>
  <c r="AD15" s="1"/>
  <c r="AB14"/>
  <c r="Z14"/>
  <c r="Y14"/>
  <c r="X14"/>
  <c r="W14"/>
  <c r="V14"/>
  <c r="U14"/>
  <c r="T14"/>
  <c r="S14"/>
  <c r="AD14" s="1"/>
  <c r="R14"/>
  <c r="AC14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31" i="576"/>
  <c r="W31"/>
  <c r="T31"/>
  <c r="Q31"/>
  <c r="X30"/>
  <c r="W30"/>
  <c r="U30"/>
  <c r="T30"/>
  <c r="S30"/>
  <c r="R30"/>
  <c r="Q30"/>
  <c r="M30"/>
  <c r="Y30" s="1"/>
  <c r="J30"/>
  <c r="V30" s="1"/>
  <c r="X29"/>
  <c r="W29"/>
  <c r="T29"/>
  <c r="Q29"/>
  <c r="X28"/>
  <c r="W28"/>
  <c r="T28"/>
  <c r="Q28"/>
  <c r="X24"/>
  <c r="W24"/>
  <c r="U24"/>
  <c r="T24"/>
  <c r="S24"/>
  <c r="R24"/>
  <c r="Q24"/>
  <c r="M24"/>
  <c r="Y24" s="1"/>
  <c r="J24"/>
  <c r="V24" s="1"/>
  <c r="X23"/>
  <c r="W23"/>
  <c r="T23"/>
  <c r="Q23"/>
  <c r="X22"/>
  <c r="W22"/>
  <c r="T22"/>
  <c r="Q22"/>
  <c r="X21"/>
  <c r="W21"/>
  <c r="T21"/>
  <c r="Q21"/>
  <c r="X20"/>
  <c r="W20"/>
  <c r="T20"/>
  <c r="T25" s="1"/>
  <c r="Q20"/>
  <c r="X16"/>
  <c r="W16"/>
  <c r="T16"/>
  <c r="Q16"/>
  <c r="X15"/>
  <c r="W15"/>
  <c r="U15"/>
  <c r="T15"/>
  <c r="S15"/>
  <c r="R15"/>
  <c r="Q15"/>
  <c r="M15"/>
  <c r="Y15" s="1"/>
  <c r="J15"/>
  <c r="V15" s="1"/>
  <c r="X14"/>
  <c r="W14"/>
  <c r="T14"/>
  <c r="Q14"/>
  <c r="D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N92" i="810"/>
  <c r="K92"/>
  <c r="J92"/>
  <c r="I92"/>
  <c r="H92"/>
  <c r="G92"/>
  <c r="F92"/>
  <c r="A92"/>
  <c r="AE5"/>
  <c r="P92" s="1"/>
  <c r="AC5"/>
  <c r="O92" s="1"/>
  <c r="AC15" i="809"/>
  <c r="AB15"/>
  <c r="Z15"/>
  <c r="AA15" s="1"/>
  <c r="Y15"/>
  <c r="X15"/>
  <c r="W15"/>
  <c r="V15"/>
  <c r="U15"/>
  <c r="T15"/>
  <c r="S15"/>
  <c r="AD15" s="1"/>
  <c r="AB14"/>
  <c r="Z14"/>
  <c r="Y14"/>
  <c r="X14"/>
  <c r="W14"/>
  <c r="V14"/>
  <c r="U14"/>
  <c r="T14"/>
  <c r="S14"/>
  <c r="AD14" s="1"/>
  <c r="R14"/>
  <c r="AC14" s="1"/>
  <c r="X16" i="808"/>
  <c r="W16"/>
  <c r="T16"/>
  <c r="Q16"/>
  <c r="X15"/>
  <c r="W15"/>
  <c r="U15"/>
  <c r="T15"/>
  <c r="S15"/>
  <c r="R15"/>
  <c r="Q15"/>
  <c r="M15"/>
  <c r="Y15" s="1"/>
  <c r="J15"/>
  <c r="V15" s="1"/>
  <c r="X14"/>
  <c r="W14"/>
  <c r="T14"/>
  <c r="Q14"/>
  <c r="D14"/>
  <c r="X30"/>
  <c r="W30"/>
  <c r="T30"/>
  <c r="Q30"/>
  <c r="N94" i="810"/>
  <c r="K94"/>
  <c r="J94"/>
  <c r="I94"/>
  <c r="H94"/>
  <c r="G94"/>
  <c r="F94"/>
  <c r="C94"/>
  <c r="B94"/>
  <c r="A94"/>
  <c r="N93"/>
  <c r="K93"/>
  <c r="J93"/>
  <c r="I93"/>
  <c r="H93"/>
  <c r="G93"/>
  <c r="F93"/>
  <c r="C93"/>
  <c r="B93"/>
  <c r="A93"/>
  <c r="N91"/>
  <c r="N95" s="1"/>
  <c r="H16" i="817" s="1"/>
  <c r="K91" i="810"/>
  <c r="K95" s="1"/>
  <c r="J91"/>
  <c r="J95" s="1"/>
  <c r="I91"/>
  <c r="I95" s="1"/>
  <c r="H91"/>
  <c r="H95" s="1"/>
  <c r="G91"/>
  <c r="G95" s="1"/>
  <c r="F91"/>
  <c r="F95" s="1"/>
  <c r="C91"/>
  <c r="B91"/>
  <c r="A91"/>
  <c r="B38"/>
  <c r="B37"/>
  <c r="B24"/>
  <c r="L92" s="1"/>
  <c r="M92" s="1"/>
  <c r="BA12"/>
  <c r="AZ12"/>
  <c r="AZ43" s="1"/>
  <c r="AY12"/>
  <c r="AX12"/>
  <c r="AX43" s="1"/>
  <c r="AW12"/>
  <c r="AV12"/>
  <c r="AV43" s="1"/>
  <c r="AU12"/>
  <c r="AT12"/>
  <c r="AT43" s="1"/>
  <c r="AS12"/>
  <c r="AR12"/>
  <c r="AR44" s="1"/>
  <c r="AO12"/>
  <c r="AN12"/>
  <c r="AN44" s="1"/>
  <c r="AM12"/>
  <c r="AL12"/>
  <c r="AL44" s="1"/>
  <c r="AK12"/>
  <c r="AJ12"/>
  <c r="AJ44" s="1"/>
  <c r="AI12"/>
  <c r="AH12"/>
  <c r="AH44" s="1"/>
  <c r="AG12"/>
  <c r="AF12"/>
  <c r="AF44" s="1"/>
  <c r="AE7"/>
  <c r="P94" s="1"/>
  <c r="AC7"/>
  <c r="O94" s="1"/>
  <c r="AE6"/>
  <c r="P93" s="1"/>
  <c r="AC6"/>
  <c r="O93" s="1"/>
  <c r="AE4"/>
  <c r="P91" s="1"/>
  <c r="AC4"/>
  <c r="O91" s="1"/>
  <c r="B390" i="809"/>
  <c r="B389"/>
  <c r="B388"/>
  <c r="AB24"/>
  <c r="AB25" s="1"/>
  <c r="Z24"/>
  <c r="Z25" s="1"/>
  <c r="Y24"/>
  <c r="Y25" s="1"/>
  <c r="X24"/>
  <c r="X25" s="1"/>
  <c r="W24"/>
  <c r="W25" s="1"/>
  <c r="V24"/>
  <c r="V25" s="1"/>
  <c r="U24"/>
  <c r="U25" s="1"/>
  <c r="T24"/>
  <c r="T25" s="1"/>
  <c r="S24"/>
  <c r="AD24" s="1"/>
  <c r="AD25" s="1"/>
  <c r="R24"/>
  <c r="AC24" s="1"/>
  <c r="AC25" s="1"/>
  <c r="AC20"/>
  <c r="AB20"/>
  <c r="Z20"/>
  <c r="AA20" s="1"/>
  <c r="Y20"/>
  <c r="X20"/>
  <c r="W20"/>
  <c r="V20"/>
  <c r="U20"/>
  <c r="T20"/>
  <c r="S20"/>
  <c r="AD20" s="1"/>
  <c r="AB19"/>
  <c r="Z19"/>
  <c r="Y19"/>
  <c r="X19"/>
  <c r="W19"/>
  <c r="V19"/>
  <c r="U19"/>
  <c r="T19"/>
  <c r="S19"/>
  <c r="AD19" s="1"/>
  <c r="R19"/>
  <c r="AC19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32" i="808"/>
  <c r="W32"/>
  <c r="T32"/>
  <c r="Q32"/>
  <c r="X31"/>
  <c r="W31"/>
  <c r="U31"/>
  <c r="T31"/>
  <c r="S31"/>
  <c r="R31"/>
  <c r="Q31"/>
  <c r="M31"/>
  <c r="Y31" s="1"/>
  <c r="J31"/>
  <c r="V31" s="1"/>
  <c r="X29"/>
  <c r="W29"/>
  <c r="T29"/>
  <c r="Q29"/>
  <c r="X25"/>
  <c r="W25"/>
  <c r="U25"/>
  <c r="T25"/>
  <c r="S25"/>
  <c r="R25"/>
  <c r="Q25"/>
  <c r="M25"/>
  <c r="Y25" s="1"/>
  <c r="J25"/>
  <c r="V25" s="1"/>
  <c r="X24"/>
  <c r="W24"/>
  <c r="U24"/>
  <c r="T24"/>
  <c r="S24"/>
  <c r="R24"/>
  <c r="Q24"/>
  <c r="M24"/>
  <c r="Y24" s="1"/>
  <c r="J24"/>
  <c r="V24" s="1"/>
  <c r="X23"/>
  <c r="W23"/>
  <c r="T23"/>
  <c r="Q23"/>
  <c r="X22"/>
  <c r="W22"/>
  <c r="T22"/>
  <c r="Q22"/>
  <c r="X21"/>
  <c r="W21"/>
  <c r="T21"/>
  <c r="Q21"/>
  <c r="X20"/>
  <c r="W20"/>
  <c r="T20"/>
  <c r="Q20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N92" i="569"/>
  <c r="K92"/>
  <c r="J92"/>
  <c r="I92"/>
  <c r="H92"/>
  <c r="G92"/>
  <c r="F92"/>
  <c r="C92"/>
  <c r="B92"/>
  <c r="A92"/>
  <c r="N91"/>
  <c r="K91"/>
  <c r="J91"/>
  <c r="I91"/>
  <c r="H91"/>
  <c r="G91"/>
  <c r="F91"/>
  <c r="C91"/>
  <c r="B91"/>
  <c r="A91"/>
  <c r="N90"/>
  <c r="N93" s="1"/>
  <c r="H15" i="817" s="1"/>
  <c r="K90" i="569"/>
  <c r="K93" s="1"/>
  <c r="J90"/>
  <c r="J93" s="1"/>
  <c r="I90"/>
  <c r="I93" s="1"/>
  <c r="H90"/>
  <c r="H93" s="1"/>
  <c r="G90"/>
  <c r="G93" s="1"/>
  <c r="F90"/>
  <c r="F93" s="1"/>
  <c r="C90"/>
  <c r="B90"/>
  <c r="A90"/>
  <c r="AE6"/>
  <c r="P92" s="1"/>
  <c r="AC6"/>
  <c r="O92" s="1"/>
  <c r="AE5"/>
  <c r="P91" s="1"/>
  <c r="AC5"/>
  <c r="O91" s="1"/>
  <c r="AE4"/>
  <c r="P90" s="1"/>
  <c r="P93" s="1"/>
  <c r="J15" i="817" s="1"/>
  <c r="AC4" i="569"/>
  <c r="O90" s="1"/>
  <c r="O93" s="1"/>
  <c r="I15" i="817" s="1"/>
  <c r="AB19" i="568"/>
  <c r="AB20" s="1"/>
  <c r="Z19"/>
  <c r="Z20" s="1"/>
  <c r="Y19"/>
  <c r="Y20" s="1"/>
  <c r="X19"/>
  <c r="X20" s="1"/>
  <c r="W19"/>
  <c r="W20" s="1"/>
  <c r="V19"/>
  <c r="V20" s="1"/>
  <c r="U19"/>
  <c r="U20" s="1"/>
  <c r="T19"/>
  <c r="T20" s="1"/>
  <c r="S19"/>
  <c r="AD19" s="1"/>
  <c r="AD20" s="1"/>
  <c r="R19"/>
  <c r="AC19" s="1"/>
  <c r="AC20" s="1"/>
  <c r="AC15"/>
  <c r="AB15"/>
  <c r="Z15"/>
  <c r="AA15" s="1"/>
  <c r="Y15"/>
  <c r="X15"/>
  <c r="W15"/>
  <c r="V15"/>
  <c r="U15"/>
  <c r="T15"/>
  <c r="S15"/>
  <c r="AD15" s="1"/>
  <c r="AB14"/>
  <c r="Z14"/>
  <c r="Y14"/>
  <c r="X14"/>
  <c r="W14"/>
  <c r="V14"/>
  <c r="U14"/>
  <c r="T14"/>
  <c r="S14"/>
  <c r="AD14" s="1"/>
  <c r="R14"/>
  <c r="AC14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25" i="567"/>
  <c r="W25"/>
  <c r="T25"/>
  <c r="Q25"/>
  <c r="X24"/>
  <c r="W24"/>
  <c r="U24"/>
  <c r="T24"/>
  <c r="S24"/>
  <c r="R24"/>
  <c r="Q24"/>
  <c r="M24"/>
  <c r="Y24" s="1"/>
  <c r="J24"/>
  <c r="V24" s="1"/>
  <c r="X23"/>
  <c r="W23"/>
  <c r="T23"/>
  <c r="Q23"/>
  <c r="X19"/>
  <c r="W19"/>
  <c r="U19"/>
  <c r="T19"/>
  <c r="S19"/>
  <c r="R19"/>
  <c r="Q19"/>
  <c r="M19"/>
  <c r="Y19" s="1"/>
  <c r="J19"/>
  <c r="V19" s="1"/>
  <c r="X18"/>
  <c r="W18"/>
  <c r="U18"/>
  <c r="T18"/>
  <c r="S18"/>
  <c r="R18"/>
  <c r="Q18"/>
  <c r="M18"/>
  <c r="Y18" s="1"/>
  <c r="J18"/>
  <c r="V18" s="1"/>
  <c r="X17"/>
  <c r="W17"/>
  <c r="T17"/>
  <c r="Q17"/>
  <c r="X16"/>
  <c r="W16"/>
  <c r="T16"/>
  <c r="Q16"/>
  <c r="X15"/>
  <c r="W15"/>
  <c r="T15"/>
  <c r="Q15"/>
  <c r="X14"/>
  <c r="W14"/>
  <c r="T14"/>
  <c r="Q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N90" i="566"/>
  <c r="K90"/>
  <c r="J90"/>
  <c r="I90"/>
  <c r="H90"/>
  <c r="G90"/>
  <c r="F90"/>
  <c r="C90"/>
  <c r="B90"/>
  <c r="A90"/>
  <c r="N91"/>
  <c r="K91"/>
  <c r="J91"/>
  <c r="I91"/>
  <c r="H91"/>
  <c r="G91"/>
  <c r="F91"/>
  <c r="C91"/>
  <c r="B91"/>
  <c r="A91"/>
  <c r="N92"/>
  <c r="K92"/>
  <c r="J92"/>
  <c r="I92"/>
  <c r="H92"/>
  <c r="G92"/>
  <c r="F92"/>
  <c r="C92"/>
  <c r="B92"/>
  <c r="A92"/>
  <c r="AE6"/>
  <c r="P92" s="1"/>
  <c r="AC6"/>
  <c r="O92" s="1"/>
  <c r="AE5"/>
  <c r="P91" s="1"/>
  <c r="AC5"/>
  <c r="O91" s="1"/>
  <c r="AE4"/>
  <c r="P90" s="1"/>
  <c r="P93" s="1"/>
  <c r="J14" i="817" s="1"/>
  <c r="AC4" i="566"/>
  <c r="O90" s="1"/>
  <c r="O93" s="1"/>
  <c r="I14" i="817" s="1"/>
  <c r="AB19" i="565"/>
  <c r="AB20" s="1"/>
  <c r="Z19"/>
  <c r="Z20" s="1"/>
  <c r="Y19"/>
  <c r="Y20" s="1"/>
  <c r="X19"/>
  <c r="X20" s="1"/>
  <c r="W19"/>
  <c r="W20" s="1"/>
  <c r="V19"/>
  <c r="V20" s="1"/>
  <c r="U19"/>
  <c r="U20" s="1"/>
  <c r="T19"/>
  <c r="T20" s="1"/>
  <c r="S19"/>
  <c r="AD19" s="1"/>
  <c r="AD20" s="1"/>
  <c r="R19"/>
  <c r="AC19" s="1"/>
  <c r="AC20" s="1"/>
  <c r="AC15"/>
  <c r="AB15"/>
  <c r="Z15"/>
  <c r="AA15" s="1"/>
  <c r="Y15"/>
  <c r="X15"/>
  <c r="W15"/>
  <c r="V15"/>
  <c r="U15"/>
  <c r="T15"/>
  <c r="S15"/>
  <c r="AD15" s="1"/>
  <c r="AB14"/>
  <c r="Z14"/>
  <c r="Y14"/>
  <c r="X14"/>
  <c r="W14"/>
  <c r="V14"/>
  <c r="U14"/>
  <c r="T14"/>
  <c r="S14"/>
  <c r="AD14" s="1"/>
  <c r="R14"/>
  <c r="AC14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25" i="564"/>
  <c r="W25"/>
  <c r="T25"/>
  <c r="Q25"/>
  <c r="X24"/>
  <c r="W24"/>
  <c r="U24"/>
  <c r="T24"/>
  <c r="S24"/>
  <c r="R24"/>
  <c r="Q24"/>
  <c r="M24"/>
  <c r="Y24" s="1"/>
  <c r="J24"/>
  <c r="V24" s="1"/>
  <c r="X23"/>
  <c r="W23"/>
  <c r="T23"/>
  <c r="Q23"/>
  <c r="X19"/>
  <c r="W19"/>
  <c r="U19"/>
  <c r="T19"/>
  <c r="S19"/>
  <c r="R19"/>
  <c r="Q19"/>
  <c r="M19"/>
  <c r="Y19" s="1"/>
  <c r="J19"/>
  <c r="V19" s="1"/>
  <c r="X18"/>
  <c r="W18"/>
  <c r="U18"/>
  <c r="T18"/>
  <c r="S18"/>
  <c r="R18"/>
  <c r="Q18"/>
  <c r="M18"/>
  <c r="Y18" s="1"/>
  <c r="J18"/>
  <c r="V18" s="1"/>
  <c r="X17"/>
  <c r="W17"/>
  <c r="T17"/>
  <c r="Q17"/>
  <c r="X16"/>
  <c r="W16"/>
  <c r="T16"/>
  <c r="Q16"/>
  <c r="X15"/>
  <c r="W15"/>
  <c r="T15"/>
  <c r="Q15"/>
  <c r="X14"/>
  <c r="W14"/>
  <c r="T14"/>
  <c r="Q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D15" i="25" l="1"/>
  <c r="B78" i="817"/>
  <c r="AZ58" i="816"/>
  <c r="AX50"/>
  <c r="AX58"/>
  <c r="AV58"/>
  <c r="AT50"/>
  <c r="AR58"/>
  <c r="AT58"/>
  <c r="T11" i="808"/>
  <c r="X11"/>
  <c r="Q26"/>
  <c r="AT62" i="816"/>
  <c r="AR74"/>
  <c r="AN62"/>
  <c r="AN50"/>
  <c r="AZ74"/>
  <c r="AX62"/>
  <c r="AV74"/>
  <c r="AZ70"/>
  <c r="AR70"/>
  <c r="T11" i="666"/>
  <c r="X11"/>
  <c r="Q17"/>
  <c r="W17"/>
  <c r="AC11" i="667"/>
  <c r="T11"/>
  <c r="V11"/>
  <c r="X11"/>
  <c r="Z11"/>
  <c r="AC20"/>
  <c r="T20"/>
  <c r="V20"/>
  <c r="X20"/>
  <c r="Z20"/>
  <c r="T11" i="669"/>
  <c r="X11"/>
  <c r="Q17"/>
  <c r="Q23"/>
  <c r="AC11" i="670"/>
  <c r="AC20" s="1"/>
  <c r="F47" i="817" s="1"/>
  <c r="T11" i="670"/>
  <c r="T20" s="1"/>
  <c r="V11"/>
  <c r="V20" s="1"/>
  <c r="X11"/>
  <c r="X20" s="1"/>
  <c r="Z11"/>
  <c r="Z20" s="1"/>
  <c r="T11" i="672"/>
  <c r="X11"/>
  <c r="Q17"/>
  <c r="W17"/>
  <c r="Q23"/>
  <c r="X23"/>
  <c r="AC11" i="673"/>
  <c r="AC20" s="1"/>
  <c r="F48" i="817" s="1"/>
  <c r="T11" i="673"/>
  <c r="T20" s="1"/>
  <c r="V11"/>
  <c r="V20" s="1"/>
  <c r="X11"/>
  <c r="X20" s="1"/>
  <c r="Z11"/>
  <c r="Z20" s="1"/>
  <c r="T11" i="675"/>
  <c r="X11"/>
  <c r="Q17"/>
  <c r="W17"/>
  <c r="Q23"/>
  <c r="X23"/>
  <c r="AC11" i="676"/>
  <c r="AC20" s="1"/>
  <c r="F49" i="817" s="1"/>
  <c r="T11" i="676"/>
  <c r="T20" s="1"/>
  <c r="V11"/>
  <c r="V20" s="1"/>
  <c r="X11"/>
  <c r="X20" s="1"/>
  <c r="Z11"/>
  <c r="Z20" s="1"/>
  <c r="T11" i="678"/>
  <c r="X11"/>
  <c r="AC11" i="679"/>
  <c r="T11"/>
  <c r="V11"/>
  <c r="X11"/>
  <c r="Z11"/>
  <c r="T11" i="681"/>
  <c r="X11"/>
  <c r="V18"/>
  <c r="Q18"/>
  <c r="S18"/>
  <c r="U18"/>
  <c r="X18"/>
  <c r="AD11" i="682"/>
  <c r="U11"/>
  <c r="W11"/>
  <c r="Y11"/>
  <c r="AB11"/>
  <c r="Q11" i="684"/>
  <c r="W11"/>
  <c r="Y16"/>
  <c r="R16"/>
  <c r="T16"/>
  <c r="W16"/>
  <c r="AC11" i="685"/>
  <c r="AC20" s="1"/>
  <c r="F52" i="817" s="1"/>
  <c r="T11" i="685"/>
  <c r="T20" s="1"/>
  <c r="V11"/>
  <c r="V20" s="1"/>
  <c r="X11"/>
  <c r="X20" s="1"/>
  <c r="Z11"/>
  <c r="Z20" s="1"/>
  <c r="T11" i="687"/>
  <c r="X11"/>
  <c r="V16"/>
  <c r="Q16"/>
  <c r="S16"/>
  <c r="U16"/>
  <c r="X16"/>
  <c r="AD11" i="688"/>
  <c r="AD20" s="1"/>
  <c r="G53" i="817" s="1"/>
  <c r="U11" i="688"/>
  <c r="U20" s="1"/>
  <c r="W11"/>
  <c r="W20" s="1"/>
  <c r="Y11"/>
  <c r="Y20" s="1"/>
  <c r="AB11"/>
  <c r="AB20" s="1"/>
  <c r="E53" i="817" s="1"/>
  <c r="Q11" i="690"/>
  <c r="Q16" s="1"/>
  <c r="W11"/>
  <c r="W16" s="1"/>
  <c r="B54" i="817" s="1"/>
  <c r="T11" i="693"/>
  <c r="T16" s="1"/>
  <c r="AD11" i="694"/>
  <c r="AD16" s="1"/>
  <c r="G55" i="817" s="1"/>
  <c r="U11" i="694"/>
  <c r="U16" s="1"/>
  <c r="W11"/>
  <c r="W16" s="1"/>
  <c r="Y11"/>
  <c r="Y16" s="1"/>
  <c r="AB11"/>
  <c r="AB16" s="1"/>
  <c r="E55" i="817" s="1"/>
  <c r="AN58" i="816"/>
  <c r="AV70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L75"/>
  <c r="AL71"/>
  <c r="AL67"/>
  <c r="AL63"/>
  <c r="AL59"/>
  <c r="AL55"/>
  <c r="AL51"/>
  <c r="AJ75"/>
  <c r="AJ71"/>
  <c r="AJ67"/>
  <c r="AJ63"/>
  <c r="AJ59"/>
  <c r="AJ55"/>
  <c r="AJ51"/>
  <c r="AH75"/>
  <c r="AH71"/>
  <c r="AH67"/>
  <c r="AH63"/>
  <c r="AH59"/>
  <c r="AH55"/>
  <c r="AH51"/>
  <c r="AF75"/>
  <c r="AF71"/>
  <c r="AF67"/>
  <c r="AF63"/>
  <c r="AF59"/>
  <c r="AF55"/>
  <c r="AF51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K75"/>
  <c r="AK71"/>
  <c r="AK67"/>
  <c r="AK63"/>
  <c r="AK59"/>
  <c r="AK55"/>
  <c r="AK51"/>
  <c r="AI75"/>
  <c r="AI71"/>
  <c r="AI67"/>
  <c r="AI63"/>
  <c r="AI59"/>
  <c r="AI55"/>
  <c r="AI51"/>
  <c r="AG75"/>
  <c r="AG71"/>
  <c r="AG67"/>
  <c r="AG63"/>
  <c r="AG59"/>
  <c r="AG55"/>
  <c r="AG51"/>
  <c r="AZ54"/>
  <c r="AZ62"/>
  <c r="AX66"/>
  <c r="AX74"/>
  <c r="AV54"/>
  <c r="AV62"/>
  <c r="AT66"/>
  <c r="AT74"/>
  <c r="AR54"/>
  <c r="AR62"/>
  <c r="AN66"/>
  <c r="AN74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Q11" i="808"/>
  <c r="W11"/>
  <c r="AC21" i="809"/>
  <c r="F16" i="817" s="1"/>
  <c r="T11" i="576"/>
  <c r="X11"/>
  <c r="T17"/>
  <c r="AC11" i="577"/>
  <c r="T11"/>
  <c r="V11"/>
  <c r="X11"/>
  <c r="Z11"/>
  <c r="AC16"/>
  <c r="T16"/>
  <c r="V16"/>
  <c r="X16"/>
  <c r="Z16"/>
  <c r="T11" i="579"/>
  <c r="T17"/>
  <c r="AC11" i="580"/>
  <c r="T11"/>
  <c r="V11"/>
  <c r="X11"/>
  <c r="Z11"/>
  <c r="AC16"/>
  <c r="T16"/>
  <c r="V16"/>
  <c r="X16"/>
  <c r="Z16"/>
  <c r="W25" i="582"/>
  <c r="T32"/>
  <c r="X32"/>
  <c r="T11" i="585"/>
  <c r="T17"/>
  <c r="W22"/>
  <c r="AD25" i="586"/>
  <c r="U25"/>
  <c r="W25"/>
  <c r="Q17" i="588"/>
  <c r="Q11" i="591"/>
  <c r="Q17"/>
  <c r="W29"/>
  <c r="Q17" i="594"/>
  <c r="AC11" i="595"/>
  <c r="T11"/>
  <c r="V11"/>
  <c r="X11"/>
  <c r="Z11"/>
  <c r="AC16"/>
  <c r="T16"/>
  <c r="V16"/>
  <c r="X16"/>
  <c r="Z16"/>
  <c r="T11" i="597"/>
  <c r="X11"/>
  <c r="T17"/>
  <c r="X17"/>
  <c r="W23"/>
  <c r="AD11" i="598"/>
  <c r="U11"/>
  <c r="W11"/>
  <c r="Y11"/>
  <c r="AB11"/>
  <c r="AD16"/>
  <c r="U16"/>
  <c r="W16"/>
  <c r="Y16"/>
  <c r="AB16"/>
  <c r="Q17" i="600"/>
  <c r="T11" i="603"/>
  <c r="X11"/>
  <c r="T17"/>
  <c r="T24"/>
  <c r="T31"/>
  <c r="X31"/>
  <c r="AD22" i="607"/>
  <c r="AB22"/>
  <c r="Q17" i="609"/>
  <c r="W17"/>
  <c r="Q28"/>
  <c r="W28"/>
  <c r="AC16" i="610"/>
  <c r="T16"/>
  <c r="V16"/>
  <c r="X16"/>
  <c r="Z16"/>
  <c r="AC21"/>
  <c r="T21"/>
  <c r="V21"/>
  <c r="X21"/>
  <c r="Z21"/>
  <c r="AC27"/>
  <c r="T27"/>
  <c r="V27"/>
  <c r="X27"/>
  <c r="Z27"/>
  <c r="T11" i="612"/>
  <c r="X11"/>
  <c r="T17"/>
  <c r="X17"/>
  <c r="T28"/>
  <c r="X28"/>
  <c r="AD11" i="613"/>
  <c r="U11"/>
  <c r="W11"/>
  <c r="Y11"/>
  <c r="AB11"/>
  <c r="AD16"/>
  <c r="U16"/>
  <c r="W16"/>
  <c r="Y16"/>
  <c r="AB16"/>
  <c r="AD25"/>
  <c r="U25"/>
  <c r="W25"/>
  <c r="Y25"/>
  <c r="AB25"/>
  <c r="Q11" i="615"/>
  <c r="AC11" i="616"/>
  <c r="T11"/>
  <c r="V11"/>
  <c r="X11"/>
  <c r="Z11"/>
  <c r="T11" i="618"/>
  <c r="X11"/>
  <c r="Q19"/>
  <c r="W19"/>
  <c r="AB11" i="619"/>
  <c r="T11" i="726"/>
  <c r="T19" s="1"/>
  <c r="X11"/>
  <c r="X19" s="1"/>
  <c r="C66" i="817" s="1"/>
  <c r="Q11" i="729"/>
  <c r="Q19" s="1"/>
  <c r="W11"/>
  <c r="W19" s="1"/>
  <c r="B67" i="817" s="1"/>
  <c r="AZ50" i="816"/>
  <c r="AZ66"/>
  <c r="AX54"/>
  <c r="AV50"/>
  <c r="AV66"/>
  <c r="AT54"/>
  <c r="AR50"/>
  <c r="AR66"/>
  <c r="AN54"/>
  <c r="BA75" i="813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AC11" i="619"/>
  <c r="T11" i="621"/>
  <c r="X11"/>
  <c r="Q19"/>
  <c r="W19"/>
  <c r="T17" i="642"/>
  <c r="T18" s="1"/>
  <c r="X17"/>
  <c r="X18" s="1"/>
  <c r="C38" i="817" s="1"/>
  <c r="T20" i="567"/>
  <c r="X20"/>
  <c r="T26"/>
  <c r="X26"/>
  <c r="AC11" i="568"/>
  <c r="T11"/>
  <c r="V11"/>
  <c r="X11"/>
  <c r="Z11"/>
  <c r="AC16"/>
  <c r="T16"/>
  <c r="V16"/>
  <c r="X16"/>
  <c r="Z16"/>
  <c r="AB11" i="809"/>
  <c r="AB21"/>
  <c r="E16" i="817" s="1"/>
  <c r="Q17" i="585"/>
  <c r="W17"/>
  <c r="X22"/>
  <c r="X29"/>
  <c r="AC25" i="586"/>
  <c r="T25"/>
  <c r="V25"/>
  <c r="X25"/>
  <c r="Z25"/>
  <c r="T17" i="588"/>
  <c r="X29"/>
  <c r="AC11" i="589"/>
  <c r="T11"/>
  <c r="V11"/>
  <c r="X11"/>
  <c r="Z11"/>
  <c r="AC16"/>
  <c r="T16"/>
  <c r="V16"/>
  <c r="X16"/>
  <c r="Z16"/>
  <c r="AC25"/>
  <c r="T25"/>
  <c r="V25"/>
  <c r="X25"/>
  <c r="Z25"/>
  <c r="T11" i="591"/>
  <c r="X11"/>
  <c r="W22"/>
  <c r="AC11" i="592"/>
  <c r="T11"/>
  <c r="V11"/>
  <c r="X11"/>
  <c r="Z11"/>
  <c r="AC16"/>
  <c r="T16"/>
  <c r="V16"/>
  <c r="X16"/>
  <c r="Z16"/>
  <c r="AC25"/>
  <c r="T25"/>
  <c r="V25"/>
  <c r="X25"/>
  <c r="Z25"/>
  <c r="T11" i="594"/>
  <c r="T17"/>
  <c r="X17"/>
  <c r="W23"/>
  <c r="Q17" i="597"/>
  <c r="T11" i="600"/>
  <c r="T17"/>
  <c r="X17"/>
  <c r="Q17" i="603"/>
  <c r="W17"/>
  <c r="Q24"/>
  <c r="W24"/>
  <c r="AC11" i="604"/>
  <c r="T11"/>
  <c r="V11"/>
  <c r="X11"/>
  <c r="Z11"/>
  <c r="AC16"/>
  <c r="T16"/>
  <c r="V16"/>
  <c r="X16"/>
  <c r="Z16"/>
  <c r="T11" i="606"/>
  <c r="T24"/>
  <c r="X24"/>
  <c r="Q31"/>
  <c r="W31"/>
  <c r="AC11" i="607"/>
  <c r="T11"/>
  <c r="V11"/>
  <c r="X11"/>
  <c r="Z11"/>
  <c r="AC16"/>
  <c r="T16"/>
  <c r="V16"/>
  <c r="X16"/>
  <c r="Z16"/>
  <c r="AC22"/>
  <c r="T22"/>
  <c r="V22"/>
  <c r="X22"/>
  <c r="Z22"/>
  <c r="AC28"/>
  <c r="T28"/>
  <c r="V28"/>
  <c r="X28"/>
  <c r="Z28"/>
  <c r="T11" i="609"/>
  <c r="T17"/>
  <c r="Q17" i="612"/>
  <c r="T11" i="615"/>
  <c r="Q11" i="618"/>
  <c r="Q20" s="1"/>
  <c r="T11" i="619"/>
  <c r="V11"/>
  <c r="X11"/>
  <c r="Z11"/>
  <c r="AD16"/>
  <c r="U16"/>
  <c r="W16"/>
  <c r="Y16"/>
  <c r="AB16"/>
  <c r="AB17" s="1"/>
  <c r="E31" i="817" s="1"/>
  <c r="Q11" i="621"/>
  <c r="AC11" i="622"/>
  <c r="T11"/>
  <c r="V11"/>
  <c r="X11"/>
  <c r="Z11"/>
  <c r="AC16"/>
  <c r="T16"/>
  <c r="V16"/>
  <c r="X16"/>
  <c r="Z16"/>
  <c r="T11" i="624"/>
  <c r="T20" s="1"/>
  <c r="Q11" i="627"/>
  <c r="AD11" i="628"/>
  <c r="AD16" s="1"/>
  <c r="G34" i="817" s="1"/>
  <c r="U11" i="628"/>
  <c r="U16" s="1"/>
  <c r="W11"/>
  <c r="W16" s="1"/>
  <c r="Y11"/>
  <c r="Y16" s="1"/>
  <c r="AB11"/>
  <c r="AB16" s="1"/>
  <c r="E34" i="817" s="1"/>
  <c r="Q11" i="633"/>
  <c r="Q11" i="636"/>
  <c r="Q19" s="1"/>
  <c r="T18"/>
  <c r="T19" s="1"/>
  <c r="X18"/>
  <c r="X19" s="1"/>
  <c r="C36" i="817" s="1"/>
  <c r="Q11" i="639"/>
  <c r="Q19" s="1"/>
  <c r="W11"/>
  <c r="W19" s="1"/>
  <c r="B37" i="817" s="1"/>
  <c r="T18" i="639"/>
  <c r="T19" s="1"/>
  <c r="X18"/>
  <c r="X19" s="1"/>
  <c r="C37" i="817" s="1"/>
  <c r="AD11" i="640"/>
  <c r="AD16" s="1"/>
  <c r="G37" i="817" s="1"/>
  <c r="U11" i="640"/>
  <c r="U16" s="1"/>
  <c r="W11"/>
  <c r="W16" s="1"/>
  <c r="Y11"/>
  <c r="Y16" s="1"/>
  <c r="AB11"/>
  <c r="AB16" s="1"/>
  <c r="E37" i="817" s="1"/>
  <c r="Q11" i="642"/>
  <c r="Q18" s="1"/>
  <c r="W11"/>
  <c r="W18" s="1"/>
  <c r="B38" i="817" s="1"/>
  <c r="AD11" i="643"/>
  <c r="AD16" s="1"/>
  <c r="G38" i="817" s="1"/>
  <c r="U11" i="643"/>
  <c r="U16" s="1"/>
  <c r="W11"/>
  <c r="W16" s="1"/>
  <c r="Y11"/>
  <c r="Y16" s="1"/>
  <c r="AB11"/>
  <c r="AB16" s="1"/>
  <c r="E38" i="817" s="1"/>
  <c r="Q11" i="645"/>
  <c r="Q18" s="1"/>
  <c r="W11"/>
  <c r="W18" s="1"/>
  <c r="B39" i="817" s="1"/>
  <c r="T17" i="645"/>
  <c r="T18" s="1"/>
  <c r="X17"/>
  <c r="X18" s="1"/>
  <c r="C39" i="817" s="1"/>
  <c r="AD11" i="646"/>
  <c r="AD16" s="1"/>
  <c r="G39" i="817" s="1"/>
  <c r="U11" i="646"/>
  <c r="U16" s="1"/>
  <c r="W11"/>
  <c r="W16" s="1"/>
  <c r="Y11"/>
  <c r="Y16" s="1"/>
  <c r="AB11"/>
  <c r="AB16" s="1"/>
  <c r="E39" i="817" s="1"/>
  <c r="Q11" i="648"/>
  <c r="Q19" s="1"/>
  <c r="T18"/>
  <c r="T19" s="1"/>
  <c r="AD11" i="649"/>
  <c r="AD16" s="1"/>
  <c r="G40" i="817" s="1"/>
  <c r="U11" i="649"/>
  <c r="U16" s="1"/>
  <c r="W11"/>
  <c r="W16" s="1"/>
  <c r="Y11"/>
  <c r="Y16" s="1"/>
  <c r="AB11"/>
  <c r="AB16" s="1"/>
  <c r="E40" i="817" s="1"/>
  <c r="Q11" i="651"/>
  <c r="Q24" s="1"/>
  <c r="W11"/>
  <c r="T18"/>
  <c r="X18"/>
  <c r="X24" s="1"/>
  <c r="C41" i="817" s="1"/>
  <c r="AD11" i="652"/>
  <c r="AD20" s="1"/>
  <c r="G41" i="817" s="1"/>
  <c r="U11" i="652"/>
  <c r="U20" s="1"/>
  <c r="W11"/>
  <c r="W20" s="1"/>
  <c r="Y11"/>
  <c r="Y20" s="1"/>
  <c r="AB11"/>
  <c r="AB20" s="1"/>
  <c r="E41" i="817" s="1"/>
  <c r="R23" i="651"/>
  <c r="T23"/>
  <c r="W23"/>
  <c r="Q11" i="654"/>
  <c r="Q24" s="1"/>
  <c r="W11"/>
  <c r="R23"/>
  <c r="T23"/>
  <c r="W23"/>
  <c r="U11" i="655"/>
  <c r="U20" s="1"/>
  <c r="W11"/>
  <c r="W20" s="1"/>
  <c r="Y11"/>
  <c r="Y20" s="1"/>
  <c r="AB11"/>
  <c r="AB20" s="1"/>
  <c r="E42" i="817" s="1"/>
  <c r="Q11" i="657"/>
  <c r="W11"/>
  <c r="T18"/>
  <c r="X18"/>
  <c r="Y23"/>
  <c r="R23"/>
  <c r="T23"/>
  <c r="W23"/>
  <c r="AD11" i="658"/>
  <c r="AD20" s="1"/>
  <c r="G43" i="817" s="1"/>
  <c r="U11" i="658"/>
  <c r="U20" s="1"/>
  <c r="W11"/>
  <c r="W20" s="1"/>
  <c r="Y11"/>
  <c r="Y20" s="1"/>
  <c r="AB11"/>
  <c r="AB20" s="1"/>
  <c r="E43" i="817" s="1"/>
  <c r="Q11" i="660"/>
  <c r="Q23" s="1"/>
  <c r="W11"/>
  <c r="T17"/>
  <c r="X17"/>
  <c r="X23" s="1"/>
  <c r="C44" i="817" s="1"/>
  <c r="Y22" i="660"/>
  <c r="R22"/>
  <c r="T22"/>
  <c r="W22"/>
  <c r="AD11" i="661"/>
  <c r="AD20" s="1"/>
  <c r="G44" i="817" s="1"/>
  <c r="U11" i="661"/>
  <c r="U20" s="1"/>
  <c r="W11"/>
  <c r="W20" s="1"/>
  <c r="Y11"/>
  <c r="Y20" s="1"/>
  <c r="AB11"/>
  <c r="AB20" s="1"/>
  <c r="E44" i="817" s="1"/>
  <c r="Q11" i="663"/>
  <c r="Q23" s="1"/>
  <c r="W11"/>
  <c r="T17"/>
  <c r="X17"/>
  <c r="X23" s="1"/>
  <c r="C45" i="817" s="1"/>
  <c r="Y22" i="663"/>
  <c r="R22"/>
  <c r="T22"/>
  <c r="W22"/>
  <c r="AD11" i="664"/>
  <c r="AD20" s="1"/>
  <c r="G45" i="817" s="1"/>
  <c r="U11" i="664"/>
  <c r="U20" s="1"/>
  <c r="W11"/>
  <c r="W20" s="1"/>
  <c r="Y11"/>
  <c r="Y20" s="1"/>
  <c r="AB11"/>
  <c r="AB20" s="1"/>
  <c r="E45" i="817" s="1"/>
  <c r="Q11" i="666"/>
  <c r="W11"/>
  <c r="T17"/>
  <c r="X17"/>
  <c r="AD11" i="667"/>
  <c r="U11"/>
  <c r="W11"/>
  <c r="Y11"/>
  <c r="AB11"/>
  <c r="AD20"/>
  <c r="U20"/>
  <c r="W20"/>
  <c r="Y20"/>
  <c r="AB20"/>
  <c r="Q11" i="669"/>
  <c r="Q24" s="1"/>
  <c r="W11"/>
  <c r="T23"/>
  <c r="Q11" i="672"/>
  <c r="Q24" s="1"/>
  <c r="W11"/>
  <c r="T17"/>
  <c r="X17"/>
  <c r="X24" s="1"/>
  <c r="C48" i="817" s="1"/>
  <c r="T23" i="672"/>
  <c r="W23"/>
  <c r="AD11" i="673"/>
  <c r="AD20" s="1"/>
  <c r="G48" i="817" s="1"/>
  <c r="U11" i="673"/>
  <c r="U20" s="1"/>
  <c r="W11"/>
  <c r="W20" s="1"/>
  <c r="Y11"/>
  <c r="Y20" s="1"/>
  <c r="AB11"/>
  <c r="AB20" s="1"/>
  <c r="E48" i="817" s="1"/>
  <c r="Q11" i="675"/>
  <c r="Q24" s="1"/>
  <c r="W11"/>
  <c r="T17"/>
  <c r="X17"/>
  <c r="X24" s="1"/>
  <c r="C49" i="817" s="1"/>
  <c r="T23" i="675"/>
  <c r="W23"/>
  <c r="AD11" i="676"/>
  <c r="AD20" s="1"/>
  <c r="G49" i="817" s="1"/>
  <c r="U11" i="676"/>
  <c r="U20" s="1"/>
  <c r="W11"/>
  <c r="W20" s="1"/>
  <c r="Q11" i="678"/>
  <c r="R16"/>
  <c r="T16"/>
  <c r="W16"/>
  <c r="AD11" i="679"/>
  <c r="U11"/>
  <c r="W11"/>
  <c r="Y11"/>
  <c r="AB11"/>
  <c r="Q11" i="681"/>
  <c r="Q23" s="1"/>
  <c r="W11"/>
  <c r="Y18"/>
  <c r="R18"/>
  <c r="T18"/>
  <c r="W18"/>
  <c r="AC11" i="682"/>
  <c r="T11"/>
  <c r="V11"/>
  <c r="X11"/>
  <c r="Z11"/>
  <c r="T11" i="684"/>
  <c r="T21" s="1"/>
  <c r="X11"/>
  <c r="V16"/>
  <c r="Q16"/>
  <c r="Q21" s="1"/>
  <c r="S16"/>
  <c r="U16"/>
  <c r="X16"/>
  <c r="AD11" i="685"/>
  <c r="AD20" s="1"/>
  <c r="G52" i="817" s="1"/>
  <c r="U11" i="685"/>
  <c r="U20" s="1"/>
  <c r="W11"/>
  <c r="W20" s="1"/>
  <c r="Y11"/>
  <c r="Y20" s="1"/>
  <c r="AB11"/>
  <c r="AB20" s="1"/>
  <c r="E52" i="817" s="1"/>
  <c r="Q11" i="687"/>
  <c r="Q21" s="1"/>
  <c r="W11"/>
  <c r="Y16"/>
  <c r="R16"/>
  <c r="T16"/>
  <c r="T21" s="1"/>
  <c r="W16"/>
  <c r="AC11" i="688"/>
  <c r="AC20" s="1"/>
  <c r="F53" i="817" s="1"/>
  <c r="T11" i="688"/>
  <c r="T20" s="1"/>
  <c r="V11"/>
  <c r="V20" s="1"/>
  <c r="X11"/>
  <c r="X20" s="1"/>
  <c r="Z11"/>
  <c r="Z20" s="1"/>
  <c r="T11" i="690"/>
  <c r="T16" s="1"/>
  <c r="X11"/>
  <c r="X16" s="1"/>
  <c r="C54" i="817" s="1"/>
  <c r="Q11" i="693"/>
  <c r="Q16" s="1"/>
  <c r="W11"/>
  <c r="W16" s="1"/>
  <c r="B55" i="817" s="1"/>
  <c r="AC11" i="694"/>
  <c r="AC16" s="1"/>
  <c r="F55" i="817" s="1"/>
  <c r="T11" i="694"/>
  <c r="T16" s="1"/>
  <c r="V11"/>
  <c r="V16" s="1"/>
  <c r="X11"/>
  <c r="X16" s="1"/>
  <c r="Z11"/>
  <c r="Z16" s="1"/>
  <c r="T11" i="696"/>
  <c r="T16" s="1"/>
  <c r="X11"/>
  <c r="X16" s="1"/>
  <c r="C56" i="817" s="1"/>
  <c r="AD11" i="697"/>
  <c r="AD16" s="1"/>
  <c r="G56" i="817" s="1"/>
  <c r="U11" i="697"/>
  <c r="U16" s="1"/>
  <c r="W11"/>
  <c r="W16" s="1"/>
  <c r="Y11"/>
  <c r="Y16" s="1"/>
  <c r="AB11"/>
  <c r="AB16" s="1"/>
  <c r="E56" i="817" s="1"/>
  <c r="Q11" i="699"/>
  <c r="Q16" s="1"/>
  <c r="W11"/>
  <c r="W16" s="1"/>
  <c r="B57" i="817" s="1"/>
  <c r="AC11" i="700"/>
  <c r="AC16" s="1"/>
  <c r="F57" i="817" s="1"/>
  <c r="T11" i="700"/>
  <c r="T16" s="1"/>
  <c r="V11"/>
  <c r="V16" s="1"/>
  <c r="X11"/>
  <c r="X16" s="1"/>
  <c r="Z11"/>
  <c r="Z16" s="1"/>
  <c r="T11" i="702"/>
  <c r="T16" s="1"/>
  <c r="X11"/>
  <c r="X16" s="1"/>
  <c r="C58" i="817" s="1"/>
  <c r="AD11" i="703"/>
  <c r="AD16" s="1"/>
  <c r="G58" i="817" s="1"/>
  <c r="U11" i="703"/>
  <c r="U16" s="1"/>
  <c r="W11"/>
  <c r="W16" s="1"/>
  <c r="Y11"/>
  <c r="Y16" s="1"/>
  <c r="AB11"/>
  <c r="AB16" s="1"/>
  <c r="E58" i="817" s="1"/>
  <c r="Q11" i="705"/>
  <c r="Q16" s="1"/>
  <c r="AC11" i="706"/>
  <c r="AC16" s="1"/>
  <c r="F59" i="817" s="1"/>
  <c r="T11" i="706"/>
  <c r="T16" s="1"/>
  <c r="V11"/>
  <c r="V16" s="1"/>
  <c r="X11"/>
  <c r="X16" s="1"/>
  <c r="Z11"/>
  <c r="Z16" s="1"/>
  <c r="T11" i="708"/>
  <c r="T16" s="1"/>
  <c r="X11"/>
  <c r="X16" s="1"/>
  <c r="C60" i="817" s="1"/>
  <c r="AD11" i="709"/>
  <c r="AD16" s="1"/>
  <c r="G60" i="817" s="1"/>
  <c r="U11" i="709"/>
  <c r="U16" s="1"/>
  <c r="W11"/>
  <c r="W16" s="1"/>
  <c r="Y11"/>
  <c r="Y16" s="1"/>
  <c r="AB11"/>
  <c r="AB16" s="1"/>
  <c r="E60" i="817" s="1"/>
  <c r="Q11" i="711"/>
  <c r="Q16" s="1"/>
  <c r="W11"/>
  <c r="W16" s="1"/>
  <c r="B61" i="817" s="1"/>
  <c r="AC11" i="712"/>
  <c r="AC16" s="1"/>
  <c r="F61" i="817" s="1"/>
  <c r="T11" i="712"/>
  <c r="T16" s="1"/>
  <c r="V11"/>
  <c r="V16" s="1"/>
  <c r="X11"/>
  <c r="X16" s="1"/>
  <c r="Z11"/>
  <c r="Z16" s="1"/>
  <c r="T11" i="714"/>
  <c r="T16" s="1"/>
  <c r="AD11" i="715"/>
  <c r="AD16" s="1"/>
  <c r="G62" i="817" s="1"/>
  <c r="U11" i="715"/>
  <c r="U16" s="1"/>
  <c r="W11"/>
  <c r="W16" s="1"/>
  <c r="Y11"/>
  <c r="Y16" s="1"/>
  <c r="AB11"/>
  <c r="AB16" s="1"/>
  <c r="E62" i="817" s="1"/>
  <c r="Q11" i="717"/>
  <c r="Q20" s="1"/>
  <c r="T11" i="720"/>
  <c r="T20" s="1"/>
  <c r="X11"/>
  <c r="X20" s="1"/>
  <c r="C64" i="817" s="1"/>
  <c r="Q11" i="723"/>
  <c r="Q20" s="1"/>
  <c r="W11"/>
  <c r="W20" s="1"/>
  <c r="B65" i="817" s="1"/>
  <c r="I93" i="566"/>
  <c r="T11" i="564"/>
  <c r="Q26"/>
  <c r="AC11" i="809"/>
  <c r="T21"/>
  <c r="V21"/>
  <c r="X21"/>
  <c r="Z21"/>
  <c r="Q17" i="808"/>
  <c r="Q11" i="582"/>
  <c r="Q17"/>
  <c r="W17"/>
  <c r="AD11" i="583"/>
  <c r="U11"/>
  <c r="W11"/>
  <c r="Y11"/>
  <c r="AB11"/>
  <c r="AD16"/>
  <c r="U16"/>
  <c r="W16"/>
  <c r="Y16"/>
  <c r="AB16"/>
  <c r="T17" i="606"/>
  <c r="X17"/>
  <c r="AD16" i="616"/>
  <c r="U16"/>
  <c r="Y25" i="586"/>
  <c r="Q11" i="588"/>
  <c r="W23" i="669"/>
  <c r="O95" i="810"/>
  <c r="I16" i="817" s="1"/>
  <c r="AB25" i="586"/>
  <c r="W17" i="588"/>
  <c r="X22"/>
  <c r="Q24" i="600"/>
  <c r="W24"/>
  <c r="U22" i="607"/>
  <c r="W22"/>
  <c r="Y22"/>
  <c r="W16" i="616"/>
  <c r="Y16"/>
  <c r="AB16"/>
  <c r="Q19" i="627"/>
  <c r="Q19" i="633"/>
  <c r="T20" i="682"/>
  <c r="V20"/>
  <c r="X20"/>
  <c r="AC20"/>
  <c r="G93" i="566"/>
  <c r="K93"/>
  <c r="T33" i="808"/>
  <c r="X33"/>
  <c r="T11" i="809"/>
  <c r="V11"/>
  <c r="X11"/>
  <c r="Z11"/>
  <c r="T17" i="808"/>
  <c r="X17"/>
  <c r="AC16" i="809"/>
  <c r="T16"/>
  <c r="V16"/>
  <c r="X16"/>
  <c r="Z16"/>
  <c r="Q17" i="576"/>
  <c r="W17"/>
  <c r="X25"/>
  <c r="Q32"/>
  <c r="W32"/>
  <c r="Q11" i="579"/>
  <c r="Q17"/>
  <c r="W17"/>
  <c r="T24" i="600"/>
  <c r="X24"/>
  <c r="AA19" i="601"/>
  <c r="AA20" s="1"/>
  <c r="Q17" i="606"/>
  <c r="Q24"/>
  <c r="W24"/>
  <c r="AC21" i="682"/>
  <c r="F51" i="817" s="1"/>
  <c r="V21" i="682"/>
  <c r="AD20"/>
  <c r="AD21" s="1"/>
  <c r="G51" i="817" s="1"/>
  <c r="U20" i="682"/>
  <c r="U21" s="1"/>
  <c r="W20"/>
  <c r="W21" s="1"/>
  <c r="Y20"/>
  <c r="Y21" s="1"/>
  <c r="AB20"/>
  <c r="AB21" s="1"/>
  <c r="E51" i="817" s="1"/>
  <c r="T11" i="732"/>
  <c r="T19" s="1"/>
  <c r="X11"/>
  <c r="X19" s="1"/>
  <c r="C68" i="817" s="1"/>
  <c r="Q11" i="735"/>
  <c r="Q15" s="1"/>
  <c r="W11"/>
  <c r="W15" s="1"/>
  <c r="H93" i="566"/>
  <c r="N93"/>
  <c r="H14" i="817" s="1"/>
  <c r="Q11" i="564"/>
  <c r="W11"/>
  <c r="T20"/>
  <c r="X20"/>
  <c r="T26"/>
  <c r="X26"/>
  <c r="AC11" i="565"/>
  <c r="T11"/>
  <c r="V11"/>
  <c r="X11"/>
  <c r="Z11"/>
  <c r="AC16"/>
  <c r="T16"/>
  <c r="V16"/>
  <c r="X16"/>
  <c r="Z16"/>
  <c r="T11" i="567"/>
  <c r="X11"/>
  <c r="X28" s="1"/>
  <c r="C15" i="817" s="1"/>
  <c r="Q26" i="567"/>
  <c r="W26" i="808"/>
  <c r="Q33"/>
  <c r="W33"/>
  <c r="AD11" i="809"/>
  <c r="U11"/>
  <c r="W11"/>
  <c r="Y11"/>
  <c r="AA9"/>
  <c r="AA11" s="1"/>
  <c r="AD21"/>
  <c r="G16" i="817" s="1"/>
  <c r="U21" i="809"/>
  <c r="W21"/>
  <c r="Y21"/>
  <c r="AA19"/>
  <c r="AA21" s="1"/>
  <c r="AA24"/>
  <c r="AA25" s="1"/>
  <c r="P95" i="810"/>
  <c r="J16" i="817" s="1"/>
  <c r="AF24" i="810"/>
  <c r="AJ24"/>
  <c r="AN24"/>
  <c r="AT24"/>
  <c r="AX24"/>
  <c r="AF25"/>
  <c r="AJ25"/>
  <c r="AN25"/>
  <c r="AT25"/>
  <c r="AX25"/>
  <c r="AF28"/>
  <c r="AJ28"/>
  <c r="AN28"/>
  <c r="AT28"/>
  <c r="AX28"/>
  <c r="AF29"/>
  <c r="AJ29"/>
  <c r="AN29"/>
  <c r="AT29"/>
  <c r="AX29"/>
  <c r="AF30"/>
  <c r="AJ30"/>
  <c r="AN30"/>
  <c r="AT30"/>
  <c r="AX30"/>
  <c r="AF31"/>
  <c r="AJ31"/>
  <c r="W17" i="808"/>
  <c r="W35" s="1"/>
  <c r="B16" i="817" s="1"/>
  <c r="AD16" i="809"/>
  <c r="U16"/>
  <c r="W16"/>
  <c r="Y16"/>
  <c r="AB16"/>
  <c r="X17" i="576"/>
  <c r="Q25"/>
  <c r="W25"/>
  <c r="T32"/>
  <c r="X32"/>
  <c r="W11" i="579"/>
  <c r="Q25"/>
  <c r="W25"/>
  <c r="T32"/>
  <c r="X32"/>
  <c r="AD11" i="580"/>
  <c r="U11"/>
  <c r="W11"/>
  <c r="Y11"/>
  <c r="AB11"/>
  <c r="AD16"/>
  <c r="U16"/>
  <c r="W16"/>
  <c r="Y16"/>
  <c r="AB16"/>
  <c r="T11" i="582"/>
  <c r="X11"/>
  <c r="T17"/>
  <c r="X17"/>
  <c r="T25"/>
  <c r="X25"/>
  <c r="Q32"/>
  <c r="W32"/>
  <c r="AC11" i="583"/>
  <c r="T11"/>
  <c r="V11"/>
  <c r="X11"/>
  <c r="Z11"/>
  <c r="AC16"/>
  <c r="T16"/>
  <c r="V16"/>
  <c r="X16"/>
  <c r="Z16"/>
  <c r="AD11" i="586"/>
  <c r="U11"/>
  <c r="W11"/>
  <c r="Y11"/>
  <c r="AB11"/>
  <c r="AD16"/>
  <c r="U16"/>
  <c r="W16"/>
  <c r="Y16"/>
  <c r="AB16"/>
  <c r="Q29" i="585"/>
  <c r="W29"/>
  <c r="F93" i="566"/>
  <c r="J93"/>
  <c r="T26" i="808"/>
  <c r="T35" s="1"/>
  <c r="X26"/>
  <c r="X35" s="1"/>
  <c r="C16" i="817" s="1"/>
  <c r="AH24" i="810"/>
  <c r="AL24"/>
  <c r="AR24"/>
  <c r="AV24"/>
  <c r="AZ24"/>
  <c r="AH25"/>
  <c r="AL25"/>
  <c r="AR25"/>
  <c r="AV25"/>
  <c r="AZ25"/>
  <c r="AH28"/>
  <c r="AL28"/>
  <c r="AR28"/>
  <c r="AV28"/>
  <c r="AZ28"/>
  <c r="AH29"/>
  <c r="AL29"/>
  <c r="AR29"/>
  <c r="AV29"/>
  <c r="AZ29"/>
  <c r="AH30"/>
  <c r="AL30"/>
  <c r="AR30"/>
  <c r="AV30"/>
  <c r="AZ30"/>
  <c r="AH31"/>
  <c r="AL31"/>
  <c r="AA23" i="586"/>
  <c r="AA25" s="1"/>
  <c r="T11" i="588"/>
  <c r="T31" s="1"/>
  <c r="X11"/>
  <c r="X17"/>
  <c r="W22"/>
  <c r="Q29"/>
  <c r="W29"/>
  <c r="AD11" i="589"/>
  <c r="U11"/>
  <c r="W11"/>
  <c r="Y11"/>
  <c r="AB11"/>
  <c r="AD16"/>
  <c r="U16"/>
  <c r="W16"/>
  <c r="Y16"/>
  <c r="AB16"/>
  <c r="AD25"/>
  <c r="U25"/>
  <c r="W25"/>
  <c r="Y25"/>
  <c r="AB25"/>
  <c r="W11" i="591"/>
  <c r="T17"/>
  <c r="X17"/>
  <c r="T29"/>
  <c r="X29"/>
  <c r="AD11" i="592"/>
  <c r="U11"/>
  <c r="W11"/>
  <c r="Y11"/>
  <c r="AB11"/>
  <c r="AD16"/>
  <c r="U16"/>
  <c r="W16"/>
  <c r="Y16"/>
  <c r="AB16"/>
  <c r="AD25"/>
  <c r="U25"/>
  <c r="W25"/>
  <c r="Y25"/>
  <c r="AB25"/>
  <c r="W17" i="594"/>
  <c r="T23"/>
  <c r="X23"/>
  <c r="AD11" i="595"/>
  <c r="U11"/>
  <c r="W11"/>
  <c r="Y11"/>
  <c r="AB11"/>
  <c r="AD16"/>
  <c r="U16"/>
  <c r="W16"/>
  <c r="Y16"/>
  <c r="AB16"/>
  <c r="Q11" i="597"/>
  <c r="W17"/>
  <c r="T23"/>
  <c r="T25" s="1"/>
  <c r="X23"/>
  <c r="X25" s="1"/>
  <c r="C24" i="817" s="1"/>
  <c r="AC11" i="598"/>
  <c r="T11"/>
  <c r="V11"/>
  <c r="X11"/>
  <c r="AA11"/>
  <c r="AC16"/>
  <c r="T16"/>
  <c r="V16"/>
  <c r="X16"/>
  <c r="AA16"/>
  <c r="W17" i="600"/>
  <c r="X17" i="603"/>
  <c r="X24"/>
  <c r="U11" i="604"/>
  <c r="W11"/>
  <c r="Y11"/>
  <c r="AB11"/>
  <c r="AD16"/>
  <c r="U16"/>
  <c r="W16"/>
  <c r="Y16"/>
  <c r="AB16"/>
  <c r="Q31" i="603"/>
  <c r="W31"/>
  <c r="AD26" i="604"/>
  <c r="U26"/>
  <c r="W26"/>
  <c r="Y26"/>
  <c r="AB26"/>
  <c r="W17" i="606"/>
  <c r="T31"/>
  <c r="X31"/>
  <c r="AD11" i="607"/>
  <c r="U11"/>
  <c r="W11"/>
  <c r="Y11"/>
  <c r="AB11"/>
  <c r="AD16"/>
  <c r="U16"/>
  <c r="W16"/>
  <c r="Y16"/>
  <c r="AB16"/>
  <c r="AD28"/>
  <c r="U28"/>
  <c r="W28"/>
  <c r="Y28"/>
  <c r="AB28"/>
  <c r="X17" i="609"/>
  <c r="T28"/>
  <c r="X28"/>
  <c r="AD11" i="610"/>
  <c r="U11"/>
  <c r="W11"/>
  <c r="Y11"/>
  <c r="AB11"/>
  <c r="AD16"/>
  <c r="U16"/>
  <c r="W16"/>
  <c r="Y16"/>
  <c r="AB16"/>
  <c r="AD21"/>
  <c r="U21"/>
  <c r="W21"/>
  <c r="Y21"/>
  <c r="AB21"/>
  <c r="AD27"/>
  <c r="U27"/>
  <c r="W27"/>
  <c r="Y27"/>
  <c r="AB27"/>
  <c r="Q11" i="612"/>
  <c r="W17"/>
  <c r="Q28"/>
  <c r="W28"/>
  <c r="AC11" i="613"/>
  <c r="T11"/>
  <c r="V11"/>
  <c r="X11"/>
  <c r="Z11"/>
  <c r="AC16"/>
  <c r="T16"/>
  <c r="V16"/>
  <c r="X16"/>
  <c r="Z16"/>
  <c r="AC25"/>
  <c r="T25"/>
  <c r="V25"/>
  <c r="X25"/>
  <c r="Z25"/>
  <c r="W11" i="615"/>
  <c r="T19"/>
  <c r="X19"/>
  <c r="U11" i="616"/>
  <c r="U17" s="1"/>
  <c r="W11"/>
  <c r="Y11"/>
  <c r="Y17" s="1"/>
  <c r="AB11"/>
  <c r="T16"/>
  <c r="T17" s="1"/>
  <c r="V16"/>
  <c r="V17" s="1"/>
  <c r="X16"/>
  <c r="X17" s="1"/>
  <c r="AC16"/>
  <c r="AC17" s="1"/>
  <c r="F30" i="817" s="1"/>
  <c r="W11" i="618"/>
  <c r="T19"/>
  <c r="T20" s="1"/>
  <c r="X19"/>
  <c r="U11" i="619"/>
  <c r="U17" s="1"/>
  <c r="W11"/>
  <c r="Y11"/>
  <c r="Y17" s="1"/>
  <c r="AC16"/>
  <c r="AC17" s="1"/>
  <c r="F31" i="817" s="1"/>
  <c r="T16" i="619"/>
  <c r="T17" s="1"/>
  <c r="V16"/>
  <c r="V17" s="1"/>
  <c r="X16"/>
  <c r="X17" s="1"/>
  <c r="Z16"/>
  <c r="Z17" s="1"/>
  <c r="W11" i="621"/>
  <c r="W20" s="1"/>
  <c r="B32" i="817" s="1"/>
  <c r="T19" i="621"/>
  <c r="X19"/>
  <c r="X20" s="1"/>
  <c r="C32" i="817" s="1"/>
  <c r="AD11" i="622"/>
  <c r="U11"/>
  <c r="W11"/>
  <c r="Y11"/>
  <c r="AB11"/>
  <c r="AD16"/>
  <c r="U16"/>
  <c r="W16"/>
  <c r="Y16"/>
  <c r="AB16"/>
  <c r="X11" i="624"/>
  <c r="X20" s="1"/>
  <c r="C33" i="817" s="1"/>
  <c r="AD11" i="625"/>
  <c r="AD16" s="1"/>
  <c r="G33" i="817" s="1"/>
  <c r="U11" i="625"/>
  <c r="U16" s="1"/>
  <c r="W11"/>
  <c r="W16" s="1"/>
  <c r="Y11"/>
  <c r="Y16" s="1"/>
  <c r="AB11"/>
  <c r="AB16" s="1"/>
  <c r="E33" i="817" s="1"/>
  <c r="W11" i="627"/>
  <c r="W19" s="1"/>
  <c r="B34" i="817" s="1"/>
  <c r="T18" i="627"/>
  <c r="T19" s="1"/>
  <c r="X18"/>
  <c r="X19" s="1"/>
  <c r="C34" i="817" s="1"/>
  <c r="AC11" i="628"/>
  <c r="AC16" s="1"/>
  <c r="F34" i="817" s="1"/>
  <c r="T11" i="628"/>
  <c r="T16" s="1"/>
  <c r="V11"/>
  <c r="V16" s="1"/>
  <c r="X11"/>
  <c r="X16" s="1"/>
  <c r="Z11"/>
  <c r="Z16" s="1"/>
  <c r="W11" i="633"/>
  <c r="W19" s="1"/>
  <c r="B35" i="817" s="1"/>
  <c r="T18" i="633"/>
  <c r="T19" s="1"/>
  <c r="X18"/>
  <c r="X19" s="1"/>
  <c r="C35" i="817" s="1"/>
  <c r="W11" i="636"/>
  <c r="W19" s="1"/>
  <c r="B36" i="817" s="1"/>
  <c r="T23" i="681"/>
  <c r="T26" i="604"/>
  <c r="T28" s="1"/>
  <c r="V26"/>
  <c r="X26"/>
  <c r="X28" s="1"/>
  <c r="AC26"/>
  <c r="T23" i="666"/>
  <c r="T24" s="1"/>
  <c r="W23"/>
  <c r="W24" s="1"/>
  <c r="B46" i="817" s="1"/>
  <c r="Y11" i="676"/>
  <c r="Y20" s="1"/>
  <c r="AB11"/>
  <c r="AB20" s="1"/>
  <c r="E49" i="817" s="1"/>
  <c r="X23" i="681"/>
  <c r="C51" i="817" s="1"/>
  <c r="AA20" i="682"/>
  <c r="T20" i="679"/>
  <c r="T21" s="1"/>
  <c r="V20"/>
  <c r="V21" s="1"/>
  <c r="X20"/>
  <c r="X21" s="1"/>
  <c r="AA20"/>
  <c r="AC20"/>
  <c r="AC21" s="1"/>
  <c r="F50" i="817" s="1"/>
  <c r="Q23" i="666"/>
  <c r="Q24" s="1"/>
  <c r="X23"/>
  <c r="W23" i="681"/>
  <c r="B51" i="817" s="1"/>
  <c r="AD20" i="679"/>
  <c r="U20"/>
  <c r="U21" s="1"/>
  <c r="W20"/>
  <c r="Y20"/>
  <c r="Y21" s="1"/>
  <c r="AB20"/>
  <c r="Z20"/>
  <c r="Z21" s="1"/>
  <c r="AD19" i="721"/>
  <c r="G64" i="817" s="1"/>
  <c r="U19" i="721"/>
  <c r="W19"/>
  <c r="Y19"/>
  <c r="AB19"/>
  <c r="E64" i="817" s="1"/>
  <c r="AC19" i="724"/>
  <c r="F65" i="817" s="1"/>
  <c r="T19" i="724"/>
  <c r="V19"/>
  <c r="X19"/>
  <c r="Z19"/>
  <c r="AD19" i="727"/>
  <c r="G66" i="817" s="1"/>
  <c r="U19" i="727"/>
  <c r="W19"/>
  <c r="Y19"/>
  <c r="AB19"/>
  <c r="E66" i="817" s="1"/>
  <c r="AC19" i="730"/>
  <c r="F67" i="817" s="1"/>
  <c r="T19" i="730"/>
  <c r="V19"/>
  <c r="X19"/>
  <c r="Z19"/>
  <c r="AD19" i="733"/>
  <c r="G68" i="817" s="1"/>
  <c r="U19" i="733"/>
  <c r="W19"/>
  <c r="Y19"/>
  <c r="AB19"/>
  <c r="E68" i="817" s="1"/>
  <c r="Z20" i="682"/>
  <c r="Z21" s="1"/>
  <c r="AC19" i="721"/>
  <c r="F64" i="817" s="1"/>
  <c r="T19" i="721"/>
  <c r="V19"/>
  <c r="X19"/>
  <c r="Z19"/>
  <c r="AD19" i="724"/>
  <c r="G65" i="817" s="1"/>
  <c r="U19" i="724"/>
  <c r="W19"/>
  <c r="Y19"/>
  <c r="AB19"/>
  <c r="E65" i="817" s="1"/>
  <c r="AC19" i="727"/>
  <c r="F66" i="817" s="1"/>
  <c r="T19" i="727"/>
  <c r="V19"/>
  <c r="X19"/>
  <c r="Z19"/>
  <c r="AD19" i="730"/>
  <c r="G67" i="817" s="1"/>
  <c r="U19" i="730"/>
  <c r="W19"/>
  <c r="Y19"/>
  <c r="AB19"/>
  <c r="E67" i="817" s="1"/>
  <c r="AC19" i="733"/>
  <c r="F68" i="817" s="1"/>
  <c r="T19" i="733"/>
  <c r="V19"/>
  <c r="X19"/>
  <c r="Z19"/>
  <c r="X11" i="735"/>
  <c r="X15" s="1"/>
  <c r="AA15" i="754"/>
  <c r="AA9" i="733"/>
  <c r="AA10" s="1"/>
  <c r="AA13"/>
  <c r="AA14" s="1"/>
  <c r="AA17"/>
  <c r="AA18" s="1"/>
  <c r="AA9" i="730"/>
  <c r="AA10" s="1"/>
  <c r="AA13"/>
  <c r="AA14" s="1"/>
  <c r="AA17"/>
  <c r="AA18" s="1"/>
  <c r="X11" i="729"/>
  <c r="X19" s="1"/>
  <c r="C67" i="817" s="1"/>
  <c r="AA9" i="727"/>
  <c r="AA10" s="1"/>
  <c r="AA13"/>
  <c r="AA14" s="1"/>
  <c r="AA17"/>
  <c r="AA18" s="1"/>
  <c r="AA13" i="724"/>
  <c r="AA14" s="1"/>
  <c r="AA9"/>
  <c r="AA10" s="1"/>
  <c r="AA17"/>
  <c r="AA18" s="1"/>
  <c r="AA9" i="721"/>
  <c r="AA10" s="1"/>
  <c r="AA13"/>
  <c r="AA14" s="1"/>
  <c r="AA17"/>
  <c r="AA18" s="1"/>
  <c r="W11" i="717"/>
  <c r="W20" s="1"/>
  <c r="B63" i="817" s="1"/>
  <c r="AA14" i="715"/>
  <c r="AA15" s="1"/>
  <c r="AA9"/>
  <c r="AA11" s="1"/>
  <c r="X11" i="714"/>
  <c r="X16" s="1"/>
  <c r="C62" i="817" s="1"/>
  <c r="AA14" i="712"/>
  <c r="AA15" s="1"/>
  <c r="AA9"/>
  <c r="AA11" s="1"/>
  <c r="AA14" i="709"/>
  <c r="AA15" s="1"/>
  <c r="AA9"/>
  <c r="AA11" s="1"/>
  <c r="W11" i="708"/>
  <c r="W16" s="1"/>
  <c r="B60" i="817" s="1"/>
  <c r="AA14" i="706"/>
  <c r="AA15" s="1"/>
  <c r="AA9"/>
  <c r="AA11" s="1"/>
  <c r="W11" i="705"/>
  <c r="W16" s="1"/>
  <c r="B59" i="817" s="1"/>
  <c r="AA14" i="703"/>
  <c r="AA15" s="1"/>
  <c r="AA9"/>
  <c r="AA11" s="1"/>
  <c r="AA14" i="700"/>
  <c r="AA15" s="1"/>
  <c r="AA9"/>
  <c r="AA11" s="1"/>
  <c r="AA14" i="697"/>
  <c r="AA15" s="1"/>
  <c r="AA9"/>
  <c r="AA11" s="1"/>
  <c r="AA14" i="694"/>
  <c r="AA15" s="1"/>
  <c r="AA9"/>
  <c r="AA11" s="1"/>
  <c r="X11" i="693"/>
  <c r="X16" s="1"/>
  <c r="C55" i="817" s="1"/>
  <c r="AC11" i="691"/>
  <c r="AC16" s="1"/>
  <c r="F54" i="817" s="1"/>
  <c r="T11" i="691"/>
  <c r="T16" s="1"/>
  <c r="V11"/>
  <c r="V16" s="1"/>
  <c r="X11"/>
  <c r="X16" s="1"/>
  <c r="Z11"/>
  <c r="Z16" s="1"/>
  <c r="AD11"/>
  <c r="AD16" s="1"/>
  <c r="G54" i="817" s="1"/>
  <c r="U11" i="691"/>
  <c r="U16" s="1"/>
  <c r="W11"/>
  <c r="W16" s="1"/>
  <c r="Y11"/>
  <c r="Y16" s="1"/>
  <c r="AB11"/>
  <c r="AB16" s="1"/>
  <c r="E54" i="817" s="1"/>
  <c r="AA14" i="691"/>
  <c r="AA15" s="1"/>
  <c r="AA9"/>
  <c r="AA11" s="1"/>
  <c r="AA18" i="688"/>
  <c r="AA19" s="1"/>
  <c r="AA9"/>
  <c r="AA11" s="1"/>
  <c r="AA14"/>
  <c r="AA15" s="1"/>
  <c r="AA18" i="685"/>
  <c r="AA19" s="1"/>
  <c r="AA9"/>
  <c r="AA11" s="1"/>
  <c r="AA14"/>
  <c r="AA15" s="1"/>
  <c r="AA9" i="682"/>
  <c r="AA11" s="1"/>
  <c r="AA14"/>
  <c r="AA15" s="1"/>
  <c r="AA9" i="679"/>
  <c r="AA11" s="1"/>
  <c r="AA14"/>
  <c r="AA15" s="1"/>
  <c r="W11" i="678"/>
  <c r="Q16"/>
  <c r="S16"/>
  <c r="U16"/>
  <c r="X16"/>
  <c r="Y16"/>
  <c r="V16"/>
  <c r="AA9" i="676"/>
  <c r="AA11" s="1"/>
  <c r="AA14"/>
  <c r="AA15" s="1"/>
  <c r="AA18"/>
  <c r="AA19" s="1"/>
  <c r="AA9" i="673"/>
  <c r="AA11" s="1"/>
  <c r="AA14"/>
  <c r="AA15" s="1"/>
  <c r="AA18"/>
  <c r="AA19" s="1"/>
  <c r="T17" i="669"/>
  <c r="T24" s="1"/>
  <c r="AD11" i="670"/>
  <c r="AD20" s="1"/>
  <c r="G47" i="817" s="1"/>
  <c r="U11" i="670"/>
  <c r="U20" s="1"/>
  <c r="W11"/>
  <c r="W20" s="1"/>
  <c r="Y11"/>
  <c r="Y20" s="1"/>
  <c r="AB11"/>
  <c r="AB20" s="1"/>
  <c r="E47" i="817" s="1"/>
  <c r="AA9" i="670"/>
  <c r="AA11" s="1"/>
  <c r="AA14"/>
  <c r="AA15" s="1"/>
  <c r="AA18"/>
  <c r="AA19" s="1"/>
  <c r="X17" i="669"/>
  <c r="W17"/>
  <c r="X23"/>
  <c r="AA9" i="667"/>
  <c r="AA11" s="1"/>
  <c r="AA14"/>
  <c r="AA15" s="1"/>
  <c r="AA18"/>
  <c r="AA20" s="1"/>
  <c r="AA9" i="664"/>
  <c r="AA11" s="1"/>
  <c r="AA14"/>
  <c r="AA15" s="1"/>
  <c r="AA18"/>
  <c r="AA19" s="1"/>
  <c r="V22" i="663"/>
  <c r="AA9" i="661"/>
  <c r="AA11" s="1"/>
  <c r="AA14"/>
  <c r="AA15" s="1"/>
  <c r="AA18"/>
  <c r="AA19" s="1"/>
  <c r="AA9" i="658"/>
  <c r="AA11" s="1"/>
  <c r="AA14"/>
  <c r="AA15" s="1"/>
  <c r="AA18"/>
  <c r="AA19" s="1"/>
  <c r="X11" i="657"/>
  <c r="Q18"/>
  <c r="W18"/>
  <c r="W24" s="1"/>
  <c r="B43" i="817" s="1"/>
  <c r="Q23" i="657"/>
  <c r="S23"/>
  <c r="U23"/>
  <c r="X23"/>
  <c r="V23"/>
  <c r="AD11" i="655"/>
  <c r="AD20" s="1"/>
  <c r="G42" i="817" s="1"/>
  <c r="AA9" i="655"/>
  <c r="AA11" s="1"/>
  <c r="AA14"/>
  <c r="AA15" s="1"/>
  <c r="AA18"/>
  <c r="AA19" s="1"/>
  <c r="T18" i="654"/>
  <c r="X18"/>
  <c r="X24" s="1"/>
  <c r="C42" i="817" s="1"/>
  <c r="Y23" i="654"/>
  <c r="V23"/>
  <c r="AA18" i="652"/>
  <c r="AA19" s="1"/>
  <c r="Y23" i="651"/>
  <c r="Z11" i="652"/>
  <c r="Z20" s="1"/>
  <c r="AA14"/>
  <c r="AA15" s="1"/>
  <c r="W11" i="648"/>
  <c r="W19" s="1"/>
  <c r="B40" i="817" s="1"/>
  <c r="X18" i="648"/>
  <c r="X19" s="1"/>
  <c r="C40" i="817" s="1"/>
  <c r="AA9" i="649"/>
  <c r="AA11" s="1"/>
  <c r="AA14"/>
  <c r="AA15" s="1"/>
  <c r="AA9" i="646"/>
  <c r="AA11" s="1"/>
  <c r="AA14"/>
  <c r="AA15" s="1"/>
  <c r="AA9" i="643"/>
  <c r="AA11" s="1"/>
  <c r="AA14"/>
  <c r="AA15" s="1"/>
  <c r="AA9" i="640"/>
  <c r="AA11" s="1"/>
  <c r="AA14"/>
  <c r="AA15" s="1"/>
  <c r="AA9" i="628"/>
  <c r="AA11" s="1"/>
  <c r="AA14"/>
  <c r="AA15" s="1"/>
  <c r="AC11" i="625"/>
  <c r="T11"/>
  <c r="V11"/>
  <c r="X11"/>
  <c r="Z11"/>
  <c r="AC15"/>
  <c r="T15"/>
  <c r="V15"/>
  <c r="X15"/>
  <c r="Z15"/>
  <c r="AA9"/>
  <c r="AA11" s="1"/>
  <c r="AA14"/>
  <c r="AA15" s="1"/>
  <c r="Q11" i="624"/>
  <c r="W11"/>
  <c r="Q19"/>
  <c r="W19"/>
  <c r="AA9" i="622"/>
  <c r="AA11" s="1"/>
  <c r="AA14"/>
  <c r="AA16" s="1"/>
  <c r="AA14" i="619"/>
  <c r="AA16" s="1"/>
  <c r="AA9"/>
  <c r="AA11" s="1"/>
  <c r="AD11"/>
  <c r="Z16" i="616"/>
  <c r="Z17" s="1"/>
  <c r="AD11"/>
  <c r="AA9"/>
  <c r="AA11" s="1"/>
  <c r="AA14"/>
  <c r="AA16" s="1"/>
  <c r="X11" i="615"/>
  <c r="Q19"/>
  <c r="Q20" s="1"/>
  <c r="W19"/>
  <c r="AA9" i="613"/>
  <c r="AA11" s="1"/>
  <c r="AA14"/>
  <c r="AA16" s="1"/>
  <c r="AA19"/>
  <c r="AA20" s="1"/>
  <c r="AA23"/>
  <c r="AA25" s="1"/>
  <c r="W11" i="612"/>
  <c r="X11" i="609"/>
  <c r="Q11"/>
  <c r="Q29" s="1"/>
  <c r="AC11" i="610"/>
  <c r="AC28" s="1"/>
  <c r="F28" i="817" s="1"/>
  <c r="T11" i="610"/>
  <c r="V11"/>
  <c r="V28" s="1"/>
  <c r="X11"/>
  <c r="Z11"/>
  <c r="Z28" s="1"/>
  <c r="AA9"/>
  <c r="AA11" s="1"/>
  <c r="AA14"/>
  <c r="AA16" s="1"/>
  <c r="AA19"/>
  <c r="AA21" s="1"/>
  <c r="AA24"/>
  <c r="AA27" s="1"/>
  <c r="W11" i="609"/>
  <c r="S21"/>
  <c r="Y21"/>
  <c r="X11" i="606"/>
  <c r="AA9" i="607"/>
  <c r="AA11" s="1"/>
  <c r="AA14"/>
  <c r="AA16" s="1"/>
  <c r="AA19"/>
  <c r="AA22" s="1"/>
  <c r="AA25"/>
  <c r="AA28" s="1"/>
  <c r="Q11" i="606"/>
  <c r="W11"/>
  <c r="Z26" i="604"/>
  <c r="AA23"/>
  <c r="AA26" s="1"/>
  <c r="Q11" i="603"/>
  <c r="AD11" i="604"/>
  <c r="AA9"/>
  <c r="AA11" s="1"/>
  <c r="AA14"/>
  <c r="AA16" s="1"/>
  <c r="AA19"/>
  <c r="AA20" s="1"/>
  <c r="W11" i="603"/>
  <c r="AD11" i="601"/>
  <c r="U11"/>
  <c r="W11"/>
  <c r="Y11"/>
  <c r="AB11"/>
  <c r="AD16"/>
  <c r="U16"/>
  <c r="W16"/>
  <c r="Y16"/>
  <c r="AB16"/>
  <c r="X11" i="600"/>
  <c r="AC11" i="601"/>
  <c r="T11"/>
  <c r="V11"/>
  <c r="X11"/>
  <c r="Z11"/>
  <c r="AC16"/>
  <c r="T16"/>
  <c r="V16"/>
  <c r="X16"/>
  <c r="Z16"/>
  <c r="Q11" i="600"/>
  <c r="Q26" s="1"/>
  <c r="AA9" i="601"/>
  <c r="AA11" s="1"/>
  <c r="AA14"/>
  <c r="AA16" s="1"/>
  <c r="W11" i="600"/>
  <c r="Z11" i="598"/>
  <c r="Z16"/>
  <c r="AA19"/>
  <c r="AA20" s="1"/>
  <c r="W11" i="597"/>
  <c r="X11" i="594"/>
  <c r="Q11"/>
  <c r="AA9" i="595"/>
  <c r="AA11" s="1"/>
  <c r="AA14"/>
  <c r="AA16" s="1"/>
  <c r="AA19"/>
  <c r="AA20" s="1"/>
  <c r="W11" i="594"/>
  <c r="AA19" i="592"/>
  <c r="AA20" s="1"/>
  <c r="AA9"/>
  <c r="AA11" s="1"/>
  <c r="AA14"/>
  <c r="AA16" s="1"/>
  <c r="AA23"/>
  <c r="AA25" s="1"/>
  <c r="W17" i="591"/>
  <c r="X22"/>
  <c r="AA9" i="589"/>
  <c r="AA11" s="1"/>
  <c r="AA14"/>
  <c r="AA16" s="1"/>
  <c r="AA19"/>
  <c r="AA20" s="1"/>
  <c r="AA23"/>
  <c r="AA25" s="1"/>
  <c r="W11" i="588"/>
  <c r="AC11" i="586"/>
  <c r="T11"/>
  <c r="V11"/>
  <c r="X11"/>
  <c r="Z11"/>
  <c r="AC16"/>
  <c r="T16"/>
  <c r="V16"/>
  <c r="X16"/>
  <c r="Z16"/>
  <c r="AA9"/>
  <c r="AA11" s="1"/>
  <c r="AA14"/>
  <c r="AA16" s="1"/>
  <c r="AA19"/>
  <c r="AA20" s="1"/>
  <c r="X17" i="585"/>
  <c r="X11"/>
  <c r="Q11"/>
  <c r="W11"/>
  <c r="AA9" i="583"/>
  <c r="AA11" s="1"/>
  <c r="AA14"/>
  <c r="AA16" s="1"/>
  <c r="AA19"/>
  <c r="AA20" s="1"/>
  <c r="AA23"/>
  <c r="AA24" s="1"/>
  <c r="W11" i="582"/>
  <c r="W34" s="1"/>
  <c r="B19" i="817" s="1"/>
  <c r="AA9" i="580"/>
  <c r="AA11" s="1"/>
  <c r="AA14"/>
  <c r="AA16" s="1"/>
  <c r="AA19"/>
  <c r="AA20" s="1"/>
  <c r="AA23"/>
  <c r="AA24" s="1"/>
  <c r="X11" i="579"/>
  <c r="X17"/>
  <c r="T25"/>
  <c r="X25"/>
  <c r="Q32"/>
  <c r="W32"/>
  <c r="AD11" i="577"/>
  <c r="U11"/>
  <c r="W11"/>
  <c r="Y11"/>
  <c r="AB11"/>
  <c r="AD16"/>
  <c r="U16"/>
  <c r="W16"/>
  <c r="Y16"/>
  <c r="AB16"/>
  <c r="AA9"/>
  <c r="AA11" s="1"/>
  <c r="AA14"/>
  <c r="AA16" s="1"/>
  <c r="AA19"/>
  <c r="AA20" s="1"/>
  <c r="AA23"/>
  <c r="AA24" s="1"/>
  <c r="Q11" i="576"/>
  <c r="W11"/>
  <c r="AA14" i="809"/>
  <c r="AA16" s="1"/>
  <c r="AG47" i="810"/>
  <c r="AG46"/>
  <c r="AG45"/>
  <c r="AI47"/>
  <c r="AI46"/>
  <c r="AI45"/>
  <c r="AK47"/>
  <c r="AK46"/>
  <c r="AK45"/>
  <c r="AM47"/>
  <c r="AM46"/>
  <c r="AM45"/>
  <c r="AO47"/>
  <c r="AO46"/>
  <c r="AO45"/>
  <c r="AS47"/>
  <c r="AS46"/>
  <c r="AS45"/>
  <c r="AS44"/>
  <c r="AU47"/>
  <c r="AU46"/>
  <c r="AU45"/>
  <c r="AU44"/>
  <c r="AW47"/>
  <c r="AW46"/>
  <c r="AW45"/>
  <c r="AW44"/>
  <c r="AY47"/>
  <c r="AY46"/>
  <c r="AY45"/>
  <c r="AY44"/>
  <c r="BA47"/>
  <c r="BA46"/>
  <c r="BA45"/>
  <c r="BA44"/>
  <c r="AJ53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N31"/>
  <c r="AN53" s="1"/>
  <c r="AR31"/>
  <c r="AT31"/>
  <c r="AV31"/>
  <c r="AV53" s="1"/>
  <c r="AX31"/>
  <c r="AX53" s="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H69" s="1"/>
  <c r="AJ34"/>
  <c r="AL34"/>
  <c r="AL69" s="1"/>
  <c r="AN34"/>
  <c r="AR34"/>
  <c r="AR69" s="1"/>
  <c r="AT34"/>
  <c r="AV34"/>
  <c r="AV69" s="1"/>
  <c r="AX34"/>
  <c r="AZ34"/>
  <c r="AZ69" s="1"/>
  <c r="AF35"/>
  <c r="AH35"/>
  <c r="AJ35"/>
  <c r="AL35"/>
  <c r="AN35"/>
  <c r="AR35"/>
  <c r="AT35"/>
  <c r="AV35"/>
  <c r="AX35"/>
  <c r="AZ35"/>
  <c r="AF36"/>
  <c r="AH36"/>
  <c r="AJ36"/>
  <c r="AL36"/>
  <c r="AN36"/>
  <c r="AR36"/>
  <c r="AT36"/>
  <c r="AV36"/>
  <c r="AX36"/>
  <c r="AZ36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T42"/>
  <c r="AV42"/>
  <c r="AX42"/>
  <c r="AZ42"/>
  <c r="AF43"/>
  <c r="AH43"/>
  <c r="AJ43"/>
  <c r="AL43"/>
  <c r="AN43"/>
  <c r="AR43"/>
  <c r="AF47"/>
  <c r="AF46"/>
  <c r="AF45"/>
  <c r="AH47"/>
  <c r="AH46"/>
  <c r="AH45"/>
  <c r="AJ47"/>
  <c r="AJ46"/>
  <c r="AJ45"/>
  <c r="AL47"/>
  <c r="AL46"/>
  <c r="AL45"/>
  <c r="AN47"/>
  <c r="AN46"/>
  <c r="AN45"/>
  <c r="AR47"/>
  <c r="AR46"/>
  <c r="AR45"/>
  <c r="AT47"/>
  <c r="AT46"/>
  <c r="AT45"/>
  <c r="AT44"/>
  <c r="AV47"/>
  <c r="AV46"/>
  <c r="AV45"/>
  <c r="AV44"/>
  <c r="AX47"/>
  <c r="AX46"/>
  <c r="AX45"/>
  <c r="AX44"/>
  <c r="AZ47"/>
  <c r="AZ46"/>
  <c r="AZ45"/>
  <c r="AZ44"/>
  <c r="L94"/>
  <c r="M94" s="1"/>
  <c r="L93"/>
  <c r="M93" s="1"/>
  <c r="L91"/>
  <c r="X11" i="564"/>
  <c r="X28" s="1"/>
  <c r="C14" i="817" s="1"/>
  <c r="Q20" i="564"/>
  <c r="W20"/>
  <c r="W26"/>
  <c r="AD11" i="565"/>
  <c r="U11"/>
  <c r="W11"/>
  <c r="Y11"/>
  <c r="AB11"/>
  <c r="AD16"/>
  <c r="U16"/>
  <c r="W16"/>
  <c r="Y16"/>
  <c r="AB16"/>
  <c r="Q11" i="567"/>
  <c r="Q20"/>
  <c r="W20"/>
  <c r="W26"/>
  <c r="AD11" i="568"/>
  <c r="U11"/>
  <c r="W11"/>
  <c r="Y11"/>
  <c r="AB11"/>
  <c r="AD16"/>
  <c r="U16"/>
  <c r="W16"/>
  <c r="Y16"/>
  <c r="AB16"/>
  <c r="AF17" i="810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G24"/>
  <c r="AI24"/>
  <c r="AK24"/>
  <c r="AM24"/>
  <c r="AO24"/>
  <c r="AS24"/>
  <c r="AU24"/>
  <c r="AW24"/>
  <c r="AY24"/>
  <c r="BA24"/>
  <c r="AG25"/>
  <c r="AI25"/>
  <c r="AK25"/>
  <c r="AM25"/>
  <c r="AO25"/>
  <c r="AS25"/>
  <c r="AU25"/>
  <c r="AW25"/>
  <c r="AY25"/>
  <c r="BA25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6"/>
  <c r="AI36"/>
  <c r="AK36"/>
  <c r="AM36"/>
  <c r="AO36"/>
  <c r="AS36"/>
  <c r="AU36"/>
  <c r="AW36"/>
  <c r="AY36"/>
  <c r="BA36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S43"/>
  <c r="AU43"/>
  <c r="AW43"/>
  <c r="AY43"/>
  <c r="BA43"/>
  <c r="AG44"/>
  <c r="AI44"/>
  <c r="AK44"/>
  <c r="AM44"/>
  <c r="AO44"/>
  <c r="AA9" i="568"/>
  <c r="AA11" s="1"/>
  <c r="AA14"/>
  <c r="AA16" s="1"/>
  <c r="AA19"/>
  <c r="AA20" s="1"/>
  <c r="W11" i="567"/>
  <c r="AA9" i="565"/>
  <c r="AA11" s="1"/>
  <c r="AA14"/>
  <c r="AA16" s="1"/>
  <c r="AA19"/>
  <c r="AA20" s="1"/>
  <c r="N92" i="76"/>
  <c r="K92"/>
  <c r="J92"/>
  <c r="I92"/>
  <c r="H92"/>
  <c r="G92"/>
  <c r="F92"/>
  <c r="C92"/>
  <c r="B92"/>
  <c r="A92"/>
  <c r="N91"/>
  <c r="K91"/>
  <c r="J91"/>
  <c r="I91"/>
  <c r="H91"/>
  <c r="G91"/>
  <c r="F91"/>
  <c r="C91"/>
  <c r="B91"/>
  <c r="A91"/>
  <c r="N90"/>
  <c r="N93" s="1"/>
  <c r="H13" i="817" s="1"/>
  <c r="K90" i="76"/>
  <c r="K93" s="1"/>
  <c r="J90"/>
  <c r="J93" s="1"/>
  <c r="I90"/>
  <c r="I93" s="1"/>
  <c r="H90"/>
  <c r="H93" s="1"/>
  <c r="G90"/>
  <c r="G93" s="1"/>
  <c r="F90"/>
  <c r="F93" s="1"/>
  <c r="C90"/>
  <c r="B90"/>
  <c r="A90"/>
  <c r="AE6"/>
  <c r="P92" s="1"/>
  <c r="AC6"/>
  <c r="O92" s="1"/>
  <c r="AE5"/>
  <c r="P91" s="1"/>
  <c r="AC5"/>
  <c r="O91" s="1"/>
  <c r="AE4"/>
  <c r="P90" s="1"/>
  <c r="P93" s="1"/>
  <c r="J13" i="817" s="1"/>
  <c r="AC4" i="76"/>
  <c r="O90" s="1"/>
  <c r="O93" s="1"/>
  <c r="I13" i="817" s="1"/>
  <c r="AB19" i="75"/>
  <c r="AB20" s="1"/>
  <c r="Z19"/>
  <c r="Z20" s="1"/>
  <c r="Y19"/>
  <c r="Y20" s="1"/>
  <c r="X19"/>
  <c r="X20" s="1"/>
  <c r="W19"/>
  <c r="W20" s="1"/>
  <c r="V19"/>
  <c r="V20" s="1"/>
  <c r="U19"/>
  <c r="U20" s="1"/>
  <c r="T19"/>
  <c r="T20" s="1"/>
  <c r="S19"/>
  <c r="AD19" s="1"/>
  <c r="AD20" s="1"/>
  <c r="R19"/>
  <c r="AC19" s="1"/>
  <c r="AC20" s="1"/>
  <c r="AC15"/>
  <c r="AB15"/>
  <c r="Z15"/>
  <c r="AA15" s="1"/>
  <c r="Y15"/>
  <c r="X15"/>
  <c r="W15"/>
  <c r="V15"/>
  <c r="U15"/>
  <c r="T15"/>
  <c r="S15"/>
  <c r="AD15" s="1"/>
  <c r="AB14"/>
  <c r="Z14"/>
  <c r="Y14"/>
  <c r="X14"/>
  <c r="W14"/>
  <c r="V14"/>
  <c r="U14"/>
  <c r="T14"/>
  <c r="S14"/>
  <c r="AD14" s="1"/>
  <c r="R14"/>
  <c r="AC14" s="1"/>
  <c r="AC10"/>
  <c r="AB10"/>
  <c r="Z10"/>
  <c r="AA10" s="1"/>
  <c r="Y10"/>
  <c r="X10"/>
  <c r="W10"/>
  <c r="V10"/>
  <c r="U10"/>
  <c r="T10"/>
  <c r="S10"/>
  <c r="AD10" s="1"/>
  <c r="AB9"/>
  <c r="Z9"/>
  <c r="Y9"/>
  <c r="X9"/>
  <c r="W9"/>
  <c r="V9"/>
  <c r="U9"/>
  <c r="T9"/>
  <c r="S9"/>
  <c r="AD9" s="1"/>
  <c r="R9"/>
  <c r="AC9" s="1"/>
  <c r="X25" i="74"/>
  <c r="W25"/>
  <c r="T25"/>
  <c r="Q25"/>
  <c r="X24"/>
  <c r="W24"/>
  <c r="U24"/>
  <c r="T24"/>
  <c r="S24"/>
  <c r="R24"/>
  <c r="Q24"/>
  <c r="M24"/>
  <c r="Y24" s="1"/>
  <c r="J24"/>
  <c r="V24" s="1"/>
  <c r="X23"/>
  <c r="W23"/>
  <c r="T23"/>
  <c r="Q23"/>
  <c r="X19"/>
  <c r="W19"/>
  <c r="U19"/>
  <c r="T19"/>
  <c r="S19"/>
  <c r="R19"/>
  <c r="Q19"/>
  <c r="M19"/>
  <c r="Y19" s="1"/>
  <c r="J19"/>
  <c r="V19" s="1"/>
  <c r="X18"/>
  <c r="W18"/>
  <c r="U18"/>
  <c r="T18"/>
  <c r="S18"/>
  <c r="R18"/>
  <c r="Q18"/>
  <c r="M18"/>
  <c r="Y18" s="1"/>
  <c r="J18"/>
  <c r="V18" s="1"/>
  <c r="X17"/>
  <c r="W17"/>
  <c r="T17"/>
  <c r="Q17"/>
  <c r="X16"/>
  <c r="W16"/>
  <c r="T16"/>
  <c r="Q16"/>
  <c r="X15"/>
  <c r="W15"/>
  <c r="T15"/>
  <c r="Q15"/>
  <c r="X14"/>
  <c r="W14"/>
  <c r="T14"/>
  <c r="Q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AB19" i="806"/>
  <c r="AB20" s="1"/>
  <c r="Y19"/>
  <c r="Y20" s="1"/>
  <c r="X19"/>
  <c r="X20" s="1"/>
  <c r="W19"/>
  <c r="W20" s="1"/>
  <c r="V19"/>
  <c r="V20" s="1"/>
  <c r="U19"/>
  <c r="U20" s="1"/>
  <c r="T19"/>
  <c r="T20" s="1"/>
  <c r="S19"/>
  <c r="AD19" s="1"/>
  <c r="AD20" s="1"/>
  <c r="R19"/>
  <c r="AC19" s="1"/>
  <c r="AC20" s="1"/>
  <c r="X25" i="805"/>
  <c r="W25"/>
  <c r="T25"/>
  <c r="Q25"/>
  <c r="X24"/>
  <c r="W24"/>
  <c r="U24"/>
  <c r="T24"/>
  <c r="S24"/>
  <c r="R24"/>
  <c r="Q24"/>
  <c r="M24"/>
  <c r="Y24" s="1"/>
  <c r="J24"/>
  <c r="V24" s="1"/>
  <c r="X23"/>
  <c r="W23"/>
  <c r="T23"/>
  <c r="Q23"/>
  <c r="N92" i="807"/>
  <c r="K92"/>
  <c r="J92"/>
  <c r="I92"/>
  <c r="H92"/>
  <c r="G92"/>
  <c r="F92"/>
  <c r="C92"/>
  <c r="B92"/>
  <c r="A92"/>
  <c r="N91"/>
  <c r="K91"/>
  <c r="J91"/>
  <c r="I91"/>
  <c r="H91"/>
  <c r="G91"/>
  <c r="F91"/>
  <c r="C91"/>
  <c r="B91"/>
  <c r="A91"/>
  <c r="N90"/>
  <c r="N93" s="1"/>
  <c r="K90"/>
  <c r="K93" s="1"/>
  <c r="J90"/>
  <c r="J93" s="1"/>
  <c r="I90"/>
  <c r="I93" s="1"/>
  <c r="H90"/>
  <c r="H93" s="1"/>
  <c r="G90"/>
  <c r="G93" s="1"/>
  <c r="F90"/>
  <c r="F93" s="1"/>
  <c r="C90"/>
  <c r="B90"/>
  <c r="A90"/>
  <c r="B37"/>
  <c r="B36"/>
  <c r="B23"/>
  <c r="BA11"/>
  <c r="BA42" s="1"/>
  <c r="AZ11"/>
  <c r="AY11"/>
  <c r="AY42" s="1"/>
  <c r="AX11"/>
  <c r="AW11"/>
  <c r="AW42" s="1"/>
  <c r="AV11"/>
  <c r="AU11"/>
  <c r="AU42" s="1"/>
  <c r="AT11"/>
  <c r="AS11"/>
  <c r="AS43" s="1"/>
  <c r="AR11"/>
  <c r="AO11"/>
  <c r="AO43" s="1"/>
  <c r="AN11"/>
  <c r="AM11"/>
  <c r="AM43" s="1"/>
  <c r="AL11"/>
  <c r="AK11"/>
  <c r="AK43" s="1"/>
  <c r="AJ11"/>
  <c r="AI11"/>
  <c r="AI43" s="1"/>
  <c r="AH11"/>
  <c r="AG11"/>
  <c r="AG43" s="1"/>
  <c r="AF11"/>
  <c r="AE6"/>
  <c r="P92" s="1"/>
  <c r="AC6"/>
  <c r="O92" s="1"/>
  <c r="AE5"/>
  <c r="P91" s="1"/>
  <c r="AC5"/>
  <c r="O91" s="1"/>
  <c r="AE4"/>
  <c r="P90" s="1"/>
  <c r="P93" s="1"/>
  <c r="AC4"/>
  <c r="O90" s="1"/>
  <c r="O93" s="1"/>
  <c r="B386" i="806"/>
  <c r="B385"/>
  <c r="B384"/>
  <c r="Z19" s="1"/>
  <c r="Z20" s="1"/>
  <c r="AC15"/>
  <c r="AB15"/>
  <c r="Y15"/>
  <c r="X15"/>
  <c r="W15"/>
  <c r="V15"/>
  <c r="U15"/>
  <c r="T15"/>
  <c r="S15"/>
  <c r="AD15" s="1"/>
  <c r="AB14"/>
  <c r="Y14"/>
  <c r="X14"/>
  <c r="W14"/>
  <c r="V14"/>
  <c r="U14"/>
  <c r="U16" s="1"/>
  <c r="T14"/>
  <c r="S14"/>
  <c r="AD14" s="1"/>
  <c r="AD16" s="1"/>
  <c r="R14"/>
  <c r="AC14" s="1"/>
  <c r="AC10"/>
  <c r="AB10"/>
  <c r="Y10"/>
  <c r="X10"/>
  <c r="W10"/>
  <c r="V10"/>
  <c r="U10"/>
  <c r="T10"/>
  <c r="S10"/>
  <c r="AD10" s="1"/>
  <c r="AB9"/>
  <c r="Y9"/>
  <c r="Y11" s="1"/>
  <c r="X9"/>
  <c r="W9"/>
  <c r="W11" s="1"/>
  <c r="V9"/>
  <c r="U9"/>
  <c r="U11" s="1"/>
  <c r="T9"/>
  <c r="S9"/>
  <c r="AD9" s="1"/>
  <c r="AD11" s="1"/>
  <c r="R9"/>
  <c r="AC9" s="1"/>
  <c r="X19" i="805"/>
  <c r="W19"/>
  <c r="U19"/>
  <c r="T19"/>
  <c r="S19"/>
  <c r="R19"/>
  <c r="Q19"/>
  <c r="M19"/>
  <c r="Y19" s="1"/>
  <c r="J19"/>
  <c r="V19" s="1"/>
  <c r="X18"/>
  <c r="W18"/>
  <c r="U18"/>
  <c r="T18"/>
  <c r="S18"/>
  <c r="R18"/>
  <c r="Q18"/>
  <c r="M18"/>
  <c r="Y18" s="1"/>
  <c r="J18"/>
  <c r="V18" s="1"/>
  <c r="X17"/>
  <c r="W17"/>
  <c r="T17"/>
  <c r="Q17"/>
  <c r="X16"/>
  <c r="W16"/>
  <c r="T16"/>
  <c r="Q16"/>
  <c r="X15"/>
  <c r="W15"/>
  <c r="T15"/>
  <c r="Q15"/>
  <c r="X14"/>
  <c r="W14"/>
  <c r="T14"/>
  <c r="Q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AC15" i="803"/>
  <c r="AB15"/>
  <c r="Y15"/>
  <c r="X15"/>
  <c r="W15"/>
  <c r="V15"/>
  <c r="U15"/>
  <c r="T15"/>
  <c r="S15"/>
  <c r="AD15" s="1"/>
  <c r="X18" i="802"/>
  <c r="W18"/>
  <c r="U18"/>
  <c r="T18"/>
  <c r="S18"/>
  <c r="R18"/>
  <c r="Q18"/>
  <c r="M18"/>
  <c r="Y18" s="1"/>
  <c r="J18"/>
  <c r="V18" s="1"/>
  <c r="N92" i="804"/>
  <c r="K92"/>
  <c r="J92"/>
  <c r="I92"/>
  <c r="H92"/>
  <c r="G92"/>
  <c r="F92"/>
  <c r="C92"/>
  <c r="B92"/>
  <c r="A92"/>
  <c r="N91"/>
  <c r="K91"/>
  <c r="J91"/>
  <c r="I91"/>
  <c r="H91"/>
  <c r="G91"/>
  <c r="F91"/>
  <c r="C91"/>
  <c r="B91"/>
  <c r="A91"/>
  <c r="N90"/>
  <c r="N93" s="1"/>
  <c r="K90"/>
  <c r="K93" s="1"/>
  <c r="J90"/>
  <c r="J93" s="1"/>
  <c r="I90"/>
  <c r="I93" s="1"/>
  <c r="H90"/>
  <c r="H93" s="1"/>
  <c r="G90"/>
  <c r="G93" s="1"/>
  <c r="F90"/>
  <c r="F93" s="1"/>
  <c r="C90"/>
  <c r="B90"/>
  <c r="A90"/>
  <c r="B37"/>
  <c r="B36"/>
  <c r="B23"/>
  <c r="BA11"/>
  <c r="AZ11"/>
  <c r="AZ42" s="1"/>
  <c r="AY11"/>
  <c r="AX11"/>
  <c r="AX42" s="1"/>
  <c r="AW11"/>
  <c r="AV11"/>
  <c r="AV42" s="1"/>
  <c r="AU11"/>
  <c r="AT11"/>
  <c r="AT42" s="1"/>
  <c r="AS11"/>
  <c r="AR11"/>
  <c r="AR43" s="1"/>
  <c r="AO11"/>
  <c r="AN11"/>
  <c r="AN43" s="1"/>
  <c r="AM11"/>
  <c r="AL11"/>
  <c r="AL43" s="1"/>
  <c r="AK11"/>
  <c r="AJ11"/>
  <c r="AJ43" s="1"/>
  <c r="AI11"/>
  <c r="AH11"/>
  <c r="AH43" s="1"/>
  <c r="AG11"/>
  <c r="AF11"/>
  <c r="AF43" s="1"/>
  <c r="AE6"/>
  <c r="P92" s="1"/>
  <c r="AC6"/>
  <c r="O92" s="1"/>
  <c r="AE5"/>
  <c r="P91" s="1"/>
  <c r="AC5"/>
  <c r="O91" s="1"/>
  <c r="AE4"/>
  <c r="P90" s="1"/>
  <c r="P93" s="1"/>
  <c r="AC4"/>
  <c r="O90" s="1"/>
  <c r="O93" s="1"/>
  <c r="B385" i="803"/>
  <c r="B384"/>
  <c r="B383"/>
  <c r="Z15" s="1"/>
  <c r="AA15" s="1"/>
  <c r="AB19"/>
  <c r="AB20" s="1"/>
  <c r="Y19"/>
  <c r="Y20" s="1"/>
  <c r="X19"/>
  <c r="X20" s="1"/>
  <c r="W19"/>
  <c r="W20" s="1"/>
  <c r="V19"/>
  <c r="V20" s="1"/>
  <c r="U19"/>
  <c r="U20" s="1"/>
  <c r="T19"/>
  <c r="T20" s="1"/>
  <c r="S19"/>
  <c r="AD19" s="1"/>
  <c r="AD20" s="1"/>
  <c r="R19"/>
  <c r="AC19" s="1"/>
  <c r="AC20" s="1"/>
  <c r="AB14"/>
  <c r="Y14"/>
  <c r="X14"/>
  <c r="X16" s="1"/>
  <c r="W14"/>
  <c r="V14"/>
  <c r="V16" s="1"/>
  <c r="U14"/>
  <c r="T14"/>
  <c r="T16" s="1"/>
  <c r="S14"/>
  <c r="AD14" s="1"/>
  <c r="R14"/>
  <c r="AC14" s="1"/>
  <c r="AC10"/>
  <c r="AB10"/>
  <c r="Y10"/>
  <c r="X10"/>
  <c r="W10"/>
  <c r="V10"/>
  <c r="U10"/>
  <c r="T10"/>
  <c r="S10"/>
  <c r="AD10" s="1"/>
  <c r="AB9"/>
  <c r="Y9"/>
  <c r="X9"/>
  <c r="W9"/>
  <c r="V9"/>
  <c r="U9"/>
  <c r="T9"/>
  <c r="S9"/>
  <c r="AD9" s="1"/>
  <c r="R9"/>
  <c r="AC9" s="1"/>
  <c r="X26" i="802"/>
  <c r="W26"/>
  <c r="U26"/>
  <c r="T26"/>
  <c r="S26"/>
  <c r="R26"/>
  <c r="Q26"/>
  <c r="M26"/>
  <c r="Y26" s="1"/>
  <c r="J26"/>
  <c r="V26" s="1"/>
  <c r="X25"/>
  <c r="W25"/>
  <c r="T25"/>
  <c r="Q25"/>
  <c r="X24"/>
  <c r="W24"/>
  <c r="T24"/>
  <c r="Q24"/>
  <c r="X23"/>
  <c r="W23"/>
  <c r="T23"/>
  <c r="T27" s="1"/>
  <c r="Q23"/>
  <c r="Q27" s="1"/>
  <c r="X19"/>
  <c r="W19"/>
  <c r="U19"/>
  <c r="T19"/>
  <c r="S19"/>
  <c r="R19"/>
  <c r="Q19"/>
  <c r="M19"/>
  <c r="Y19" s="1"/>
  <c r="J19"/>
  <c r="V19" s="1"/>
  <c r="X17"/>
  <c r="W17"/>
  <c r="T17"/>
  <c r="Q17"/>
  <c r="X16"/>
  <c r="W16"/>
  <c r="T16"/>
  <c r="Q16"/>
  <c r="X15"/>
  <c r="W15"/>
  <c r="T15"/>
  <c r="Q15"/>
  <c r="X14"/>
  <c r="W14"/>
  <c r="T14"/>
  <c r="Q14"/>
  <c r="Q20" s="1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N92" i="801"/>
  <c r="K92"/>
  <c r="J92"/>
  <c r="I92"/>
  <c r="H92"/>
  <c r="G92"/>
  <c r="F92"/>
  <c r="C92"/>
  <c r="B92"/>
  <c r="A92"/>
  <c r="N91"/>
  <c r="K91"/>
  <c r="J91"/>
  <c r="I91"/>
  <c r="H91"/>
  <c r="G91"/>
  <c r="F91"/>
  <c r="C91"/>
  <c r="B91"/>
  <c r="A91"/>
  <c r="N90"/>
  <c r="N93" s="1"/>
  <c r="H10" i="817" s="1"/>
  <c r="K90" i="801"/>
  <c r="K93" s="1"/>
  <c r="J90"/>
  <c r="J93" s="1"/>
  <c r="I90"/>
  <c r="I93" s="1"/>
  <c r="H90"/>
  <c r="H93" s="1"/>
  <c r="G90"/>
  <c r="G93" s="1"/>
  <c r="F90"/>
  <c r="F93" s="1"/>
  <c r="C90"/>
  <c r="B90"/>
  <c r="A90"/>
  <c r="B37"/>
  <c r="B36"/>
  <c r="B23"/>
  <c r="BA11"/>
  <c r="AZ11"/>
  <c r="AZ42" s="1"/>
  <c r="AY11"/>
  <c r="AX11"/>
  <c r="AX42" s="1"/>
  <c r="AW11"/>
  <c r="AV11"/>
  <c r="AV42" s="1"/>
  <c r="AU11"/>
  <c r="AT11"/>
  <c r="AT42" s="1"/>
  <c r="AS11"/>
  <c r="AR11"/>
  <c r="AR43" s="1"/>
  <c r="AO11"/>
  <c r="AN11"/>
  <c r="AN43" s="1"/>
  <c r="AM11"/>
  <c r="AL11"/>
  <c r="AL43" s="1"/>
  <c r="AK11"/>
  <c r="AJ11"/>
  <c r="AJ43" s="1"/>
  <c r="AI11"/>
  <c r="AH11"/>
  <c r="AH43" s="1"/>
  <c r="AG11"/>
  <c r="AF11"/>
  <c r="AF43" s="1"/>
  <c r="AE6"/>
  <c r="P92" s="1"/>
  <c r="AC6"/>
  <c r="O92" s="1"/>
  <c r="AE5"/>
  <c r="P91" s="1"/>
  <c r="AC5"/>
  <c r="O91" s="1"/>
  <c r="AE4"/>
  <c r="P90" s="1"/>
  <c r="P93" s="1"/>
  <c r="J10" i="817" s="1"/>
  <c r="AC4" i="801"/>
  <c r="O90" s="1"/>
  <c r="O93" s="1"/>
  <c r="I10" i="817" s="1"/>
  <c r="B384" i="800"/>
  <c r="B383"/>
  <c r="B382"/>
  <c r="Z10" s="1"/>
  <c r="AA10" s="1"/>
  <c r="AB18"/>
  <c r="AB19" s="1"/>
  <c r="Y18"/>
  <c r="Y19" s="1"/>
  <c r="X18"/>
  <c r="X19" s="1"/>
  <c r="W18"/>
  <c r="W19" s="1"/>
  <c r="V18"/>
  <c r="V19" s="1"/>
  <c r="U18"/>
  <c r="U19" s="1"/>
  <c r="T18"/>
  <c r="T19" s="1"/>
  <c r="S18"/>
  <c r="AD18" s="1"/>
  <c r="AD19" s="1"/>
  <c r="R18"/>
  <c r="AC18" s="1"/>
  <c r="AC19" s="1"/>
  <c r="AB14"/>
  <c r="AB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R14"/>
  <c r="AC14" s="1"/>
  <c r="AC15" s="1"/>
  <c r="AC10"/>
  <c r="AB10"/>
  <c r="Y10"/>
  <c r="X10"/>
  <c r="W10"/>
  <c r="V10"/>
  <c r="U10"/>
  <c r="T10"/>
  <c r="S10"/>
  <c r="AD10" s="1"/>
  <c r="AB9"/>
  <c r="Y9"/>
  <c r="X9"/>
  <c r="W9"/>
  <c r="V9"/>
  <c r="U9"/>
  <c r="T9"/>
  <c r="S9"/>
  <c r="AD9" s="1"/>
  <c r="R9"/>
  <c r="AC9" s="1"/>
  <c r="X26" i="799"/>
  <c r="W26"/>
  <c r="U26"/>
  <c r="T26"/>
  <c r="S26"/>
  <c r="R26"/>
  <c r="Q26"/>
  <c r="M26"/>
  <c r="Y26" s="1"/>
  <c r="J26"/>
  <c r="V26" s="1"/>
  <c r="X25"/>
  <c r="W25"/>
  <c r="T25"/>
  <c r="Q25"/>
  <c r="X24"/>
  <c r="W24"/>
  <c r="T24"/>
  <c r="Q24"/>
  <c r="X23"/>
  <c r="W23"/>
  <c r="T23"/>
  <c r="T27" s="1"/>
  <c r="Q23"/>
  <c r="Q27" s="1"/>
  <c r="X19"/>
  <c r="W19"/>
  <c r="U19"/>
  <c r="T19"/>
  <c r="S19"/>
  <c r="R19"/>
  <c r="Q19"/>
  <c r="M19"/>
  <c r="Y19" s="1"/>
  <c r="J19"/>
  <c r="V19" s="1"/>
  <c r="X18"/>
  <c r="W18"/>
  <c r="T18"/>
  <c r="Q18"/>
  <c r="X17"/>
  <c r="W17"/>
  <c r="T17"/>
  <c r="Q17"/>
  <c r="X16"/>
  <c r="W16"/>
  <c r="T16"/>
  <c r="Q16"/>
  <c r="P16"/>
  <c r="X15"/>
  <c r="W15"/>
  <c r="T15"/>
  <c r="Q15"/>
  <c r="X14"/>
  <c r="W14"/>
  <c r="T14"/>
  <c r="Q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N92" i="798"/>
  <c r="K92"/>
  <c r="J92"/>
  <c r="I92"/>
  <c r="H92"/>
  <c r="G92"/>
  <c r="F92"/>
  <c r="C92"/>
  <c r="B92"/>
  <c r="A92"/>
  <c r="N91"/>
  <c r="K91"/>
  <c r="J91"/>
  <c r="I91"/>
  <c r="H91"/>
  <c r="G91"/>
  <c r="F91"/>
  <c r="C91"/>
  <c r="B91"/>
  <c r="A91"/>
  <c r="N90"/>
  <c r="N93" s="1"/>
  <c r="H9" i="817" s="1"/>
  <c r="K90" i="798"/>
  <c r="K93" s="1"/>
  <c r="J90"/>
  <c r="J93" s="1"/>
  <c r="I90"/>
  <c r="I93" s="1"/>
  <c r="H90"/>
  <c r="H93" s="1"/>
  <c r="G90"/>
  <c r="G93" s="1"/>
  <c r="F90"/>
  <c r="F93" s="1"/>
  <c r="C90"/>
  <c r="B90"/>
  <c r="A90"/>
  <c r="B37"/>
  <c r="B36"/>
  <c r="B23"/>
  <c r="BA11"/>
  <c r="AZ11"/>
  <c r="AZ42" s="1"/>
  <c r="AY11"/>
  <c r="AX11"/>
  <c r="AX42" s="1"/>
  <c r="AW11"/>
  <c r="AV11"/>
  <c r="AV42" s="1"/>
  <c r="AU11"/>
  <c r="AT11"/>
  <c r="AT42" s="1"/>
  <c r="AS11"/>
  <c r="AR11"/>
  <c r="AR43" s="1"/>
  <c r="AO11"/>
  <c r="AN11"/>
  <c r="AN43" s="1"/>
  <c r="AM11"/>
  <c r="AL11"/>
  <c r="AL43" s="1"/>
  <c r="AK11"/>
  <c r="AJ11"/>
  <c r="AJ43" s="1"/>
  <c r="AI11"/>
  <c r="AH11"/>
  <c r="AH43" s="1"/>
  <c r="AG11"/>
  <c r="AF11"/>
  <c r="AF43" s="1"/>
  <c r="AE6"/>
  <c r="P92" s="1"/>
  <c r="AC6"/>
  <c r="O92" s="1"/>
  <c r="AE5"/>
  <c r="P91" s="1"/>
  <c r="AC5"/>
  <c r="O91" s="1"/>
  <c r="AE4"/>
  <c r="P90" s="1"/>
  <c r="P93" s="1"/>
  <c r="J9" i="817" s="1"/>
  <c r="AC4" i="798"/>
  <c r="O90" s="1"/>
  <c r="O93" s="1"/>
  <c r="I9" i="817" s="1"/>
  <c r="B384" i="797"/>
  <c r="B383"/>
  <c r="B382"/>
  <c r="Z10" s="1"/>
  <c r="AA10" s="1"/>
  <c r="AB18"/>
  <c r="AB19" s="1"/>
  <c r="Z18"/>
  <c r="Z19" s="1"/>
  <c r="Y18"/>
  <c r="Y19" s="1"/>
  <c r="X18"/>
  <c r="X19" s="1"/>
  <c r="W18"/>
  <c r="W19" s="1"/>
  <c r="V18"/>
  <c r="V19" s="1"/>
  <c r="U18"/>
  <c r="U19" s="1"/>
  <c r="T18"/>
  <c r="T19" s="1"/>
  <c r="S18"/>
  <c r="AD18" s="1"/>
  <c r="AD19" s="1"/>
  <c r="R18"/>
  <c r="AC18" s="1"/>
  <c r="AC19" s="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R14"/>
  <c r="AC14" s="1"/>
  <c r="AC15" s="1"/>
  <c r="AC10"/>
  <c r="AB10"/>
  <c r="Y10"/>
  <c r="X10"/>
  <c r="W10"/>
  <c r="V10"/>
  <c r="U10"/>
  <c r="T10"/>
  <c r="S10"/>
  <c r="AD10" s="1"/>
  <c r="AB9"/>
  <c r="Y9"/>
  <c r="X9"/>
  <c r="W9"/>
  <c r="V9"/>
  <c r="U9"/>
  <c r="T9"/>
  <c r="S9"/>
  <c r="AD9" s="1"/>
  <c r="R9"/>
  <c r="AC9" s="1"/>
  <c r="X27" i="796"/>
  <c r="W27"/>
  <c r="T27"/>
  <c r="Q27"/>
  <c r="X26"/>
  <c r="W26"/>
  <c r="U26"/>
  <c r="T26"/>
  <c r="S26"/>
  <c r="R26"/>
  <c r="Q26"/>
  <c r="M26"/>
  <c r="Y26" s="1"/>
  <c r="J26"/>
  <c r="V26" s="1"/>
  <c r="X25"/>
  <c r="W25"/>
  <c r="T25"/>
  <c r="Q25"/>
  <c r="X24"/>
  <c r="W24"/>
  <c r="T24"/>
  <c r="Q24"/>
  <c r="X23"/>
  <c r="W23"/>
  <c r="T23"/>
  <c r="Q23"/>
  <c r="X19"/>
  <c r="W19"/>
  <c r="U19"/>
  <c r="T19"/>
  <c r="S19"/>
  <c r="R19"/>
  <c r="Q19"/>
  <c r="M19"/>
  <c r="Y19" s="1"/>
  <c r="J19"/>
  <c r="V19" s="1"/>
  <c r="X18"/>
  <c r="W18"/>
  <c r="T18"/>
  <c r="Q18"/>
  <c r="X17"/>
  <c r="W17"/>
  <c r="T17"/>
  <c r="Q17"/>
  <c r="X16"/>
  <c r="W16"/>
  <c r="T16"/>
  <c r="Q16"/>
  <c r="P16"/>
  <c r="X15"/>
  <c r="W15"/>
  <c r="T15"/>
  <c r="Q15"/>
  <c r="X14"/>
  <c r="W14"/>
  <c r="T14"/>
  <c r="Q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AC19" i="794"/>
  <c r="AB19"/>
  <c r="Y19"/>
  <c r="X19"/>
  <c r="W19"/>
  <c r="V19"/>
  <c r="U19"/>
  <c r="T19"/>
  <c r="S19"/>
  <c r="AD19" s="1"/>
  <c r="N92" i="795"/>
  <c r="K92"/>
  <c r="J92"/>
  <c r="I92"/>
  <c r="H92"/>
  <c r="G92"/>
  <c r="F92"/>
  <c r="C92"/>
  <c r="B92"/>
  <c r="A92"/>
  <c r="N91"/>
  <c r="K91"/>
  <c r="J91"/>
  <c r="I91"/>
  <c r="H91"/>
  <c r="G91"/>
  <c r="F91"/>
  <c r="C91"/>
  <c r="B91"/>
  <c r="A91"/>
  <c r="N90"/>
  <c r="N93" s="1"/>
  <c r="H8" i="817" s="1"/>
  <c r="K90" i="795"/>
  <c r="K93" s="1"/>
  <c r="J90"/>
  <c r="J93" s="1"/>
  <c r="I90"/>
  <c r="I93" s="1"/>
  <c r="H90"/>
  <c r="H93" s="1"/>
  <c r="G90"/>
  <c r="G93" s="1"/>
  <c r="F90"/>
  <c r="F93" s="1"/>
  <c r="C90"/>
  <c r="B90"/>
  <c r="A90"/>
  <c r="B37"/>
  <c r="B36"/>
  <c r="B23"/>
  <c r="BA11"/>
  <c r="AZ11"/>
  <c r="AZ42" s="1"/>
  <c r="AY11"/>
  <c r="AX11"/>
  <c r="AX42" s="1"/>
  <c r="AW11"/>
  <c r="AV11"/>
  <c r="AV43" s="1"/>
  <c r="AU11"/>
  <c r="AT11"/>
  <c r="AT43" s="1"/>
  <c r="AS11"/>
  <c r="AR11"/>
  <c r="AR43" s="1"/>
  <c r="AO11"/>
  <c r="AN11"/>
  <c r="AN43" s="1"/>
  <c r="AM11"/>
  <c r="AL11"/>
  <c r="AL43" s="1"/>
  <c r="AK11"/>
  <c r="AJ11"/>
  <c r="AJ43" s="1"/>
  <c r="AI11"/>
  <c r="AH11"/>
  <c r="AH43" s="1"/>
  <c r="AG11"/>
  <c r="AF11"/>
  <c r="AF43" s="1"/>
  <c r="AE6"/>
  <c r="P92" s="1"/>
  <c r="AC6"/>
  <c r="O92" s="1"/>
  <c r="AE5"/>
  <c r="P91" s="1"/>
  <c r="AC5"/>
  <c r="O91" s="1"/>
  <c r="AE4"/>
  <c r="P90" s="1"/>
  <c r="P93" s="1"/>
  <c r="J8" i="817" s="1"/>
  <c r="AC4" i="795"/>
  <c r="O90" s="1"/>
  <c r="O93" s="1"/>
  <c r="I8" i="817" s="1"/>
  <c r="B385" i="794"/>
  <c r="B384"/>
  <c r="B383"/>
  <c r="Z19" s="1"/>
  <c r="AA19" s="1"/>
  <c r="AB18"/>
  <c r="AB20" s="1"/>
  <c r="Y18"/>
  <c r="X18"/>
  <c r="W18"/>
  <c r="V18"/>
  <c r="U18"/>
  <c r="T18"/>
  <c r="S18"/>
  <c r="AD18" s="1"/>
  <c r="R18"/>
  <c r="AC18" s="1"/>
  <c r="AB14"/>
  <c r="AB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R14"/>
  <c r="AC14" s="1"/>
  <c r="AC15" s="1"/>
  <c r="AC10"/>
  <c r="AB10"/>
  <c r="Y10"/>
  <c r="X10"/>
  <c r="W10"/>
  <c r="V10"/>
  <c r="U10"/>
  <c r="T10"/>
  <c r="S10"/>
  <c r="AD10" s="1"/>
  <c r="AB9"/>
  <c r="Y9"/>
  <c r="X9"/>
  <c r="W9"/>
  <c r="V9"/>
  <c r="U9"/>
  <c r="T9"/>
  <c r="S9"/>
  <c r="AD9" s="1"/>
  <c r="R9"/>
  <c r="AC9" s="1"/>
  <c r="X29" i="793"/>
  <c r="W29"/>
  <c r="T29"/>
  <c r="Q29"/>
  <c r="X28"/>
  <c r="W28"/>
  <c r="U28"/>
  <c r="T28"/>
  <c r="S28"/>
  <c r="R28"/>
  <c r="Q28"/>
  <c r="M28"/>
  <c r="Y28" s="1"/>
  <c r="J28"/>
  <c r="V28" s="1"/>
  <c r="X27"/>
  <c r="W27"/>
  <c r="T27"/>
  <c r="Q27"/>
  <c r="X26"/>
  <c r="W26"/>
  <c r="T26"/>
  <c r="Q26"/>
  <c r="P26"/>
  <c r="X25"/>
  <c r="W25"/>
  <c r="T25"/>
  <c r="Q25"/>
  <c r="X24"/>
  <c r="W24"/>
  <c r="T24"/>
  <c r="Q24"/>
  <c r="X23"/>
  <c r="W23"/>
  <c r="T23"/>
  <c r="Q23"/>
  <c r="X19"/>
  <c r="W19"/>
  <c r="U19"/>
  <c r="T19"/>
  <c r="S19"/>
  <c r="R19"/>
  <c r="Q19"/>
  <c r="M19"/>
  <c r="Y19" s="1"/>
  <c r="J19"/>
  <c r="V19" s="1"/>
  <c r="X18"/>
  <c r="W18"/>
  <c r="T18"/>
  <c r="Q18"/>
  <c r="X17"/>
  <c r="W17"/>
  <c r="T17"/>
  <c r="Q17"/>
  <c r="X16"/>
  <c r="W16"/>
  <c r="T16"/>
  <c r="Q16"/>
  <c r="P16"/>
  <c r="X15"/>
  <c r="W15"/>
  <c r="T15"/>
  <c r="Q15"/>
  <c r="X14"/>
  <c r="W14"/>
  <c r="T14"/>
  <c r="Q14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X36" i="790"/>
  <c r="W36"/>
  <c r="T36"/>
  <c r="Q36"/>
  <c r="X35"/>
  <c r="W35"/>
  <c r="T35"/>
  <c r="Q35"/>
  <c r="P35"/>
  <c r="Y38"/>
  <c r="X38"/>
  <c r="W38"/>
  <c r="V38"/>
  <c r="T38"/>
  <c r="Q38"/>
  <c r="Y37" i="787"/>
  <c r="X37"/>
  <c r="W37"/>
  <c r="V37"/>
  <c r="T37"/>
  <c r="Q37"/>
  <c r="N94" i="792"/>
  <c r="K94"/>
  <c r="J94"/>
  <c r="I94"/>
  <c r="H94"/>
  <c r="G94"/>
  <c r="F94"/>
  <c r="C94"/>
  <c r="B94"/>
  <c r="A94"/>
  <c r="N93"/>
  <c r="K93"/>
  <c r="J93"/>
  <c r="I93"/>
  <c r="H93"/>
  <c r="G93"/>
  <c r="F93"/>
  <c r="C93"/>
  <c r="B93"/>
  <c r="A93"/>
  <c r="N92"/>
  <c r="K92"/>
  <c r="J92"/>
  <c r="I92"/>
  <c r="H92"/>
  <c r="G92"/>
  <c r="F92"/>
  <c r="C92"/>
  <c r="B92"/>
  <c r="A92"/>
  <c r="N91"/>
  <c r="N95" s="1"/>
  <c r="H7" i="817" s="1"/>
  <c r="K91" i="792"/>
  <c r="K95" s="1"/>
  <c r="J91"/>
  <c r="J95" s="1"/>
  <c r="I91"/>
  <c r="I95" s="1"/>
  <c r="H91"/>
  <c r="H95" s="1"/>
  <c r="G91"/>
  <c r="G95" s="1"/>
  <c r="F91"/>
  <c r="F95" s="1"/>
  <c r="C91"/>
  <c r="B91"/>
  <c r="A91"/>
  <c r="B38"/>
  <c r="B37"/>
  <c r="B24"/>
  <c r="BA12"/>
  <c r="AZ12"/>
  <c r="AZ43" s="1"/>
  <c r="AY12"/>
  <c r="AX12"/>
  <c r="AX43" s="1"/>
  <c r="AW12"/>
  <c r="AV12"/>
  <c r="AV44" s="1"/>
  <c r="AU12"/>
  <c r="AT12"/>
  <c r="AT44" s="1"/>
  <c r="AS12"/>
  <c r="AR12"/>
  <c r="AR44" s="1"/>
  <c r="AO12"/>
  <c r="AN12"/>
  <c r="AN44" s="1"/>
  <c r="AM12"/>
  <c r="AL12"/>
  <c r="AL44" s="1"/>
  <c r="AK12"/>
  <c r="AJ12"/>
  <c r="AJ44" s="1"/>
  <c r="AI12"/>
  <c r="AH12"/>
  <c r="AH44" s="1"/>
  <c r="AG12"/>
  <c r="AF12"/>
  <c r="AF44" s="1"/>
  <c r="AE7"/>
  <c r="P94" s="1"/>
  <c r="AC7"/>
  <c r="O94" s="1"/>
  <c r="AE6"/>
  <c r="P93" s="1"/>
  <c r="AC6"/>
  <c r="O93" s="1"/>
  <c r="AE5"/>
  <c r="P92" s="1"/>
  <c r="AC5"/>
  <c r="O92" s="1"/>
  <c r="AE4"/>
  <c r="P91" s="1"/>
  <c r="P95" s="1"/>
  <c r="J7" i="817" s="1"/>
  <c r="AC4" i="792"/>
  <c r="O91" s="1"/>
  <c r="O95" s="1"/>
  <c r="I7" i="817" s="1"/>
  <c r="B388" i="791"/>
  <c r="B387"/>
  <c r="B386"/>
  <c r="Z10" s="1"/>
  <c r="AA10" s="1"/>
  <c r="AB22"/>
  <c r="AB23" s="1"/>
  <c r="Y22"/>
  <c r="Y23" s="1"/>
  <c r="X22"/>
  <c r="X23" s="1"/>
  <c r="W22"/>
  <c r="W23" s="1"/>
  <c r="V22"/>
  <c r="V23" s="1"/>
  <c r="U22"/>
  <c r="U23" s="1"/>
  <c r="T22"/>
  <c r="T23" s="1"/>
  <c r="S22"/>
  <c r="AD22" s="1"/>
  <c r="AD23" s="1"/>
  <c r="R22"/>
  <c r="AC22" s="1"/>
  <c r="AC23" s="1"/>
  <c r="AB18"/>
  <c r="AB19" s="1"/>
  <c r="Y18"/>
  <c r="Y19" s="1"/>
  <c r="X18"/>
  <c r="X19" s="1"/>
  <c r="W18"/>
  <c r="W19" s="1"/>
  <c r="V18"/>
  <c r="V19" s="1"/>
  <c r="U18"/>
  <c r="U19" s="1"/>
  <c r="T18"/>
  <c r="T19" s="1"/>
  <c r="S18"/>
  <c r="AD18" s="1"/>
  <c r="AD19" s="1"/>
  <c r="R18"/>
  <c r="AC18" s="1"/>
  <c r="AC19" s="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S14"/>
  <c r="AD14" s="1"/>
  <c r="AD15" s="1"/>
  <c r="R14"/>
  <c r="AC14" s="1"/>
  <c r="AC15" s="1"/>
  <c r="AC10"/>
  <c r="AB10"/>
  <c r="Y10"/>
  <c r="X10"/>
  <c r="W10"/>
  <c r="V10"/>
  <c r="U10"/>
  <c r="T10"/>
  <c r="S10"/>
  <c r="AD10" s="1"/>
  <c r="AB9"/>
  <c r="Y9"/>
  <c r="X9"/>
  <c r="W9"/>
  <c r="V9"/>
  <c r="U9"/>
  <c r="T9"/>
  <c r="S9"/>
  <c r="AD9" s="1"/>
  <c r="R9"/>
  <c r="AC9" s="1"/>
  <c r="X39" i="790"/>
  <c r="W39"/>
  <c r="T39"/>
  <c r="Q39"/>
  <c r="X37"/>
  <c r="W37"/>
  <c r="U37"/>
  <c r="T37"/>
  <c r="S37"/>
  <c r="R37"/>
  <c r="Q37"/>
  <c r="M37"/>
  <c r="Y37" s="1"/>
  <c r="J37"/>
  <c r="V37" s="1"/>
  <c r="X34"/>
  <c r="W34"/>
  <c r="T34"/>
  <c r="Q34"/>
  <c r="X33"/>
  <c r="W33"/>
  <c r="T33"/>
  <c r="Q33"/>
  <c r="X32"/>
  <c r="W32"/>
  <c r="T32"/>
  <c r="Q32"/>
  <c r="X28"/>
  <c r="W28"/>
  <c r="U28"/>
  <c r="T28"/>
  <c r="S28"/>
  <c r="R28"/>
  <c r="Q28"/>
  <c r="M28"/>
  <c r="Y28" s="1"/>
  <c r="J28"/>
  <c r="V28" s="1"/>
  <c r="X27"/>
  <c r="W27"/>
  <c r="T27"/>
  <c r="Q27"/>
  <c r="X26"/>
  <c r="W26"/>
  <c r="T26"/>
  <c r="Q26"/>
  <c r="X25"/>
  <c r="W25"/>
  <c r="T25"/>
  <c r="Q25"/>
  <c r="P25"/>
  <c r="X24"/>
  <c r="W24"/>
  <c r="T24"/>
  <c r="Q24"/>
  <c r="X23"/>
  <c r="W23"/>
  <c r="T23"/>
  <c r="Q23"/>
  <c r="X19"/>
  <c r="W19"/>
  <c r="U19"/>
  <c r="T19"/>
  <c r="S19"/>
  <c r="R19"/>
  <c r="Q19"/>
  <c r="M19"/>
  <c r="Y19" s="1"/>
  <c r="J19"/>
  <c r="V19" s="1"/>
  <c r="Y18"/>
  <c r="X18"/>
  <c r="W18"/>
  <c r="V18"/>
  <c r="T18"/>
  <c r="Q18"/>
  <c r="X17"/>
  <c r="W17"/>
  <c r="T17"/>
  <c r="Q17"/>
  <c r="X16"/>
  <c r="W16"/>
  <c r="T16"/>
  <c r="Q16"/>
  <c r="X15"/>
  <c r="W15"/>
  <c r="T15"/>
  <c r="Q15"/>
  <c r="X14"/>
  <c r="W14"/>
  <c r="T14"/>
  <c r="T20" s="1"/>
  <c r="Q14"/>
  <c r="Q20" s="1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AC15" i="788"/>
  <c r="AB15"/>
  <c r="Z15"/>
  <c r="AA15" s="1"/>
  <c r="Y15"/>
  <c r="X15"/>
  <c r="W15"/>
  <c r="V15"/>
  <c r="U15"/>
  <c r="T15"/>
  <c r="S15"/>
  <c r="AD15" s="1"/>
  <c r="X26" i="787"/>
  <c r="W26"/>
  <c r="T26"/>
  <c r="Q26"/>
  <c r="P26"/>
  <c r="N94" i="789"/>
  <c r="K94"/>
  <c r="J94"/>
  <c r="I94"/>
  <c r="H94"/>
  <c r="G94"/>
  <c r="F94"/>
  <c r="C94"/>
  <c r="B94"/>
  <c r="A94"/>
  <c r="N93"/>
  <c r="K93"/>
  <c r="J93"/>
  <c r="I93"/>
  <c r="H93"/>
  <c r="G93"/>
  <c r="F93"/>
  <c r="C93"/>
  <c r="B93"/>
  <c r="A93"/>
  <c r="N92"/>
  <c r="K92"/>
  <c r="J92"/>
  <c r="I92"/>
  <c r="H92"/>
  <c r="G92"/>
  <c r="F92"/>
  <c r="C92"/>
  <c r="B92"/>
  <c r="A92"/>
  <c r="N91"/>
  <c r="N95" s="1"/>
  <c r="H6" i="817" s="1"/>
  <c r="K91" i="789"/>
  <c r="K95" s="1"/>
  <c r="J91"/>
  <c r="J95" s="1"/>
  <c r="I91"/>
  <c r="I95" s="1"/>
  <c r="H91"/>
  <c r="H95" s="1"/>
  <c r="G91"/>
  <c r="G95" s="1"/>
  <c r="F91"/>
  <c r="F95" s="1"/>
  <c r="C91"/>
  <c r="B91"/>
  <c r="A91"/>
  <c r="B38"/>
  <c r="B37"/>
  <c r="B24"/>
  <c r="BA12"/>
  <c r="AZ12"/>
  <c r="AZ43" s="1"/>
  <c r="AY12"/>
  <c r="AX12"/>
  <c r="AX43" s="1"/>
  <c r="AW12"/>
  <c r="AV12"/>
  <c r="AV44" s="1"/>
  <c r="AU12"/>
  <c r="AT12"/>
  <c r="AT44" s="1"/>
  <c r="AS12"/>
  <c r="AR12"/>
  <c r="AR44" s="1"/>
  <c r="AO12"/>
  <c r="AN12"/>
  <c r="AN44" s="1"/>
  <c r="AM12"/>
  <c r="AL12"/>
  <c r="AL44" s="1"/>
  <c r="AK12"/>
  <c r="AJ12"/>
  <c r="AJ44" s="1"/>
  <c r="AI12"/>
  <c r="AH12"/>
  <c r="AH44" s="1"/>
  <c r="AG12"/>
  <c r="AF12"/>
  <c r="AF44" s="1"/>
  <c r="AE7"/>
  <c r="P94" s="1"/>
  <c r="AC7"/>
  <c r="O94" s="1"/>
  <c r="AE6"/>
  <c r="P93" s="1"/>
  <c r="AC6"/>
  <c r="O93" s="1"/>
  <c r="AE5"/>
  <c r="P92" s="1"/>
  <c r="AC5"/>
  <c r="O92" s="1"/>
  <c r="AE4"/>
  <c r="P91" s="1"/>
  <c r="P95" s="1"/>
  <c r="J6" i="817" s="1"/>
  <c r="AC4" i="789"/>
  <c r="O91" s="1"/>
  <c r="O95" s="1"/>
  <c r="I6" i="817" s="1"/>
  <c r="B389" i="788"/>
  <c r="B388"/>
  <c r="B387"/>
  <c r="Z10" s="1"/>
  <c r="AA10" s="1"/>
  <c r="AB23"/>
  <c r="AB24" s="1"/>
  <c r="Y23"/>
  <c r="Y24" s="1"/>
  <c r="X23"/>
  <c r="X24" s="1"/>
  <c r="W23"/>
  <c r="W24" s="1"/>
  <c r="V23"/>
  <c r="V24" s="1"/>
  <c r="U23"/>
  <c r="U24" s="1"/>
  <c r="T23"/>
  <c r="T24" s="1"/>
  <c r="S23"/>
  <c r="AD23" s="1"/>
  <c r="AD24" s="1"/>
  <c r="R23"/>
  <c r="AC23" s="1"/>
  <c r="AC24" s="1"/>
  <c r="AB19"/>
  <c r="AB20" s="1"/>
  <c r="Y19"/>
  <c r="Y20" s="1"/>
  <c r="X19"/>
  <c r="X20" s="1"/>
  <c r="W19"/>
  <c r="W20" s="1"/>
  <c r="V19"/>
  <c r="V20" s="1"/>
  <c r="U19"/>
  <c r="U20" s="1"/>
  <c r="T19"/>
  <c r="T20" s="1"/>
  <c r="S19"/>
  <c r="AD19" s="1"/>
  <c r="AD20" s="1"/>
  <c r="R19"/>
  <c r="AC19" s="1"/>
  <c r="AC20" s="1"/>
  <c r="AB14"/>
  <c r="Z14"/>
  <c r="Z16" s="1"/>
  <c r="Y14"/>
  <c r="X14"/>
  <c r="X16" s="1"/>
  <c r="W14"/>
  <c r="V14"/>
  <c r="V16" s="1"/>
  <c r="U14"/>
  <c r="T14"/>
  <c r="T16" s="1"/>
  <c r="S14"/>
  <c r="AD14" s="1"/>
  <c r="R14"/>
  <c r="AC14" s="1"/>
  <c r="AC16" s="1"/>
  <c r="AC10"/>
  <c r="AB10"/>
  <c r="Y10"/>
  <c r="X10"/>
  <c r="W10"/>
  <c r="V10"/>
  <c r="U10"/>
  <c r="T10"/>
  <c r="S10"/>
  <c r="AD10" s="1"/>
  <c r="AB9"/>
  <c r="Y9"/>
  <c r="X9"/>
  <c r="W9"/>
  <c r="V9"/>
  <c r="U9"/>
  <c r="T9"/>
  <c r="S9"/>
  <c r="AD9" s="1"/>
  <c r="R9"/>
  <c r="AC9" s="1"/>
  <c r="X36" i="787"/>
  <c r="W36"/>
  <c r="U36"/>
  <c r="T36"/>
  <c r="S36"/>
  <c r="R36"/>
  <c r="Q36"/>
  <c r="M36"/>
  <c r="Y36" s="1"/>
  <c r="J36"/>
  <c r="V36" s="1"/>
  <c r="X35"/>
  <c r="W35"/>
  <c r="T35"/>
  <c r="Q35"/>
  <c r="X34"/>
  <c r="W34"/>
  <c r="T34"/>
  <c r="Q34"/>
  <c r="X33"/>
  <c r="W33"/>
  <c r="T33"/>
  <c r="Q33"/>
  <c r="Q38" s="1"/>
  <c r="X29"/>
  <c r="W29"/>
  <c r="U29"/>
  <c r="T29"/>
  <c r="S29"/>
  <c r="R29"/>
  <c r="Q29"/>
  <c r="M29"/>
  <c r="Y29" s="1"/>
  <c r="J29"/>
  <c r="V29" s="1"/>
  <c r="X28"/>
  <c r="W28"/>
  <c r="T28"/>
  <c r="Q28"/>
  <c r="X27"/>
  <c r="W27"/>
  <c r="T27"/>
  <c r="Q27"/>
  <c r="X25"/>
  <c r="W25"/>
  <c r="T25"/>
  <c r="Q25"/>
  <c r="X24"/>
  <c r="W24"/>
  <c r="T24"/>
  <c r="Q24"/>
  <c r="X20"/>
  <c r="W20"/>
  <c r="U20"/>
  <c r="T20"/>
  <c r="S20"/>
  <c r="R20"/>
  <c r="Q20"/>
  <c r="M20"/>
  <c r="Y20" s="1"/>
  <c r="J20"/>
  <c r="V20" s="1"/>
  <c r="Y19"/>
  <c r="X19"/>
  <c r="W19"/>
  <c r="V19"/>
  <c r="T19"/>
  <c r="Q19"/>
  <c r="X18"/>
  <c r="W18"/>
  <c r="T18"/>
  <c r="Q18"/>
  <c r="X17"/>
  <c r="W17"/>
  <c r="T17"/>
  <c r="Q17"/>
  <c r="X16"/>
  <c r="W16"/>
  <c r="T16"/>
  <c r="Q16"/>
  <c r="X15"/>
  <c r="W15"/>
  <c r="T15"/>
  <c r="Q15"/>
  <c r="X14"/>
  <c r="W14"/>
  <c r="T14"/>
  <c r="T21" s="1"/>
  <c r="Q14"/>
  <c r="Q21" s="1"/>
  <c r="X10"/>
  <c r="W10"/>
  <c r="T10"/>
  <c r="Q10"/>
  <c r="X9"/>
  <c r="W9"/>
  <c r="U9"/>
  <c r="T9"/>
  <c r="S9"/>
  <c r="R9"/>
  <c r="Q9"/>
  <c r="M9"/>
  <c r="Y9" s="1"/>
  <c r="J9"/>
  <c r="V9" s="1"/>
  <c r="X8"/>
  <c r="W8"/>
  <c r="T8"/>
  <c r="Q8"/>
  <c r="D8"/>
  <c r="J11" i="817" l="1"/>
  <c r="J12"/>
  <c r="I12"/>
  <c r="I11"/>
  <c r="H11"/>
  <c r="H12"/>
  <c r="D5" i="25"/>
  <c r="D7"/>
  <c r="D8"/>
  <c r="B79" i="817"/>
  <c r="D6" i="25"/>
  <c r="D9"/>
  <c r="C15"/>
  <c r="Z9" i="788"/>
  <c r="Z9" i="791"/>
  <c r="Z9" i="794"/>
  <c r="Z14" i="803"/>
  <c r="Z16" s="1"/>
  <c r="D11" i="25"/>
  <c r="D10"/>
  <c r="Z14" i="794"/>
  <c r="Z15" s="1"/>
  <c r="AC20"/>
  <c r="Z14" i="800"/>
  <c r="Z15" s="1"/>
  <c r="T20" i="802"/>
  <c r="AD16" i="803"/>
  <c r="U16"/>
  <c r="W16"/>
  <c r="Y16"/>
  <c r="V26" i="809"/>
  <c r="X21" i="682"/>
  <c r="T21"/>
  <c r="AB11" i="806"/>
  <c r="Z10"/>
  <c r="AA10" s="1"/>
  <c r="AF53" i="810"/>
  <c r="T30" i="607"/>
  <c r="T31" i="585"/>
  <c r="Z18" i="794"/>
  <c r="Z20" s="1"/>
  <c r="Z19" i="803"/>
  <c r="Z20" s="1"/>
  <c r="Z18" i="800"/>
  <c r="Z19" s="1"/>
  <c r="Z10" i="794"/>
  <c r="AA10" s="1"/>
  <c r="AD20"/>
  <c r="U20"/>
  <c r="W20"/>
  <c r="Y20"/>
  <c r="T11" i="796"/>
  <c r="Z9" i="800"/>
  <c r="Q28" i="564"/>
  <c r="AX69" i="810"/>
  <c r="AT69"/>
  <c r="AN69"/>
  <c r="AJ69"/>
  <c r="AF69"/>
  <c r="AT53"/>
  <c r="Q34" i="576"/>
  <c r="T34" i="579"/>
  <c r="W31" i="585"/>
  <c r="B20" i="817" s="1"/>
  <c r="W25" i="594"/>
  <c r="B23" i="817" s="1"/>
  <c r="Q25" i="594"/>
  <c r="W25" i="597"/>
  <c r="B24" i="817" s="1"/>
  <c r="W26" i="600"/>
  <c r="B25" i="817" s="1"/>
  <c r="X26" i="600"/>
  <c r="C25" i="817" s="1"/>
  <c r="Z28" i="604"/>
  <c r="Q33" i="606"/>
  <c r="W29" i="609"/>
  <c r="B28" i="817" s="1"/>
  <c r="X28" i="610"/>
  <c r="T28"/>
  <c r="W29" i="612"/>
  <c r="B29" i="817" s="1"/>
  <c r="AD17" i="616"/>
  <c r="G30" i="817" s="1"/>
  <c r="AD17" i="619"/>
  <c r="G31" i="817" s="1"/>
  <c r="T24" i="654"/>
  <c r="AB21" i="679"/>
  <c r="E50" i="817" s="1"/>
  <c r="W21" i="679"/>
  <c r="AD21"/>
  <c r="G50" i="817" s="1"/>
  <c r="X24" i="666"/>
  <c r="C46" i="817" s="1"/>
  <c r="AC28" i="604"/>
  <c r="F26" i="817" s="1"/>
  <c r="V28" i="604"/>
  <c r="T20" i="621"/>
  <c r="W17" i="619"/>
  <c r="X20" i="618"/>
  <c r="C31" i="817" s="1"/>
  <c r="W20" i="618"/>
  <c r="B31" i="817" s="1"/>
  <c r="T20" i="615"/>
  <c r="T29" i="609"/>
  <c r="Q25" i="597"/>
  <c r="T25" i="594"/>
  <c r="Q31" i="588"/>
  <c r="T34" i="576"/>
  <c r="AB26" i="809"/>
  <c r="T28" i="567"/>
  <c r="T26" i="600"/>
  <c r="Z26" i="809"/>
  <c r="AC26"/>
  <c r="Q20" i="621"/>
  <c r="X20" i="790"/>
  <c r="Z9" i="803"/>
  <c r="AB16"/>
  <c r="T20" i="805"/>
  <c r="AD22" i="806"/>
  <c r="G12" i="817" s="1"/>
  <c r="U22" i="806"/>
  <c r="AC16"/>
  <c r="Q26" i="805"/>
  <c r="W26"/>
  <c r="T11" i="74"/>
  <c r="X11"/>
  <c r="Q20"/>
  <c r="W20"/>
  <c r="Q26"/>
  <c r="W26"/>
  <c r="AD11" i="75"/>
  <c r="U11"/>
  <c r="W11"/>
  <c r="Y11"/>
  <c r="AB11"/>
  <c r="AD16"/>
  <c r="U16"/>
  <c r="W16"/>
  <c r="Y16"/>
  <c r="AB16"/>
  <c r="Q33" i="603"/>
  <c r="AB17" i="616"/>
  <c r="E30" i="817" s="1"/>
  <c r="W17" i="616"/>
  <c r="AL53" i="810"/>
  <c r="Q34" i="582"/>
  <c r="Q11" i="793"/>
  <c r="W11"/>
  <c r="T20"/>
  <c r="X20"/>
  <c r="T30"/>
  <c r="X30"/>
  <c r="AD11" i="794"/>
  <c r="AD21" s="1"/>
  <c r="G8" i="817" s="1"/>
  <c r="U11" i="794"/>
  <c r="U21" s="1"/>
  <c r="W11"/>
  <c r="W21" s="1"/>
  <c r="Y11"/>
  <c r="Y21" s="1"/>
  <c r="AB11"/>
  <c r="AB21" s="1"/>
  <c r="E8" i="817" s="1"/>
  <c r="Z19" i="788"/>
  <c r="Z20" s="1"/>
  <c r="Z18" i="791"/>
  <c r="Z19" s="1"/>
  <c r="AC11" i="797"/>
  <c r="T11" i="799"/>
  <c r="X11"/>
  <c r="Q20"/>
  <c r="W20"/>
  <c r="W27"/>
  <c r="U11" i="800"/>
  <c r="U20" s="1"/>
  <c r="W11"/>
  <c r="W20" s="1"/>
  <c r="Y11"/>
  <c r="Y20" s="1"/>
  <c r="AB11"/>
  <c r="Q11" i="802"/>
  <c r="Q28" s="1"/>
  <c r="W11"/>
  <c r="X20"/>
  <c r="W27"/>
  <c r="AD11" i="803"/>
  <c r="U11"/>
  <c r="W11"/>
  <c r="Y11"/>
  <c r="AB11"/>
  <c r="Z10"/>
  <c r="AA10" s="1"/>
  <c r="AH53" i="810"/>
  <c r="X26" i="809"/>
  <c r="T26"/>
  <c r="Z22" i="791"/>
  <c r="Z23" s="1"/>
  <c r="AD16" i="788"/>
  <c r="U16"/>
  <c r="W16"/>
  <c r="Y16"/>
  <c r="AB16"/>
  <c r="Q11" i="790"/>
  <c r="Q29"/>
  <c r="W29"/>
  <c r="Q40"/>
  <c r="W40"/>
  <c r="AD11" i="791"/>
  <c r="AD24" s="1"/>
  <c r="G7" i="817" s="1"/>
  <c r="U11" i="791"/>
  <c r="U24" s="1"/>
  <c r="W11"/>
  <c r="W24" s="1"/>
  <c r="Y11"/>
  <c r="Y24" s="1"/>
  <c r="AB11"/>
  <c r="AB24" s="1"/>
  <c r="E7" i="817" s="1"/>
  <c r="T20" i="794"/>
  <c r="V20"/>
  <c r="X20"/>
  <c r="Q11" i="796"/>
  <c r="W11"/>
  <c r="T20"/>
  <c r="X20"/>
  <c r="T28"/>
  <c r="X28"/>
  <c r="T11" i="797"/>
  <c r="V11"/>
  <c r="X11"/>
  <c r="Z9"/>
  <c r="AC16" i="803"/>
  <c r="T11" i="805"/>
  <c r="X11"/>
  <c r="Q20"/>
  <c r="W20"/>
  <c r="AC11" i="806"/>
  <c r="AC22" s="1"/>
  <c r="F12" i="817" s="1"/>
  <c r="T11" i="806"/>
  <c r="V11"/>
  <c r="Z9"/>
  <c r="Z14"/>
  <c r="T26" i="805"/>
  <c r="X26"/>
  <c r="Q11" i="74"/>
  <c r="Q28" s="1"/>
  <c r="W11"/>
  <c r="W28" s="1"/>
  <c r="B13" i="817" s="1"/>
  <c r="T26" i="74"/>
  <c r="X26"/>
  <c r="AC11" i="75"/>
  <c r="T11"/>
  <c r="V11"/>
  <c r="X11"/>
  <c r="Z11"/>
  <c r="AC16"/>
  <c r="T16"/>
  <c r="V16"/>
  <c r="X16"/>
  <c r="Z16"/>
  <c r="W28" i="567"/>
  <c r="B15" i="817" s="1"/>
  <c r="AZ53" i="810"/>
  <c r="AR53"/>
  <c r="W34" i="576"/>
  <c r="B17" i="817" s="1"/>
  <c r="Q31" i="585"/>
  <c r="W31" i="588"/>
  <c r="B21" i="817" s="1"/>
  <c r="X25" i="594"/>
  <c r="C23" i="817" s="1"/>
  <c r="W33" i="603"/>
  <c r="B26" i="817" s="1"/>
  <c r="W33" i="606"/>
  <c r="B27" i="817" s="1"/>
  <c r="X33" i="606"/>
  <c r="C27" i="817" s="1"/>
  <c r="X29" i="609"/>
  <c r="C28" i="817" s="1"/>
  <c r="X20" i="615"/>
  <c r="C30" i="817" s="1"/>
  <c r="W24" i="669"/>
  <c r="B47" i="817" s="1"/>
  <c r="AA19" i="733"/>
  <c r="T33" i="606"/>
  <c r="AB28" i="604"/>
  <c r="E26" i="817" s="1"/>
  <c r="Q35" i="808"/>
  <c r="Q11" i="799"/>
  <c r="Q28" s="1"/>
  <c r="W11"/>
  <c r="W28" s="1"/>
  <c r="B10" i="817" s="1"/>
  <c r="T20" i="799"/>
  <c r="X20"/>
  <c r="X27"/>
  <c r="AC11" i="800"/>
  <c r="AC20" s="1"/>
  <c r="F10" i="817" s="1"/>
  <c r="W21" i="684"/>
  <c r="B52" i="817" s="1"/>
  <c r="X21" i="667"/>
  <c r="T21"/>
  <c r="AB21" i="598"/>
  <c r="E24" i="817" s="1"/>
  <c r="W21" i="598"/>
  <c r="AD21"/>
  <c r="G24" i="817" s="1"/>
  <c r="X21" i="595"/>
  <c r="T21"/>
  <c r="X25" i="580"/>
  <c r="T25"/>
  <c r="X25" i="577"/>
  <c r="T25"/>
  <c r="X21" i="687"/>
  <c r="C53" i="817" s="1"/>
  <c r="Z21" i="667"/>
  <c r="V21"/>
  <c r="AC21"/>
  <c r="F46" i="817" s="1"/>
  <c r="X11" i="806"/>
  <c r="W28" i="604"/>
  <c r="Y26" i="613"/>
  <c r="U26"/>
  <c r="X29" i="612"/>
  <c r="C29" i="817" s="1"/>
  <c r="T33" i="603"/>
  <c r="Y21" i="598"/>
  <c r="U21"/>
  <c r="Z21" i="595"/>
  <c r="V21"/>
  <c r="AC21"/>
  <c r="F23" i="817" s="1"/>
  <c r="Q31" i="591"/>
  <c r="Z25" i="580"/>
  <c r="V25"/>
  <c r="AC25"/>
  <c r="F18" i="817" s="1"/>
  <c r="Z25" i="577"/>
  <c r="V25"/>
  <c r="AC25"/>
  <c r="F17" i="817" s="1"/>
  <c r="AB26" i="613"/>
  <c r="E29" i="817" s="1"/>
  <c r="W26" i="613"/>
  <c r="AD26"/>
  <c r="G29" i="817" s="1"/>
  <c r="T29" i="612"/>
  <c r="Z11" i="806"/>
  <c r="AA17" i="616"/>
  <c r="X31" i="585"/>
  <c r="C20" i="817" s="1"/>
  <c r="AB25" i="577"/>
  <c r="E17" i="817" s="1"/>
  <c r="Y21" i="667"/>
  <c r="AA16" i="628"/>
  <c r="T24" i="672"/>
  <c r="U21" i="667"/>
  <c r="T23" i="663"/>
  <c r="T24" i="657"/>
  <c r="W24" i="654"/>
  <c r="B42" i="817" s="1"/>
  <c r="W20" i="790"/>
  <c r="T11" i="800"/>
  <c r="T20" s="1"/>
  <c r="V11"/>
  <c r="V20" s="1"/>
  <c r="X11"/>
  <c r="X20" s="1"/>
  <c r="Z11"/>
  <c r="Z20" s="1"/>
  <c r="T11" i="802"/>
  <c r="X11"/>
  <c r="W20"/>
  <c r="W28" s="1"/>
  <c r="B11" i="817" s="1"/>
  <c r="X27" i="802"/>
  <c r="AC11" i="803"/>
  <c r="T11"/>
  <c r="V11"/>
  <c r="X11"/>
  <c r="Z11"/>
  <c r="T24" i="675"/>
  <c r="T23" i="660"/>
  <c r="T24" i="651"/>
  <c r="W21" i="687"/>
  <c r="B53" i="817" s="1"/>
  <c r="X21" i="684"/>
  <c r="C52" i="817" s="1"/>
  <c r="W24" i="672"/>
  <c r="B48" i="817" s="1"/>
  <c r="AB21" i="667"/>
  <c r="E46" i="817" s="1"/>
  <c r="W21" i="667"/>
  <c r="AD21"/>
  <c r="G46" i="817" s="1"/>
  <c r="W23" i="663"/>
  <c r="B45" i="817" s="1"/>
  <c r="X17" i="622"/>
  <c r="T17"/>
  <c r="Z30" i="607"/>
  <c r="V30"/>
  <c r="AC30"/>
  <c r="F27" i="817" s="1"/>
  <c r="Z26" i="592"/>
  <c r="V26"/>
  <c r="AC26"/>
  <c r="F22" i="817" s="1"/>
  <c r="Z26" i="589"/>
  <c r="V26"/>
  <c r="AC26"/>
  <c r="F21" i="817" s="1"/>
  <c r="X21" i="568"/>
  <c r="T21"/>
  <c r="W11" i="790"/>
  <c r="AA16" i="640"/>
  <c r="AA16" i="649"/>
  <c r="AA21" i="679"/>
  <c r="AA21" i="682"/>
  <c r="AB25" i="583"/>
  <c r="E19" i="817" s="1"/>
  <c r="W25" i="583"/>
  <c r="AD25"/>
  <c r="G19" i="817" s="1"/>
  <c r="W24" i="675"/>
  <c r="B49" i="817" s="1"/>
  <c r="W23" i="660"/>
  <c r="B44" i="817" s="1"/>
  <c r="W24" i="651"/>
  <c r="B41" i="817" s="1"/>
  <c r="Z17" i="622"/>
  <c r="V17"/>
  <c r="AC17"/>
  <c r="F32" i="817" s="1"/>
  <c r="X30" i="607"/>
  <c r="X26" i="592"/>
  <c r="T26"/>
  <c r="X26" i="589"/>
  <c r="T26"/>
  <c r="Z21" i="568"/>
  <c r="V21"/>
  <c r="AC21"/>
  <c r="F15" i="817" s="1"/>
  <c r="Z23" i="788"/>
  <c r="Z24" s="1"/>
  <c r="T11" i="787"/>
  <c r="X11"/>
  <c r="W21"/>
  <c r="T30"/>
  <c r="X30"/>
  <c r="W38"/>
  <c r="AD11" i="788"/>
  <c r="U11"/>
  <c r="W11"/>
  <c r="Y11"/>
  <c r="AB11"/>
  <c r="T11" i="790"/>
  <c r="X11"/>
  <c r="T29"/>
  <c r="X29"/>
  <c r="T40"/>
  <c r="X40"/>
  <c r="AC11" i="791"/>
  <c r="AC24" s="1"/>
  <c r="F7" i="817" s="1"/>
  <c r="T11" i="791"/>
  <c r="T24" s="1"/>
  <c r="V11"/>
  <c r="V24" s="1"/>
  <c r="X11"/>
  <c r="X24" s="1"/>
  <c r="Z11"/>
  <c r="Z24" s="1"/>
  <c r="AA16" i="697"/>
  <c r="AA16" i="700"/>
  <c r="AB26" i="586"/>
  <c r="E20" i="817" s="1"/>
  <c r="W26" i="586"/>
  <c r="T16" i="806"/>
  <c r="T22" s="1"/>
  <c r="Z21" i="598"/>
  <c r="AA17" i="619"/>
  <c r="AA20" i="652"/>
  <c r="Y25" i="583"/>
  <c r="U25"/>
  <c r="T11" i="793"/>
  <c r="T31" s="1"/>
  <c r="V16" i="806"/>
  <c r="V22" s="1"/>
  <c r="AA28" i="604"/>
  <c r="W20" i="624"/>
  <c r="B33" i="817" s="1"/>
  <c r="X16" i="625"/>
  <c r="T16"/>
  <c r="Q24" i="657"/>
  <c r="V21" i="598"/>
  <c r="AC21"/>
  <c r="F24" i="817" s="1"/>
  <c r="AB21" i="595"/>
  <c r="E23" i="817" s="1"/>
  <c r="W21" i="595"/>
  <c r="AD21"/>
  <c r="G23" i="817" s="1"/>
  <c r="T31" i="591"/>
  <c r="X25" i="583"/>
  <c r="T25"/>
  <c r="Y25" i="580"/>
  <c r="U25"/>
  <c r="W25" i="577"/>
  <c r="AD25"/>
  <c r="G17" i="817" s="1"/>
  <c r="Z26" i="586"/>
  <c r="V26"/>
  <c r="AC26"/>
  <c r="F20" i="817" s="1"/>
  <c r="X22" i="601"/>
  <c r="AA16" i="703"/>
  <c r="AA16" i="709"/>
  <c r="AA16" i="712"/>
  <c r="AA19" i="721"/>
  <c r="AA19" i="727"/>
  <c r="AA19" i="730"/>
  <c r="Y17" i="622"/>
  <c r="U17"/>
  <c r="X33" i="603"/>
  <c r="C26" i="817" s="1"/>
  <c r="X31" i="591"/>
  <c r="C22" i="817" s="1"/>
  <c r="AD26" i="586"/>
  <c r="G20" i="817" s="1"/>
  <c r="T34" i="582"/>
  <c r="Q34" i="579"/>
  <c r="X34" i="576"/>
  <c r="C17" i="817" s="1"/>
  <c r="X11" i="793"/>
  <c r="X31" s="1"/>
  <c r="C8" i="817" s="1"/>
  <c r="Q20" i="793"/>
  <c r="W20"/>
  <c r="X16" i="806"/>
  <c r="X22" s="1"/>
  <c r="AB21" i="568"/>
  <c r="E15" i="817" s="1"/>
  <c r="W21" i="568"/>
  <c r="AD21"/>
  <c r="G15" i="817" s="1"/>
  <c r="Q28" i="567"/>
  <c r="W28" i="564"/>
  <c r="B14" i="817" s="1"/>
  <c r="AZ73" i="810"/>
  <c r="AV73"/>
  <c r="AR73"/>
  <c r="AL73"/>
  <c r="AH73"/>
  <c r="AZ65"/>
  <c r="AV65"/>
  <c r="AR65"/>
  <c r="AL65"/>
  <c r="AH65"/>
  <c r="Y25" i="577"/>
  <c r="U25"/>
  <c r="X34" i="579"/>
  <c r="C18" i="817" s="1"/>
  <c r="X26" i="586"/>
  <c r="T26"/>
  <c r="AA26" i="589"/>
  <c r="T22" i="601"/>
  <c r="AB22"/>
  <c r="E25" i="817" s="1"/>
  <c r="W22" i="601"/>
  <c r="AD22"/>
  <c r="G25" i="817" s="1"/>
  <c r="AA28" i="610"/>
  <c r="AA17" i="622"/>
  <c r="Q20" i="624"/>
  <c r="AA16" i="625"/>
  <c r="Z16"/>
  <c r="V16"/>
  <c r="AC16"/>
  <c r="F33" i="817" s="1"/>
  <c r="AA16" i="643"/>
  <c r="AA16" i="646"/>
  <c r="AA20" i="655"/>
  <c r="AA20" i="658"/>
  <c r="AA21" i="667"/>
  <c r="X24" i="669"/>
  <c r="C47" i="817" s="1"/>
  <c r="AA20" i="673"/>
  <c r="AA20" i="685"/>
  <c r="AA16" i="694"/>
  <c r="Z26" i="613"/>
  <c r="V26"/>
  <c r="AC26"/>
  <c r="F29" i="817" s="1"/>
  <c r="Q29" i="612"/>
  <c r="AB28" i="610"/>
  <c r="E28" i="817" s="1"/>
  <c r="W28" i="610"/>
  <c r="AD28"/>
  <c r="G28" i="817" s="1"/>
  <c r="Y30" i="607"/>
  <c r="U30"/>
  <c r="AD28" i="604"/>
  <c r="G26" i="817" s="1"/>
  <c r="AA21" i="598"/>
  <c r="Y26" i="592"/>
  <c r="U26"/>
  <c r="AB26" i="589"/>
  <c r="E21" i="817" s="1"/>
  <c r="W26" i="589"/>
  <c r="AD26"/>
  <c r="G21" i="817" s="1"/>
  <c r="X31" i="588"/>
  <c r="C21" i="817" s="1"/>
  <c r="Y26" i="809"/>
  <c r="U26"/>
  <c r="X21" i="565"/>
  <c r="T21"/>
  <c r="AX77" i="810"/>
  <c r="AT77"/>
  <c r="AN77"/>
  <c r="AJ77"/>
  <c r="AF77"/>
  <c r="AX61"/>
  <c r="AT61"/>
  <c r="AN61"/>
  <c r="AJ61"/>
  <c r="AF61"/>
  <c r="AA25" i="577"/>
  <c r="AA25" i="580"/>
  <c r="AA25" i="583"/>
  <c r="AA26" i="586"/>
  <c r="AA26" i="592"/>
  <c r="AA21" i="595"/>
  <c r="AA22" i="601"/>
  <c r="Z22"/>
  <c r="V22"/>
  <c r="AC22"/>
  <c r="F25" i="817" s="1"/>
  <c r="Y22" i="601"/>
  <c r="U22"/>
  <c r="AA30" i="607"/>
  <c r="X24" i="657"/>
  <c r="C43" i="817" s="1"/>
  <c r="AA20" i="661"/>
  <c r="AA20" i="664"/>
  <c r="AA20" i="676"/>
  <c r="AA20" i="688"/>
  <c r="AA16" i="691"/>
  <c r="AA16" i="706"/>
  <c r="AA16" i="715"/>
  <c r="AA19" i="724"/>
  <c r="AB17" i="622"/>
  <c r="E32" i="817" s="1"/>
  <c r="W17" i="622"/>
  <c r="AD17"/>
  <c r="G32" i="817" s="1"/>
  <c r="W20" i="615"/>
  <c r="B30" i="817" s="1"/>
  <c r="X26" i="613"/>
  <c r="T26"/>
  <c r="Y28" i="610"/>
  <c r="U28"/>
  <c r="AB30" i="607"/>
  <c r="E27" i="817" s="1"/>
  <c r="W30" i="607"/>
  <c r="AD30"/>
  <c r="G27" i="817" s="1"/>
  <c r="Y28" i="604"/>
  <c r="U28"/>
  <c r="X21" i="598"/>
  <c r="T21"/>
  <c r="Y21" i="595"/>
  <c r="U21"/>
  <c r="AB26" i="592"/>
  <c r="E22" i="817" s="1"/>
  <c r="W26" i="592"/>
  <c r="AD26"/>
  <c r="G22" i="817" s="1"/>
  <c r="W31" i="591"/>
  <c r="B22" i="817" s="1"/>
  <c r="Y26" i="589"/>
  <c r="U26"/>
  <c r="Y26" i="586"/>
  <c r="U26"/>
  <c r="Z25" i="583"/>
  <c r="V25"/>
  <c r="AC25"/>
  <c r="F19" i="817" s="1"/>
  <c r="X34" i="582"/>
  <c r="C19" i="817" s="1"/>
  <c r="AB25" i="580"/>
  <c r="E18" i="817" s="1"/>
  <c r="W25" i="580"/>
  <c r="AD25"/>
  <c r="G18" i="817" s="1"/>
  <c r="W34" i="579"/>
  <c r="B18" i="817" s="1"/>
  <c r="AA26" i="809"/>
  <c r="W26"/>
  <c r="AD26"/>
  <c r="Z21" i="565"/>
  <c r="V21"/>
  <c r="AC21"/>
  <c r="F14" i="817" s="1"/>
  <c r="T28" i="564"/>
  <c r="AA20" i="670"/>
  <c r="AA26" i="613"/>
  <c r="V21" i="609"/>
  <c r="AY78" i="810"/>
  <c r="AY74"/>
  <c r="AY70"/>
  <c r="AY66"/>
  <c r="AY62"/>
  <c r="AY58"/>
  <c r="AY54"/>
  <c r="AU78"/>
  <c r="AU74"/>
  <c r="AU70"/>
  <c r="AU66"/>
  <c r="AU62"/>
  <c r="AU58"/>
  <c r="AU54"/>
  <c r="AO78"/>
  <c r="AO74"/>
  <c r="AO70"/>
  <c r="AO66"/>
  <c r="AO62"/>
  <c r="AO58"/>
  <c r="AO54"/>
  <c r="AK78"/>
  <c r="AK74"/>
  <c r="AK70"/>
  <c r="AK66"/>
  <c r="AK62"/>
  <c r="AK58"/>
  <c r="AK54"/>
  <c r="AG78"/>
  <c r="AG74"/>
  <c r="AG70"/>
  <c r="AG66"/>
  <c r="AG62"/>
  <c r="AG58"/>
  <c r="AG54"/>
  <c r="AY77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Z78"/>
  <c r="AZ74"/>
  <c r="AZ70"/>
  <c r="AZ66"/>
  <c r="AZ62"/>
  <c r="AZ58"/>
  <c r="AZ54"/>
  <c r="AV78"/>
  <c r="AV74"/>
  <c r="AV70"/>
  <c r="AV66"/>
  <c r="AV62"/>
  <c r="AV58"/>
  <c r="AV54"/>
  <c r="AR78"/>
  <c r="AR74"/>
  <c r="AR70"/>
  <c r="AR66"/>
  <c r="AR62"/>
  <c r="AR58"/>
  <c r="AR54"/>
  <c r="AL78"/>
  <c r="AL74"/>
  <c r="AL70"/>
  <c r="AL66"/>
  <c r="AL62"/>
  <c r="AL58"/>
  <c r="AL54"/>
  <c r="AH78"/>
  <c r="AH74"/>
  <c r="AH70"/>
  <c r="AH66"/>
  <c r="AH62"/>
  <c r="AH58"/>
  <c r="AH54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A21" i="565"/>
  <c r="AB21"/>
  <c r="E14" i="817" s="1"/>
  <c r="W21" i="565"/>
  <c r="AD21"/>
  <c r="G14" i="817" s="1"/>
  <c r="AZ61" i="810"/>
  <c r="AZ77"/>
  <c r="AX57"/>
  <c r="AX65"/>
  <c r="AX73"/>
  <c r="AV61"/>
  <c r="AV77"/>
  <c r="AT57"/>
  <c r="AT65"/>
  <c r="AT73"/>
  <c r="AR61"/>
  <c r="AR77"/>
  <c r="AN57"/>
  <c r="AN65"/>
  <c r="AN73"/>
  <c r="AL61"/>
  <c r="AL77"/>
  <c r="AJ57"/>
  <c r="AJ65"/>
  <c r="AJ73"/>
  <c r="AH61"/>
  <c r="AH77"/>
  <c r="AF57"/>
  <c r="AF65"/>
  <c r="AF73"/>
  <c r="BA78"/>
  <c r="BA74"/>
  <c r="BA70"/>
  <c r="BA66"/>
  <c r="BA62"/>
  <c r="BA58"/>
  <c r="BA54"/>
  <c r="AW78"/>
  <c r="AW74"/>
  <c r="AW70"/>
  <c r="AW66"/>
  <c r="AW62"/>
  <c r="AW58"/>
  <c r="AW54"/>
  <c r="AS78"/>
  <c r="AS74"/>
  <c r="AS70"/>
  <c r="AS66"/>
  <c r="AS62"/>
  <c r="AS58"/>
  <c r="AS54"/>
  <c r="AM78"/>
  <c r="AM74"/>
  <c r="AM70"/>
  <c r="AM66"/>
  <c r="AM62"/>
  <c r="AM58"/>
  <c r="AM54"/>
  <c r="AI78"/>
  <c r="AI74"/>
  <c r="AI70"/>
  <c r="AI66"/>
  <c r="AI62"/>
  <c r="AI58"/>
  <c r="AI54"/>
  <c r="BA77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L95"/>
  <c r="M91"/>
  <c r="M95" s="1"/>
  <c r="AX78"/>
  <c r="AX74"/>
  <c r="AX70"/>
  <c r="AX66"/>
  <c r="AX62"/>
  <c r="AX58"/>
  <c r="AX54"/>
  <c r="AT78"/>
  <c r="AT74"/>
  <c r="AT70"/>
  <c r="AT66"/>
  <c r="AT62"/>
  <c r="AT58"/>
  <c r="AT54"/>
  <c r="AN78"/>
  <c r="AN74"/>
  <c r="AN70"/>
  <c r="AN66"/>
  <c r="AN62"/>
  <c r="AN58"/>
  <c r="AN54"/>
  <c r="AJ78"/>
  <c r="AJ74"/>
  <c r="AJ70"/>
  <c r="AJ66"/>
  <c r="AJ62"/>
  <c r="AJ58"/>
  <c r="AJ54"/>
  <c r="AF78"/>
  <c r="AF74"/>
  <c r="AF70"/>
  <c r="AF66"/>
  <c r="AF62"/>
  <c r="AF58"/>
  <c r="AF54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W16" i="806"/>
  <c r="W22" s="1"/>
  <c r="Y16"/>
  <c r="Y22" s="1"/>
  <c r="AB16"/>
  <c r="AB22" s="1"/>
  <c r="E12" i="817" s="1"/>
  <c r="Z15" i="806"/>
  <c r="AA15" s="1"/>
  <c r="AA21" i="568"/>
  <c r="Y21"/>
  <c r="U21"/>
  <c r="Y21" i="565"/>
  <c r="U21"/>
  <c r="AZ57" i="810"/>
  <c r="AV57"/>
  <c r="AR57"/>
  <c r="AL57"/>
  <c r="AH57"/>
  <c r="AA9" i="75"/>
  <c r="AA11" s="1"/>
  <c r="AA14"/>
  <c r="AA16" s="1"/>
  <c r="AA19"/>
  <c r="AA20" s="1"/>
  <c r="T20" i="74"/>
  <c r="T28" s="1"/>
  <c r="X20"/>
  <c r="X28" s="1"/>
  <c r="C13" i="817" s="1"/>
  <c r="Q11" i="805"/>
  <c r="Q28" s="1"/>
  <c r="W11"/>
  <c r="W28" s="1"/>
  <c r="B12" i="817" s="1"/>
  <c r="X20" i="805"/>
  <c r="X28" s="1"/>
  <c r="C12" i="817" s="1"/>
  <c r="AA19" i="806"/>
  <c r="AA20" s="1"/>
  <c r="AA14" i="800"/>
  <c r="AA15" s="1"/>
  <c r="AA14" i="803"/>
  <c r="AA16" s="1"/>
  <c r="AA9" i="806"/>
  <c r="AA11" s="1"/>
  <c r="AA14"/>
  <c r="AD21" i="803"/>
  <c r="G11" i="817" s="1"/>
  <c r="U21" i="803"/>
  <c r="W21"/>
  <c r="Y21"/>
  <c r="AB21"/>
  <c r="E11" i="817" s="1"/>
  <c r="AF46" i="807"/>
  <c r="AF45"/>
  <c r="AF44"/>
  <c r="AH46"/>
  <c r="AH45"/>
  <c r="AH44"/>
  <c r="AJ46"/>
  <c r="AJ45"/>
  <c r="AJ44"/>
  <c r="AL46"/>
  <c r="AL45"/>
  <c r="AL44"/>
  <c r="AN46"/>
  <c r="AN45"/>
  <c r="AN44"/>
  <c r="AR46"/>
  <c r="AR45"/>
  <c r="AR44"/>
  <c r="AT46"/>
  <c r="AT45"/>
  <c r="AT44"/>
  <c r="AT43"/>
  <c r="AV46"/>
  <c r="AV45"/>
  <c r="AV44"/>
  <c r="AV43"/>
  <c r="AX46"/>
  <c r="AX45"/>
  <c r="AX44"/>
  <c r="AX43"/>
  <c r="AZ46"/>
  <c r="AZ45"/>
  <c r="AZ44"/>
  <c r="AZ43"/>
  <c r="L92"/>
  <c r="M92" s="1"/>
  <c r="L91"/>
  <c r="M91" s="1"/>
  <c r="L90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K23"/>
  <c r="AM23"/>
  <c r="AO23"/>
  <c r="AS23"/>
  <c r="AU23"/>
  <c r="AW23"/>
  <c r="AY23"/>
  <c r="BA23"/>
  <c r="AG24"/>
  <c r="AI24"/>
  <c r="AK24"/>
  <c r="AM24"/>
  <c r="AO24"/>
  <c r="AS24"/>
  <c r="AU24"/>
  <c r="AW24"/>
  <c r="AY24"/>
  <c r="BA24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G46"/>
  <c r="AG45"/>
  <c r="AG44"/>
  <c r="AI46"/>
  <c r="AI45"/>
  <c r="AI44"/>
  <c r="AK46"/>
  <c r="AK45"/>
  <c r="AK44"/>
  <c r="AM46"/>
  <c r="AM45"/>
  <c r="AM44"/>
  <c r="AO46"/>
  <c r="AO45"/>
  <c r="AO44"/>
  <c r="AS46"/>
  <c r="AS45"/>
  <c r="AS44"/>
  <c r="AU46"/>
  <c r="AU45"/>
  <c r="AU44"/>
  <c r="AU43"/>
  <c r="AW46"/>
  <c r="AW45"/>
  <c r="AW44"/>
  <c r="AW43"/>
  <c r="AY46"/>
  <c r="AY45"/>
  <c r="AY44"/>
  <c r="AY43"/>
  <c r="BA46"/>
  <c r="BA45"/>
  <c r="BA44"/>
  <c r="BA43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F23"/>
  <c r="AH23"/>
  <c r="AJ23"/>
  <c r="AL23"/>
  <c r="AN23"/>
  <c r="AR23"/>
  <c r="AT23"/>
  <c r="AV23"/>
  <c r="AX23"/>
  <c r="AZ23"/>
  <c r="AF24"/>
  <c r="AH24"/>
  <c r="AJ24"/>
  <c r="AL24"/>
  <c r="AN24"/>
  <c r="AR24"/>
  <c r="AT24"/>
  <c r="AV24"/>
  <c r="AX24"/>
  <c r="AZ24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T42"/>
  <c r="AV42"/>
  <c r="AX42"/>
  <c r="AZ42"/>
  <c r="AF43"/>
  <c r="AH43"/>
  <c r="AJ43"/>
  <c r="AL43"/>
  <c r="AN43"/>
  <c r="AR43"/>
  <c r="T28" i="802"/>
  <c r="X28"/>
  <c r="C11" i="817" s="1"/>
  <c r="AC21" i="803"/>
  <c r="F11" i="817" s="1"/>
  <c r="T21" i="803"/>
  <c r="V21"/>
  <c r="X21"/>
  <c r="Z21"/>
  <c r="AG46" i="804"/>
  <c r="AG45"/>
  <c r="AG44"/>
  <c r="AI46"/>
  <c r="AI45"/>
  <c r="AI44"/>
  <c r="AK46"/>
  <c r="AK45"/>
  <c r="AK44"/>
  <c r="AM46"/>
  <c r="AM45"/>
  <c r="AM44"/>
  <c r="AO46"/>
  <c r="AO45"/>
  <c r="AO44"/>
  <c r="AS46"/>
  <c r="AS45"/>
  <c r="AS44"/>
  <c r="AS43"/>
  <c r="AU46"/>
  <c r="AU45"/>
  <c r="AU44"/>
  <c r="AU43"/>
  <c r="AW46"/>
  <c r="AW45"/>
  <c r="AW44"/>
  <c r="AW43"/>
  <c r="AY46"/>
  <c r="AY45"/>
  <c r="AY44"/>
  <c r="AY43"/>
  <c r="BA46"/>
  <c r="BA45"/>
  <c r="BA44"/>
  <c r="BA43"/>
  <c r="AA9" i="803"/>
  <c r="AA11" s="1"/>
  <c r="AA19"/>
  <c r="AA20" s="1"/>
  <c r="AG16" i="804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F23"/>
  <c r="AH23"/>
  <c r="AJ23"/>
  <c r="AL23"/>
  <c r="AN23"/>
  <c r="AR23"/>
  <c r="AT23"/>
  <c r="AV23"/>
  <c r="AX23"/>
  <c r="AZ23"/>
  <c r="AF24"/>
  <c r="AH24"/>
  <c r="AJ24"/>
  <c r="AL24"/>
  <c r="AN24"/>
  <c r="AR24"/>
  <c r="AT24"/>
  <c r="AV24"/>
  <c r="AX24"/>
  <c r="AZ24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F46"/>
  <c r="AF45"/>
  <c r="AF44"/>
  <c r="AH46"/>
  <c r="AH45"/>
  <c r="AH44"/>
  <c r="AJ46"/>
  <c r="AJ45"/>
  <c r="AJ44"/>
  <c r="AL46"/>
  <c r="AL45"/>
  <c r="AL44"/>
  <c r="AN46"/>
  <c r="AN45"/>
  <c r="AN44"/>
  <c r="AR46"/>
  <c r="AR45"/>
  <c r="AR44"/>
  <c r="AT46"/>
  <c r="AT45"/>
  <c r="AT44"/>
  <c r="AT43"/>
  <c r="AV46"/>
  <c r="AV45"/>
  <c r="AV44"/>
  <c r="AV43"/>
  <c r="AX46"/>
  <c r="AX45"/>
  <c r="AX44"/>
  <c r="AX43"/>
  <c r="AZ46"/>
  <c r="AZ45"/>
  <c r="AZ44"/>
  <c r="AZ43"/>
  <c r="L92"/>
  <c r="M92" s="1"/>
  <c r="L91"/>
  <c r="M91" s="1"/>
  <c r="L90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K23"/>
  <c r="AM23"/>
  <c r="AO23"/>
  <c r="AS23"/>
  <c r="AU23"/>
  <c r="AW23"/>
  <c r="AY23"/>
  <c r="BA23"/>
  <c r="AG24"/>
  <c r="AI24"/>
  <c r="AK24"/>
  <c r="AM24"/>
  <c r="AO24"/>
  <c r="AS24"/>
  <c r="AU24"/>
  <c r="AW24"/>
  <c r="AY24"/>
  <c r="BA24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T28" i="799"/>
  <c r="X28"/>
  <c r="C10" i="817" s="1"/>
  <c r="AD11" i="800"/>
  <c r="AD20" s="1"/>
  <c r="G10" i="817" s="1"/>
  <c r="AB20" i="800"/>
  <c r="E10" i="817" s="1"/>
  <c r="AG46" i="801"/>
  <c r="AG45"/>
  <c r="AG44"/>
  <c r="AI46"/>
  <c r="AI45"/>
  <c r="AI44"/>
  <c r="AK46"/>
  <c r="AK45"/>
  <c r="AK44"/>
  <c r="AM46"/>
  <c r="AM45"/>
  <c r="AM44"/>
  <c r="AO46"/>
  <c r="AO45"/>
  <c r="AO44"/>
  <c r="AS46"/>
  <c r="AS45"/>
  <c r="AS44"/>
  <c r="AS43"/>
  <c r="AU46"/>
  <c r="AU45"/>
  <c r="AU44"/>
  <c r="AU43"/>
  <c r="AW46"/>
  <c r="AW45"/>
  <c r="AW44"/>
  <c r="AW43"/>
  <c r="AY46"/>
  <c r="AY45"/>
  <c r="AY44"/>
  <c r="AY43"/>
  <c r="BA46"/>
  <c r="BA45"/>
  <c r="BA44"/>
  <c r="BA43"/>
  <c r="Z11" i="797"/>
  <c r="AA9" i="800"/>
  <c r="AA11" s="1"/>
  <c r="AA18"/>
  <c r="AA19" s="1"/>
  <c r="AG16" i="801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F23"/>
  <c r="AH23"/>
  <c r="AJ23"/>
  <c r="AL23"/>
  <c r="AN23"/>
  <c r="AR23"/>
  <c r="AT23"/>
  <c r="AV23"/>
  <c r="AX23"/>
  <c r="AZ23"/>
  <c r="AF24"/>
  <c r="AH24"/>
  <c r="AJ24"/>
  <c r="AL24"/>
  <c r="AN24"/>
  <c r="AR24"/>
  <c r="AT24"/>
  <c r="AV24"/>
  <c r="AX24"/>
  <c r="AZ24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F46"/>
  <c r="AF45"/>
  <c r="AF44"/>
  <c r="AH46"/>
  <c r="AH45"/>
  <c r="AH44"/>
  <c r="AJ46"/>
  <c r="AJ45"/>
  <c r="AJ44"/>
  <c r="AL46"/>
  <c r="AL45"/>
  <c r="AL44"/>
  <c r="AN46"/>
  <c r="AN45"/>
  <c r="AN44"/>
  <c r="AR46"/>
  <c r="AR45"/>
  <c r="AR44"/>
  <c r="AT46"/>
  <c r="AT45"/>
  <c r="AT44"/>
  <c r="AT43"/>
  <c r="AV46"/>
  <c r="AV45"/>
  <c r="AV44"/>
  <c r="AV43"/>
  <c r="AX46"/>
  <c r="AX45"/>
  <c r="AX44"/>
  <c r="AX43"/>
  <c r="AZ46"/>
  <c r="AZ45"/>
  <c r="AZ44"/>
  <c r="AZ43"/>
  <c r="L92"/>
  <c r="M92" s="1"/>
  <c r="L91"/>
  <c r="M91" s="1"/>
  <c r="L90"/>
  <c r="X11" i="796"/>
  <c r="X29" s="1"/>
  <c r="C9" i="817" s="1"/>
  <c r="Q20" i="796"/>
  <c r="W20"/>
  <c r="Q28"/>
  <c r="W28"/>
  <c r="AD11" i="797"/>
  <c r="AD20" s="1"/>
  <c r="G9" i="817" s="1"/>
  <c r="U11" i="797"/>
  <c r="U20" s="1"/>
  <c r="W11"/>
  <c r="W20" s="1"/>
  <c r="Y11"/>
  <c r="Y20" s="1"/>
  <c r="AB11"/>
  <c r="AB20" s="1"/>
  <c r="E9" i="817" s="1"/>
  <c r="AF16" i="801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K23"/>
  <c r="AM23"/>
  <c r="AO23"/>
  <c r="AS23"/>
  <c r="AU23"/>
  <c r="AW23"/>
  <c r="AY23"/>
  <c r="BA23"/>
  <c r="AG24"/>
  <c r="AI24"/>
  <c r="AK24"/>
  <c r="AM24"/>
  <c r="AO24"/>
  <c r="AS24"/>
  <c r="AU24"/>
  <c r="AW24"/>
  <c r="AY24"/>
  <c r="BA24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A14" i="797"/>
  <c r="AA15" s="1"/>
  <c r="T29" i="796"/>
  <c r="AC20" i="797"/>
  <c r="F9" i="817" s="1"/>
  <c r="T20" i="797"/>
  <c r="V20"/>
  <c r="X20"/>
  <c r="Z20"/>
  <c r="AG46" i="798"/>
  <c r="AG45"/>
  <c r="AG44"/>
  <c r="AI46"/>
  <c r="AI45"/>
  <c r="AI44"/>
  <c r="AK46"/>
  <c r="AK45"/>
  <c r="AK44"/>
  <c r="AM46"/>
  <c r="AM45"/>
  <c r="AM44"/>
  <c r="AO46"/>
  <c r="AO45"/>
  <c r="AO44"/>
  <c r="AS46"/>
  <c r="AS45"/>
  <c r="AS44"/>
  <c r="AS43"/>
  <c r="AU46"/>
  <c r="AU45"/>
  <c r="AU44"/>
  <c r="AU43"/>
  <c r="AW46"/>
  <c r="AW45"/>
  <c r="AW44"/>
  <c r="AW43"/>
  <c r="AY46"/>
  <c r="AY45"/>
  <c r="AY44"/>
  <c r="AY43"/>
  <c r="BA46"/>
  <c r="BA45"/>
  <c r="BA44"/>
  <c r="BA43"/>
  <c r="Q30" i="793"/>
  <c r="W30"/>
  <c r="AC11" i="794"/>
  <c r="AC21" s="1"/>
  <c r="F8" i="817" s="1"/>
  <c r="T11" i="794"/>
  <c r="T21" s="1"/>
  <c r="V11"/>
  <c r="V21" s="1"/>
  <c r="X11"/>
  <c r="X21" s="1"/>
  <c r="Z11"/>
  <c r="Z21" s="1"/>
  <c r="AA9" i="797"/>
  <c r="AA11" s="1"/>
  <c r="AA18"/>
  <c r="AA19" s="1"/>
  <c r="AG16" i="798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F23"/>
  <c r="AH23"/>
  <c r="AJ23"/>
  <c r="AL23"/>
  <c r="AN23"/>
  <c r="AR23"/>
  <c r="AT23"/>
  <c r="AV23"/>
  <c r="AX23"/>
  <c r="AZ23"/>
  <c r="AF24"/>
  <c r="AH24"/>
  <c r="AJ24"/>
  <c r="AL24"/>
  <c r="AN24"/>
  <c r="AR24"/>
  <c r="AT24"/>
  <c r="AV24"/>
  <c r="AX24"/>
  <c r="AZ24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F46"/>
  <c r="AF45"/>
  <c r="AF44"/>
  <c r="AH46"/>
  <c r="AH45"/>
  <c r="AH44"/>
  <c r="AJ46"/>
  <c r="AJ45"/>
  <c r="AJ44"/>
  <c r="AL46"/>
  <c r="AL45"/>
  <c r="AL44"/>
  <c r="AN46"/>
  <c r="AN45"/>
  <c r="AN44"/>
  <c r="AR46"/>
  <c r="AR45"/>
  <c r="AR44"/>
  <c r="AT46"/>
  <c r="AT45"/>
  <c r="AT44"/>
  <c r="AT43"/>
  <c r="AV46"/>
  <c r="AV45"/>
  <c r="AV44"/>
  <c r="AV43"/>
  <c r="AX46"/>
  <c r="AX45"/>
  <c r="AX44"/>
  <c r="AX43"/>
  <c r="AZ46"/>
  <c r="AZ45"/>
  <c r="AZ44"/>
  <c r="AZ43"/>
  <c r="L92"/>
  <c r="M92" s="1"/>
  <c r="L91"/>
  <c r="M91" s="1"/>
  <c r="L90"/>
  <c r="Q31" i="793"/>
  <c r="W31"/>
  <c r="B8" i="817" s="1"/>
  <c r="AF16" i="798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K23"/>
  <c r="AM23"/>
  <c r="AO23"/>
  <c r="AS23"/>
  <c r="AU23"/>
  <c r="AW23"/>
  <c r="AY23"/>
  <c r="BA23"/>
  <c r="AG24"/>
  <c r="AI24"/>
  <c r="AK24"/>
  <c r="AM24"/>
  <c r="AO24"/>
  <c r="AS24"/>
  <c r="AU24"/>
  <c r="AW24"/>
  <c r="AY24"/>
  <c r="BA24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G46" i="795"/>
  <c r="AG45"/>
  <c r="AG44"/>
  <c r="AI46"/>
  <c r="AI45"/>
  <c r="AI44"/>
  <c r="AK46"/>
  <c r="AK45"/>
  <c r="AK44"/>
  <c r="AM46"/>
  <c r="AM45"/>
  <c r="AM44"/>
  <c r="AO46"/>
  <c r="AO45"/>
  <c r="AO44"/>
  <c r="AS46"/>
  <c r="AS45"/>
  <c r="AS44"/>
  <c r="AU46"/>
  <c r="AU45"/>
  <c r="AU44"/>
  <c r="AW46"/>
  <c r="AW45"/>
  <c r="AW44"/>
  <c r="AW43"/>
  <c r="AY46"/>
  <c r="AY45"/>
  <c r="AY44"/>
  <c r="AY43"/>
  <c r="BA46"/>
  <c r="BA45"/>
  <c r="BA44"/>
  <c r="BA43"/>
  <c r="AA9" i="794"/>
  <c r="AA11" s="1"/>
  <c r="AA14"/>
  <c r="AA15" s="1"/>
  <c r="AA18"/>
  <c r="AA20" s="1"/>
  <c r="AG16" i="795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F23"/>
  <c r="AH23"/>
  <c r="AJ23"/>
  <c r="AL23"/>
  <c r="AN23"/>
  <c r="AR23"/>
  <c r="AT23"/>
  <c r="AV23"/>
  <c r="AX23"/>
  <c r="AZ23"/>
  <c r="AF24"/>
  <c r="AH24"/>
  <c r="AJ24"/>
  <c r="AL24"/>
  <c r="AN24"/>
  <c r="AR24"/>
  <c r="AT24"/>
  <c r="AV24"/>
  <c r="AX24"/>
  <c r="AZ24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T42"/>
  <c r="AV42"/>
  <c r="AF46"/>
  <c r="AF45"/>
  <c r="AF44"/>
  <c r="AH46"/>
  <c r="AH45"/>
  <c r="AH44"/>
  <c r="AJ46"/>
  <c r="AJ45"/>
  <c r="AJ44"/>
  <c r="AL46"/>
  <c r="AL45"/>
  <c r="AL44"/>
  <c r="AN46"/>
  <c r="AN45"/>
  <c r="AN44"/>
  <c r="AR46"/>
  <c r="AR45"/>
  <c r="AR44"/>
  <c r="AT46"/>
  <c r="AT45"/>
  <c r="AT44"/>
  <c r="AV46"/>
  <c r="AV45"/>
  <c r="AV44"/>
  <c r="AX46"/>
  <c r="AX45"/>
  <c r="AX44"/>
  <c r="AX43"/>
  <c r="AZ46"/>
  <c r="AZ45"/>
  <c r="AZ44"/>
  <c r="AZ43"/>
  <c r="L92"/>
  <c r="M92" s="1"/>
  <c r="L91"/>
  <c r="M91" s="1"/>
  <c r="L90"/>
  <c r="Q30" i="787"/>
  <c r="AF16" i="795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K23"/>
  <c r="AM23"/>
  <c r="AO23"/>
  <c r="AS23"/>
  <c r="AU23"/>
  <c r="AW23"/>
  <c r="AY23"/>
  <c r="BA23"/>
  <c r="AG24"/>
  <c r="AI24"/>
  <c r="AK24"/>
  <c r="AM24"/>
  <c r="AO24"/>
  <c r="AS24"/>
  <c r="AU24"/>
  <c r="AW24"/>
  <c r="AY24"/>
  <c r="BA24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S43"/>
  <c r="AU43"/>
  <c r="Q41" i="790"/>
  <c r="W41"/>
  <c r="B7" i="817" s="1"/>
  <c r="AG47" i="792"/>
  <c r="AG46"/>
  <c r="AG45"/>
  <c r="AI47"/>
  <c r="AI46"/>
  <c r="AI45"/>
  <c r="AK47"/>
  <c r="AK46"/>
  <c r="AK45"/>
  <c r="AM47"/>
  <c r="AM46"/>
  <c r="AM45"/>
  <c r="AO47"/>
  <c r="AO46"/>
  <c r="AO45"/>
  <c r="AS47"/>
  <c r="AS46"/>
  <c r="AS45"/>
  <c r="AU47"/>
  <c r="AU46"/>
  <c r="AU45"/>
  <c r="AW47"/>
  <c r="AW46"/>
  <c r="AW45"/>
  <c r="AW44"/>
  <c r="AY47"/>
  <c r="AY46"/>
  <c r="AY45"/>
  <c r="AY44"/>
  <c r="BA47"/>
  <c r="BA46"/>
  <c r="BA45"/>
  <c r="BA44"/>
  <c r="AD25" i="788"/>
  <c r="G6" i="817" s="1"/>
  <c r="U25" i="788"/>
  <c r="W25"/>
  <c r="Y25"/>
  <c r="AB25"/>
  <c r="E6" i="817" s="1"/>
  <c r="AA9" i="791"/>
  <c r="AA11" s="1"/>
  <c r="AA14"/>
  <c r="AA15" s="1"/>
  <c r="AA18"/>
  <c r="AA19" s="1"/>
  <c r="AA22"/>
  <c r="AA23" s="1"/>
  <c r="AG17" i="792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F24"/>
  <c r="AH24"/>
  <c r="AJ24"/>
  <c r="AL24"/>
  <c r="AN24"/>
  <c r="AR24"/>
  <c r="AT24"/>
  <c r="AV24"/>
  <c r="AX24"/>
  <c r="AZ24"/>
  <c r="AF25"/>
  <c r="AH25"/>
  <c r="AJ25"/>
  <c r="AL25"/>
  <c r="AN25"/>
  <c r="AR25"/>
  <c r="AT25"/>
  <c r="AV25"/>
  <c r="AX25"/>
  <c r="AZ25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6"/>
  <c r="AH36"/>
  <c r="AJ36"/>
  <c r="AL36"/>
  <c r="AN36"/>
  <c r="AR36"/>
  <c r="AT36"/>
  <c r="AV36"/>
  <c r="AX36"/>
  <c r="AZ36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T42"/>
  <c r="AV42"/>
  <c r="AX42"/>
  <c r="AZ42"/>
  <c r="AF43"/>
  <c r="AH43"/>
  <c r="AJ43"/>
  <c r="AL43"/>
  <c r="AN43"/>
  <c r="AR43"/>
  <c r="AT43"/>
  <c r="AV43"/>
  <c r="AF47"/>
  <c r="AF46"/>
  <c r="AF45"/>
  <c r="AH47"/>
  <c r="AH46"/>
  <c r="AH45"/>
  <c r="AJ47"/>
  <c r="AJ46"/>
  <c r="AJ45"/>
  <c r="AL47"/>
  <c r="AL46"/>
  <c r="AL45"/>
  <c r="AN47"/>
  <c r="AN46"/>
  <c r="AN45"/>
  <c r="AR47"/>
  <c r="AR46"/>
  <c r="AR45"/>
  <c r="AT47"/>
  <c r="AT46"/>
  <c r="AT45"/>
  <c r="AV47"/>
  <c r="AV46"/>
  <c r="AV45"/>
  <c r="AX47"/>
  <c r="AX46"/>
  <c r="AX45"/>
  <c r="AX44"/>
  <c r="AZ47"/>
  <c r="AZ46"/>
  <c r="AZ45"/>
  <c r="AZ44"/>
  <c r="L94"/>
  <c r="M94" s="1"/>
  <c r="L93"/>
  <c r="M93" s="1"/>
  <c r="L92"/>
  <c r="M92" s="1"/>
  <c r="L91"/>
  <c r="Q11" i="787"/>
  <c r="Q39" s="1"/>
  <c r="W11"/>
  <c r="X21"/>
  <c r="W30"/>
  <c r="T38"/>
  <c r="T39" s="1"/>
  <c r="X38"/>
  <c r="AC11" i="788"/>
  <c r="AC25" s="1"/>
  <c r="F6" i="817" s="1"/>
  <c r="T11" i="788"/>
  <c r="T25" s="1"/>
  <c r="V11"/>
  <c r="V25" s="1"/>
  <c r="X11"/>
  <c r="X25" s="1"/>
  <c r="Z11"/>
  <c r="Z25" s="1"/>
  <c r="AF17" i="792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G24"/>
  <c r="AI24"/>
  <c r="AK24"/>
  <c r="AM24"/>
  <c r="AO24"/>
  <c r="AS24"/>
  <c r="AU24"/>
  <c r="AW24"/>
  <c r="AY24"/>
  <c r="BA24"/>
  <c r="AG25"/>
  <c r="AI25"/>
  <c r="AK25"/>
  <c r="AM25"/>
  <c r="AO25"/>
  <c r="AS25"/>
  <c r="AU25"/>
  <c r="AW25"/>
  <c r="AY25"/>
  <c r="BA25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6"/>
  <c r="AI36"/>
  <c r="AK36"/>
  <c r="AM36"/>
  <c r="AO36"/>
  <c r="AS36"/>
  <c r="AU36"/>
  <c r="AW36"/>
  <c r="AY36"/>
  <c r="BA36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S43"/>
  <c r="AU43"/>
  <c r="AW43"/>
  <c r="AY43"/>
  <c r="BA43"/>
  <c r="AG44"/>
  <c r="AI44"/>
  <c r="AK44"/>
  <c r="AM44"/>
  <c r="AO44"/>
  <c r="AS44"/>
  <c r="AU44"/>
  <c r="AG47" i="789"/>
  <c r="AG46"/>
  <c r="AG45"/>
  <c r="AI47"/>
  <c r="AI46"/>
  <c r="AI45"/>
  <c r="AK47"/>
  <c r="AK46"/>
  <c r="AK45"/>
  <c r="AM47"/>
  <c r="AM46"/>
  <c r="AM45"/>
  <c r="AO47"/>
  <c r="AO46"/>
  <c r="AO45"/>
  <c r="AS47"/>
  <c r="AS46"/>
  <c r="AS45"/>
  <c r="AU47"/>
  <c r="AU46"/>
  <c r="AU45"/>
  <c r="AW47"/>
  <c r="AW46"/>
  <c r="AW45"/>
  <c r="AW44"/>
  <c r="AY47"/>
  <c r="AY46"/>
  <c r="AY45"/>
  <c r="AY44"/>
  <c r="BA47"/>
  <c r="BA46"/>
  <c r="BA45"/>
  <c r="BA44"/>
  <c r="AA9" i="788"/>
  <c r="AA11" s="1"/>
  <c r="AA14"/>
  <c r="AA16" s="1"/>
  <c r="AA19"/>
  <c r="AA20" s="1"/>
  <c r="AA23"/>
  <c r="AA24" s="1"/>
  <c r="AG17" i="789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F24"/>
  <c r="AH24"/>
  <c r="AJ24"/>
  <c r="AL24"/>
  <c r="AN24"/>
  <c r="AR24"/>
  <c r="AT24"/>
  <c r="AV24"/>
  <c r="AX24"/>
  <c r="AZ24"/>
  <c r="AF25"/>
  <c r="AH25"/>
  <c r="AJ25"/>
  <c r="AL25"/>
  <c r="AN25"/>
  <c r="AR25"/>
  <c r="AT25"/>
  <c r="AV25"/>
  <c r="AX25"/>
  <c r="AZ25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6"/>
  <c r="AH36"/>
  <c r="AJ36"/>
  <c r="AL36"/>
  <c r="AN36"/>
  <c r="AR36"/>
  <c r="AT36"/>
  <c r="AV36"/>
  <c r="AX36"/>
  <c r="AZ36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T42"/>
  <c r="AV42"/>
  <c r="AX42"/>
  <c r="AZ42"/>
  <c r="AF43"/>
  <c r="AH43"/>
  <c r="AJ43"/>
  <c r="AL43"/>
  <c r="AN43"/>
  <c r="AR43"/>
  <c r="AT43"/>
  <c r="AV43"/>
  <c r="AF47"/>
  <c r="AF46"/>
  <c r="AF45"/>
  <c r="AH47"/>
  <c r="AH46"/>
  <c r="AH45"/>
  <c r="AJ47"/>
  <c r="AJ46"/>
  <c r="AJ45"/>
  <c r="AL47"/>
  <c r="AL46"/>
  <c r="AL45"/>
  <c r="AN47"/>
  <c r="AN46"/>
  <c r="AN45"/>
  <c r="AR47"/>
  <c r="AR46"/>
  <c r="AR45"/>
  <c r="AT47"/>
  <c r="AT46"/>
  <c r="AT45"/>
  <c r="AV47"/>
  <c r="AV46"/>
  <c r="AV45"/>
  <c r="AX47"/>
  <c r="AX46"/>
  <c r="AX45"/>
  <c r="AX44"/>
  <c r="AZ47"/>
  <c r="AZ46"/>
  <c r="AZ45"/>
  <c r="AZ44"/>
  <c r="L94"/>
  <c r="M94" s="1"/>
  <c r="L93"/>
  <c r="M93" s="1"/>
  <c r="L92"/>
  <c r="M92" s="1"/>
  <c r="L91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G24"/>
  <c r="AI24"/>
  <c r="AK24"/>
  <c r="AM24"/>
  <c r="AO24"/>
  <c r="AS24"/>
  <c r="AU24"/>
  <c r="AW24"/>
  <c r="AY24"/>
  <c r="BA24"/>
  <c r="AG25"/>
  <c r="AI25"/>
  <c r="AK25"/>
  <c r="AM25"/>
  <c r="AO25"/>
  <c r="AS25"/>
  <c r="AU25"/>
  <c r="AW25"/>
  <c r="AY25"/>
  <c r="BA25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6"/>
  <c r="AI36"/>
  <c r="AK36"/>
  <c r="AM36"/>
  <c r="AO36"/>
  <c r="AS36"/>
  <c r="AU36"/>
  <c r="AW36"/>
  <c r="AY36"/>
  <c r="BA36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S43"/>
  <c r="AU43"/>
  <c r="AW43"/>
  <c r="AY43"/>
  <c r="BA43"/>
  <c r="AG44"/>
  <c r="AI44"/>
  <c r="AK44"/>
  <c r="AM44"/>
  <c r="AO44"/>
  <c r="AS44"/>
  <c r="AU44"/>
  <c r="C71" i="786"/>
  <c r="B71"/>
  <c r="C70"/>
  <c r="B70"/>
  <c r="C52"/>
  <c r="B52"/>
  <c r="C51"/>
  <c r="B51"/>
  <c r="C33"/>
  <c r="B33"/>
  <c r="C32"/>
  <c r="B32"/>
  <c r="C16"/>
  <c r="C17" s="1"/>
  <c r="B16"/>
  <c r="B17" s="1"/>
  <c r="R50" i="25"/>
  <c r="R49"/>
  <c r="R48"/>
  <c r="R47"/>
  <c r="C8" l="1"/>
  <c r="C10"/>
  <c r="C16"/>
  <c r="C6"/>
  <c r="C5"/>
  <c r="C9"/>
  <c r="C7"/>
  <c r="C11"/>
  <c r="B80" i="817"/>
  <c r="Y22" i="75"/>
  <c r="U22"/>
  <c r="AB22"/>
  <c r="E13" i="817" s="1"/>
  <c r="W22" i="75"/>
  <c r="AD22"/>
  <c r="G13" i="817" s="1"/>
  <c r="X22" i="75"/>
  <c r="T22"/>
  <c r="T28" i="805"/>
  <c r="Z22" i="75"/>
  <c r="V22"/>
  <c r="AC22"/>
  <c r="F13" i="817" s="1"/>
  <c r="T41" i="790"/>
  <c r="X41"/>
  <c r="C7" i="817" s="1"/>
  <c r="AA16" i="806"/>
  <c r="AA22" s="1"/>
  <c r="Z16"/>
  <c r="Z22" s="1"/>
  <c r="AA22" i="75"/>
  <c r="AZ77" i="80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Y77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BA77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L93"/>
  <c r="M90"/>
  <c r="M93" s="1"/>
  <c r="AA20" i="800"/>
  <c r="AA21" i="803"/>
  <c r="BA77" i="804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L93"/>
  <c r="M90"/>
  <c r="M93" s="1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Q29" i="796"/>
  <c r="AY77" i="804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W29" i="796"/>
  <c r="B9" i="817" s="1"/>
  <c r="BA77" i="801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L93"/>
  <c r="M90"/>
  <c r="M93" s="1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A20" i="797"/>
  <c r="AY77" i="801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7" i="798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L93"/>
  <c r="M90"/>
  <c r="M93" s="1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7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A21" i="794"/>
  <c r="AY77" i="795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L93"/>
  <c r="M90"/>
  <c r="M93" s="1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7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X39" i="787"/>
  <c r="C6" i="817" s="1"/>
  <c r="BA78" i="792"/>
  <c r="BA74"/>
  <c r="BA70"/>
  <c r="BA66"/>
  <c r="BA62"/>
  <c r="BA58"/>
  <c r="BA54"/>
  <c r="AW78"/>
  <c r="AW74"/>
  <c r="AW70"/>
  <c r="AW66"/>
  <c r="AW62"/>
  <c r="AW58"/>
  <c r="AW54"/>
  <c r="AS78"/>
  <c r="AS74"/>
  <c r="AS70"/>
  <c r="AS66"/>
  <c r="AS62"/>
  <c r="AS58"/>
  <c r="AS54"/>
  <c r="AM78"/>
  <c r="AM74"/>
  <c r="AM70"/>
  <c r="AM66"/>
  <c r="AM62"/>
  <c r="AM58"/>
  <c r="AM54"/>
  <c r="AI78"/>
  <c r="AI74"/>
  <c r="AI70"/>
  <c r="AI66"/>
  <c r="AI62"/>
  <c r="AI58"/>
  <c r="AI54"/>
  <c r="BA77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L95"/>
  <c r="M91"/>
  <c r="M95" s="1"/>
  <c r="AZ78"/>
  <c r="AZ74"/>
  <c r="AZ70"/>
  <c r="AZ66"/>
  <c r="AZ62"/>
  <c r="AZ58"/>
  <c r="AZ54"/>
  <c r="AV78"/>
  <c r="AV74"/>
  <c r="AV70"/>
  <c r="AV66"/>
  <c r="AV62"/>
  <c r="AV58"/>
  <c r="AV54"/>
  <c r="AR78"/>
  <c r="AR74"/>
  <c r="AR70"/>
  <c r="AR66"/>
  <c r="AR62"/>
  <c r="AR58"/>
  <c r="AR54"/>
  <c r="AL78"/>
  <c r="AL74"/>
  <c r="AL70"/>
  <c r="AL66"/>
  <c r="AL62"/>
  <c r="AL58"/>
  <c r="AL54"/>
  <c r="AH78"/>
  <c r="AH74"/>
  <c r="AH70"/>
  <c r="AH66"/>
  <c r="AH62"/>
  <c r="AH58"/>
  <c r="AH54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Y78"/>
  <c r="AY74"/>
  <c r="AY70"/>
  <c r="AY66"/>
  <c r="AY62"/>
  <c r="AY58"/>
  <c r="AY54"/>
  <c r="AU78"/>
  <c r="AU74"/>
  <c r="AU70"/>
  <c r="AU66"/>
  <c r="AU62"/>
  <c r="AU58"/>
  <c r="AU54"/>
  <c r="AO78"/>
  <c r="AO74"/>
  <c r="AO70"/>
  <c r="AO66"/>
  <c r="AO62"/>
  <c r="AO58"/>
  <c r="AO54"/>
  <c r="AK78"/>
  <c r="AK74"/>
  <c r="AK70"/>
  <c r="AK66"/>
  <c r="AK62"/>
  <c r="AK58"/>
  <c r="AK54"/>
  <c r="AG78"/>
  <c r="AG74"/>
  <c r="AG70"/>
  <c r="AG66"/>
  <c r="AG62"/>
  <c r="AG58"/>
  <c r="AG54"/>
  <c r="AY77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8"/>
  <c r="AX74"/>
  <c r="AX70"/>
  <c r="AX66"/>
  <c r="AX62"/>
  <c r="AX58"/>
  <c r="AX54"/>
  <c r="AT78"/>
  <c r="AT74"/>
  <c r="AT70"/>
  <c r="AT66"/>
  <c r="AT62"/>
  <c r="AT58"/>
  <c r="AT54"/>
  <c r="AN78"/>
  <c r="AN74"/>
  <c r="AN70"/>
  <c r="AN66"/>
  <c r="AN62"/>
  <c r="AN58"/>
  <c r="AN54"/>
  <c r="AJ78"/>
  <c r="AJ74"/>
  <c r="AJ70"/>
  <c r="AJ66"/>
  <c r="AJ62"/>
  <c r="AJ58"/>
  <c r="AJ54"/>
  <c r="AF78"/>
  <c r="AF74"/>
  <c r="AF70"/>
  <c r="AF66"/>
  <c r="AF62"/>
  <c r="AF58"/>
  <c r="AF54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W39" i="787"/>
  <c r="B6" i="817" s="1"/>
  <c r="AA24" i="791"/>
  <c r="BA78" i="789"/>
  <c r="BA74"/>
  <c r="BA70"/>
  <c r="BA66"/>
  <c r="BA62"/>
  <c r="BA58"/>
  <c r="BA54"/>
  <c r="AW78"/>
  <c r="AW74"/>
  <c r="AW70"/>
  <c r="AW66"/>
  <c r="AW62"/>
  <c r="AW58"/>
  <c r="AW54"/>
  <c r="AS78"/>
  <c r="AS74"/>
  <c r="AS70"/>
  <c r="AS66"/>
  <c r="AS62"/>
  <c r="AS58"/>
  <c r="AS54"/>
  <c r="AM78"/>
  <c r="AM74"/>
  <c r="AM70"/>
  <c r="AM66"/>
  <c r="AM62"/>
  <c r="AM58"/>
  <c r="AM54"/>
  <c r="AI78"/>
  <c r="AI74"/>
  <c r="AI70"/>
  <c r="AI66"/>
  <c r="AI62"/>
  <c r="AI58"/>
  <c r="AI54"/>
  <c r="BA77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L95"/>
  <c r="M91"/>
  <c r="M95" s="1"/>
  <c r="AZ78"/>
  <c r="AZ74"/>
  <c r="AZ70"/>
  <c r="AZ66"/>
  <c r="AZ62"/>
  <c r="AZ58"/>
  <c r="AZ54"/>
  <c r="AV78"/>
  <c r="AV74"/>
  <c r="AV70"/>
  <c r="AV66"/>
  <c r="AV62"/>
  <c r="AV58"/>
  <c r="AV54"/>
  <c r="AR78"/>
  <c r="AR74"/>
  <c r="AR70"/>
  <c r="AR66"/>
  <c r="AR62"/>
  <c r="AR58"/>
  <c r="AR54"/>
  <c r="AL78"/>
  <c r="AL74"/>
  <c r="AL70"/>
  <c r="AL66"/>
  <c r="AL62"/>
  <c r="AL58"/>
  <c r="AL54"/>
  <c r="AH78"/>
  <c r="AH74"/>
  <c r="AH70"/>
  <c r="AH66"/>
  <c r="AH62"/>
  <c r="AH58"/>
  <c r="AH54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Y78"/>
  <c r="AY74"/>
  <c r="AY70"/>
  <c r="AY66"/>
  <c r="AY62"/>
  <c r="AY58"/>
  <c r="AY54"/>
  <c r="AU78"/>
  <c r="AU74"/>
  <c r="AU70"/>
  <c r="AU66"/>
  <c r="AU62"/>
  <c r="AU58"/>
  <c r="AU54"/>
  <c r="AO78"/>
  <c r="AO74"/>
  <c r="AO70"/>
  <c r="AO66"/>
  <c r="AO62"/>
  <c r="AO58"/>
  <c r="AO54"/>
  <c r="AK78"/>
  <c r="AK74"/>
  <c r="AK70"/>
  <c r="AK66"/>
  <c r="AK62"/>
  <c r="AK58"/>
  <c r="AK54"/>
  <c r="AG78"/>
  <c r="AG74"/>
  <c r="AG70"/>
  <c r="AG66"/>
  <c r="AG62"/>
  <c r="AG58"/>
  <c r="AG54"/>
  <c r="AY77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8"/>
  <c r="AX74"/>
  <c r="AX70"/>
  <c r="AX66"/>
  <c r="AX62"/>
  <c r="AX58"/>
  <c r="AX54"/>
  <c r="AT78"/>
  <c r="AT74"/>
  <c r="AT70"/>
  <c r="AT66"/>
  <c r="AT62"/>
  <c r="AT58"/>
  <c r="AT54"/>
  <c r="AN78"/>
  <c r="AN74"/>
  <c r="AN70"/>
  <c r="AN66"/>
  <c r="AN62"/>
  <c r="AN58"/>
  <c r="AN54"/>
  <c r="AJ78"/>
  <c r="AJ74"/>
  <c r="AJ70"/>
  <c r="AJ66"/>
  <c r="AJ62"/>
  <c r="AJ58"/>
  <c r="AJ54"/>
  <c r="AF78"/>
  <c r="AF74"/>
  <c r="AF70"/>
  <c r="AF66"/>
  <c r="AF62"/>
  <c r="AF58"/>
  <c r="AF54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A25" i="788"/>
  <c r="S70" i="25"/>
  <c r="S71" s="1"/>
  <c r="S72" s="1"/>
  <c r="S73" s="1"/>
  <c r="N92" i="728"/>
  <c r="K92"/>
  <c r="J92"/>
  <c r="I92"/>
  <c r="H92"/>
  <c r="G92"/>
  <c r="F92"/>
  <c r="C92"/>
  <c r="B92"/>
  <c r="A92"/>
  <c r="AE6"/>
  <c r="P92" s="1"/>
  <c r="AC6"/>
  <c r="O92" s="1"/>
  <c r="N92" i="725"/>
  <c r="K92"/>
  <c r="J92"/>
  <c r="I92"/>
  <c r="H92"/>
  <c r="G92"/>
  <c r="F92"/>
  <c r="C92"/>
  <c r="B92"/>
  <c r="A92"/>
  <c r="AE6"/>
  <c r="P92" s="1"/>
  <c r="AC6"/>
  <c r="O92" s="1"/>
  <c r="N92" i="722"/>
  <c r="K92"/>
  <c r="J92"/>
  <c r="I92"/>
  <c r="H92"/>
  <c r="G92"/>
  <c r="F92"/>
  <c r="C92"/>
  <c r="B92"/>
  <c r="A92"/>
  <c r="AE6"/>
  <c r="P92" s="1"/>
  <c r="AC6"/>
  <c r="O92" s="1"/>
  <c r="N92" i="719"/>
  <c r="K92"/>
  <c r="J92"/>
  <c r="I92"/>
  <c r="H92"/>
  <c r="G92"/>
  <c r="F92"/>
  <c r="C92"/>
  <c r="B92"/>
  <c r="A92"/>
  <c r="AE6"/>
  <c r="P92" s="1"/>
  <c r="AC6"/>
  <c r="O92" s="1"/>
  <c r="AB17" i="718"/>
  <c r="AB19" s="1"/>
  <c r="Z17"/>
  <c r="Z19" s="1"/>
  <c r="Y17"/>
  <c r="Y19" s="1"/>
  <c r="X17"/>
  <c r="X19" s="1"/>
  <c r="W17"/>
  <c r="W19" s="1"/>
  <c r="V17"/>
  <c r="V19" s="1"/>
  <c r="U17"/>
  <c r="U19" s="1"/>
  <c r="T17"/>
  <c r="T19" s="1"/>
  <c r="S17"/>
  <c r="AD17" s="1"/>
  <c r="AD19" s="1"/>
  <c r="R17"/>
  <c r="AC17" s="1"/>
  <c r="AC19" s="1"/>
  <c r="AE6" i="674"/>
  <c r="AC6"/>
  <c r="AE6" i="671"/>
  <c r="AC6"/>
  <c r="AE6" i="668"/>
  <c r="AC6"/>
  <c r="AE5"/>
  <c r="AC5"/>
  <c r="AE6" i="665"/>
  <c r="AC6"/>
  <c r="AE5"/>
  <c r="AC5"/>
  <c r="N92" i="662"/>
  <c r="K92"/>
  <c r="J92"/>
  <c r="I92"/>
  <c r="H92"/>
  <c r="G92"/>
  <c r="F92"/>
  <c r="C92"/>
  <c r="B92"/>
  <c r="A92"/>
  <c r="AE6"/>
  <c r="P92" s="1"/>
  <c r="AC6"/>
  <c r="O92" s="1"/>
  <c r="N92" i="659"/>
  <c r="K92"/>
  <c r="J92"/>
  <c r="I92"/>
  <c r="H92"/>
  <c r="G92"/>
  <c r="F92"/>
  <c r="C92"/>
  <c r="B92"/>
  <c r="A92"/>
  <c r="AE6"/>
  <c r="P92" s="1"/>
  <c r="AC6"/>
  <c r="O92" s="1"/>
  <c r="AE5" i="644"/>
  <c r="AC5"/>
  <c r="AE5" i="641"/>
  <c r="AC5"/>
  <c r="AE5" i="638"/>
  <c r="AC5"/>
  <c r="AB14" i="637"/>
  <c r="Z14"/>
  <c r="Y14"/>
  <c r="X14"/>
  <c r="W14"/>
  <c r="V14"/>
  <c r="U14"/>
  <c r="T14"/>
  <c r="S14"/>
  <c r="AD14" s="1"/>
  <c r="R14"/>
  <c r="AC14" s="1"/>
  <c r="AE5" i="635"/>
  <c r="AC5"/>
  <c r="AB14" i="634"/>
  <c r="Z14"/>
  <c r="Y14"/>
  <c r="X14"/>
  <c r="W14"/>
  <c r="V14"/>
  <c r="U14"/>
  <c r="T14"/>
  <c r="S14"/>
  <c r="AD14" s="1"/>
  <c r="R14"/>
  <c r="AC14" s="1"/>
  <c r="AC10"/>
  <c r="AB10"/>
  <c r="Z10"/>
  <c r="AA10" s="1"/>
  <c r="Y10"/>
  <c r="X10"/>
  <c r="W10"/>
  <c r="V10"/>
  <c r="U10"/>
  <c r="T10"/>
  <c r="S10"/>
  <c r="AD10" s="1"/>
  <c r="N90" i="626"/>
  <c r="K90"/>
  <c r="J90"/>
  <c r="I90"/>
  <c r="H90"/>
  <c r="G90"/>
  <c r="F90"/>
  <c r="C90"/>
  <c r="B90"/>
  <c r="A90"/>
  <c r="N90" i="623"/>
  <c r="K90"/>
  <c r="J90"/>
  <c r="I90"/>
  <c r="H90"/>
  <c r="G90"/>
  <c r="F90"/>
  <c r="C90"/>
  <c r="B90"/>
  <c r="A90"/>
  <c r="N91" i="620"/>
  <c r="K91"/>
  <c r="J91"/>
  <c r="I91"/>
  <c r="H91"/>
  <c r="G91"/>
  <c r="F91"/>
  <c r="C91"/>
  <c r="B91"/>
  <c r="A91"/>
  <c r="N90" i="617"/>
  <c r="K90"/>
  <c r="J90"/>
  <c r="I90"/>
  <c r="H90"/>
  <c r="G90"/>
  <c r="F90"/>
  <c r="C90"/>
  <c r="B90"/>
  <c r="A90"/>
  <c r="N92" i="614"/>
  <c r="K92"/>
  <c r="J92"/>
  <c r="I92"/>
  <c r="H92"/>
  <c r="G92"/>
  <c r="F92"/>
  <c r="C92"/>
  <c r="B92"/>
  <c r="A92"/>
  <c r="N92" i="611"/>
  <c r="K92"/>
  <c r="J92"/>
  <c r="I92"/>
  <c r="H92"/>
  <c r="G92"/>
  <c r="F92"/>
  <c r="C92"/>
  <c r="B92"/>
  <c r="A92"/>
  <c r="AE5" i="626"/>
  <c r="P90" s="1"/>
  <c r="AC5"/>
  <c r="O90" s="1"/>
  <c r="AE5" i="623"/>
  <c r="P90" s="1"/>
  <c r="AC5"/>
  <c r="O90" s="1"/>
  <c r="AE5" i="620"/>
  <c r="P91" s="1"/>
  <c r="AC5"/>
  <c r="O91" s="1"/>
  <c r="AE4" i="617"/>
  <c r="P90" s="1"/>
  <c r="AC4"/>
  <c r="O90" s="1"/>
  <c r="AE5" i="614"/>
  <c r="P92" s="1"/>
  <c r="AC5"/>
  <c r="O92" s="1"/>
  <c r="AE5" i="611"/>
  <c r="P92" s="1"/>
  <c r="AC5"/>
  <c r="O92" s="1"/>
  <c r="B81" i="817" l="1"/>
  <c r="AD15" i="634"/>
  <c r="U15"/>
  <c r="W15"/>
  <c r="Y15"/>
  <c r="AB15"/>
  <c r="AC15"/>
  <c r="T15"/>
  <c r="V15"/>
  <c r="X15"/>
  <c r="Z15"/>
  <c r="AD15" i="637"/>
  <c r="U15"/>
  <c r="W15"/>
  <c r="Y15"/>
  <c r="AB15"/>
  <c r="T15"/>
  <c r="V15"/>
  <c r="X15"/>
  <c r="AC15"/>
  <c r="AA17" i="718"/>
  <c r="AA19" s="1"/>
  <c r="Z15" i="637"/>
  <c r="AA14"/>
  <c r="AA15" s="1"/>
  <c r="AA14" i="634"/>
  <c r="AA15" s="1"/>
  <c r="N91" i="617"/>
  <c r="K91"/>
  <c r="J91"/>
  <c r="I91"/>
  <c r="H91"/>
  <c r="G91"/>
  <c r="F91"/>
  <c r="C91"/>
  <c r="B91"/>
  <c r="A91"/>
  <c r="AE5"/>
  <c r="P91" s="1"/>
  <c r="AC5"/>
  <c r="O91" s="1"/>
  <c r="N94" i="614"/>
  <c r="K94"/>
  <c r="J94"/>
  <c r="I94"/>
  <c r="H94"/>
  <c r="G94"/>
  <c r="F94"/>
  <c r="C94"/>
  <c r="B94"/>
  <c r="A94"/>
  <c r="AE7"/>
  <c r="P94" s="1"/>
  <c r="AC7"/>
  <c r="O94" s="1"/>
  <c r="N94" i="611"/>
  <c r="K94"/>
  <c r="J94"/>
  <c r="I94"/>
  <c r="H94"/>
  <c r="G94"/>
  <c r="F94"/>
  <c r="C94"/>
  <c r="B94"/>
  <c r="A94"/>
  <c r="AE7"/>
  <c r="P94" s="1"/>
  <c r="AC7"/>
  <c r="O94" s="1"/>
  <c r="N94" i="608"/>
  <c r="K94"/>
  <c r="J94"/>
  <c r="I94"/>
  <c r="H94"/>
  <c r="G94"/>
  <c r="F94"/>
  <c r="C94"/>
  <c r="B94"/>
  <c r="A94"/>
  <c r="AE7"/>
  <c r="P94" s="1"/>
  <c r="AC7"/>
  <c r="O94" s="1"/>
  <c r="N94" i="605"/>
  <c r="K94"/>
  <c r="J94"/>
  <c r="I94"/>
  <c r="H94"/>
  <c r="G94"/>
  <c r="F94"/>
  <c r="C94"/>
  <c r="B94"/>
  <c r="A94"/>
  <c r="AE7"/>
  <c r="P94" s="1"/>
  <c r="AC7"/>
  <c r="O94" s="1"/>
  <c r="A91" l="1"/>
  <c r="A92"/>
  <c r="AE4" i="527" l="1"/>
  <c r="AC4"/>
  <c r="AE4" i="521"/>
  <c r="AC4"/>
  <c r="AE4" i="518"/>
  <c r="AC4"/>
  <c r="AE4" i="515"/>
  <c r="AC4"/>
  <c r="AE4" i="512"/>
  <c r="AC4"/>
  <c r="AE4" i="509"/>
  <c r="AC4"/>
  <c r="AE4" i="506"/>
  <c r="AC4"/>
  <c r="AE4" i="503"/>
  <c r="AC4"/>
  <c r="AE5" i="500"/>
  <c r="AC5"/>
  <c r="AE4"/>
  <c r="AC4"/>
  <c r="AE5" i="497"/>
  <c r="AC5"/>
  <c r="AE4"/>
  <c r="AC4"/>
  <c r="AE5" i="494"/>
  <c r="AC5"/>
  <c r="AE4"/>
  <c r="AC4"/>
  <c r="AE6" i="491"/>
  <c r="AC6"/>
  <c r="AE5"/>
  <c r="AC5"/>
  <c r="AE4"/>
  <c r="AC4"/>
  <c r="AE5" i="488"/>
  <c r="AC5"/>
  <c r="AE4"/>
  <c r="AC4"/>
  <c r="AE5" i="485"/>
  <c r="AC5"/>
  <c r="AE4"/>
  <c r="AC4"/>
  <c r="AE5" i="482"/>
  <c r="AC5"/>
  <c r="AE4"/>
  <c r="AC4"/>
  <c r="AE5" i="479"/>
  <c r="AC5"/>
  <c r="AE4"/>
  <c r="AC4"/>
  <c r="AE5" i="476"/>
  <c r="AC5"/>
  <c r="AE4"/>
  <c r="AC4"/>
  <c r="AE5" i="473"/>
  <c r="AC5"/>
  <c r="AE4"/>
  <c r="AC4"/>
  <c r="AE5" i="470"/>
  <c r="AC5"/>
  <c r="AE4"/>
  <c r="AC4"/>
  <c r="AE5" i="196"/>
  <c r="AC5"/>
  <c r="AE4"/>
  <c r="AC4"/>
  <c r="AE4" i="556"/>
  <c r="AC4"/>
  <c r="AE4" i="422"/>
  <c r="AC4"/>
  <c r="AE4" i="553"/>
  <c r="AC4"/>
  <c r="AE4" i="413"/>
  <c r="AC4"/>
  <c r="AE4" i="548"/>
  <c r="AC4"/>
  <c r="AE4" i="546"/>
  <c r="AC4"/>
  <c r="AE4" i="410"/>
  <c r="AC4"/>
  <c r="AE4" i="407"/>
  <c r="AC4"/>
  <c r="AE4" i="404"/>
  <c r="AC4"/>
  <c r="AE4" i="193"/>
  <c r="AC4"/>
  <c r="AE4" i="398"/>
  <c r="AC4"/>
  <c r="AE4" i="190"/>
  <c r="AC4"/>
  <c r="AE4" i="540"/>
  <c r="AC4"/>
  <c r="AE4" i="543"/>
  <c r="AC4"/>
  <c r="AE4" i="395"/>
  <c r="AC4"/>
  <c r="AE4" i="537"/>
  <c r="AC4"/>
  <c r="AE4" i="392"/>
  <c r="AC4"/>
  <c r="AE4" i="389"/>
  <c r="AC4"/>
  <c r="AE4" i="386"/>
  <c r="AC4"/>
  <c r="AE4" i="383"/>
  <c r="AC4"/>
  <c r="AE4" i="380"/>
  <c r="AC4"/>
  <c r="AE4" i="377"/>
  <c r="AC4"/>
  <c r="AE4" i="374"/>
  <c r="AC4"/>
  <c r="AE4" i="371"/>
  <c r="AC4"/>
  <c r="AE4" i="368"/>
  <c r="AC4"/>
  <c r="AE4" i="365"/>
  <c r="AC4"/>
  <c r="AE4" i="362"/>
  <c r="AC4"/>
  <c r="AE4" i="187"/>
  <c r="AC4"/>
  <c r="AE4" i="782"/>
  <c r="AC4"/>
  <c r="AE4" i="764"/>
  <c r="AC4"/>
  <c r="AE4" i="761"/>
  <c r="AC4"/>
  <c r="AE5" i="758"/>
  <c r="AC5"/>
  <c r="AE4"/>
  <c r="AC4"/>
  <c r="AE5" i="755"/>
  <c r="AC5"/>
  <c r="AE4"/>
  <c r="AC4"/>
  <c r="AE5" i="752"/>
  <c r="AC5"/>
  <c r="AE4"/>
  <c r="AC4"/>
  <c r="AE5" i="749"/>
  <c r="AC5"/>
  <c r="AE4"/>
  <c r="AC4"/>
  <c r="AE5" i="746"/>
  <c r="AC5"/>
  <c r="AE4"/>
  <c r="AC4"/>
  <c r="AE5" i="743"/>
  <c r="AC5"/>
  <c r="AE4"/>
  <c r="AC4"/>
  <c r="AE5" i="740"/>
  <c r="AC5"/>
  <c r="AE4"/>
  <c r="AC4"/>
  <c r="AE5" i="737"/>
  <c r="AC5"/>
  <c r="AE4"/>
  <c r="AC4"/>
  <c r="AE6" i="734"/>
  <c r="AC6"/>
  <c r="AE5"/>
  <c r="AC5"/>
  <c r="AE4"/>
  <c r="AC4"/>
  <c r="AE6" i="731"/>
  <c r="AC6"/>
  <c r="AE5"/>
  <c r="AC5"/>
  <c r="AE4"/>
  <c r="AC4"/>
  <c r="AE5" i="728"/>
  <c r="AC5"/>
  <c r="AE4"/>
  <c r="AC4"/>
  <c r="AE5" i="725"/>
  <c r="AC5"/>
  <c r="AE4"/>
  <c r="AC4"/>
  <c r="AE5" i="722"/>
  <c r="AC5"/>
  <c r="AE4"/>
  <c r="AC4"/>
  <c r="AE5" i="719"/>
  <c r="AC5"/>
  <c r="AE4"/>
  <c r="AC4"/>
  <c r="AE5" i="716"/>
  <c r="AC5"/>
  <c r="AE4"/>
  <c r="AC4"/>
  <c r="AE5" i="713"/>
  <c r="AC5"/>
  <c r="AE4"/>
  <c r="AC4"/>
  <c r="AE5" i="710"/>
  <c r="AC5"/>
  <c r="AE4"/>
  <c r="AC4"/>
  <c r="AE5" i="707"/>
  <c r="AC5"/>
  <c r="AE4"/>
  <c r="AC4"/>
  <c r="AE5" i="704"/>
  <c r="AC5"/>
  <c r="AE4"/>
  <c r="AC4"/>
  <c r="AE5" i="701"/>
  <c r="AC5"/>
  <c r="AE4"/>
  <c r="AC4"/>
  <c r="AE5" i="698"/>
  <c r="AC5"/>
  <c r="AE4"/>
  <c r="AC4"/>
  <c r="AE5" i="695"/>
  <c r="AC5"/>
  <c r="AE4"/>
  <c r="AC4"/>
  <c r="AE5" i="692"/>
  <c r="AC5"/>
  <c r="AE4"/>
  <c r="AC4"/>
  <c r="AE6" i="689"/>
  <c r="AC6"/>
  <c r="AE5"/>
  <c r="AC5"/>
  <c r="AE4"/>
  <c r="AC4"/>
  <c r="AE6" i="686"/>
  <c r="AC6"/>
  <c r="AE5"/>
  <c r="AC5"/>
  <c r="AE4"/>
  <c r="AC4"/>
  <c r="AE6" i="683"/>
  <c r="AC6"/>
  <c r="AE5"/>
  <c r="AC5"/>
  <c r="AE4"/>
  <c r="AC4"/>
  <c r="AE6" i="680"/>
  <c r="AC6"/>
  <c r="AE5"/>
  <c r="AC5"/>
  <c r="AE4"/>
  <c r="AC4"/>
  <c r="AE6" i="677"/>
  <c r="AC6"/>
  <c r="AE5"/>
  <c r="AC5"/>
  <c r="AE4"/>
  <c r="AC4"/>
  <c r="AE5" i="674"/>
  <c r="AC5"/>
  <c r="AE4"/>
  <c r="AC4"/>
  <c r="AE5" i="671"/>
  <c r="AC5"/>
  <c r="AE4"/>
  <c r="AC4"/>
  <c r="AE4" i="668"/>
  <c r="AC4"/>
  <c r="AE4" i="665"/>
  <c r="AC4"/>
  <c r="AE5" i="662"/>
  <c r="AC5"/>
  <c r="AE4"/>
  <c r="AC4"/>
  <c r="AE5" i="659"/>
  <c r="AC5"/>
  <c r="AE4"/>
  <c r="AC4"/>
  <c r="AE6" i="656"/>
  <c r="AC6"/>
  <c r="AE4"/>
  <c r="AC4"/>
  <c r="AE5" i="653"/>
  <c r="AC5"/>
  <c r="AE4"/>
  <c r="AC4"/>
  <c r="AE5" i="650"/>
  <c r="AC5"/>
  <c r="AE4"/>
  <c r="AC4"/>
  <c r="AE5" i="647"/>
  <c r="AC5"/>
  <c r="AE4"/>
  <c r="AC4"/>
  <c r="AE4" i="644"/>
  <c r="AC4"/>
  <c r="AE4" i="641"/>
  <c r="AC4"/>
  <c r="AE4" i="638"/>
  <c r="AC4"/>
  <c r="AE4" i="635"/>
  <c r="AC4"/>
  <c r="AE5" i="629"/>
  <c r="AC5"/>
  <c r="AE4"/>
  <c r="AC4"/>
  <c r="AE4" i="626"/>
  <c r="AC4"/>
  <c r="AE4" i="623"/>
  <c r="AC4"/>
  <c r="AE4" i="620"/>
  <c r="AC4"/>
  <c r="AE6" i="614"/>
  <c r="AC6"/>
  <c r="AE4"/>
  <c r="AC4"/>
  <c r="AE6" i="611"/>
  <c r="AC6"/>
  <c r="AE4"/>
  <c r="AC4"/>
  <c r="AE5" i="608"/>
  <c r="AC5"/>
  <c r="AE4"/>
  <c r="AC4"/>
  <c r="AE5" i="605"/>
  <c r="AC5"/>
  <c r="AE4"/>
  <c r="AC4"/>
  <c r="AE4" i="602"/>
  <c r="AC4"/>
  <c r="AE6" i="599"/>
  <c r="AC6"/>
  <c r="AE4"/>
  <c r="AC4"/>
  <c r="AE6" i="596"/>
  <c r="AC6"/>
  <c r="AE4"/>
  <c r="AC4"/>
  <c r="AE7" i="593"/>
  <c r="AC7"/>
  <c r="AE4"/>
  <c r="AC4"/>
  <c r="AE7" i="590"/>
  <c r="AC7"/>
  <c r="AE5"/>
  <c r="AC5"/>
  <c r="AE4"/>
  <c r="AC4"/>
  <c r="AE7" i="587"/>
  <c r="AC7"/>
  <c r="AE4"/>
  <c r="AC4"/>
  <c r="AE7" i="584"/>
  <c r="AC7"/>
  <c r="AE6"/>
  <c r="AC6"/>
  <c r="AE5"/>
  <c r="AC5"/>
  <c r="AE4"/>
  <c r="AC4"/>
  <c r="AE7" i="578"/>
  <c r="AC7"/>
  <c r="AE6"/>
  <c r="AC6"/>
  <c r="AE5"/>
  <c r="AC5"/>
  <c r="AE4"/>
  <c r="AC4"/>
  <c r="AE6" i="79"/>
  <c r="AC6"/>
  <c r="AE5"/>
  <c r="AC5"/>
  <c r="AE4"/>
  <c r="AC4"/>
  <c r="S10" i="514"/>
  <c r="S10" i="511"/>
  <c r="S10" i="508"/>
  <c r="S10" i="505"/>
  <c r="S10" i="502"/>
  <c r="S10" i="499"/>
  <c r="S10" i="496"/>
  <c r="S10" i="493"/>
  <c r="S18" i="490"/>
  <c r="S10"/>
  <c r="S10" i="487"/>
  <c r="S10" i="484"/>
  <c r="S10" i="481"/>
  <c r="S10" i="478"/>
  <c r="S10" i="475"/>
  <c r="S10" i="472"/>
  <c r="S10" i="469"/>
  <c r="S17" i="195"/>
  <c r="S16"/>
  <c r="S15"/>
  <c r="S10"/>
  <c r="S11" i="421"/>
  <c r="S10"/>
  <c r="S9" i="412"/>
  <c r="S9" i="547"/>
  <c r="S10" i="545"/>
  <c r="S9"/>
  <c r="S9" i="409"/>
  <c r="S10" i="406"/>
  <c r="S9"/>
  <c r="S10" i="403"/>
  <c r="S9"/>
  <c r="S9" i="192"/>
  <c r="S11" i="397"/>
  <c r="S10"/>
  <c r="S9"/>
  <c r="S11" i="189"/>
  <c r="S10"/>
  <c r="S9"/>
  <c r="S9" i="536"/>
  <c r="S9" i="391"/>
  <c r="S9" i="388"/>
  <c r="S9" i="385"/>
  <c r="S9" i="382"/>
  <c r="S9" i="379"/>
  <c r="S9" i="376"/>
  <c r="S9" i="373"/>
  <c r="S9" i="370"/>
  <c r="S9" i="367"/>
  <c r="S9" i="364"/>
  <c r="S10" i="361"/>
  <c r="S10" i="186"/>
  <c r="S9"/>
  <c r="S10" i="637"/>
  <c r="S10" i="78"/>
  <c r="S9" i="526"/>
  <c r="R9"/>
  <c r="S9" i="520"/>
  <c r="R9"/>
  <c r="S9" i="514"/>
  <c r="R9"/>
  <c r="S9" i="511"/>
  <c r="R9"/>
  <c r="S9" i="508"/>
  <c r="R9"/>
  <c r="S9" i="505"/>
  <c r="R9"/>
  <c r="S9" i="502"/>
  <c r="R9"/>
  <c r="S14" i="499"/>
  <c r="R14"/>
  <c r="S9"/>
  <c r="R9"/>
  <c r="S14" i="496"/>
  <c r="R14"/>
  <c r="S9"/>
  <c r="R9"/>
  <c r="S14" i="493"/>
  <c r="R14"/>
  <c r="S9"/>
  <c r="R9"/>
  <c r="S14" i="490"/>
  <c r="R14"/>
  <c r="S9"/>
  <c r="R9"/>
  <c r="S14" i="487"/>
  <c r="R14"/>
  <c r="S9"/>
  <c r="R9"/>
  <c r="S14" i="484"/>
  <c r="R14"/>
  <c r="S9"/>
  <c r="R9"/>
  <c r="S14" i="481"/>
  <c r="R14"/>
  <c r="S9"/>
  <c r="R9"/>
  <c r="S14" i="478"/>
  <c r="R14"/>
  <c r="S9"/>
  <c r="R9"/>
  <c r="S14" i="475"/>
  <c r="R14"/>
  <c r="S9"/>
  <c r="R9"/>
  <c r="S14" i="472"/>
  <c r="R14"/>
  <c r="S9"/>
  <c r="R9"/>
  <c r="S14" i="469"/>
  <c r="R14"/>
  <c r="S9"/>
  <c r="R9"/>
  <c r="S14" i="195"/>
  <c r="R14"/>
  <c r="S9"/>
  <c r="R9"/>
  <c r="S10" i="555"/>
  <c r="R10"/>
  <c r="S9"/>
  <c r="R9"/>
  <c r="S9" i="421"/>
  <c r="R9"/>
  <c r="S11" i="552"/>
  <c r="R11"/>
  <c r="S10"/>
  <c r="R10"/>
  <c r="S9"/>
  <c r="R9"/>
  <c r="S11" i="412"/>
  <c r="R11"/>
  <c r="S10"/>
  <c r="R10"/>
  <c r="S11" i="192"/>
  <c r="R11"/>
  <c r="S10"/>
  <c r="R10"/>
  <c r="S10" i="539"/>
  <c r="R10"/>
  <c r="S9"/>
  <c r="R9"/>
  <c r="S10" i="542"/>
  <c r="R10"/>
  <c r="S9"/>
  <c r="R9"/>
  <c r="S10" i="394"/>
  <c r="R10"/>
  <c r="S9"/>
  <c r="R9"/>
  <c r="S12" i="186"/>
  <c r="R12"/>
  <c r="S11"/>
  <c r="R11"/>
  <c r="S9" i="781"/>
  <c r="R9"/>
  <c r="S9" i="763"/>
  <c r="R9"/>
  <c r="S13" i="748"/>
  <c r="R13"/>
  <c r="S9"/>
  <c r="R9"/>
  <c r="S13" i="745"/>
  <c r="R13"/>
  <c r="S9"/>
  <c r="R9"/>
  <c r="S13" i="742"/>
  <c r="R13"/>
  <c r="S9"/>
  <c r="R9"/>
  <c r="S13" i="739"/>
  <c r="R13"/>
  <c r="S9"/>
  <c r="R9"/>
  <c r="S13" i="736"/>
  <c r="R13"/>
  <c r="S9"/>
  <c r="R9"/>
  <c r="S13" i="718"/>
  <c r="R13"/>
  <c r="S9"/>
  <c r="R9"/>
  <c r="S9" i="637"/>
  <c r="R9"/>
  <c r="S9" i="634"/>
  <c r="R9"/>
  <c r="S18" i="78"/>
  <c r="R18"/>
  <c r="S14"/>
  <c r="R14"/>
  <c r="S9"/>
  <c r="R9"/>
  <c r="M20" i="194"/>
  <c r="J20"/>
  <c r="M15" i="420"/>
  <c r="J15"/>
  <c r="M14"/>
  <c r="J14"/>
  <c r="M13"/>
  <c r="J13"/>
  <c r="M8" i="544"/>
  <c r="J8"/>
  <c r="M8" i="408"/>
  <c r="J8"/>
  <c r="M8" i="405"/>
  <c r="J8"/>
  <c r="M8" i="402"/>
  <c r="J8"/>
  <c r="M10" i="396"/>
  <c r="J10"/>
  <c r="M10" i="188"/>
  <c r="J10"/>
  <c r="M8" i="390"/>
  <c r="J8"/>
  <c r="M8" i="387"/>
  <c r="J8"/>
  <c r="M8" i="384"/>
  <c r="J8"/>
  <c r="M8" i="381"/>
  <c r="J8"/>
  <c r="M11" i="366"/>
  <c r="J11"/>
  <c r="M10" i="363"/>
  <c r="J10"/>
  <c r="M15" i="360"/>
  <c r="J15"/>
  <c r="M16" i="477"/>
  <c r="J16"/>
  <c r="M10" i="554"/>
  <c r="J10"/>
  <c r="M9"/>
  <c r="J9"/>
  <c r="M8"/>
  <c r="J8"/>
  <c r="M9" i="551"/>
  <c r="J9"/>
  <c r="M11" i="411"/>
  <c r="J11"/>
  <c r="M10"/>
  <c r="J10"/>
  <c r="M9"/>
  <c r="J9"/>
  <c r="M8" i="538"/>
  <c r="J8"/>
  <c r="M10" i="541"/>
  <c r="J10"/>
  <c r="M9"/>
  <c r="J9"/>
  <c r="M11" i="393"/>
  <c r="J11"/>
  <c r="M10"/>
  <c r="J10"/>
  <c r="M9"/>
  <c r="J9"/>
  <c r="M11" i="378"/>
  <c r="J11"/>
  <c r="M10"/>
  <c r="J10"/>
  <c r="M9"/>
  <c r="J9"/>
  <c r="M11" i="375"/>
  <c r="J11"/>
  <c r="M10"/>
  <c r="J10"/>
  <c r="M9"/>
  <c r="J9"/>
  <c r="M11" i="372"/>
  <c r="J11"/>
  <c r="M10"/>
  <c r="J10"/>
  <c r="M9"/>
  <c r="J9"/>
  <c r="M9" i="369"/>
  <c r="J9"/>
  <c r="M8" i="525"/>
  <c r="J8"/>
  <c r="M8" i="519"/>
  <c r="J8"/>
  <c r="M8" i="516"/>
  <c r="J8"/>
  <c r="M10" i="498"/>
  <c r="J10"/>
  <c r="M10" i="495"/>
  <c r="J10"/>
  <c r="M10" i="492"/>
  <c r="J10"/>
  <c r="M18" i="489"/>
  <c r="J18"/>
  <c r="M14"/>
  <c r="J14"/>
  <c r="M9"/>
  <c r="J9"/>
  <c r="M14" i="486"/>
  <c r="J14"/>
  <c r="M9"/>
  <c r="J9"/>
  <c r="M14" i="483"/>
  <c r="J14"/>
  <c r="M9"/>
  <c r="J9"/>
  <c r="M16" i="480"/>
  <c r="J16"/>
  <c r="M14"/>
  <c r="J14"/>
  <c r="M9"/>
  <c r="J9"/>
  <c r="M18" i="477"/>
  <c r="J18"/>
  <c r="M17"/>
  <c r="J17"/>
  <c r="M14"/>
  <c r="J14"/>
  <c r="M9"/>
  <c r="J9"/>
  <c r="M13" i="474"/>
  <c r="J13"/>
  <c r="M9"/>
  <c r="J9"/>
  <c r="M13" i="471"/>
  <c r="J13"/>
  <c r="M9"/>
  <c r="J9"/>
  <c r="M9" i="468"/>
  <c r="J9"/>
  <c r="M14"/>
  <c r="J14"/>
  <c r="M18" i="194"/>
  <c r="J18"/>
  <c r="M9"/>
  <c r="J9"/>
  <c r="M13"/>
  <c r="J13"/>
  <c r="M12" i="554"/>
  <c r="J12"/>
  <c r="M11"/>
  <c r="J11"/>
  <c r="M9" i="420"/>
  <c r="J9"/>
  <c r="M17"/>
  <c r="J17"/>
  <c r="M10" i="551"/>
  <c r="J10"/>
  <c r="M12" i="411"/>
  <c r="J12"/>
  <c r="M8" i="550"/>
  <c r="J8"/>
  <c r="M10" i="544"/>
  <c r="J10"/>
  <c r="M10" i="408"/>
  <c r="J10"/>
  <c r="M10" i="191"/>
  <c r="J10"/>
  <c r="M11" i="541"/>
  <c r="J11"/>
  <c r="M12" i="393"/>
  <c r="J12"/>
  <c r="M8" i="535"/>
  <c r="J8"/>
  <c r="M12" i="378"/>
  <c r="J12"/>
  <c r="M12" i="375"/>
  <c r="J12"/>
  <c r="M12" i="372"/>
  <c r="J12"/>
  <c r="M12" i="369"/>
  <c r="J12"/>
  <c r="M8" i="366"/>
  <c r="J8"/>
  <c r="M14" i="360"/>
  <c r="J14"/>
  <c r="M10" i="185"/>
  <c r="J10"/>
  <c r="M19" i="678"/>
  <c r="J19"/>
  <c r="M28" i="77"/>
  <c r="J28"/>
  <c r="M20"/>
  <c r="J20"/>
  <c r="M9"/>
  <c r="J9"/>
  <c r="A13" i="25" l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Y9" i="780" l="1"/>
  <c r="D83" i="817" s="1"/>
  <c r="D84" s="1"/>
  <c r="D85" s="1"/>
  <c r="D86" s="1"/>
  <c r="X9" i="780"/>
  <c r="C83" i="817" s="1"/>
  <c r="C84" s="1"/>
  <c r="C85" s="1"/>
  <c r="C86" s="1"/>
  <c r="W9" i="780"/>
  <c r="B83" i="817" s="1"/>
  <c r="V9" i="780"/>
  <c r="U9"/>
  <c r="T9"/>
  <c r="S9"/>
  <c r="R9"/>
  <c r="Q9"/>
  <c r="H88" i="562"/>
  <c r="H88" i="527"/>
  <c r="H88" i="521"/>
  <c r="H88" i="518"/>
  <c r="H88" i="515"/>
  <c r="H88" i="512"/>
  <c r="H88" i="509"/>
  <c r="H88" i="506"/>
  <c r="H88" i="503"/>
  <c r="H90" i="500"/>
  <c r="H89"/>
  <c r="H90" i="497"/>
  <c r="H89"/>
  <c r="H90" i="494"/>
  <c r="H89"/>
  <c r="H92" i="491"/>
  <c r="H91"/>
  <c r="H90"/>
  <c r="H90" i="488"/>
  <c r="H89"/>
  <c r="H90" i="485"/>
  <c r="H89"/>
  <c r="H90" i="482"/>
  <c r="H89"/>
  <c r="H90" i="479"/>
  <c r="H89"/>
  <c r="H90" i="476"/>
  <c r="H89"/>
  <c r="H90" i="473"/>
  <c r="H89"/>
  <c r="H90" i="470"/>
  <c r="H89"/>
  <c r="H90" i="196"/>
  <c r="H89"/>
  <c r="H88" i="556"/>
  <c r="H88" i="422"/>
  <c r="H88" i="553"/>
  <c r="H88" i="413"/>
  <c r="H88" i="548"/>
  <c r="H88" i="546"/>
  <c r="H88" i="410"/>
  <c r="H88" i="407"/>
  <c r="H88" i="404"/>
  <c r="H88" i="193"/>
  <c r="H88" i="398"/>
  <c r="H88" i="190"/>
  <c r="H88" i="540"/>
  <c r="H88" i="543"/>
  <c r="H88" i="395"/>
  <c r="H88" i="537"/>
  <c r="H88" i="392"/>
  <c r="H88" i="389"/>
  <c r="H88" i="386"/>
  <c r="H88" i="383"/>
  <c r="H88" i="380"/>
  <c r="H88" i="377"/>
  <c r="H88" i="374"/>
  <c r="H88" i="371"/>
  <c r="H88" i="187"/>
  <c r="H88" i="368"/>
  <c r="H88" i="365"/>
  <c r="H88" i="362"/>
  <c r="H89" s="1"/>
  <c r="H88" i="782"/>
  <c r="H88" i="764"/>
  <c r="H88" i="761"/>
  <c r="H90" i="758"/>
  <c r="H89"/>
  <c r="H90" i="755"/>
  <c r="H89"/>
  <c r="H90" i="752"/>
  <c r="H89"/>
  <c r="H90" i="749"/>
  <c r="H89"/>
  <c r="H90" i="746"/>
  <c r="H89"/>
  <c r="H90" i="743"/>
  <c r="H89"/>
  <c r="H90" i="740"/>
  <c r="H89"/>
  <c r="H90" i="737"/>
  <c r="H89"/>
  <c r="H92" i="734"/>
  <c r="H91"/>
  <c r="H90"/>
  <c r="H92" i="731"/>
  <c r="H91"/>
  <c r="H90"/>
  <c r="H91" i="728"/>
  <c r="H90"/>
  <c r="H91" i="725"/>
  <c r="H90"/>
  <c r="H91" i="722"/>
  <c r="H90"/>
  <c r="H91" i="719"/>
  <c r="H90"/>
  <c r="H90" i="716"/>
  <c r="H89"/>
  <c r="H90" i="713"/>
  <c r="H89"/>
  <c r="H90" i="710"/>
  <c r="H89"/>
  <c r="H90" i="707"/>
  <c r="H89"/>
  <c r="H90" i="704"/>
  <c r="H89"/>
  <c r="H90" i="701"/>
  <c r="H89"/>
  <c r="H90" i="698"/>
  <c r="H89"/>
  <c r="H90" i="695"/>
  <c r="H89"/>
  <c r="H90" i="692"/>
  <c r="H89"/>
  <c r="H92" i="689"/>
  <c r="H91"/>
  <c r="H90"/>
  <c r="H92" i="686"/>
  <c r="H91"/>
  <c r="H90"/>
  <c r="H92" i="683"/>
  <c r="H91"/>
  <c r="H90"/>
  <c r="H92" i="680"/>
  <c r="H91"/>
  <c r="H90"/>
  <c r="H92" i="677"/>
  <c r="H91"/>
  <c r="H90"/>
  <c r="H92" i="674"/>
  <c r="H91"/>
  <c r="H90"/>
  <c r="H92" i="671"/>
  <c r="H91"/>
  <c r="H90"/>
  <c r="H92" i="668"/>
  <c r="H91"/>
  <c r="H90"/>
  <c r="H92" i="665"/>
  <c r="H91"/>
  <c r="H90"/>
  <c r="H91" i="662"/>
  <c r="H90"/>
  <c r="H91" i="659"/>
  <c r="H90"/>
  <c r="H92" i="656"/>
  <c r="H90"/>
  <c r="H91" i="653"/>
  <c r="H90"/>
  <c r="H90" i="650"/>
  <c r="H89"/>
  <c r="H90" i="647"/>
  <c r="H89"/>
  <c r="H90" i="644"/>
  <c r="H89"/>
  <c r="H90" i="641"/>
  <c r="H89"/>
  <c r="H90" i="638"/>
  <c r="H89"/>
  <c r="H90" i="635"/>
  <c r="H89"/>
  <c r="H90" i="629"/>
  <c r="H89"/>
  <c r="H89" i="626"/>
  <c r="H89" i="623"/>
  <c r="H91" s="1"/>
  <c r="H90" i="620"/>
  <c r="H93" i="614"/>
  <c r="H91"/>
  <c r="H93" i="611"/>
  <c r="H91"/>
  <c r="H92" i="608"/>
  <c r="H91"/>
  <c r="H92" i="605"/>
  <c r="H91"/>
  <c r="H90" i="602"/>
  <c r="H92" i="599"/>
  <c r="H90"/>
  <c r="H92" i="596"/>
  <c r="H90"/>
  <c r="H94" i="593"/>
  <c r="H91"/>
  <c r="H94" i="590"/>
  <c r="H92"/>
  <c r="H91"/>
  <c r="H94" i="587"/>
  <c r="H91"/>
  <c r="H94" i="584"/>
  <c r="H93"/>
  <c r="H92"/>
  <c r="H91"/>
  <c r="H94" i="581"/>
  <c r="H93"/>
  <c r="H92"/>
  <c r="H91"/>
  <c r="H94" i="578"/>
  <c r="H93"/>
  <c r="H92"/>
  <c r="H91"/>
  <c r="N92" i="79"/>
  <c r="K92"/>
  <c r="J92"/>
  <c r="I92"/>
  <c r="H92"/>
  <c r="G92"/>
  <c r="F92"/>
  <c r="N91"/>
  <c r="K91"/>
  <c r="J91"/>
  <c r="I91"/>
  <c r="H91"/>
  <c r="G91"/>
  <c r="F91"/>
  <c r="H90"/>
  <c r="F90"/>
  <c r="G90"/>
  <c r="I90"/>
  <c r="J90"/>
  <c r="K90"/>
  <c r="N90"/>
  <c r="AE6" i="488"/>
  <c r="AC6"/>
  <c r="P92" i="79"/>
  <c r="O92"/>
  <c r="P91"/>
  <c r="O91"/>
  <c r="P90"/>
  <c r="O90"/>
  <c r="B82" i="25" l="1"/>
  <c r="B83" s="1"/>
  <c r="H93" i="653"/>
  <c r="B84" i="25"/>
  <c r="B85" s="1"/>
  <c r="H91" i="626"/>
  <c r="H91" i="701"/>
  <c r="H91" i="704"/>
  <c r="H91" i="707"/>
  <c r="H91" i="710"/>
  <c r="H91" i="716"/>
  <c r="H93" i="722"/>
  <c r="H93" i="728"/>
  <c r="H95" i="605"/>
  <c r="H95" i="608"/>
  <c r="H95" i="611"/>
  <c r="H95" i="614"/>
  <c r="H92" i="617"/>
  <c r="H92" i="620"/>
  <c r="H91" i="485"/>
  <c r="H93" i="659"/>
  <c r="H93" i="662"/>
  <c r="H91" i="692"/>
  <c r="H93" i="719"/>
  <c r="H91" i="695"/>
  <c r="H91" i="698"/>
  <c r="H91" i="713"/>
  <c r="H93" i="725"/>
  <c r="Q88" i="25"/>
  <c r="M88"/>
  <c r="I88"/>
  <c r="Q87"/>
  <c r="M87"/>
  <c r="I87"/>
  <c r="Q86"/>
  <c r="M86"/>
  <c r="I86"/>
  <c r="Q85"/>
  <c r="M85"/>
  <c r="I85"/>
  <c r="Q84"/>
  <c r="M84"/>
  <c r="I84"/>
  <c r="Q83"/>
  <c r="M83"/>
  <c r="I83"/>
  <c r="Q82"/>
  <c r="M82"/>
  <c r="I82"/>
  <c r="Q81"/>
  <c r="M81"/>
  <c r="I81"/>
  <c r="Q80"/>
  <c r="M80"/>
  <c r="I80"/>
  <c r="Q79"/>
  <c r="M79"/>
  <c r="I79"/>
  <c r="Q78"/>
  <c r="M78"/>
  <c r="I78"/>
  <c r="Q77"/>
  <c r="M77"/>
  <c r="I77"/>
  <c r="Q76"/>
  <c r="M76"/>
  <c r="I76"/>
  <c r="Q75"/>
  <c r="M75"/>
  <c r="I75"/>
  <c r="M74"/>
  <c r="I74"/>
  <c r="M73"/>
  <c r="I73"/>
  <c r="M72"/>
  <c r="I72"/>
  <c r="M71"/>
  <c r="I71"/>
  <c r="Q70"/>
  <c r="M70"/>
  <c r="I70"/>
  <c r="N88" i="782"/>
  <c r="N89" s="1"/>
  <c r="H83" i="817" s="1"/>
  <c r="K88" i="782"/>
  <c r="J88"/>
  <c r="I88"/>
  <c r="G88"/>
  <c r="G89" s="1"/>
  <c r="F88"/>
  <c r="C88"/>
  <c r="B88"/>
  <c r="A88"/>
  <c r="K89"/>
  <c r="J89"/>
  <c r="I89"/>
  <c r="H89"/>
  <c r="F89"/>
  <c r="B35"/>
  <c r="B34"/>
  <c r="B21"/>
  <c r="BA9"/>
  <c r="BA40" s="1"/>
  <c r="AZ9"/>
  <c r="AY9"/>
  <c r="AY40" s="1"/>
  <c r="AX9"/>
  <c r="AW9"/>
  <c r="AW40" s="1"/>
  <c r="AV9"/>
  <c r="AU9"/>
  <c r="AU40" s="1"/>
  <c r="AT9"/>
  <c r="AS9"/>
  <c r="AS40" s="1"/>
  <c r="AR9"/>
  <c r="AO9"/>
  <c r="AO40" s="1"/>
  <c r="AN9"/>
  <c r="AM9"/>
  <c r="AM41" s="1"/>
  <c r="AL9"/>
  <c r="AK9"/>
  <c r="AK41" s="1"/>
  <c r="AJ9"/>
  <c r="AI9"/>
  <c r="AI41" s="1"/>
  <c r="AH9"/>
  <c r="AG9"/>
  <c r="AG41" s="1"/>
  <c r="AF9"/>
  <c r="P88"/>
  <c r="O88"/>
  <c r="P89"/>
  <c r="J83" i="817" s="1"/>
  <c r="J84" s="1"/>
  <c r="J85" s="1"/>
  <c r="J86" s="1"/>
  <c r="O89" i="782"/>
  <c r="I83" i="817" s="1"/>
  <c r="I84" s="1"/>
  <c r="I85" s="1"/>
  <c r="I86" s="1"/>
  <c r="B376" i="781"/>
  <c r="B375"/>
  <c r="B374"/>
  <c r="AB9"/>
  <c r="AB10" s="1"/>
  <c r="AB12" s="1"/>
  <c r="E83" i="817" s="1"/>
  <c r="Z9" i="781"/>
  <c r="Z10" s="1"/>
  <c r="Z12" s="1"/>
  <c r="Y9"/>
  <c r="Y10" s="1"/>
  <c r="Y12" s="1"/>
  <c r="X9"/>
  <c r="X10" s="1"/>
  <c r="X12" s="1"/>
  <c r="W9"/>
  <c r="W10" s="1"/>
  <c r="W12" s="1"/>
  <c r="V9"/>
  <c r="V10" s="1"/>
  <c r="V12" s="1"/>
  <c r="U9"/>
  <c r="U10" s="1"/>
  <c r="U12" s="1"/>
  <c r="T9"/>
  <c r="T10" s="1"/>
  <c r="T12" s="1"/>
  <c r="AD9"/>
  <c r="AD10" s="1"/>
  <c r="AD12" s="1"/>
  <c r="G83" i="817" s="1"/>
  <c r="G84" s="1"/>
  <c r="G85" s="1"/>
  <c r="G86" s="1"/>
  <c r="AC9" i="781"/>
  <c r="AC10" s="1"/>
  <c r="AC12" s="1"/>
  <c r="F83" i="817" s="1"/>
  <c r="F84" s="1"/>
  <c r="F85" s="1"/>
  <c r="F86" s="1"/>
  <c r="N88" i="764"/>
  <c r="K88"/>
  <c r="J88"/>
  <c r="I88"/>
  <c r="H89"/>
  <c r="G88"/>
  <c r="F88"/>
  <c r="C88"/>
  <c r="B88"/>
  <c r="A88"/>
  <c r="B35"/>
  <c r="B34"/>
  <c r="B21"/>
  <c r="BA9"/>
  <c r="AZ9"/>
  <c r="AZ40" s="1"/>
  <c r="AY9"/>
  <c r="AX9"/>
  <c r="AX40" s="1"/>
  <c r="AW9"/>
  <c r="AV9"/>
  <c r="AV41" s="1"/>
  <c r="AU9"/>
  <c r="AT9"/>
  <c r="AT41" s="1"/>
  <c r="AS9"/>
  <c r="AR9"/>
  <c r="AR41" s="1"/>
  <c r="AO9"/>
  <c r="AN9"/>
  <c r="AN41" s="1"/>
  <c r="AM9"/>
  <c r="AL9"/>
  <c r="AL41" s="1"/>
  <c r="AK9"/>
  <c r="AJ9"/>
  <c r="AJ41" s="1"/>
  <c r="AI9"/>
  <c r="AH9"/>
  <c r="AH41" s="1"/>
  <c r="AG9"/>
  <c r="AF9"/>
  <c r="AF41" s="1"/>
  <c r="P88"/>
  <c r="P89" s="1"/>
  <c r="J82" i="817" s="1"/>
  <c r="O88" i="764"/>
  <c r="O89" s="1"/>
  <c r="I82" i="817" s="1"/>
  <c r="B377" i="763"/>
  <c r="B376"/>
  <c r="B375"/>
  <c r="AB9"/>
  <c r="AB11" s="1"/>
  <c r="AB13" s="1"/>
  <c r="E82" i="817" s="1"/>
  <c r="Z9" i="763"/>
  <c r="Z11" s="1"/>
  <c r="Z13" s="1"/>
  <c r="Y9"/>
  <c r="Y11" s="1"/>
  <c r="Y13" s="1"/>
  <c r="X9"/>
  <c r="X11" s="1"/>
  <c r="X13" s="1"/>
  <c r="W9"/>
  <c r="W11" s="1"/>
  <c r="W13" s="1"/>
  <c r="V9"/>
  <c r="V11" s="1"/>
  <c r="V13" s="1"/>
  <c r="U9"/>
  <c r="U11" s="1"/>
  <c r="U13" s="1"/>
  <c r="T9"/>
  <c r="T11" s="1"/>
  <c r="T13" s="1"/>
  <c r="AD9"/>
  <c r="AD11" s="1"/>
  <c r="AD13" s="1"/>
  <c r="G82" i="817" s="1"/>
  <c r="AC9" i="763"/>
  <c r="AC11" s="1"/>
  <c r="AC13" s="1"/>
  <c r="F82" i="817" s="1"/>
  <c r="N88" i="761"/>
  <c r="K88"/>
  <c r="J88"/>
  <c r="I88"/>
  <c r="H89"/>
  <c r="G88"/>
  <c r="F88"/>
  <c r="C88"/>
  <c r="B88"/>
  <c r="A88"/>
  <c r="B35"/>
  <c r="B34"/>
  <c r="B21"/>
  <c r="BA9"/>
  <c r="AZ9"/>
  <c r="AZ40" s="1"/>
  <c r="AY9"/>
  <c r="AX9"/>
  <c r="AX40" s="1"/>
  <c r="AW9"/>
  <c r="AV9"/>
  <c r="AV41" s="1"/>
  <c r="AU9"/>
  <c r="AT9"/>
  <c r="AT41" s="1"/>
  <c r="AS9"/>
  <c r="AR9"/>
  <c r="AR41" s="1"/>
  <c r="AO9"/>
  <c r="AN9"/>
  <c r="AN41" s="1"/>
  <c r="AM9"/>
  <c r="AL9"/>
  <c r="AL41" s="1"/>
  <c r="AK9"/>
  <c r="AJ9"/>
  <c r="AJ41" s="1"/>
  <c r="AI9"/>
  <c r="AH9"/>
  <c r="AH41" s="1"/>
  <c r="AG9"/>
  <c r="AF9"/>
  <c r="AF41" s="1"/>
  <c r="P88"/>
  <c r="P89" s="1"/>
  <c r="J76" i="817" s="1"/>
  <c r="J77" s="1"/>
  <c r="J78" s="1"/>
  <c r="J79" s="1"/>
  <c r="J80" s="1"/>
  <c r="J81" s="1"/>
  <c r="O88" i="761"/>
  <c r="O89" s="1"/>
  <c r="I76" i="817" s="1"/>
  <c r="I77" s="1"/>
  <c r="I78" s="1"/>
  <c r="I79" s="1"/>
  <c r="I80" s="1"/>
  <c r="I81" s="1"/>
  <c r="B375" i="760"/>
  <c r="B374"/>
  <c r="B373"/>
  <c r="N90" i="758"/>
  <c r="K90"/>
  <c r="J90"/>
  <c r="I90"/>
  <c r="G90"/>
  <c r="F90"/>
  <c r="C90"/>
  <c r="B90"/>
  <c r="A90"/>
  <c r="N89"/>
  <c r="K89"/>
  <c r="J89"/>
  <c r="I89"/>
  <c r="H91"/>
  <c r="G89"/>
  <c r="F89"/>
  <c r="C89"/>
  <c r="B89"/>
  <c r="A89"/>
  <c r="B36"/>
  <c r="B35"/>
  <c r="B22"/>
  <c r="BA10"/>
  <c r="AZ10"/>
  <c r="AZ42" s="1"/>
  <c r="AY10"/>
  <c r="AX10"/>
  <c r="AX41" s="1"/>
  <c r="AW10"/>
  <c r="AV10"/>
  <c r="AV42" s="1"/>
  <c r="AU10"/>
  <c r="AT10"/>
  <c r="AT42" s="1"/>
  <c r="AS10"/>
  <c r="AR10"/>
  <c r="AR42" s="1"/>
  <c r="AO10"/>
  <c r="AN10"/>
  <c r="AN42" s="1"/>
  <c r="AM10"/>
  <c r="AL10"/>
  <c r="AL42" s="1"/>
  <c r="AK10"/>
  <c r="AJ10"/>
  <c r="AJ42" s="1"/>
  <c r="AI10"/>
  <c r="AH10"/>
  <c r="AH43" s="1"/>
  <c r="AG10"/>
  <c r="AF10"/>
  <c r="AF42" s="1"/>
  <c r="P90"/>
  <c r="O90"/>
  <c r="P89"/>
  <c r="P91" s="1"/>
  <c r="J75" i="817" s="1"/>
  <c r="O89" i="758"/>
  <c r="O91" s="1"/>
  <c r="I75" i="817" s="1"/>
  <c r="B380" i="757"/>
  <c r="B379"/>
  <c r="B378"/>
  <c r="Z16"/>
  <c r="Y16"/>
  <c r="X16"/>
  <c r="W16"/>
  <c r="V16"/>
  <c r="T16"/>
  <c r="N90" i="755"/>
  <c r="K90"/>
  <c r="J90"/>
  <c r="I90"/>
  <c r="G90"/>
  <c r="F90"/>
  <c r="C90"/>
  <c r="B90"/>
  <c r="A90"/>
  <c r="N89"/>
  <c r="K89"/>
  <c r="J89"/>
  <c r="I89"/>
  <c r="H91"/>
  <c r="G89"/>
  <c r="F89"/>
  <c r="C89"/>
  <c r="B89"/>
  <c r="A89"/>
  <c r="B36"/>
  <c r="B35"/>
  <c r="B22"/>
  <c r="BA10"/>
  <c r="BA41" s="1"/>
  <c r="AZ10"/>
  <c r="AY10"/>
  <c r="AY41" s="1"/>
  <c r="AX10"/>
  <c r="AW10"/>
  <c r="AW41" s="1"/>
  <c r="AV10"/>
  <c r="AU10"/>
  <c r="AU42" s="1"/>
  <c r="AT10"/>
  <c r="AS10"/>
  <c r="AS42" s="1"/>
  <c r="AR10"/>
  <c r="AO10"/>
  <c r="AO42" s="1"/>
  <c r="AN10"/>
  <c r="AM10"/>
  <c r="AM42" s="1"/>
  <c r="AL10"/>
  <c r="AK10"/>
  <c r="AK42" s="1"/>
  <c r="AJ10"/>
  <c r="AI10"/>
  <c r="AI42" s="1"/>
  <c r="AH10"/>
  <c r="AG10"/>
  <c r="AG42" s="1"/>
  <c r="AF10"/>
  <c r="P90"/>
  <c r="O90"/>
  <c r="P89"/>
  <c r="P91" s="1"/>
  <c r="J74" i="817" s="1"/>
  <c r="O89" i="755"/>
  <c r="O91" s="1"/>
  <c r="I74" i="817" s="1"/>
  <c r="B379" i="754"/>
  <c r="B378"/>
  <c r="B377"/>
  <c r="N90" i="752"/>
  <c r="K90"/>
  <c r="J90"/>
  <c r="I90"/>
  <c r="G90"/>
  <c r="F90"/>
  <c r="C90"/>
  <c r="B90"/>
  <c r="A90"/>
  <c r="N89"/>
  <c r="K89"/>
  <c r="J89"/>
  <c r="I89"/>
  <c r="H91"/>
  <c r="G89"/>
  <c r="F89"/>
  <c r="C89"/>
  <c r="B89"/>
  <c r="A89"/>
  <c r="B36"/>
  <c r="B35"/>
  <c r="B22"/>
  <c r="BA10"/>
  <c r="AZ10"/>
  <c r="AZ41" s="1"/>
  <c r="AY10"/>
  <c r="AX10"/>
  <c r="AX41" s="1"/>
  <c r="AW10"/>
  <c r="AV10"/>
  <c r="AV42" s="1"/>
  <c r="AU10"/>
  <c r="AT10"/>
  <c r="AT42" s="1"/>
  <c r="AS10"/>
  <c r="AR10"/>
  <c r="AR42" s="1"/>
  <c r="AO10"/>
  <c r="AN10"/>
  <c r="AN42" s="1"/>
  <c r="AM10"/>
  <c r="AL10"/>
  <c r="AL42" s="1"/>
  <c r="AK10"/>
  <c r="AJ10"/>
  <c r="AJ42" s="1"/>
  <c r="AI10"/>
  <c r="AH10"/>
  <c r="AH42" s="1"/>
  <c r="AG10"/>
  <c r="AF10"/>
  <c r="AF42" s="1"/>
  <c r="P90"/>
  <c r="O90"/>
  <c r="P89"/>
  <c r="P91" s="1"/>
  <c r="J73" i="817" s="1"/>
  <c r="O89" i="752"/>
  <c r="O91" s="1"/>
  <c r="I73" i="817" s="1"/>
  <c r="B380" i="751"/>
  <c r="B379"/>
  <c r="B378"/>
  <c r="Z16"/>
  <c r="Y16"/>
  <c r="X16"/>
  <c r="W16"/>
  <c r="V16"/>
  <c r="T16"/>
  <c r="N90" i="749"/>
  <c r="K90"/>
  <c r="J90"/>
  <c r="I90"/>
  <c r="G90"/>
  <c r="F90"/>
  <c r="C90"/>
  <c r="B90"/>
  <c r="A90"/>
  <c r="N89"/>
  <c r="K89"/>
  <c r="J89"/>
  <c r="I89"/>
  <c r="H91"/>
  <c r="G89"/>
  <c r="F89"/>
  <c r="C89"/>
  <c r="B89"/>
  <c r="A89"/>
  <c r="B36"/>
  <c r="B35"/>
  <c r="B22"/>
  <c r="BA10"/>
  <c r="AZ10"/>
  <c r="AY10"/>
  <c r="AX10"/>
  <c r="AX16" s="1"/>
  <c r="AW10"/>
  <c r="AV10"/>
  <c r="AU10"/>
  <c r="AT10"/>
  <c r="AS10"/>
  <c r="AR10"/>
  <c r="AO10"/>
  <c r="AN10"/>
  <c r="AM10"/>
  <c r="AL10"/>
  <c r="AK10"/>
  <c r="AJ10"/>
  <c r="AI10"/>
  <c r="AH10"/>
  <c r="AG10"/>
  <c r="AF10"/>
  <c r="P90"/>
  <c r="O90"/>
  <c r="P89"/>
  <c r="P91" s="1"/>
  <c r="J72" i="817" s="1"/>
  <c r="O89" i="749"/>
  <c r="O91" s="1"/>
  <c r="I72" i="817" s="1"/>
  <c r="B379" i="748"/>
  <c r="B378"/>
  <c r="B377"/>
  <c r="AB13"/>
  <c r="AB14" s="1"/>
  <c r="Z13"/>
  <c r="Z14" s="1"/>
  <c r="Y13"/>
  <c r="Y14" s="1"/>
  <c r="X13"/>
  <c r="X14" s="1"/>
  <c r="W13"/>
  <c r="W14" s="1"/>
  <c r="V13"/>
  <c r="V14" s="1"/>
  <c r="U13"/>
  <c r="U14" s="1"/>
  <c r="T13"/>
  <c r="T14" s="1"/>
  <c r="AD13"/>
  <c r="AD14" s="1"/>
  <c r="AC13"/>
  <c r="AC14" s="1"/>
  <c r="AB9"/>
  <c r="AB10" s="1"/>
  <c r="Z9"/>
  <c r="Z10" s="1"/>
  <c r="Y9"/>
  <c r="Y10" s="1"/>
  <c r="X9"/>
  <c r="X10" s="1"/>
  <c r="W9"/>
  <c r="W10" s="1"/>
  <c r="V9"/>
  <c r="V10" s="1"/>
  <c r="U9"/>
  <c r="U10" s="1"/>
  <c r="T9"/>
  <c r="T10" s="1"/>
  <c r="AD9"/>
  <c r="AD10" s="1"/>
  <c r="AC9"/>
  <c r="AC10" s="1"/>
  <c r="N90" i="746"/>
  <c r="K90"/>
  <c r="J90"/>
  <c r="I90"/>
  <c r="G90"/>
  <c r="F90"/>
  <c r="C90"/>
  <c r="B90"/>
  <c r="A90"/>
  <c r="N89"/>
  <c r="K89"/>
  <c r="J89"/>
  <c r="I89"/>
  <c r="H91"/>
  <c r="G89"/>
  <c r="F89"/>
  <c r="C89"/>
  <c r="B89"/>
  <c r="A89"/>
  <c r="B36"/>
  <c r="B35"/>
  <c r="B22"/>
  <c r="BA10"/>
  <c r="BA41" s="1"/>
  <c r="AZ10"/>
  <c r="AY10"/>
  <c r="AY41" s="1"/>
  <c r="AX10"/>
  <c r="AW10"/>
  <c r="AW41" s="1"/>
  <c r="AV10"/>
  <c r="AU10"/>
  <c r="AU42" s="1"/>
  <c r="AT10"/>
  <c r="AS10"/>
  <c r="AS42" s="1"/>
  <c r="AR10"/>
  <c r="AO10"/>
  <c r="AO42" s="1"/>
  <c r="AN10"/>
  <c r="AM10"/>
  <c r="AM42" s="1"/>
  <c r="AL10"/>
  <c r="AK10"/>
  <c r="AK42" s="1"/>
  <c r="AJ10"/>
  <c r="AI10"/>
  <c r="AI42" s="1"/>
  <c r="AH10"/>
  <c r="AG10"/>
  <c r="AG42" s="1"/>
  <c r="AF10"/>
  <c r="P90"/>
  <c r="O90"/>
  <c r="P89"/>
  <c r="P91" s="1"/>
  <c r="J71" i="817" s="1"/>
  <c r="O89" i="746"/>
  <c r="O91" s="1"/>
  <c r="I71" i="817" s="1"/>
  <c r="B379" i="745"/>
  <c r="B378"/>
  <c r="B377"/>
  <c r="AB13"/>
  <c r="AB14" s="1"/>
  <c r="Z13"/>
  <c r="Z14" s="1"/>
  <c r="Y13"/>
  <c r="Y14" s="1"/>
  <c r="X13"/>
  <c r="X14" s="1"/>
  <c r="W13"/>
  <c r="W14" s="1"/>
  <c r="V13"/>
  <c r="V14" s="1"/>
  <c r="U13"/>
  <c r="U14" s="1"/>
  <c r="T13"/>
  <c r="T14" s="1"/>
  <c r="AD13"/>
  <c r="AD14" s="1"/>
  <c r="AC13"/>
  <c r="AC14" s="1"/>
  <c r="AB9"/>
  <c r="AB10" s="1"/>
  <c r="Z9"/>
  <c r="Z10" s="1"/>
  <c r="Y9"/>
  <c r="Y10" s="1"/>
  <c r="X9"/>
  <c r="X10" s="1"/>
  <c r="W9"/>
  <c r="W10" s="1"/>
  <c r="V9"/>
  <c r="V10" s="1"/>
  <c r="U9"/>
  <c r="U10" s="1"/>
  <c r="T9"/>
  <c r="T10" s="1"/>
  <c r="AD9"/>
  <c r="AD10" s="1"/>
  <c r="AC9"/>
  <c r="AC10" s="1"/>
  <c r="N90" i="743"/>
  <c r="K90"/>
  <c r="J90"/>
  <c r="I90"/>
  <c r="G90"/>
  <c r="F90"/>
  <c r="C90"/>
  <c r="B90"/>
  <c r="A90"/>
  <c r="N89"/>
  <c r="K89"/>
  <c r="J89"/>
  <c r="I89"/>
  <c r="H91"/>
  <c r="G89"/>
  <c r="F89"/>
  <c r="C89"/>
  <c r="B89"/>
  <c r="A89"/>
  <c r="B36"/>
  <c r="B35"/>
  <c r="B22"/>
  <c r="BA10"/>
  <c r="BA41" s="1"/>
  <c r="AZ10"/>
  <c r="AY10"/>
  <c r="AY41" s="1"/>
  <c r="AX10"/>
  <c r="AW10"/>
  <c r="AW42" s="1"/>
  <c r="AV10"/>
  <c r="AU10"/>
  <c r="AU42" s="1"/>
  <c r="AT10"/>
  <c r="AS10"/>
  <c r="AS42" s="1"/>
  <c r="AR10"/>
  <c r="AO10"/>
  <c r="AO42" s="1"/>
  <c r="AN10"/>
  <c r="AM10"/>
  <c r="AM42" s="1"/>
  <c r="AL10"/>
  <c r="AK10"/>
  <c r="AK42" s="1"/>
  <c r="AJ10"/>
  <c r="AI10"/>
  <c r="AI42" s="1"/>
  <c r="AH10"/>
  <c r="AG10"/>
  <c r="AG42" s="1"/>
  <c r="AF10"/>
  <c r="P90"/>
  <c r="O90"/>
  <c r="P89"/>
  <c r="P91" s="1"/>
  <c r="J70" i="817" s="1"/>
  <c r="O89" i="743"/>
  <c r="O91" s="1"/>
  <c r="I70" i="817" s="1"/>
  <c r="B379" i="742"/>
  <c r="B378"/>
  <c r="B377"/>
  <c r="AB13"/>
  <c r="AB14" s="1"/>
  <c r="Z13"/>
  <c r="Z14" s="1"/>
  <c r="Y13"/>
  <c r="Y14" s="1"/>
  <c r="X13"/>
  <c r="X14" s="1"/>
  <c r="W13"/>
  <c r="W14" s="1"/>
  <c r="V13"/>
  <c r="V14" s="1"/>
  <c r="U13"/>
  <c r="U14" s="1"/>
  <c r="T13"/>
  <c r="T14" s="1"/>
  <c r="AD13"/>
  <c r="AD14" s="1"/>
  <c r="AC13"/>
  <c r="AC14" s="1"/>
  <c r="AB9"/>
  <c r="AB10" s="1"/>
  <c r="Z9"/>
  <c r="Z10" s="1"/>
  <c r="Y9"/>
  <c r="Y10" s="1"/>
  <c r="X9"/>
  <c r="X10" s="1"/>
  <c r="W9"/>
  <c r="W10" s="1"/>
  <c r="V9"/>
  <c r="V10" s="1"/>
  <c r="U9"/>
  <c r="U10" s="1"/>
  <c r="T9"/>
  <c r="T10" s="1"/>
  <c r="AD9"/>
  <c r="AD10" s="1"/>
  <c r="AC9"/>
  <c r="AC10" s="1"/>
  <c r="N90" i="740"/>
  <c r="K90"/>
  <c r="J90"/>
  <c r="I90"/>
  <c r="G90"/>
  <c r="F90"/>
  <c r="C90"/>
  <c r="B90"/>
  <c r="A90"/>
  <c r="N89"/>
  <c r="K89"/>
  <c r="J89"/>
  <c r="I89"/>
  <c r="H91"/>
  <c r="G89"/>
  <c r="F89"/>
  <c r="C89"/>
  <c r="B89"/>
  <c r="A89"/>
  <c r="B36"/>
  <c r="B35"/>
  <c r="B22"/>
  <c r="BA10"/>
  <c r="AZ10"/>
  <c r="AZ41" s="1"/>
  <c r="AY10"/>
  <c r="AX10"/>
  <c r="AX41" s="1"/>
  <c r="AW10"/>
  <c r="AV10"/>
  <c r="AV42" s="1"/>
  <c r="AU10"/>
  <c r="AT10"/>
  <c r="AT42" s="1"/>
  <c r="AS10"/>
  <c r="AR10"/>
  <c r="AR42" s="1"/>
  <c r="AO10"/>
  <c r="AN10"/>
  <c r="AN42" s="1"/>
  <c r="AM10"/>
  <c r="AL10"/>
  <c r="AL42" s="1"/>
  <c r="AK10"/>
  <c r="AJ10"/>
  <c r="AJ42" s="1"/>
  <c r="AI10"/>
  <c r="AH10"/>
  <c r="AH42" s="1"/>
  <c r="AG10"/>
  <c r="AF10"/>
  <c r="AF42" s="1"/>
  <c r="P90"/>
  <c r="O90"/>
  <c r="P89"/>
  <c r="P91" s="1"/>
  <c r="J69" i="817" s="1"/>
  <c r="O89" i="740"/>
  <c r="O91" s="1"/>
  <c r="I69" i="817" s="1"/>
  <c r="B379" i="739"/>
  <c r="B378"/>
  <c r="B377"/>
  <c r="AB13"/>
  <c r="AB14" s="1"/>
  <c r="Z13"/>
  <c r="Z14" s="1"/>
  <c r="Y13"/>
  <c r="Y14" s="1"/>
  <c r="X13"/>
  <c r="X14" s="1"/>
  <c r="W13"/>
  <c r="W14" s="1"/>
  <c r="V13"/>
  <c r="V14" s="1"/>
  <c r="U13"/>
  <c r="U14" s="1"/>
  <c r="T13"/>
  <c r="T14" s="1"/>
  <c r="AD13"/>
  <c r="AD14" s="1"/>
  <c r="AC13"/>
  <c r="AC14" s="1"/>
  <c r="AB9"/>
  <c r="AB10" s="1"/>
  <c r="Z9"/>
  <c r="Z10" s="1"/>
  <c r="Y9"/>
  <c r="Y10" s="1"/>
  <c r="X9"/>
  <c r="X10" s="1"/>
  <c r="W9"/>
  <c r="W10" s="1"/>
  <c r="V9"/>
  <c r="V10" s="1"/>
  <c r="U9"/>
  <c r="U10" s="1"/>
  <c r="T9"/>
  <c r="T10" s="1"/>
  <c r="AD9"/>
  <c r="AD10" s="1"/>
  <c r="AC9"/>
  <c r="AC10" s="1"/>
  <c r="N90" i="737"/>
  <c r="K90"/>
  <c r="J90"/>
  <c r="I90"/>
  <c r="G90"/>
  <c r="F90"/>
  <c r="C90"/>
  <c r="B90"/>
  <c r="A90"/>
  <c r="N89"/>
  <c r="K89"/>
  <c r="J89"/>
  <c r="I89"/>
  <c r="H91"/>
  <c r="G89"/>
  <c r="F89"/>
  <c r="C89"/>
  <c r="B89"/>
  <c r="A89"/>
  <c r="B36"/>
  <c r="B35"/>
  <c r="B22"/>
  <c r="BA10"/>
  <c r="AZ10"/>
  <c r="AZ41" s="1"/>
  <c r="AY10"/>
  <c r="AX10"/>
  <c r="AX41" s="1"/>
  <c r="AW10"/>
  <c r="AV10"/>
  <c r="AV42" s="1"/>
  <c r="AU10"/>
  <c r="AT10"/>
  <c r="AT42" s="1"/>
  <c r="AS10"/>
  <c r="AR10"/>
  <c r="AR42" s="1"/>
  <c r="AO10"/>
  <c r="AN10"/>
  <c r="AN42" s="1"/>
  <c r="AM10"/>
  <c r="AL10"/>
  <c r="AL42" s="1"/>
  <c r="AK10"/>
  <c r="AJ10"/>
  <c r="AJ42" s="1"/>
  <c r="AI10"/>
  <c r="AH10"/>
  <c r="AH42" s="1"/>
  <c r="AG10"/>
  <c r="AF10"/>
  <c r="AF42" s="1"/>
  <c r="P90"/>
  <c r="O90"/>
  <c r="P89"/>
  <c r="P91" s="1"/>
  <c r="O89"/>
  <c r="O91" s="1"/>
  <c r="B379" i="736"/>
  <c r="B378"/>
  <c r="B377"/>
  <c r="AB13"/>
  <c r="AB14" s="1"/>
  <c r="Z13"/>
  <c r="Z14" s="1"/>
  <c r="Y13"/>
  <c r="Y14" s="1"/>
  <c r="X13"/>
  <c r="X14" s="1"/>
  <c r="W13"/>
  <c r="W14" s="1"/>
  <c r="V13"/>
  <c r="V14" s="1"/>
  <c r="U13"/>
  <c r="U14" s="1"/>
  <c r="T13"/>
  <c r="T14" s="1"/>
  <c r="AD13"/>
  <c r="AD14" s="1"/>
  <c r="AC13"/>
  <c r="AC14" s="1"/>
  <c r="AB9"/>
  <c r="AB10" s="1"/>
  <c r="Z9"/>
  <c r="Z10" s="1"/>
  <c r="Y9"/>
  <c r="Y10" s="1"/>
  <c r="X9"/>
  <c r="X10" s="1"/>
  <c r="W9"/>
  <c r="W10" s="1"/>
  <c r="V9"/>
  <c r="V10" s="1"/>
  <c r="U9"/>
  <c r="U10" s="1"/>
  <c r="T9"/>
  <c r="T10" s="1"/>
  <c r="AD9"/>
  <c r="AD10" s="1"/>
  <c r="AC9"/>
  <c r="AC10" s="1"/>
  <c r="N92" i="734"/>
  <c r="K92"/>
  <c r="J92"/>
  <c r="I92"/>
  <c r="G92"/>
  <c r="F92"/>
  <c r="C92"/>
  <c r="B92"/>
  <c r="A92"/>
  <c r="N91"/>
  <c r="K91"/>
  <c r="J91"/>
  <c r="I91"/>
  <c r="G91"/>
  <c r="F91"/>
  <c r="C91"/>
  <c r="B91"/>
  <c r="A91"/>
  <c r="N90"/>
  <c r="K90"/>
  <c r="J90"/>
  <c r="I90"/>
  <c r="H93"/>
  <c r="G90"/>
  <c r="F90"/>
  <c r="C90"/>
  <c r="B90"/>
  <c r="A90"/>
  <c r="B37"/>
  <c r="B36"/>
  <c r="B23"/>
  <c r="BA11"/>
  <c r="BA42" s="1"/>
  <c r="AZ11"/>
  <c r="AY11"/>
  <c r="AY42" s="1"/>
  <c r="AX11"/>
  <c r="AW11"/>
  <c r="AW42" s="1"/>
  <c r="AV11"/>
  <c r="AU11"/>
  <c r="AU43" s="1"/>
  <c r="AT11"/>
  <c r="AS11"/>
  <c r="AS43" s="1"/>
  <c r="AR11"/>
  <c r="AO11"/>
  <c r="AO43" s="1"/>
  <c r="AN11"/>
  <c r="AM11"/>
  <c r="AM43" s="1"/>
  <c r="AL11"/>
  <c r="AK11"/>
  <c r="AK43" s="1"/>
  <c r="AJ11"/>
  <c r="AI11"/>
  <c r="AI43" s="1"/>
  <c r="AH11"/>
  <c r="AG11"/>
  <c r="AG43" s="1"/>
  <c r="AF11"/>
  <c r="P92"/>
  <c r="O92"/>
  <c r="P91"/>
  <c r="O91"/>
  <c r="P90"/>
  <c r="P93" s="1"/>
  <c r="J68" i="817" s="1"/>
  <c r="O90" i="734"/>
  <c r="O93" s="1"/>
  <c r="I68" i="817" s="1"/>
  <c r="B383" i="733"/>
  <c r="B382"/>
  <c r="B381"/>
  <c r="N92" i="731"/>
  <c r="K92"/>
  <c r="J92"/>
  <c r="I92"/>
  <c r="G92"/>
  <c r="F92"/>
  <c r="C92"/>
  <c r="B92"/>
  <c r="A92"/>
  <c r="N91"/>
  <c r="K91"/>
  <c r="J91"/>
  <c r="I91"/>
  <c r="G91"/>
  <c r="F91"/>
  <c r="C91"/>
  <c r="B91"/>
  <c r="A91"/>
  <c r="N90"/>
  <c r="K90"/>
  <c r="J90"/>
  <c r="I90"/>
  <c r="H93"/>
  <c r="G90"/>
  <c r="F90"/>
  <c r="C90"/>
  <c r="B90"/>
  <c r="A90"/>
  <c r="B37"/>
  <c r="B36"/>
  <c r="B23"/>
  <c r="BA11"/>
  <c r="AZ11"/>
  <c r="AZ42" s="1"/>
  <c r="AY11"/>
  <c r="AX11"/>
  <c r="AX42" s="1"/>
  <c r="AW11"/>
  <c r="AV11"/>
  <c r="AV42" s="1"/>
  <c r="AU11"/>
  <c r="AT11"/>
  <c r="AT42" s="1"/>
  <c r="AS11"/>
  <c r="AR11"/>
  <c r="AR43" s="1"/>
  <c r="AO11"/>
  <c r="AN11"/>
  <c r="AN43" s="1"/>
  <c r="AM11"/>
  <c r="AL11"/>
  <c r="AL43" s="1"/>
  <c r="AK11"/>
  <c r="AJ11"/>
  <c r="AJ43" s="1"/>
  <c r="AI11"/>
  <c r="AH11"/>
  <c r="AH43" s="1"/>
  <c r="AG11"/>
  <c r="AF11"/>
  <c r="AF43" s="1"/>
  <c r="P92"/>
  <c r="O92"/>
  <c r="P91"/>
  <c r="O91"/>
  <c r="P90"/>
  <c r="O90"/>
  <c r="B383" i="730"/>
  <c r="B382"/>
  <c r="B381"/>
  <c r="C66" i="25"/>
  <c r="N91" i="728"/>
  <c r="K91"/>
  <c r="J91"/>
  <c r="I91"/>
  <c r="G91"/>
  <c r="F91"/>
  <c r="C91"/>
  <c r="B91"/>
  <c r="A91"/>
  <c r="N90"/>
  <c r="K90"/>
  <c r="J90"/>
  <c r="I90"/>
  <c r="G90"/>
  <c r="F90"/>
  <c r="C90"/>
  <c r="B90"/>
  <c r="A90"/>
  <c r="B37"/>
  <c r="B36"/>
  <c r="B23"/>
  <c r="L92" s="1"/>
  <c r="M92" s="1"/>
  <c r="BA10"/>
  <c r="AZ10"/>
  <c r="AZ41" s="1"/>
  <c r="AY10"/>
  <c r="AX10"/>
  <c r="AX41" s="1"/>
  <c r="AW10"/>
  <c r="AV10"/>
  <c r="AV41" s="1"/>
  <c r="AU10"/>
  <c r="AT10"/>
  <c r="AT41" s="1"/>
  <c r="AS10"/>
  <c r="AR10"/>
  <c r="AR42" s="1"/>
  <c r="AO10"/>
  <c r="AN10"/>
  <c r="AN42" s="1"/>
  <c r="AM10"/>
  <c r="AL10"/>
  <c r="AL42" s="1"/>
  <c r="AK10"/>
  <c r="AJ10"/>
  <c r="AJ42" s="1"/>
  <c r="AI10"/>
  <c r="AH10"/>
  <c r="AH42" s="1"/>
  <c r="AG10"/>
  <c r="AF10"/>
  <c r="AF42" s="1"/>
  <c r="P91"/>
  <c r="O91"/>
  <c r="P90"/>
  <c r="O90"/>
  <c r="B383" i="727"/>
  <c r="B382"/>
  <c r="B381"/>
  <c r="N91" i="725"/>
  <c r="K91"/>
  <c r="J91"/>
  <c r="I91"/>
  <c r="G91"/>
  <c r="F91"/>
  <c r="C91"/>
  <c r="B91"/>
  <c r="A91"/>
  <c r="N90"/>
  <c r="K90"/>
  <c r="J90"/>
  <c r="I90"/>
  <c r="G90"/>
  <c r="F90"/>
  <c r="C90"/>
  <c r="B90"/>
  <c r="A90"/>
  <c r="B37"/>
  <c r="B36"/>
  <c r="B23"/>
  <c r="L92" s="1"/>
  <c r="M92" s="1"/>
  <c r="BA10"/>
  <c r="AZ10"/>
  <c r="AY10"/>
  <c r="AX10"/>
  <c r="AW10"/>
  <c r="AV10"/>
  <c r="AU10"/>
  <c r="AT10"/>
  <c r="AS10"/>
  <c r="AR10"/>
  <c r="AO10"/>
  <c r="AN10"/>
  <c r="AM10"/>
  <c r="AL10"/>
  <c r="AK10"/>
  <c r="AJ10"/>
  <c r="AI10"/>
  <c r="AH10"/>
  <c r="AG10"/>
  <c r="AF10"/>
  <c r="P91"/>
  <c r="O91"/>
  <c r="P90"/>
  <c r="O90"/>
  <c r="B383" i="724"/>
  <c r="B382"/>
  <c r="B381"/>
  <c r="N91" i="722"/>
  <c r="K91"/>
  <c r="J91"/>
  <c r="I91"/>
  <c r="G91"/>
  <c r="F91"/>
  <c r="C91"/>
  <c r="B91"/>
  <c r="A91"/>
  <c r="N90"/>
  <c r="K90"/>
  <c r="J90"/>
  <c r="I90"/>
  <c r="G90"/>
  <c r="F90"/>
  <c r="C90"/>
  <c r="B90"/>
  <c r="A90"/>
  <c r="B37"/>
  <c r="B36"/>
  <c r="B23"/>
  <c r="L92" s="1"/>
  <c r="M92" s="1"/>
  <c r="BA10"/>
  <c r="AZ10"/>
  <c r="AZ27" s="1"/>
  <c r="AY10"/>
  <c r="AX10"/>
  <c r="AX26" s="1"/>
  <c r="AW10"/>
  <c r="AV10"/>
  <c r="AV27" s="1"/>
  <c r="AU10"/>
  <c r="AT10"/>
  <c r="AT26" s="1"/>
  <c r="AS10"/>
  <c r="AR10"/>
  <c r="AR27" s="1"/>
  <c r="AO10"/>
  <c r="AN10"/>
  <c r="AN26" s="1"/>
  <c r="AM10"/>
  <c r="AL10"/>
  <c r="AL27" s="1"/>
  <c r="AK10"/>
  <c r="AJ10"/>
  <c r="AJ27" s="1"/>
  <c r="AI10"/>
  <c r="AH10"/>
  <c r="AH27" s="1"/>
  <c r="AG10"/>
  <c r="AF10"/>
  <c r="AF27" s="1"/>
  <c r="P91"/>
  <c r="O91"/>
  <c r="P90"/>
  <c r="O90"/>
  <c r="B383" i="721"/>
  <c r="B382"/>
  <c r="B381"/>
  <c r="N91" i="719"/>
  <c r="K91"/>
  <c r="J91"/>
  <c r="I91"/>
  <c r="G91"/>
  <c r="F91"/>
  <c r="C91"/>
  <c r="B91"/>
  <c r="A91"/>
  <c r="N90"/>
  <c r="K90"/>
  <c r="J90"/>
  <c r="I90"/>
  <c r="G90"/>
  <c r="F90"/>
  <c r="C90"/>
  <c r="B90"/>
  <c r="A90"/>
  <c r="B37"/>
  <c r="B36"/>
  <c r="B23"/>
  <c r="L92" s="1"/>
  <c r="M92" s="1"/>
  <c r="BA10"/>
  <c r="AZ10"/>
  <c r="AZ41" s="1"/>
  <c r="AY10"/>
  <c r="AX10"/>
  <c r="AX41" s="1"/>
  <c r="AW10"/>
  <c r="AV10"/>
  <c r="AV42" s="1"/>
  <c r="AU10"/>
  <c r="AT10"/>
  <c r="AT42" s="1"/>
  <c r="AS10"/>
  <c r="AR10"/>
  <c r="AR42" s="1"/>
  <c r="AO10"/>
  <c r="AN10"/>
  <c r="AN42" s="1"/>
  <c r="AM10"/>
  <c r="AL10"/>
  <c r="AL42" s="1"/>
  <c r="AK10"/>
  <c r="AJ10"/>
  <c r="AJ42" s="1"/>
  <c r="AI10"/>
  <c r="AH10"/>
  <c r="AH42" s="1"/>
  <c r="AG10"/>
  <c r="AF10"/>
  <c r="AF42" s="1"/>
  <c r="P91"/>
  <c r="O91"/>
  <c r="P90"/>
  <c r="O90"/>
  <c r="B384" i="718"/>
  <c r="B383"/>
  <c r="B382"/>
  <c r="AB13"/>
  <c r="AB14" s="1"/>
  <c r="Z13"/>
  <c r="Z14" s="1"/>
  <c r="Y13"/>
  <c r="Y14" s="1"/>
  <c r="X13"/>
  <c r="X14" s="1"/>
  <c r="W13"/>
  <c r="W14" s="1"/>
  <c r="V13"/>
  <c r="V14" s="1"/>
  <c r="U13"/>
  <c r="U14" s="1"/>
  <c r="T13"/>
  <c r="T14" s="1"/>
  <c r="AD13"/>
  <c r="AD14" s="1"/>
  <c r="AC13"/>
  <c r="AC14" s="1"/>
  <c r="AB9"/>
  <c r="AB10" s="1"/>
  <c r="Z9"/>
  <c r="Z10" s="1"/>
  <c r="Z20" s="1"/>
  <c r="Y9"/>
  <c r="Y10" s="1"/>
  <c r="Y20" s="1"/>
  <c r="X9"/>
  <c r="X10" s="1"/>
  <c r="X20" s="1"/>
  <c r="W9"/>
  <c r="W10" s="1"/>
  <c r="W20" s="1"/>
  <c r="V9"/>
  <c r="V10" s="1"/>
  <c r="V20" s="1"/>
  <c r="U9"/>
  <c r="U10" s="1"/>
  <c r="T9"/>
  <c r="T10" s="1"/>
  <c r="T20" s="1"/>
  <c r="AD9"/>
  <c r="AD10" s="1"/>
  <c r="AC9"/>
  <c r="AC10" s="1"/>
  <c r="N90" i="716"/>
  <c r="K90"/>
  <c r="J90"/>
  <c r="I90"/>
  <c r="G90"/>
  <c r="F90"/>
  <c r="C90"/>
  <c r="B90"/>
  <c r="A90"/>
  <c r="N89"/>
  <c r="K89"/>
  <c r="J89"/>
  <c r="I89"/>
  <c r="G89"/>
  <c r="F89"/>
  <c r="C89"/>
  <c r="B89"/>
  <c r="A89"/>
  <c r="B36"/>
  <c r="B35"/>
  <c r="B22"/>
  <c r="BA9"/>
  <c r="AZ9"/>
  <c r="AZ40" s="1"/>
  <c r="AY9"/>
  <c r="AX9"/>
  <c r="AX40" s="1"/>
  <c r="AW9"/>
  <c r="AV9"/>
  <c r="AV41" s="1"/>
  <c r="AU9"/>
  <c r="AT9"/>
  <c r="AT41" s="1"/>
  <c r="AS9"/>
  <c r="AR9"/>
  <c r="AR41" s="1"/>
  <c r="AO9"/>
  <c r="AN9"/>
  <c r="AN41" s="1"/>
  <c r="AM9"/>
  <c r="AL9"/>
  <c r="AL41" s="1"/>
  <c r="AK9"/>
  <c r="AJ9"/>
  <c r="AJ41" s="1"/>
  <c r="AI9"/>
  <c r="AH9"/>
  <c r="AH41" s="1"/>
  <c r="AG9"/>
  <c r="AF9"/>
  <c r="AF41" s="1"/>
  <c r="P90"/>
  <c r="O90"/>
  <c r="P89"/>
  <c r="O89"/>
  <c r="B380" i="715"/>
  <c r="B379"/>
  <c r="B378"/>
  <c r="N90" i="713"/>
  <c r="K90"/>
  <c r="J90"/>
  <c r="I90"/>
  <c r="G90"/>
  <c r="F90"/>
  <c r="C90"/>
  <c r="B90"/>
  <c r="A90"/>
  <c r="N89"/>
  <c r="K89"/>
  <c r="J89"/>
  <c r="I89"/>
  <c r="G89"/>
  <c r="F89"/>
  <c r="C89"/>
  <c r="B89"/>
  <c r="A89"/>
  <c r="B36"/>
  <c r="B35"/>
  <c r="B22"/>
  <c r="BA9"/>
  <c r="BA40" s="1"/>
  <c r="AZ9"/>
  <c r="AY9"/>
  <c r="AY40" s="1"/>
  <c r="AX9"/>
  <c r="AW9"/>
  <c r="AW40" s="1"/>
  <c r="AV9"/>
  <c r="AU9"/>
  <c r="AU41" s="1"/>
  <c r="AT9"/>
  <c r="AS9"/>
  <c r="AS41" s="1"/>
  <c r="AR9"/>
  <c r="AO9"/>
  <c r="AO41" s="1"/>
  <c r="AN9"/>
  <c r="AM9"/>
  <c r="AM41" s="1"/>
  <c r="AL9"/>
  <c r="AK9"/>
  <c r="AK41" s="1"/>
  <c r="AJ9"/>
  <c r="AI9"/>
  <c r="AI41" s="1"/>
  <c r="AH9"/>
  <c r="AG9"/>
  <c r="AG41" s="1"/>
  <c r="AF9"/>
  <c r="P90"/>
  <c r="O90"/>
  <c r="P89"/>
  <c r="O89"/>
  <c r="B380" i="712"/>
  <c r="B379"/>
  <c r="B378"/>
  <c r="N90" i="710"/>
  <c r="K90"/>
  <c r="J90"/>
  <c r="I90"/>
  <c r="G90"/>
  <c r="F90"/>
  <c r="C90"/>
  <c r="B90"/>
  <c r="A90"/>
  <c r="P90"/>
  <c r="O90"/>
  <c r="N89"/>
  <c r="K89"/>
  <c r="J89"/>
  <c r="I89"/>
  <c r="G89"/>
  <c r="F89"/>
  <c r="C89"/>
  <c r="B89"/>
  <c r="A89"/>
  <c r="B36"/>
  <c r="B35"/>
  <c r="B22"/>
  <c r="BA9"/>
  <c r="AZ9"/>
  <c r="AZ40" s="1"/>
  <c r="AY9"/>
  <c r="AX9"/>
  <c r="AX40" s="1"/>
  <c r="AW9"/>
  <c r="AV9"/>
  <c r="AV40" s="1"/>
  <c r="AU9"/>
  <c r="AT9"/>
  <c r="AT40" s="1"/>
  <c r="AS9"/>
  <c r="AR9"/>
  <c r="AR41" s="1"/>
  <c r="AO9"/>
  <c r="AN9"/>
  <c r="AN41" s="1"/>
  <c r="AM9"/>
  <c r="AL9"/>
  <c r="AL41" s="1"/>
  <c r="AK9"/>
  <c r="AJ9"/>
  <c r="AJ41" s="1"/>
  <c r="AI9"/>
  <c r="AH9"/>
  <c r="AH41" s="1"/>
  <c r="AG9"/>
  <c r="AF9"/>
  <c r="AF41" s="1"/>
  <c r="P89"/>
  <c r="P91" s="1"/>
  <c r="J60" i="817" s="1"/>
  <c r="O89" i="710"/>
  <c r="O91" s="1"/>
  <c r="I60" i="817" s="1"/>
  <c r="B380" i="709"/>
  <c r="B379"/>
  <c r="B378"/>
  <c r="N90" i="707"/>
  <c r="K90"/>
  <c r="J90"/>
  <c r="I90"/>
  <c r="G90"/>
  <c r="F90"/>
  <c r="C90"/>
  <c r="B90"/>
  <c r="A90"/>
  <c r="N89"/>
  <c r="K89"/>
  <c r="J89"/>
  <c r="I89"/>
  <c r="G89"/>
  <c r="F89"/>
  <c r="C89"/>
  <c r="B89"/>
  <c r="A89"/>
  <c r="B36"/>
  <c r="B35"/>
  <c r="B22"/>
  <c r="BA9"/>
  <c r="AZ9"/>
  <c r="AZ40" s="1"/>
  <c r="AY9"/>
  <c r="AX9"/>
  <c r="AX40" s="1"/>
  <c r="AW9"/>
  <c r="AV9"/>
  <c r="AV40" s="1"/>
  <c r="AU9"/>
  <c r="AT9"/>
  <c r="AT40" s="1"/>
  <c r="AS9"/>
  <c r="AR9"/>
  <c r="AR41" s="1"/>
  <c r="AO9"/>
  <c r="AN9"/>
  <c r="AN41" s="1"/>
  <c r="AM9"/>
  <c r="AL9"/>
  <c r="AL41" s="1"/>
  <c r="AK9"/>
  <c r="AJ9"/>
  <c r="AJ41" s="1"/>
  <c r="AI9"/>
  <c r="AH9"/>
  <c r="AH41" s="1"/>
  <c r="AG9"/>
  <c r="AF9"/>
  <c r="AF41" s="1"/>
  <c r="P90"/>
  <c r="O90"/>
  <c r="P89"/>
  <c r="O89"/>
  <c r="B380" i="706"/>
  <c r="B379"/>
  <c r="B378"/>
  <c r="C58" i="25"/>
  <c r="N90" i="704"/>
  <c r="K90"/>
  <c r="J90"/>
  <c r="I90"/>
  <c r="G90"/>
  <c r="F90"/>
  <c r="C90"/>
  <c r="B90"/>
  <c r="A90"/>
  <c r="N89"/>
  <c r="K89"/>
  <c r="J89"/>
  <c r="I89"/>
  <c r="G89"/>
  <c r="F89"/>
  <c r="C89"/>
  <c r="B89"/>
  <c r="A89"/>
  <c r="B36"/>
  <c r="B35"/>
  <c r="B22"/>
  <c r="BA9"/>
  <c r="AZ9"/>
  <c r="AZ40" s="1"/>
  <c r="AY9"/>
  <c r="AX9"/>
  <c r="AX40" s="1"/>
  <c r="AW9"/>
  <c r="AV9"/>
  <c r="AV40" s="1"/>
  <c r="AU9"/>
  <c r="AT9"/>
  <c r="AT40" s="1"/>
  <c r="AS9"/>
  <c r="AR9"/>
  <c r="AR41" s="1"/>
  <c r="AO9"/>
  <c r="AN9"/>
  <c r="AN41" s="1"/>
  <c r="AM9"/>
  <c r="AL9"/>
  <c r="AL41" s="1"/>
  <c r="AK9"/>
  <c r="AJ9"/>
  <c r="AJ41" s="1"/>
  <c r="AI9"/>
  <c r="AH9"/>
  <c r="AH41" s="1"/>
  <c r="AG9"/>
  <c r="AF9"/>
  <c r="AF41" s="1"/>
  <c r="P90"/>
  <c r="O90"/>
  <c r="P89"/>
  <c r="O89"/>
  <c r="B380" i="703"/>
  <c r="B379"/>
  <c r="B378"/>
  <c r="C57" i="25"/>
  <c r="N90" i="701"/>
  <c r="K90"/>
  <c r="J90"/>
  <c r="I90"/>
  <c r="G90"/>
  <c r="F90"/>
  <c r="C90"/>
  <c r="B90"/>
  <c r="A90"/>
  <c r="N89"/>
  <c r="K89"/>
  <c r="J89"/>
  <c r="I89"/>
  <c r="G89"/>
  <c r="F89"/>
  <c r="C89"/>
  <c r="B89"/>
  <c r="A89"/>
  <c r="B36"/>
  <c r="B35"/>
  <c r="B22"/>
  <c r="BA9"/>
  <c r="AZ9"/>
  <c r="AZ40" s="1"/>
  <c r="AY9"/>
  <c r="AX9"/>
  <c r="AX40" s="1"/>
  <c r="AW9"/>
  <c r="AV9"/>
  <c r="AV40" s="1"/>
  <c r="AU9"/>
  <c r="AT9"/>
  <c r="AT40" s="1"/>
  <c r="AS9"/>
  <c r="AR9"/>
  <c r="AR41" s="1"/>
  <c r="AO9"/>
  <c r="AN9"/>
  <c r="AN41" s="1"/>
  <c r="AM9"/>
  <c r="AL9"/>
  <c r="AL41" s="1"/>
  <c r="AK9"/>
  <c r="AJ9"/>
  <c r="AJ41" s="1"/>
  <c r="AI9"/>
  <c r="AH9"/>
  <c r="AH41" s="1"/>
  <c r="AG9"/>
  <c r="AF9"/>
  <c r="AF41" s="1"/>
  <c r="P90"/>
  <c r="O90"/>
  <c r="P89"/>
  <c r="O89"/>
  <c r="B380" i="700"/>
  <c r="B379"/>
  <c r="B378"/>
  <c r="C56" i="25"/>
  <c r="N90" i="698"/>
  <c r="K90"/>
  <c r="J90"/>
  <c r="I90"/>
  <c r="G90"/>
  <c r="F90"/>
  <c r="C90"/>
  <c r="B90"/>
  <c r="A90"/>
  <c r="N89"/>
  <c r="K89"/>
  <c r="J89"/>
  <c r="I89"/>
  <c r="G89"/>
  <c r="F89"/>
  <c r="C89"/>
  <c r="B89"/>
  <c r="A89"/>
  <c r="B36"/>
  <c r="B35"/>
  <c r="B22"/>
  <c r="BA10"/>
  <c r="BA41" s="1"/>
  <c r="AZ10"/>
  <c r="AY10"/>
  <c r="AY41" s="1"/>
  <c r="AX10"/>
  <c r="AW10"/>
  <c r="AW41" s="1"/>
  <c r="AV10"/>
  <c r="AU10"/>
  <c r="AU41" s="1"/>
  <c r="AT10"/>
  <c r="AS10"/>
  <c r="AS41" s="1"/>
  <c r="AR10"/>
  <c r="AO10"/>
  <c r="AO42" s="1"/>
  <c r="AN10"/>
  <c r="AM10"/>
  <c r="AM42" s="1"/>
  <c r="AL10"/>
  <c r="AK10"/>
  <c r="AK42" s="1"/>
  <c r="AJ10"/>
  <c r="AI10"/>
  <c r="AI42" s="1"/>
  <c r="AH10"/>
  <c r="AG10"/>
  <c r="AG42" s="1"/>
  <c r="AF10"/>
  <c r="P90"/>
  <c r="O90"/>
  <c r="P89"/>
  <c r="O89"/>
  <c r="B380" i="697"/>
  <c r="B379"/>
  <c r="B378"/>
  <c r="N90" i="695"/>
  <c r="K90"/>
  <c r="J90"/>
  <c r="I90"/>
  <c r="G90"/>
  <c r="F90"/>
  <c r="C90"/>
  <c r="B90"/>
  <c r="A90"/>
  <c r="N89"/>
  <c r="K89"/>
  <c r="J89"/>
  <c r="I89"/>
  <c r="G89"/>
  <c r="F89"/>
  <c r="C89"/>
  <c r="B89"/>
  <c r="A89"/>
  <c r="B36"/>
  <c r="B35"/>
  <c r="B22"/>
  <c r="BA10"/>
  <c r="AZ10"/>
  <c r="AZ41" s="1"/>
  <c r="AY10"/>
  <c r="AX10"/>
  <c r="AX41" s="1"/>
  <c r="AW10"/>
  <c r="AV10"/>
  <c r="AV41" s="1"/>
  <c r="AU10"/>
  <c r="AT10"/>
  <c r="AT41" s="1"/>
  <c r="AS10"/>
  <c r="AR10"/>
  <c r="AR42" s="1"/>
  <c r="AO10"/>
  <c r="AN10"/>
  <c r="AN42" s="1"/>
  <c r="AM10"/>
  <c r="AL10"/>
  <c r="AL42" s="1"/>
  <c r="AK10"/>
  <c r="AJ10"/>
  <c r="AJ42" s="1"/>
  <c r="AI10"/>
  <c r="AH10"/>
  <c r="AH42" s="1"/>
  <c r="AG10"/>
  <c r="AF10"/>
  <c r="AF42" s="1"/>
  <c r="P90"/>
  <c r="O90"/>
  <c r="P89"/>
  <c r="O89"/>
  <c r="B380" i="694"/>
  <c r="B379"/>
  <c r="B378"/>
  <c r="N90" i="692"/>
  <c r="K90"/>
  <c r="J90"/>
  <c r="I90"/>
  <c r="G90"/>
  <c r="F90"/>
  <c r="C90"/>
  <c r="B90"/>
  <c r="A90"/>
  <c r="N89"/>
  <c r="K89"/>
  <c r="J89"/>
  <c r="I89"/>
  <c r="G89"/>
  <c r="F89"/>
  <c r="C89"/>
  <c r="B89"/>
  <c r="A89"/>
  <c r="B36"/>
  <c r="B35"/>
  <c r="B22"/>
  <c r="BA10"/>
  <c r="AZ10"/>
  <c r="AZ41" s="1"/>
  <c r="AY10"/>
  <c r="AX10"/>
  <c r="AX41" s="1"/>
  <c r="AW10"/>
  <c r="AV10"/>
  <c r="AV41" s="1"/>
  <c r="AU10"/>
  <c r="AT10"/>
  <c r="AT41" s="1"/>
  <c r="AS10"/>
  <c r="AR10"/>
  <c r="AR42" s="1"/>
  <c r="AO10"/>
  <c r="AN10"/>
  <c r="AN42" s="1"/>
  <c r="AM10"/>
  <c r="AL10"/>
  <c r="AL42" s="1"/>
  <c r="AK10"/>
  <c r="AJ10"/>
  <c r="AJ42" s="1"/>
  <c r="AI10"/>
  <c r="AH10"/>
  <c r="AH42" s="1"/>
  <c r="AG10"/>
  <c r="AF10"/>
  <c r="AF42" s="1"/>
  <c r="P90"/>
  <c r="O90"/>
  <c r="P89"/>
  <c r="O89"/>
  <c r="B380" i="691"/>
  <c r="B379"/>
  <c r="B378"/>
  <c r="N92" i="689"/>
  <c r="K92"/>
  <c r="J92"/>
  <c r="I92"/>
  <c r="G92"/>
  <c r="F92"/>
  <c r="C92"/>
  <c r="B92"/>
  <c r="A92"/>
  <c r="N91"/>
  <c r="K91"/>
  <c r="J91"/>
  <c r="I91"/>
  <c r="G91"/>
  <c r="F91"/>
  <c r="C91"/>
  <c r="B91"/>
  <c r="A91"/>
  <c r="N90"/>
  <c r="K90"/>
  <c r="J90"/>
  <c r="I90"/>
  <c r="H93"/>
  <c r="G90"/>
  <c r="F90"/>
  <c r="C90"/>
  <c r="B90"/>
  <c r="A90"/>
  <c r="B37"/>
  <c r="B36"/>
  <c r="B23"/>
  <c r="BA11"/>
  <c r="AZ11"/>
  <c r="AZ42" s="1"/>
  <c r="AY11"/>
  <c r="AX11"/>
  <c r="AX42" s="1"/>
  <c r="AW11"/>
  <c r="AV11"/>
  <c r="AV42" s="1"/>
  <c r="AU11"/>
  <c r="AT11"/>
  <c r="AT42" s="1"/>
  <c r="AS11"/>
  <c r="AR11"/>
  <c r="AR43" s="1"/>
  <c r="AO11"/>
  <c r="AN11"/>
  <c r="AN43" s="1"/>
  <c r="AM11"/>
  <c r="AL11"/>
  <c r="AL43" s="1"/>
  <c r="AK11"/>
  <c r="AJ11"/>
  <c r="AJ43" s="1"/>
  <c r="AI11"/>
  <c r="AH11"/>
  <c r="AH43" s="1"/>
  <c r="AG11"/>
  <c r="AF11"/>
  <c r="AF43" s="1"/>
  <c r="P92"/>
  <c r="O92"/>
  <c r="P91"/>
  <c r="O91"/>
  <c r="P90"/>
  <c r="P93" s="1"/>
  <c r="J53" i="817" s="1"/>
  <c r="O90" i="689"/>
  <c r="O93" s="1"/>
  <c r="I53" i="817" s="1"/>
  <c r="B384" i="688"/>
  <c r="B383"/>
  <c r="B382"/>
  <c r="C52" i="25"/>
  <c r="N92" i="686"/>
  <c r="K92"/>
  <c r="J92"/>
  <c r="I92"/>
  <c r="G92"/>
  <c r="F92"/>
  <c r="C92"/>
  <c r="B92"/>
  <c r="A92"/>
  <c r="N91"/>
  <c r="K91"/>
  <c r="J91"/>
  <c r="I91"/>
  <c r="G91"/>
  <c r="F91"/>
  <c r="C91"/>
  <c r="B91"/>
  <c r="A91"/>
  <c r="N90"/>
  <c r="K90"/>
  <c r="J90"/>
  <c r="I90"/>
  <c r="H93"/>
  <c r="G90"/>
  <c r="F90"/>
  <c r="C90"/>
  <c r="B90"/>
  <c r="A90"/>
  <c r="B37"/>
  <c r="B36"/>
  <c r="B23"/>
  <c r="BA11"/>
  <c r="AZ11"/>
  <c r="AZ42" s="1"/>
  <c r="AY11"/>
  <c r="AX11"/>
  <c r="AX42" s="1"/>
  <c r="AW11"/>
  <c r="AV11"/>
  <c r="AV42" s="1"/>
  <c r="AU11"/>
  <c r="AT11"/>
  <c r="AT42" s="1"/>
  <c r="AS11"/>
  <c r="AR11"/>
  <c r="AR43" s="1"/>
  <c r="AO11"/>
  <c r="AN11"/>
  <c r="AN43" s="1"/>
  <c r="AM11"/>
  <c r="AL11"/>
  <c r="AL43" s="1"/>
  <c r="AK11"/>
  <c r="AJ11"/>
  <c r="AJ43" s="1"/>
  <c r="AI11"/>
  <c r="AH11"/>
  <c r="AH43" s="1"/>
  <c r="AG11"/>
  <c r="AF11"/>
  <c r="AF43" s="1"/>
  <c r="P92"/>
  <c r="O92"/>
  <c r="P91"/>
  <c r="O91"/>
  <c r="P90"/>
  <c r="P93" s="1"/>
  <c r="J52" i="817" s="1"/>
  <c r="O90" i="686"/>
  <c r="O93" s="1"/>
  <c r="I52" i="817" s="1"/>
  <c r="B384" i="685"/>
  <c r="B383"/>
  <c r="B382"/>
  <c r="C51" i="25"/>
  <c r="N92" i="683"/>
  <c r="K92"/>
  <c r="J92"/>
  <c r="I92"/>
  <c r="G92"/>
  <c r="F92"/>
  <c r="C92"/>
  <c r="B92"/>
  <c r="A92"/>
  <c r="N91"/>
  <c r="K91"/>
  <c r="J91"/>
  <c r="I91"/>
  <c r="G91"/>
  <c r="F91"/>
  <c r="C91"/>
  <c r="B91"/>
  <c r="A91"/>
  <c r="N90"/>
  <c r="K90"/>
  <c r="J90"/>
  <c r="I90"/>
  <c r="H93"/>
  <c r="G90"/>
  <c r="F90"/>
  <c r="C90"/>
  <c r="B90"/>
  <c r="A90"/>
  <c r="B37"/>
  <c r="B36"/>
  <c r="B23"/>
  <c r="BA11"/>
  <c r="AZ11"/>
  <c r="AZ42" s="1"/>
  <c r="AY11"/>
  <c r="AX11"/>
  <c r="AX42" s="1"/>
  <c r="AW11"/>
  <c r="AV11"/>
  <c r="AV43" s="1"/>
  <c r="AU11"/>
  <c r="AT11"/>
  <c r="AT43" s="1"/>
  <c r="AS11"/>
  <c r="AR11"/>
  <c r="AR43" s="1"/>
  <c r="AO11"/>
  <c r="AN11"/>
  <c r="AN43" s="1"/>
  <c r="AM11"/>
  <c r="AL11"/>
  <c r="AL43" s="1"/>
  <c r="AK11"/>
  <c r="AJ11"/>
  <c r="AJ43" s="1"/>
  <c r="AI11"/>
  <c r="AH11"/>
  <c r="AH43" s="1"/>
  <c r="AG11"/>
  <c r="AF11"/>
  <c r="AF43" s="1"/>
  <c r="P92"/>
  <c r="O92"/>
  <c r="P91"/>
  <c r="O91"/>
  <c r="P90"/>
  <c r="P93" s="1"/>
  <c r="J51" i="817" s="1"/>
  <c r="O90" i="683"/>
  <c r="O93" s="1"/>
  <c r="I51" i="817" s="1"/>
  <c r="B385" i="682"/>
  <c r="B384"/>
  <c r="B383"/>
  <c r="C50" i="25"/>
  <c r="N92" i="680"/>
  <c r="K92"/>
  <c r="J92"/>
  <c r="I92"/>
  <c r="G92"/>
  <c r="F92"/>
  <c r="C92"/>
  <c r="B92"/>
  <c r="A92"/>
  <c r="N91"/>
  <c r="K91"/>
  <c r="J91"/>
  <c r="I91"/>
  <c r="G91"/>
  <c r="F91"/>
  <c r="C91"/>
  <c r="B91"/>
  <c r="A91"/>
  <c r="N90"/>
  <c r="K90"/>
  <c r="J90"/>
  <c r="I90"/>
  <c r="H93"/>
  <c r="G90"/>
  <c r="F90"/>
  <c r="C90"/>
  <c r="B90"/>
  <c r="A90"/>
  <c r="B37"/>
  <c r="B36"/>
  <c r="B23"/>
  <c r="BA11"/>
  <c r="BA42" s="1"/>
  <c r="AZ11"/>
  <c r="AY11"/>
  <c r="AY42" s="1"/>
  <c r="AX11"/>
  <c r="AW11"/>
  <c r="AW42" s="1"/>
  <c r="AV11"/>
  <c r="AU11"/>
  <c r="AU43" s="1"/>
  <c r="AT11"/>
  <c r="AS11"/>
  <c r="AS43" s="1"/>
  <c r="AR11"/>
  <c r="AO11"/>
  <c r="AO43" s="1"/>
  <c r="AN11"/>
  <c r="AM11"/>
  <c r="AM43" s="1"/>
  <c r="AL11"/>
  <c r="AK11"/>
  <c r="AK43" s="1"/>
  <c r="AJ11"/>
  <c r="AI11"/>
  <c r="AI43" s="1"/>
  <c r="AH11"/>
  <c r="AG11"/>
  <c r="AG43" s="1"/>
  <c r="AF11"/>
  <c r="P92"/>
  <c r="O92"/>
  <c r="P91"/>
  <c r="O91"/>
  <c r="P90"/>
  <c r="P93" s="1"/>
  <c r="J50" i="817" s="1"/>
  <c r="O90" i="680"/>
  <c r="O93" s="1"/>
  <c r="I50" i="817" s="1"/>
  <c r="B385" i="679"/>
  <c r="B384"/>
  <c r="B383"/>
  <c r="X19" i="678"/>
  <c r="X20" s="1"/>
  <c r="X21" s="1"/>
  <c r="C50" i="817" s="1"/>
  <c r="W19" i="678"/>
  <c r="W20" s="1"/>
  <c r="W21" s="1"/>
  <c r="B50" i="817" s="1"/>
  <c r="U19" i="678"/>
  <c r="U20" s="1"/>
  <c r="T19"/>
  <c r="T20" s="1"/>
  <c r="T21" s="1"/>
  <c r="S19"/>
  <c r="S20" s="1"/>
  <c r="R19"/>
  <c r="R20" s="1"/>
  <c r="Q19"/>
  <c r="Q20" s="1"/>
  <c r="Q21" s="1"/>
  <c r="Y19"/>
  <c r="Y20" s="1"/>
  <c r="V19"/>
  <c r="V20" s="1"/>
  <c r="N92" i="677"/>
  <c r="K92"/>
  <c r="J92"/>
  <c r="I92"/>
  <c r="G92"/>
  <c r="F92"/>
  <c r="C92"/>
  <c r="B92"/>
  <c r="A92"/>
  <c r="N91"/>
  <c r="K91"/>
  <c r="J91"/>
  <c r="I91"/>
  <c r="G91"/>
  <c r="F91"/>
  <c r="C91"/>
  <c r="B91"/>
  <c r="A91"/>
  <c r="N90"/>
  <c r="K90"/>
  <c r="J90"/>
  <c r="I90"/>
  <c r="H93"/>
  <c r="G90"/>
  <c r="F90"/>
  <c r="C90"/>
  <c r="B90"/>
  <c r="A90"/>
  <c r="B37"/>
  <c r="B36"/>
  <c r="B23"/>
  <c r="BA11"/>
  <c r="AZ11"/>
  <c r="AZ42" s="1"/>
  <c r="AY11"/>
  <c r="AX11"/>
  <c r="AX42" s="1"/>
  <c r="AW11"/>
  <c r="AV11"/>
  <c r="AV42" s="1"/>
  <c r="AU11"/>
  <c r="AT11"/>
  <c r="AT42" s="1"/>
  <c r="AS11"/>
  <c r="AR11"/>
  <c r="AR43" s="1"/>
  <c r="AO11"/>
  <c r="AN11"/>
  <c r="AN43" s="1"/>
  <c r="AM11"/>
  <c r="AL11"/>
  <c r="AL43" s="1"/>
  <c r="AK11"/>
  <c r="AJ11"/>
  <c r="AJ43" s="1"/>
  <c r="AI11"/>
  <c r="AH11"/>
  <c r="AH43" s="1"/>
  <c r="AG11"/>
  <c r="AF11"/>
  <c r="AF43" s="1"/>
  <c r="P92"/>
  <c r="O92"/>
  <c r="P91"/>
  <c r="O91"/>
  <c r="P90"/>
  <c r="O90"/>
  <c r="B384" i="676"/>
  <c r="B383"/>
  <c r="B382"/>
  <c r="N92" i="674"/>
  <c r="K92"/>
  <c r="J92"/>
  <c r="I92"/>
  <c r="G92"/>
  <c r="F92"/>
  <c r="C92"/>
  <c r="B92"/>
  <c r="A92"/>
  <c r="N91"/>
  <c r="K91"/>
  <c r="J91"/>
  <c r="I91"/>
  <c r="G91"/>
  <c r="F91"/>
  <c r="C91"/>
  <c r="B91"/>
  <c r="A91"/>
  <c r="N90"/>
  <c r="K90"/>
  <c r="J90"/>
  <c r="I90"/>
  <c r="H93"/>
  <c r="G90"/>
  <c r="F90"/>
  <c r="C90"/>
  <c r="B90"/>
  <c r="A90"/>
  <c r="B37"/>
  <c r="B36"/>
  <c r="B23"/>
  <c r="BA11"/>
  <c r="AZ11"/>
  <c r="AZ42" s="1"/>
  <c r="AY11"/>
  <c r="AX11"/>
  <c r="AX42" s="1"/>
  <c r="AW11"/>
  <c r="AV11"/>
  <c r="AV42" s="1"/>
  <c r="AU11"/>
  <c r="AT11"/>
  <c r="AT42" s="1"/>
  <c r="AS11"/>
  <c r="AR11"/>
  <c r="AR43" s="1"/>
  <c r="AO11"/>
  <c r="AN11"/>
  <c r="AN43" s="1"/>
  <c r="AM11"/>
  <c r="AL11"/>
  <c r="AL43" s="1"/>
  <c r="AK11"/>
  <c r="AJ11"/>
  <c r="AJ43" s="1"/>
  <c r="AI11"/>
  <c r="AH11"/>
  <c r="AH43" s="1"/>
  <c r="AG11"/>
  <c r="AF11"/>
  <c r="AF43" s="1"/>
  <c r="P92"/>
  <c r="O92"/>
  <c r="P91"/>
  <c r="O91"/>
  <c r="P90"/>
  <c r="P93" s="1"/>
  <c r="J48" i="817" s="1"/>
  <c r="O90" i="674"/>
  <c r="O93" s="1"/>
  <c r="I48" i="817" s="1"/>
  <c r="B384" i="673"/>
  <c r="B383"/>
  <c r="B382"/>
  <c r="N91" i="671"/>
  <c r="K91"/>
  <c r="J91"/>
  <c r="I91"/>
  <c r="G91"/>
  <c r="F91"/>
  <c r="C91"/>
  <c r="B91"/>
  <c r="A91"/>
  <c r="P91"/>
  <c r="O91"/>
  <c r="N92"/>
  <c r="K92"/>
  <c r="J92"/>
  <c r="I92"/>
  <c r="G92"/>
  <c r="F92"/>
  <c r="C92"/>
  <c r="B92"/>
  <c r="A92"/>
  <c r="N90"/>
  <c r="K90"/>
  <c r="J90"/>
  <c r="I90"/>
  <c r="G90"/>
  <c r="F90"/>
  <c r="C90"/>
  <c r="B90"/>
  <c r="A90"/>
  <c r="B37"/>
  <c r="B36"/>
  <c r="B23"/>
  <c r="L91" s="1"/>
  <c r="M91" s="1"/>
  <c r="BA11"/>
  <c r="AZ11"/>
  <c r="AZ42" s="1"/>
  <c r="AY11"/>
  <c r="AX11"/>
  <c r="AX42" s="1"/>
  <c r="AW11"/>
  <c r="AV11"/>
  <c r="AV42" s="1"/>
  <c r="AU11"/>
  <c r="AT11"/>
  <c r="AT42" s="1"/>
  <c r="AS11"/>
  <c r="AR11"/>
  <c r="AR43" s="1"/>
  <c r="AO11"/>
  <c r="AN11"/>
  <c r="AN43" s="1"/>
  <c r="AM11"/>
  <c r="AL11"/>
  <c r="AL43" s="1"/>
  <c r="AK11"/>
  <c r="AJ11"/>
  <c r="AJ43" s="1"/>
  <c r="AI11"/>
  <c r="AH11"/>
  <c r="AH43" s="1"/>
  <c r="AG11"/>
  <c r="AF11"/>
  <c r="AF43" s="1"/>
  <c r="P92"/>
  <c r="O92"/>
  <c r="P90"/>
  <c r="O90"/>
  <c r="B384" i="670"/>
  <c r="B383"/>
  <c r="B382"/>
  <c r="N92" i="668"/>
  <c r="K92"/>
  <c r="J92"/>
  <c r="I92"/>
  <c r="G92"/>
  <c r="F92"/>
  <c r="C92"/>
  <c r="B92"/>
  <c r="A92"/>
  <c r="N91"/>
  <c r="K91"/>
  <c r="J91"/>
  <c r="I91"/>
  <c r="G91"/>
  <c r="F91"/>
  <c r="C91"/>
  <c r="B91"/>
  <c r="A91"/>
  <c r="N90"/>
  <c r="K90"/>
  <c r="J90"/>
  <c r="I90"/>
  <c r="H93"/>
  <c r="G90"/>
  <c r="F90"/>
  <c r="C90"/>
  <c r="B90"/>
  <c r="A90"/>
  <c r="B37"/>
  <c r="B36"/>
  <c r="B23"/>
  <c r="BA11"/>
  <c r="AZ11"/>
  <c r="AZ42" s="1"/>
  <c r="AY11"/>
  <c r="AX11"/>
  <c r="AX42" s="1"/>
  <c r="AW11"/>
  <c r="AV11"/>
  <c r="AV42" s="1"/>
  <c r="AU11"/>
  <c r="AT11"/>
  <c r="AT42" s="1"/>
  <c r="AS11"/>
  <c r="AR11"/>
  <c r="AR43" s="1"/>
  <c r="AO11"/>
  <c r="AN11"/>
  <c r="AN43" s="1"/>
  <c r="AM11"/>
  <c r="AL11"/>
  <c r="AL43" s="1"/>
  <c r="AK11"/>
  <c r="AJ11"/>
  <c r="AJ43" s="1"/>
  <c r="AI11"/>
  <c r="AH11"/>
  <c r="AH43" s="1"/>
  <c r="AG11"/>
  <c r="AF11"/>
  <c r="AF43" s="1"/>
  <c r="P92"/>
  <c r="O92"/>
  <c r="P91"/>
  <c r="O91"/>
  <c r="P90"/>
  <c r="P93" s="1"/>
  <c r="J46" i="817" s="1"/>
  <c r="O90" i="668"/>
  <c r="O93" s="1"/>
  <c r="I46" i="817" s="1"/>
  <c r="B385" i="667"/>
  <c r="B384"/>
  <c r="B383"/>
  <c r="N92" i="665"/>
  <c r="K92"/>
  <c r="J92"/>
  <c r="I92"/>
  <c r="G92"/>
  <c r="F92"/>
  <c r="C92"/>
  <c r="B92"/>
  <c r="A92"/>
  <c r="N91"/>
  <c r="K91"/>
  <c r="J91"/>
  <c r="I91"/>
  <c r="G91"/>
  <c r="F91"/>
  <c r="C91"/>
  <c r="B91"/>
  <c r="A91"/>
  <c r="N90"/>
  <c r="K90"/>
  <c r="J90"/>
  <c r="I90"/>
  <c r="H93"/>
  <c r="G90"/>
  <c r="F90"/>
  <c r="C90"/>
  <c r="B90"/>
  <c r="A90"/>
  <c r="B37"/>
  <c r="B36"/>
  <c r="B23"/>
  <c r="BA11"/>
  <c r="AZ11"/>
  <c r="AZ42" s="1"/>
  <c r="AY11"/>
  <c r="AX11"/>
  <c r="AX42" s="1"/>
  <c r="AW11"/>
  <c r="AV11"/>
  <c r="AV43" s="1"/>
  <c r="AU11"/>
  <c r="AT11"/>
  <c r="AT43" s="1"/>
  <c r="AS11"/>
  <c r="AR11"/>
  <c r="AR43" s="1"/>
  <c r="AO11"/>
  <c r="AN11"/>
  <c r="AN43" s="1"/>
  <c r="AM11"/>
  <c r="AL11"/>
  <c r="AL43" s="1"/>
  <c r="AK11"/>
  <c r="AJ11"/>
  <c r="AJ43" s="1"/>
  <c r="AI11"/>
  <c r="AH11"/>
  <c r="AH43" s="1"/>
  <c r="AG11"/>
  <c r="AF11"/>
  <c r="AF43" s="1"/>
  <c r="P92"/>
  <c r="O92"/>
  <c r="P91"/>
  <c r="O91"/>
  <c r="P90"/>
  <c r="P93" s="1"/>
  <c r="J45" i="817" s="1"/>
  <c r="O90" i="665"/>
  <c r="O93" s="1"/>
  <c r="I45" i="817" s="1"/>
  <c r="B384" i="664"/>
  <c r="B383"/>
  <c r="B382"/>
  <c r="N91" i="662"/>
  <c r="K91"/>
  <c r="J91"/>
  <c r="I91"/>
  <c r="G91"/>
  <c r="F91"/>
  <c r="C91"/>
  <c r="B91"/>
  <c r="A91"/>
  <c r="N90"/>
  <c r="K90"/>
  <c r="J90"/>
  <c r="I90"/>
  <c r="G90"/>
  <c r="F90"/>
  <c r="C90"/>
  <c r="B90"/>
  <c r="A90"/>
  <c r="B37"/>
  <c r="B36"/>
  <c r="B23"/>
  <c r="L92" s="1"/>
  <c r="M92" s="1"/>
  <c r="BA11"/>
  <c r="AZ11"/>
  <c r="AZ42" s="1"/>
  <c r="AY11"/>
  <c r="AX11"/>
  <c r="AX42" s="1"/>
  <c r="AW11"/>
  <c r="AV11"/>
  <c r="AV43" s="1"/>
  <c r="AU11"/>
  <c r="AT11"/>
  <c r="AT43" s="1"/>
  <c r="AS11"/>
  <c r="AR11"/>
  <c r="AR43" s="1"/>
  <c r="AO11"/>
  <c r="AN11"/>
  <c r="AN43" s="1"/>
  <c r="AM11"/>
  <c r="AL11"/>
  <c r="AL43" s="1"/>
  <c r="AK11"/>
  <c r="AJ11"/>
  <c r="AJ43" s="1"/>
  <c r="AI11"/>
  <c r="AH11"/>
  <c r="AH43" s="1"/>
  <c r="AG11"/>
  <c r="AF11"/>
  <c r="AF43" s="1"/>
  <c r="P91"/>
  <c r="O91"/>
  <c r="P90"/>
  <c r="O90"/>
  <c r="B384" i="661"/>
  <c r="B383"/>
  <c r="B382"/>
  <c r="N91" i="659"/>
  <c r="K91"/>
  <c r="J91"/>
  <c r="I91"/>
  <c r="G91"/>
  <c r="F91"/>
  <c r="C91"/>
  <c r="B91"/>
  <c r="A91"/>
  <c r="N90"/>
  <c r="K90"/>
  <c r="J90"/>
  <c r="I90"/>
  <c r="G90"/>
  <c r="F90"/>
  <c r="C90"/>
  <c r="B90"/>
  <c r="A90"/>
  <c r="B37"/>
  <c r="B36"/>
  <c r="B23"/>
  <c r="L92" s="1"/>
  <c r="M92" s="1"/>
  <c r="BA10"/>
  <c r="AZ10"/>
  <c r="AZ41" s="1"/>
  <c r="AY10"/>
  <c r="AX10"/>
  <c r="AX41" s="1"/>
  <c r="AW10"/>
  <c r="AV10"/>
  <c r="AV42" s="1"/>
  <c r="AU10"/>
  <c r="AT10"/>
  <c r="AT42" s="1"/>
  <c r="AS10"/>
  <c r="AR10"/>
  <c r="AR42" s="1"/>
  <c r="AO10"/>
  <c r="AN10"/>
  <c r="AN42" s="1"/>
  <c r="AM10"/>
  <c r="AL10"/>
  <c r="AL42" s="1"/>
  <c r="AK10"/>
  <c r="AJ10"/>
  <c r="AJ42" s="1"/>
  <c r="AI10"/>
  <c r="AH10"/>
  <c r="AH42" s="1"/>
  <c r="AG10"/>
  <c r="AF10"/>
  <c r="AF42" s="1"/>
  <c r="P91"/>
  <c r="O91"/>
  <c r="P90"/>
  <c r="O90"/>
  <c r="B384" i="658"/>
  <c r="B383"/>
  <c r="B382"/>
  <c r="N92" i="656"/>
  <c r="K92"/>
  <c r="J92"/>
  <c r="I92"/>
  <c r="G92"/>
  <c r="F92"/>
  <c r="C92"/>
  <c r="B92"/>
  <c r="A92"/>
  <c r="N90"/>
  <c r="K90"/>
  <c r="J90"/>
  <c r="I90"/>
  <c r="G90"/>
  <c r="F90"/>
  <c r="C90"/>
  <c r="B90"/>
  <c r="A90"/>
  <c r="H93"/>
  <c r="B37"/>
  <c r="B36"/>
  <c r="B23"/>
  <c r="L91" s="1"/>
  <c r="M91" s="1"/>
  <c r="BA11"/>
  <c r="AZ11"/>
  <c r="AZ43" s="1"/>
  <c r="AY11"/>
  <c r="AX11"/>
  <c r="AX43" s="1"/>
  <c r="AW11"/>
  <c r="AV11"/>
  <c r="AV43" s="1"/>
  <c r="AU11"/>
  <c r="AT11"/>
  <c r="AT43" s="1"/>
  <c r="AS11"/>
  <c r="AR11"/>
  <c r="AR43" s="1"/>
  <c r="AO11"/>
  <c r="AN11"/>
  <c r="AN43" s="1"/>
  <c r="AM11"/>
  <c r="AL11"/>
  <c r="AL43" s="1"/>
  <c r="AK11"/>
  <c r="AJ11"/>
  <c r="AJ43" s="1"/>
  <c r="AI11"/>
  <c r="AH11"/>
  <c r="AH43" s="1"/>
  <c r="AG11"/>
  <c r="AF11"/>
  <c r="AF43" s="1"/>
  <c r="P92"/>
  <c r="O92"/>
  <c r="P90"/>
  <c r="O90"/>
  <c r="P93"/>
  <c r="J42" i="817" s="1"/>
  <c r="O93" i="656"/>
  <c r="I42" i="817" s="1"/>
  <c r="B384" i="655"/>
  <c r="B383"/>
  <c r="B382"/>
  <c r="N91" i="653"/>
  <c r="K91"/>
  <c r="J91"/>
  <c r="I91"/>
  <c r="G91"/>
  <c r="F91"/>
  <c r="C91"/>
  <c r="B91"/>
  <c r="A91"/>
  <c r="N90"/>
  <c r="K90"/>
  <c r="J90"/>
  <c r="I90"/>
  <c r="G90"/>
  <c r="F90"/>
  <c r="C90"/>
  <c r="B90"/>
  <c r="A90"/>
  <c r="B37"/>
  <c r="B36"/>
  <c r="B23"/>
  <c r="L92" s="1"/>
  <c r="M92" s="1"/>
  <c r="BA11"/>
  <c r="AZ11"/>
  <c r="AZ43" s="1"/>
  <c r="AY11"/>
  <c r="AX11"/>
  <c r="AX43" s="1"/>
  <c r="AW11"/>
  <c r="AV11"/>
  <c r="AV43" s="1"/>
  <c r="AU11"/>
  <c r="AT11"/>
  <c r="AT43" s="1"/>
  <c r="AS11"/>
  <c r="AR11"/>
  <c r="AR43" s="1"/>
  <c r="AO11"/>
  <c r="AN11"/>
  <c r="AN43" s="1"/>
  <c r="AM11"/>
  <c r="AL11"/>
  <c r="AL43" s="1"/>
  <c r="AK11"/>
  <c r="AJ11"/>
  <c r="AJ43" s="1"/>
  <c r="AI11"/>
  <c r="AH11"/>
  <c r="AH43" s="1"/>
  <c r="AG11"/>
  <c r="AF11"/>
  <c r="AF43" s="1"/>
  <c r="P91"/>
  <c r="O91"/>
  <c r="P90"/>
  <c r="P93" s="1"/>
  <c r="J41" i="817" s="1"/>
  <c r="O90" i="653"/>
  <c r="O93" s="1"/>
  <c r="I41" i="817" s="1"/>
  <c r="B384" i="652"/>
  <c r="B383"/>
  <c r="B382"/>
  <c r="N90" i="650"/>
  <c r="K90"/>
  <c r="J90"/>
  <c r="I90"/>
  <c r="G90"/>
  <c r="F90"/>
  <c r="C90"/>
  <c r="B90"/>
  <c r="A90"/>
  <c r="N89"/>
  <c r="K89"/>
  <c r="J89"/>
  <c r="I89"/>
  <c r="G89"/>
  <c r="F89"/>
  <c r="C89"/>
  <c r="B89"/>
  <c r="A89"/>
  <c r="H91"/>
  <c r="B36"/>
  <c r="B35"/>
  <c r="B22"/>
  <c r="BA10"/>
  <c r="BA41" s="1"/>
  <c r="AZ10"/>
  <c r="AY10"/>
  <c r="AY42" s="1"/>
  <c r="AX10"/>
  <c r="AW10"/>
  <c r="AW42" s="1"/>
  <c r="AV10"/>
  <c r="AU10"/>
  <c r="AU42" s="1"/>
  <c r="AT10"/>
  <c r="AS10"/>
  <c r="AS42" s="1"/>
  <c r="AR10"/>
  <c r="AO10"/>
  <c r="AO42" s="1"/>
  <c r="AN10"/>
  <c r="AM10"/>
  <c r="AM42" s="1"/>
  <c r="AL10"/>
  <c r="AK10"/>
  <c r="AK42" s="1"/>
  <c r="AJ10"/>
  <c r="AI10"/>
  <c r="AI42" s="1"/>
  <c r="AH10"/>
  <c r="AG10"/>
  <c r="AG42" s="1"/>
  <c r="AF10"/>
  <c r="P90"/>
  <c r="O90"/>
  <c r="P89"/>
  <c r="O89"/>
  <c r="P91"/>
  <c r="J40" i="817" s="1"/>
  <c r="O91" i="650"/>
  <c r="I40" i="817" s="1"/>
  <c r="B380" i="649"/>
  <c r="B379"/>
  <c r="B378"/>
  <c r="N90" i="647"/>
  <c r="K90"/>
  <c r="J90"/>
  <c r="I90"/>
  <c r="G90"/>
  <c r="F90"/>
  <c r="C90"/>
  <c r="B90"/>
  <c r="A90"/>
  <c r="N89"/>
  <c r="K89"/>
  <c r="J89"/>
  <c r="I89"/>
  <c r="G89"/>
  <c r="F89"/>
  <c r="C89"/>
  <c r="B89"/>
  <c r="A89"/>
  <c r="H91"/>
  <c r="B36"/>
  <c r="B35"/>
  <c r="B22"/>
  <c r="BA10"/>
  <c r="AZ10"/>
  <c r="AZ42" s="1"/>
  <c r="AY10"/>
  <c r="AX10"/>
  <c r="AX42" s="1"/>
  <c r="AW10"/>
  <c r="AV10"/>
  <c r="AV42" s="1"/>
  <c r="AU10"/>
  <c r="AT10"/>
  <c r="AT42" s="1"/>
  <c r="AS10"/>
  <c r="AR10"/>
  <c r="AR42" s="1"/>
  <c r="AO10"/>
  <c r="AN10"/>
  <c r="AN42" s="1"/>
  <c r="AM10"/>
  <c r="AL10"/>
  <c r="AL42" s="1"/>
  <c r="AK10"/>
  <c r="AJ10"/>
  <c r="AJ42" s="1"/>
  <c r="AI10"/>
  <c r="AH10"/>
  <c r="AH42" s="1"/>
  <c r="AG10"/>
  <c r="AF10"/>
  <c r="AF42" s="1"/>
  <c r="P90"/>
  <c r="O90"/>
  <c r="P89"/>
  <c r="O89"/>
  <c r="B380" i="646"/>
  <c r="B379"/>
  <c r="B378"/>
  <c r="N90" i="644"/>
  <c r="K90"/>
  <c r="J90"/>
  <c r="I90"/>
  <c r="G90"/>
  <c r="F90"/>
  <c r="C90"/>
  <c r="B90"/>
  <c r="A90"/>
  <c r="N89"/>
  <c r="K89"/>
  <c r="J89"/>
  <c r="I89"/>
  <c r="G89"/>
  <c r="F89"/>
  <c r="C89"/>
  <c r="B89"/>
  <c r="A89"/>
  <c r="H91"/>
  <c r="B36"/>
  <c r="B35"/>
  <c r="B22"/>
  <c r="BA10"/>
  <c r="AZ10"/>
  <c r="AZ42" s="1"/>
  <c r="AY10"/>
  <c r="AX10"/>
  <c r="AX42" s="1"/>
  <c r="AW10"/>
  <c r="AV10"/>
  <c r="AV42" s="1"/>
  <c r="AU10"/>
  <c r="AT10"/>
  <c r="AT42" s="1"/>
  <c r="AS10"/>
  <c r="AR10"/>
  <c r="AR42" s="1"/>
  <c r="AO10"/>
  <c r="AN10"/>
  <c r="AN42" s="1"/>
  <c r="AM10"/>
  <c r="AL10"/>
  <c r="AL42" s="1"/>
  <c r="AK10"/>
  <c r="AJ10"/>
  <c r="AJ42" s="1"/>
  <c r="AI10"/>
  <c r="AH10"/>
  <c r="AH42" s="1"/>
  <c r="AG10"/>
  <c r="AF10"/>
  <c r="AF42" s="1"/>
  <c r="P90"/>
  <c r="O90"/>
  <c r="P89"/>
  <c r="O89"/>
  <c r="P91"/>
  <c r="J38" i="817" s="1"/>
  <c r="O91" i="644"/>
  <c r="I38" i="817" s="1"/>
  <c r="B380" i="643"/>
  <c r="B379"/>
  <c r="B378"/>
  <c r="N90" i="641"/>
  <c r="K90"/>
  <c r="J90"/>
  <c r="I90"/>
  <c r="G90"/>
  <c r="F90"/>
  <c r="C90"/>
  <c r="B90"/>
  <c r="A90"/>
  <c r="N89"/>
  <c r="K89"/>
  <c r="J89"/>
  <c r="I89"/>
  <c r="G89"/>
  <c r="F89"/>
  <c r="C89"/>
  <c r="B89"/>
  <c r="A89"/>
  <c r="H91"/>
  <c r="B36"/>
  <c r="B35"/>
  <c r="B22"/>
  <c r="BA10"/>
  <c r="BA41" s="1"/>
  <c r="AZ10"/>
  <c r="AY10"/>
  <c r="AY42" s="1"/>
  <c r="AX10"/>
  <c r="AW10"/>
  <c r="AW42" s="1"/>
  <c r="AV10"/>
  <c r="AU10"/>
  <c r="AU42" s="1"/>
  <c r="AT10"/>
  <c r="AS10"/>
  <c r="AS42" s="1"/>
  <c r="AR10"/>
  <c r="AO10"/>
  <c r="AO42" s="1"/>
  <c r="AN10"/>
  <c r="AM10"/>
  <c r="AM42" s="1"/>
  <c r="AL10"/>
  <c r="AK10"/>
  <c r="AK42" s="1"/>
  <c r="AJ10"/>
  <c r="AI10"/>
  <c r="AI42" s="1"/>
  <c r="AH10"/>
  <c r="AG10"/>
  <c r="AG42" s="1"/>
  <c r="AF10"/>
  <c r="P90"/>
  <c r="O90"/>
  <c r="P89"/>
  <c r="O89"/>
  <c r="P91"/>
  <c r="J37" i="817" s="1"/>
  <c r="O91" i="641"/>
  <c r="I37" i="817" s="1"/>
  <c r="B380" i="640"/>
  <c r="B379"/>
  <c r="B378"/>
  <c r="N90" i="638"/>
  <c r="K90"/>
  <c r="J90"/>
  <c r="I90"/>
  <c r="G90"/>
  <c r="F90"/>
  <c r="C90"/>
  <c r="B90"/>
  <c r="A90"/>
  <c r="N89"/>
  <c r="K89"/>
  <c r="J89"/>
  <c r="I89"/>
  <c r="G89"/>
  <c r="F89"/>
  <c r="C89"/>
  <c r="B89"/>
  <c r="A89"/>
  <c r="H91"/>
  <c r="B36"/>
  <c r="B35"/>
  <c r="B22"/>
  <c r="BA10"/>
  <c r="BA41" s="1"/>
  <c r="AZ10"/>
  <c r="AY10"/>
  <c r="AY41" s="1"/>
  <c r="AX10"/>
  <c r="AW10"/>
  <c r="AW41" s="1"/>
  <c r="AV10"/>
  <c r="AU10"/>
  <c r="AU42" s="1"/>
  <c r="AT10"/>
  <c r="AS10"/>
  <c r="AS42" s="1"/>
  <c r="AR10"/>
  <c r="AO10"/>
  <c r="AO42" s="1"/>
  <c r="AN10"/>
  <c r="AM10"/>
  <c r="AM42" s="1"/>
  <c r="AL10"/>
  <c r="AK10"/>
  <c r="AK42" s="1"/>
  <c r="AJ10"/>
  <c r="AI10"/>
  <c r="AI42" s="1"/>
  <c r="AH10"/>
  <c r="AG10"/>
  <c r="AG42" s="1"/>
  <c r="AF10"/>
  <c r="P90"/>
  <c r="O90"/>
  <c r="P89"/>
  <c r="O89"/>
  <c r="P91"/>
  <c r="J36" i="817" s="1"/>
  <c r="O91" i="638"/>
  <c r="I36" i="817" s="1"/>
  <c r="B380" i="637"/>
  <c r="B379"/>
  <c r="B378"/>
  <c r="AB10"/>
  <c r="Y10"/>
  <c r="X10"/>
  <c r="W10"/>
  <c r="V10"/>
  <c r="U10"/>
  <c r="T10"/>
  <c r="AD10"/>
  <c r="AC10"/>
  <c r="AB9"/>
  <c r="Y9"/>
  <c r="X9"/>
  <c r="W9"/>
  <c r="V9"/>
  <c r="U9"/>
  <c r="T9"/>
  <c r="AD9"/>
  <c r="AC9"/>
  <c r="N90" i="635"/>
  <c r="K90"/>
  <c r="J90"/>
  <c r="I90"/>
  <c r="G90"/>
  <c r="F90"/>
  <c r="C90"/>
  <c r="B90"/>
  <c r="A90"/>
  <c r="N89"/>
  <c r="K89"/>
  <c r="J89"/>
  <c r="I89"/>
  <c r="G89"/>
  <c r="F89"/>
  <c r="C89"/>
  <c r="B89"/>
  <c r="A89"/>
  <c r="H91"/>
  <c r="B36"/>
  <c r="B35"/>
  <c r="B22"/>
  <c r="BA10"/>
  <c r="AZ10"/>
  <c r="AZ42" s="1"/>
  <c r="AY10"/>
  <c r="AX10"/>
  <c r="AX42" s="1"/>
  <c r="AW10"/>
  <c r="AV10"/>
  <c r="AV42" s="1"/>
  <c r="AU10"/>
  <c r="AT10"/>
  <c r="AT42" s="1"/>
  <c r="AS10"/>
  <c r="AR10"/>
  <c r="AR42" s="1"/>
  <c r="AO10"/>
  <c r="AN10"/>
  <c r="AN42" s="1"/>
  <c r="AM10"/>
  <c r="AL10"/>
  <c r="AL42" s="1"/>
  <c r="AK10"/>
  <c r="AJ10"/>
  <c r="AJ42" s="1"/>
  <c r="AI10"/>
  <c r="AH10"/>
  <c r="AH43" s="1"/>
  <c r="AG10"/>
  <c r="AF10"/>
  <c r="AF43" s="1"/>
  <c r="P90"/>
  <c r="O90"/>
  <c r="P89"/>
  <c r="O89"/>
  <c r="P91"/>
  <c r="J35" i="817" s="1"/>
  <c r="O91" i="635"/>
  <c r="I35" i="817" s="1"/>
  <c r="B380" i="634"/>
  <c r="B379"/>
  <c r="B378"/>
  <c r="AB9"/>
  <c r="AB11" s="1"/>
  <c r="AB16" s="1"/>
  <c r="E35" i="817" s="1"/>
  <c r="Z9" i="634"/>
  <c r="Z11" s="1"/>
  <c r="Z16" s="1"/>
  <c r="Y9"/>
  <c r="Y11" s="1"/>
  <c r="Y16" s="1"/>
  <c r="X9"/>
  <c r="X11" s="1"/>
  <c r="X16" s="1"/>
  <c r="W9"/>
  <c r="W11" s="1"/>
  <c r="W16" s="1"/>
  <c r="V9"/>
  <c r="V11" s="1"/>
  <c r="V16" s="1"/>
  <c r="U9"/>
  <c r="U11" s="1"/>
  <c r="U16" s="1"/>
  <c r="T9"/>
  <c r="T11" s="1"/>
  <c r="T16" s="1"/>
  <c r="AD9"/>
  <c r="AD11" s="1"/>
  <c r="AD16" s="1"/>
  <c r="G35" i="817" s="1"/>
  <c r="AC9" i="634"/>
  <c r="AC11" s="1"/>
  <c r="AC16" s="1"/>
  <c r="F35" i="817" s="1"/>
  <c r="N90" i="629"/>
  <c r="K90"/>
  <c r="J90"/>
  <c r="I90"/>
  <c r="G90"/>
  <c r="F90"/>
  <c r="C90"/>
  <c r="B90"/>
  <c r="A90"/>
  <c r="P90"/>
  <c r="O90"/>
  <c r="N89"/>
  <c r="K89"/>
  <c r="J89"/>
  <c r="I89"/>
  <c r="G89"/>
  <c r="F89"/>
  <c r="C89"/>
  <c r="B89"/>
  <c r="A89"/>
  <c r="B36"/>
  <c r="B35"/>
  <c r="B22"/>
  <c r="BA10"/>
  <c r="AZ10"/>
  <c r="AY10"/>
  <c r="AX10"/>
  <c r="AW10"/>
  <c r="AV10"/>
  <c r="AU10"/>
  <c r="AT10"/>
  <c r="AS10"/>
  <c r="AR10"/>
  <c r="AO10"/>
  <c r="AN10"/>
  <c r="AM10"/>
  <c r="AL10"/>
  <c r="AK10"/>
  <c r="AJ10"/>
  <c r="AI10"/>
  <c r="AH10"/>
  <c r="AG10"/>
  <c r="AF10"/>
  <c r="P89"/>
  <c r="O89"/>
  <c r="B380" i="628"/>
  <c r="B379"/>
  <c r="B378"/>
  <c r="N89" i="626"/>
  <c r="K89"/>
  <c r="J89"/>
  <c r="I89"/>
  <c r="G89"/>
  <c r="F89"/>
  <c r="C89"/>
  <c r="B89"/>
  <c r="A89"/>
  <c r="B36"/>
  <c r="B35"/>
  <c r="B22"/>
  <c r="BA9"/>
  <c r="AZ9"/>
  <c r="AZ40" s="1"/>
  <c r="AY9"/>
  <c r="AX9"/>
  <c r="AX40" s="1"/>
  <c r="AW9"/>
  <c r="AV9"/>
  <c r="AV40" s="1"/>
  <c r="AU9"/>
  <c r="AT9"/>
  <c r="AT40" s="1"/>
  <c r="AS9"/>
  <c r="AR9"/>
  <c r="AR41" s="1"/>
  <c r="AO9"/>
  <c r="AN9"/>
  <c r="AN41" s="1"/>
  <c r="AM9"/>
  <c r="AL9"/>
  <c r="AL41" s="1"/>
  <c r="AK9"/>
  <c r="AJ9"/>
  <c r="AJ41" s="1"/>
  <c r="AI9"/>
  <c r="AH9"/>
  <c r="AH41" s="1"/>
  <c r="AG9"/>
  <c r="AF9"/>
  <c r="AF41" s="1"/>
  <c r="P89"/>
  <c r="P91" s="1"/>
  <c r="J33" i="817" s="1"/>
  <c r="O89" i="626"/>
  <c r="O91" s="1"/>
  <c r="I33" i="817" s="1"/>
  <c r="B380" i="625"/>
  <c r="B379"/>
  <c r="B378"/>
  <c r="N89" i="623"/>
  <c r="N91" s="1"/>
  <c r="H32" i="817" s="1"/>
  <c r="K89" i="623"/>
  <c r="K91" s="1"/>
  <c r="J89"/>
  <c r="J91" s="1"/>
  <c r="I89"/>
  <c r="I91" s="1"/>
  <c r="G89"/>
  <c r="G91" s="1"/>
  <c r="F89"/>
  <c r="F91" s="1"/>
  <c r="C89"/>
  <c r="B89"/>
  <c r="A89"/>
  <c r="B36"/>
  <c r="B35"/>
  <c r="B22"/>
  <c r="L90" s="1"/>
  <c r="M90" s="1"/>
  <c r="BA10"/>
  <c r="AZ10"/>
  <c r="AZ41" s="1"/>
  <c r="AY10"/>
  <c r="AX10"/>
  <c r="AX41" s="1"/>
  <c r="AW10"/>
  <c r="AV10"/>
  <c r="AV41" s="1"/>
  <c r="AU10"/>
  <c r="AT10"/>
  <c r="AT41" s="1"/>
  <c r="AS10"/>
  <c r="AR10"/>
  <c r="AR42" s="1"/>
  <c r="AO10"/>
  <c r="AN10"/>
  <c r="AN42" s="1"/>
  <c r="AM10"/>
  <c r="AL10"/>
  <c r="AL42" s="1"/>
  <c r="AK10"/>
  <c r="AJ10"/>
  <c r="AJ42" s="1"/>
  <c r="AI10"/>
  <c r="AH10"/>
  <c r="AH42" s="1"/>
  <c r="AG10"/>
  <c r="AF10"/>
  <c r="AF42" s="1"/>
  <c r="P89"/>
  <c r="O89"/>
  <c r="B381" i="622"/>
  <c r="B380"/>
  <c r="B379"/>
  <c r="N90" i="620"/>
  <c r="K90"/>
  <c r="J90"/>
  <c r="I90"/>
  <c r="G90"/>
  <c r="F90"/>
  <c r="C90"/>
  <c r="B90"/>
  <c r="A90"/>
  <c r="B37"/>
  <c r="B36"/>
  <c r="B23"/>
  <c r="BA11"/>
  <c r="AZ11"/>
  <c r="AZ42" s="1"/>
  <c r="AY11"/>
  <c r="AX11"/>
  <c r="AX42" s="1"/>
  <c r="AW11"/>
  <c r="AV11"/>
  <c r="AV42" s="1"/>
  <c r="AU11"/>
  <c r="AT11"/>
  <c r="AT42" s="1"/>
  <c r="AS11"/>
  <c r="AR11"/>
  <c r="AR43" s="1"/>
  <c r="AO11"/>
  <c r="AN11"/>
  <c r="AN43" s="1"/>
  <c r="AM11"/>
  <c r="AL11"/>
  <c r="AL43" s="1"/>
  <c r="AK11"/>
  <c r="AJ11"/>
  <c r="AJ43" s="1"/>
  <c r="AI11"/>
  <c r="AH11"/>
  <c r="AH43" s="1"/>
  <c r="AG11"/>
  <c r="AF11"/>
  <c r="AF43" s="1"/>
  <c r="P90"/>
  <c r="O90"/>
  <c r="B381" i="619"/>
  <c r="B380"/>
  <c r="B379"/>
  <c r="B37" i="617"/>
  <c r="B36"/>
  <c r="B23"/>
  <c r="BA11"/>
  <c r="AZ11"/>
  <c r="AZ42" s="1"/>
  <c r="AY11"/>
  <c r="AX11"/>
  <c r="AX42" s="1"/>
  <c r="AW11"/>
  <c r="AV11"/>
  <c r="AV42" s="1"/>
  <c r="AU11"/>
  <c r="AT11"/>
  <c r="AT42" s="1"/>
  <c r="AS11"/>
  <c r="AR11"/>
  <c r="AR43" s="1"/>
  <c r="AO11"/>
  <c r="AN11"/>
  <c r="AN43" s="1"/>
  <c r="AM11"/>
  <c r="AL11"/>
  <c r="AL43" s="1"/>
  <c r="AK11"/>
  <c r="AJ11"/>
  <c r="AJ43" s="1"/>
  <c r="AI11"/>
  <c r="AH11"/>
  <c r="AH43" s="1"/>
  <c r="AG11"/>
  <c r="AF11"/>
  <c r="AF43" s="1"/>
  <c r="B381" i="616"/>
  <c r="B380"/>
  <c r="B379"/>
  <c r="N93" i="614"/>
  <c r="K93"/>
  <c r="J93"/>
  <c r="I93"/>
  <c r="G93"/>
  <c r="F93"/>
  <c r="C93"/>
  <c r="B93"/>
  <c r="A93"/>
  <c r="N91"/>
  <c r="K91"/>
  <c r="J91"/>
  <c r="I91"/>
  <c r="G91"/>
  <c r="F91"/>
  <c r="C91"/>
  <c r="B91"/>
  <c r="A91"/>
  <c r="B38"/>
  <c r="B37"/>
  <c r="B24"/>
  <c r="BA12"/>
  <c r="BA29" s="1"/>
  <c r="AZ12"/>
  <c r="AY12"/>
  <c r="AY28" s="1"/>
  <c r="AX12"/>
  <c r="AW12"/>
  <c r="AW29" s="1"/>
  <c r="AV12"/>
  <c r="AU12"/>
  <c r="AU28" s="1"/>
  <c r="AT12"/>
  <c r="AS12"/>
  <c r="AS29" s="1"/>
  <c r="AR12"/>
  <c r="AO12"/>
  <c r="AO28" s="1"/>
  <c r="AN12"/>
  <c r="AM12"/>
  <c r="AM30" s="1"/>
  <c r="AL12"/>
  <c r="AK12"/>
  <c r="AK28" s="1"/>
  <c r="AJ12"/>
  <c r="AI12"/>
  <c r="AI30" s="1"/>
  <c r="AH12"/>
  <c r="AG12"/>
  <c r="AG29" s="1"/>
  <c r="AF12"/>
  <c r="P93"/>
  <c r="O93"/>
  <c r="P91"/>
  <c r="O91"/>
  <c r="B390" i="613"/>
  <c r="B389"/>
  <c r="B388"/>
  <c r="N93" i="611"/>
  <c r="K93"/>
  <c r="J93"/>
  <c r="I93"/>
  <c r="G93"/>
  <c r="F93"/>
  <c r="C93"/>
  <c r="B93"/>
  <c r="A93"/>
  <c r="N91"/>
  <c r="K91"/>
  <c r="J91"/>
  <c r="I91"/>
  <c r="G91"/>
  <c r="F91"/>
  <c r="C91"/>
  <c r="B91"/>
  <c r="A91"/>
  <c r="B38"/>
  <c r="B37"/>
  <c r="B24"/>
  <c r="BA12"/>
  <c r="AZ12"/>
  <c r="AZ43" s="1"/>
  <c r="AY12"/>
  <c r="AX12"/>
  <c r="AX43" s="1"/>
  <c r="AW12"/>
  <c r="AV12"/>
  <c r="AV43" s="1"/>
  <c r="AU12"/>
  <c r="AT12"/>
  <c r="AT43" s="1"/>
  <c r="AS12"/>
  <c r="AR12"/>
  <c r="AR44" s="1"/>
  <c r="AO12"/>
  <c r="AN12"/>
  <c r="AN44" s="1"/>
  <c r="AM12"/>
  <c r="AL12"/>
  <c r="AL44" s="1"/>
  <c r="AK12"/>
  <c r="AJ12"/>
  <c r="AJ44" s="1"/>
  <c r="AI12"/>
  <c r="AH12"/>
  <c r="AH44" s="1"/>
  <c r="AG12"/>
  <c r="AF12"/>
  <c r="AF44" s="1"/>
  <c r="P93"/>
  <c r="O93"/>
  <c r="P91"/>
  <c r="O91"/>
  <c r="B392" i="610"/>
  <c r="B391"/>
  <c r="B390"/>
  <c r="N92" i="608"/>
  <c r="K92"/>
  <c r="J92"/>
  <c r="I92"/>
  <c r="G92"/>
  <c r="F92"/>
  <c r="C92"/>
  <c r="B92"/>
  <c r="A92"/>
  <c r="N91"/>
  <c r="K91"/>
  <c r="J91"/>
  <c r="I91"/>
  <c r="G91"/>
  <c r="F91"/>
  <c r="C91"/>
  <c r="B91"/>
  <c r="A91"/>
  <c r="B38"/>
  <c r="B37"/>
  <c r="B24"/>
  <c r="BA12"/>
  <c r="BA28" s="1"/>
  <c r="AZ12"/>
  <c r="AY12"/>
  <c r="AY24" s="1"/>
  <c r="AX12"/>
  <c r="AW12"/>
  <c r="AW29" s="1"/>
  <c r="AV12"/>
  <c r="AU12"/>
  <c r="AU24" s="1"/>
  <c r="AT12"/>
  <c r="AS12"/>
  <c r="AS29" s="1"/>
  <c r="AR12"/>
  <c r="AO12"/>
  <c r="AO24" s="1"/>
  <c r="AN12"/>
  <c r="AM12"/>
  <c r="AM29" s="1"/>
  <c r="AL12"/>
  <c r="AK12"/>
  <c r="AK25" s="1"/>
  <c r="AJ12"/>
  <c r="AI12"/>
  <c r="AI29" s="1"/>
  <c r="AH12"/>
  <c r="AG12"/>
  <c r="AG25" s="1"/>
  <c r="AF12"/>
  <c r="P92"/>
  <c r="O92"/>
  <c r="P91"/>
  <c r="O91"/>
  <c r="B394" i="607"/>
  <c r="B393"/>
  <c r="B392"/>
  <c r="N92" i="605"/>
  <c r="K92"/>
  <c r="J92"/>
  <c r="I92"/>
  <c r="G92"/>
  <c r="F92"/>
  <c r="C92"/>
  <c r="B92"/>
  <c r="N91"/>
  <c r="N95" s="1"/>
  <c r="H26" i="817" s="1"/>
  <c r="K91" i="605"/>
  <c r="K95" s="1"/>
  <c r="J91"/>
  <c r="J95" s="1"/>
  <c r="I91"/>
  <c r="I95" s="1"/>
  <c r="G91"/>
  <c r="G95" s="1"/>
  <c r="F91"/>
  <c r="F95" s="1"/>
  <c r="C91"/>
  <c r="B91"/>
  <c r="B38"/>
  <c r="B37"/>
  <c r="B24"/>
  <c r="BA12"/>
  <c r="AZ12"/>
  <c r="AZ29" s="1"/>
  <c r="AY12"/>
  <c r="AX12"/>
  <c r="AX46" s="1"/>
  <c r="AW12"/>
  <c r="AV12"/>
  <c r="AV29" s="1"/>
  <c r="AU12"/>
  <c r="AT12"/>
  <c r="AT47" s="1"/>
  <c r="AS12"/>
  <c r="AR12"/>
  <c r="AR29" s="1"/>
  <c r="AO12"/>
  <c r="AN12"/>
  <c r="AN46" s="1"/>
  <c r="AM12"/>
  <c r="AL12"/>
  <c r="AL29" s="1"/>
  <c r="AK12"/>
  <c r="AJ12"/>
  <c r="AJ47" s="1"/>
  <c r="AI12"/>
  <c r="AH12"/>
  <c r="AH29" s="1"/>
  <c r="AG12"/>
  <c r="AF12"/>
  <c r="AF46" s="1"/>
  <c r="P92"/>
  <c r="O92"/>
  <c r="P91"/>
  <c r="O91"/>
  <c r="B392" i="604"/>
  <c r="B391"/>
  <c r="B390"/>
  <c r="N90" i="602"/>
  <c r="K90"/>
  <c r="J90"/>
  <c r="I90"/>
  <c r="H93"/>
  <c r="G90"/>
  <c r="F90"/>
  <c r="C90"/>
  <c r="B90"/>
  <c r="A90"/>
  <c r="B37"/>
  <c r="B36"/>
  <c r="B23"/>
  <c r="BA11"/>
  <c r="AZ11"/>
  <c r="AZ42" s="1"/>
  <c r="AY11"/>
  <c r="AX11"/>
  <c r="AX42" s="1"/>
  <c r="AW11"/>
  <c r="AV11"/>
  <c r="AV42" s="1"/>
  <c r="AU11"/>
  <c r="AT11"/>
  <c r="AT42" s="1"/>
  <c r="AS11"/>
  <c r="AR11"/>
  <c r="AR43" s="1"/>
  <c r="AO11"/>
  <c r="AN11"/>
  <c r="AN43" s="1"/>
  <c r="AM11"/>
  <c r="AL11"/>
  <c r="AL43" s="1"/>
  <c r="AK11"/>
  <c r="AJ11"/>
  <c r="AJ43" s="1"/>
  <c r="AI11"/>
  <c r="AH11"/>
  <c r="AH43" s="1"/>
  <c r="AG11"/>
  <c r="AF11"/>
  <c r="AF43" s="1"/>
  <c r="P90"/>
  <c r="P93" s="1"/>
  <c r="J25" i="817" s="1"/>
  <c r="O90" i="602"/>
  <c r="O93" s="1"/>
  <c r="I25" i="817" s="1"/>
  <c r="B386" i="601"/>
  <c r="B385"/>
  <c r="B384"/>
  <c r="N92" i="599"/>
  <c r="K92"/>
  <c r="J92"/>
  <c r="I92"/>
  <c r="G92"/>
  <c r="F92"/>
  <c r="C92"/>
  <c r="B92"/>
  <c r="A92"/>
  <c r="N90"/>
  <c r="K90"/>
  <c r="J90"/>
  <c r="I90"/>
  <c r="H93"/>
  <c r="G90"/>
  <c r="F90"/>
  <c r="F93" s="1"/>
  <c r="C90"/>
  <c r="B90"/>
  <c r="A90"/>
  <c r="B37"/>
  <c r="B36"/>
  <c r="B23"/>
  <c r="L91" s="1"/>
  <c r="M91" s="1"/>
  <c r="BA11"/>
  <c r="AZ11"/>
  <c r="AZ42" s="1"/>
  <c r="AY11"/>
  <c r="AX11"/>
  <c r="AX42" s="1"/>
  <c r="AW11"/>
  <c r="AV11"/>
  <c r="AV42" s="1"/>
  <c r="AU11"/>
  <c r="AT11"/>
  <c r="AT42" s="1"/>
  <c r="AS11"/>
  <c r="AR11"/>
  <c r="AR43" s="1"/>
  <c r="AO11"/>
  <c r="AN11"/>
  <c r="AN43" s="1"/>
  <c r="AM11"/>
  <c r="AL11"/>
  <c r="AL43" s="1"/>
  <c r="AK11"/>
  <c r="AJ11"/>
  <c r="AJ43" s="1"/>
  <c r="AI11"/>
  <c r="AH11"/>
  <c r="AH43" s="1"/>
  <c r="AG11"/>
  <c r="AF11"/>
  <c r="AF43" s="1"/>
  <c r="P92"/>
  <c r="O92"/>
  <c r="P90"/>
  <c r="P93" s="1"/>
  <c r="J24" i="817" s="1"/>
  <c r="O90" i="599"/>
  <c r="O93" s="1"/>
  <c r="I24" i="817" s="1"/>
  <c r="B385" i="598"/>
  <c r="B384"/>
  <c r="B383"/>
  <c r="N92" i="596"/>
  <c r="K92"/>
  <c r="J92"/>
  <c r="I92"/>
  <c r="G92"/>
  <c r="F92"/>
  <c r="C92"/>
  <c r="B92"/>
  <c r="A92"/>
  <c r="N90"/>
  <c r="K90"/>
  <c r="J90"/>
  <c r="I90"/>
  <c r="H93"/>
  <c r="G90"/>
  <c r="F90"/>
  <c r="F93" s="1"/>
  <c r="C90"/>
  <c r="B90"/>
  <c r="A90"/>
  <c r="B37"/>
  <c r="B36"/>
  <c r="B23"/>
  <c r="L91" s="1"/>
  <c r="M91" s="1"/>
  <c r="BA11"/>
  <c r="AZ11"/>
  <c r="AZ42" s="1"/>
  <c r="AY11"/>
  <c r="AX11"/>
  <c r="AX42" s="1"/>
  <c r="AW11"/>
  <c r="AV11"/>
  <c r="AV42" s="1"/>
  <c r="AU11"/>
  <c r="AT11"/>
  <c r="AT42" s="1"/>
  <c r="AS11"/>
  <c r="AR11"/>
  <c r="AR43" s="1"/>
  <c r="AO11"/>
  <c r="AN11"/>
  <c r="AN43" s="1"/>
  <c r="AM11"/>
  <c r="AL11"/>
  <c r="AL43" s="1"/>
  <c r="AK11"/>
  <c r="AJ11"/>
  <c r="AJ43" s="1"/>
  <c r="AI11"/>
  <c r="AH11"/>
  <c r="AH43" s="1"/>
  <c r="AG11"/>
  <c r="AF11"/>
  <c r="AF43" s="1"/>
  <c r="P92"/>
  <c r="O92"/>
  <c r="P90"/>
  <c r="P93" s="1"/>
  <c r="J23" i="817" s="1"/>
  <c r="O90" i="596"/>
  <c r="O93" s="1"/>
  <c r="I23" i="817" s="1"/>
  <c r="B385" i="595"/>
  <c r="B384"/>
  <c r="B383"/>
  <c r="N94" i="593"/>
  <c r="K94"/>
  <c r="J94"/>
  <c r="I94"/>
  <c r="G94"/>
  <c r="F94"/>
  <c r="C94"/>
  <c r="B94"/>
  <c r="A94"/>
  <c r="N91"/>
  <c r="K91"/>
  <c r="J91"/>
  <c r="I91"/>
  <c r="H95"/>
  <c r="G91"/>
  <c r="F91"/>
  <c r="C91"/>
  <c r="B91"/>
  <c r="A91"/>
  <c r="B38"/>
  <c r="B37"/>
  <c r="B24"/>
  <c r="BA12"/>
  <c r="AZ12"/>
  <c r="AZ43" s="1"/>
  <c r="AY12"/>
  <c r="AX12"/>
  <c r="AX43" s="1"/>
  <c r="AW12"/>
  <c r="AV12"/>
  <c r="AV43" s="1"/>
  <c r="AU12"/>
  <c r="AT12"/>
  <c r="AT43" s="1"/>
  <c r="AS12"/>
  <c r="AR12"/>
  <c r="AR44" s="1"/>
  <c r="AO12"/>
  <c r="AN12"/>
  <c r="AN44" s="1"/>
  <c r="AM12"/>
  <c r="AL12"/>
  <c r="AL44" s="1"/>
  <c r="AK12"/>
  <c r="AJ12"/>
  <c r="AJ44" s="1"/>
  <c r="AI12"/>
  <c r="AH12"/>
  <c r="AH44" s="1"/>
  <c r="AG12"/>
  <c r="AF12"/>
  <c r="AF44" s="1"/>
  <c r="P94"/>
  <c r="O94"/>
  <c r="P91"/>
  <c r="P95" s="1"/>
  <c r="J22" i="817" s="1"/>
  <c r="O91" i="593"/>
  <c r="O95" s="1"/>
  <c r="I22" i="817" s="1"/>
  <c r="B390" i="592"/>
  <c r="B389"/>
  <c r="B388"/>
  <c r="N94" i="590"/>
  <c r="K94"/>
  <c r="J94"/>
  <c r="I94"/>
  <c r="G94"/>
  <c r="F94"/>
  <c r="C94"/>
  <c r="B94"/>
  <c r="A94"/>
  <c r="N92"/>
  <c r="K92"/>
  <c r="J92"/>
  <c r="I92"/>
  <c r="G92"/>
  <c r="F92"/>
  <c r="C92"/>
  <c r="B92"/>
  <c r="A92"/>
  <c r="N91"/>
  <c r="K91"/>
  <c r="J91"/>
  <c r="I91"/>
  <c r="H95"/>
  <c r="G91"/>
  <c r="F91"/>
  <c r="C91"/>
  <c r="B91"/>
  <c r="A91"/>
  <c r="B38"/>
  <c r="B37"/>
  <c r="B24"/>
  <c r="L93" s="1"/>
  <c r="M93" s="1"/>
  <c r="BA12"/>
  <c r="AZ12"/>
  <c r="AZ29" s="1"/>
  <c r="AY12"/>
  <c r="AX12"/>
  <c r="AX29" s="1"/>
  <c r="AW12"/>
  <c r="AV12"/>
  <c r="AV29" s="1"/>
  <c r="AU12"/>
  <c r="AT12"/>
  <c r="AT29" s="1"/>
  <c r="AS12"/>
  <c r="AR12"/>
  <c r="AR29" s="1"/>
  <c r="AO12"/>
  <c r="AN12"/>
  <c r="AN29" s="1"/>
  <c r="AM12"/>
  <c r="AL12"/>
  <c r="AL29" s="1"/>
  <c r="AK12"/>
  <c r="AJ12"/>
  <c r="AJ29" s="1"/>
  <c r="AI12"/>
  <c r="AH12"/>
  <c r="AH29" s="1"/>
  <c r="AG12"/>
  <c r="AF12"/>
  <c r="AF29" s="1"/>
  <c r="P94"/>
  <c r="O94"/>
  <c r="P92"/>
  <c r="O92"/>
  <c r="P91"/>
  <c r="P95" s="1"/>
  <c r="J21" i="817" s="1"/>
  <c r="O91" i="590"/>
  <c r="O95" s="1"/>
  <c r="I21" i="817" s="1"/>
  <c r="B390" i="589"/>
  <c r="B389"/>
  <c r="B388"/>
  <c r="N94" i="587"/>
  <c r="K94"/>
  <c r="J94"/>
  <c r="I94"/>
  <c r="G94"/>
  <c r="F94"/>
  <c r="C94"/>
  <c r="B94"/>
  <c r="A94"/>
  <c r="P94"/>
  <c r="O94"/>
  <c r="N91"/>
  <c r="K91"/>
  <c r="J91"/>
  <c r="I91"/>
  <c r="G91"/>
  <c r="F91"/>
  <c r="C91"/>
  <c r="B91"/>
  <c r="A91"/>
  <c r="B38"/>
  <c r="B37"/>
  <c r="B24"/>
  <c r="BA12"/>
  <c r="AZ12"/>
  <c r="AZ43" s="1"/>
  <c r="AY12"/>
  <c r="AX12"/>
  <c r="AX43" s="1"/>
  <c r="AW12"/>
  <c r="AV12"/>
  <c r="AV44" s="1"/>
  <c r="AU12"/>
  <c r="AT12"/>
  <c r="AT44" s="1"/>
  <c r="AS12"/>
  <c r="AR12"/>
  <c r="AR44" s="1"/>
  <c r="AO12"/>
  <c r="AN12"/>
  <c r="AN44" s="1"/>
  <c r="AM12"/>
  <c r="AL12"/>
  <c r="AL44" s="1"/>
  <c r="AK12"/>
  <c r="AJ12"/>
  <c r="AJ44" s="1"/>
  <c r="AI12"/>
  <c r="AH12"/>
  <c r="AH44" s="1"/>
  <c r="AG12"/>
  <c r="AF12"/>
  <c r="AF44" s="1"/>
  <c r="P91"/>
  <c r="O91"/>
  <c r="B390" i="586"/>
  <c r="B389"/>
  <c r="B388"/>
  <c r="N94" i="584"/>
  <c r="K94"/>
  <c r="J94"/>
  <c r="I94"/>
  <c r="G94"/>
  <c r="F94"/>
  <c r="C94"/>
  <c r="B94"/>
  <c r="A94"/>
  <c r="N93"/>
  <c r="K93"/>
  <c r="J93"/>
  <c r="I93"/>
  <c r="G93"/>
  <c r="F93"/>
  <c r="C93"/>
  <c r="B93"/>
  <c r="A93"/>
  <c r="N92"/>
  <c r="K92"/>
  <c r="J92"/>
  <c r="I92"/>
  <c r="G92"/>
  <c r="F92"/>
  <c r="C92"/>
  <c r="B92"/>
  <c r="A92"/>
  <c r="N91"/>
  <c r="K91"/>
  <c r="J91"/>
  <c r="I91"/>
  <c r="H95"/>
  <c r="G91"/>
  <c r="F91"/>
  <c r="C91"/>
  <c r="B91"/>
  <c r="A91"/>
  <c r="B38"/>
  <c r="B37"/>
  <c r="B24"/>
  <c r="BA12"/>
  <c r="AZ12"/>
  <c r="AY12"/>
  <c r="AX12"/>
  <c r="AW12"/>
  <c r="AV12"/>
  <c r="AU12"/>
  <c r="AT12"/>
  <c r="AS12"/>
  <c r="AR12"/>
  <c r="AO12"/>
  <c r="AN12"/>
  <c r="AM12"/>
  <c r="AL12"/>
  <c r="AK12"/>
  <c r="AJ12"/>
  <c r="AI12"/>
  <c r="AH12"/>
  <c r="AG12"/>
  <c r="AF12"/>
  <c r="P94"/>
  <c r="O94"/>
  <c r="P93"/>
  <c r="O93"/>
  <c r="P92"/>
  <c r="O92"/>
  <c r="P91"/>
  <c r="P95" s="1"/>
  <c r="J19" i="817" s="1"/>
  <c r="O91" i="584"/>
  <c r="O95" s="1"/>
  <c r="I19" i="817" s="1"/>
  <c r="B389" i="583"/>
  <c r="B388"/>
  <c r="B387"/>
  <c r="N94" i="581"/>
  <c r="K94"/>
  <c r="J94"/>
  <c r="I94"/>
  <c r="G94"/>
  <c r="F94"/>
  <c r="C94"/>
  <c r="B94"/>
  <c r="A94"/>
  <c r="N93"/>
  <c r="K93"/>
  <c r="J93"/>
  <c r="I93"/>
  <c r="G93"/>
  <c r="F93"/>
  <c r="C93"/>
  <c r="B93"/>
  <c r="A93"/>
  <c r="N92"/>
  <c r="K92"/>
  <c r="J92"/>
  <c r="I92"/>
  <c r="G92"/>
  <c r="F92"/>
  <c r="C92"/>
  <c r="B92"/>
  <c r="A92"/>
  <c r="N91"/>
  <c r="K91"/>
  <c r="J91"/>
  <c r="I91"/>
  <c r="H95"/>
  <c r="G91"/>
  <c r="F91"/>
  <c r="C91"/>
  <c r="B91"/>
  <c r="A91"/>
  <c r="B38"/>
  <c r="B37"/>
  <c r="B24"/>
  <c r="BA12"/>
  <c r="AZ12"/>
  <c r="AZ44" s="1"/>
  <c r="AY12"/>
  <c r="AX12"/>
  <c r="AX43" s="1"/>
  <c r="AW12"/>
  <c r="AV12"/>
  <c r="AV44" s="1"/>
  <c r="AU12"/>
  <c r="AT12"/>
  <c r="AT44" s="1"/>
  <c r="AS12"/>
  <c r="AR12"/>
  <c r="AR44" s="1"/>
  <c r="AO12"/>
  <c r="AN12"/>
  <c r="AN44" s="1"/>
  <c r="AM12"/>
  <c r="AL12"/>
  <c r="AL44" s="1"/>
  <c r="AK12"/>
  <c r="AJ12"/>
  <c r="AJ44" s="1"/>
  <c r="AI12"/>
  <c r="AH12"/>
  <c r="AH44" s="1"/>
  <c r="AG12"/>
  <c r="AF12"/>
  <c r="AF44" s="1"/>
  <c r="P94"/>
  <c r="O94"/>
  <c r="P93"/>
  <c r="O93"/>
  <c r="P92"/>
  <c r="O92"/>
  <c r="P91"/>
  <c r="P95" s="1"/>
  <c r="J18" i="817" s="1"/>
  <c r="O91" i="581"/>
  <c r="O95" s="1"/>
  <c r="I18" i="817" s="1"/>
  <c r="B389" i="580"/>
  <c r="B388"/>
  <c r="B387"/>
  <c r="N94" i="578"/>
  <c r="K94"/>
  <c r="J94"/>
  <c r="I94"/>
  <c r="G94"/>
  <c r="F94"/>
  <c r="C94"/>
  <c r="B94"/>
  <c r="A94"/>
  <c r="N93"/>
  <c r="K93"/>
  <c r="J93"/>
  <c r="I93"/>
  <c r="G93"/>
  <c r="F93"/>
  <c r="C93"/>
  <c r="B93"/>
  <c r="A93"/>
  <c r="N92"/>
  <c r="K92"/>
  <c r="J92"/>
  <c r="I92"/>
  <c r="G92"/>
  <c r="F92"/>
  <c r="C92"/>
  <c r="B92"/>
  <c r="A92"/>
  <c r="N91"/>
  <c r="K91"/>
  <c r="J91"/>
  <c r="I91"/>
  <c r="H95"/>
  <c r="G91"/>
  <c r="F91"/>
  <c r="C91"/>
  <c r="B91"/>
  <c r="A91"/>
  <c r="B38"/>
  <c r="B37"/>
  <c r="B24"/>
  <c r="BA12"/>
  <c r="BA43" s="1"/>
  <c r="AZ12"/>
  <c r="AY12"/>
  <c r="AY43" s="1"/>
  <c r="AX12"/>
  <c r="AW12"/>
  <c r="AW43" s="1"/>
  <c r="AV12"/>
  <c r="AU12"/>
  <c r="AU44" s="1"/>
  <c r="AT12"/>
  <c r="AS12"/>
  <c r="AS44" s="1"/>
  <c r="AR12"/>
  <c r="AO12"/>
  <c r="AO44" s="1"/>
  <c r="AN12"/>
  <c r="AM12"/>
  <c r="AM44" s="1"/>
  <c r="AL12"/>
  <c r="AK12"/>
  <c r="AK44" s="1"/>
  <c r="AJ12"/>
  <c r="AI12"/>
  <c r="AI44" s="1"/>
  <c r="AH12"/>
  <c r="AG12"/>
  <c r="AG44" s="1"/>
  <c r="AF12"/>
  <c r="P94"/>
  <c r="O94"/>
  <c r="P93"/>
  <c r="O93"/>
  <c r="P92"/>
  <c r="O92"/>
  <c r="P91"/>
  <c r="P95" s="1"/>
  <c r="J17" i="817" s="1"/>
  <c r="O91" i="578"/>
  <c r="O95" s="1"/>
  <c r="I17" i="817" s="1"/>
  <c r="B389" i="577"/>
  <c r="B388"/>
  <c r="B387"/>
  <c r="D14" i="25"/>
  <c r="B37" i="569"/>
  <c r="B36"/>
  <c r="B23"/>
  <c r="BA11"/>
  <c r="AZ11"/>
  <c r="AZ42" s="1"/>
  <c r="AY11"/>
  <c r="AX11"/>
  <c r="AX42" s="1"/>
  <c r="AW11"/>
  <c r="AV11"/>
  <c r="AV42" s="1"/>
  <c r="AU11"/>
  <c r="AT11"/>
  <c r="AT42" s="1"/>
  <c r="AS11"/>
  <c r="AR11"/>
  <c r="AR42" s="1"/>
  <c r="AO11"/>
  <c r="AN11"/>
  <c r="AN42" s="1"/>
  <c r="AM11"/>
  <c r="AL11"/>
  <c r="AL42" s="1"/>
  <c r="AK11"/>
  <c r="AJ11"/>
  <c r="AJ42" s="1"/>
  <c r="AI11"/>
  <c r="AH11"/>
  <c r="AH43" s="1"/>
  <c r="AG11"/>
  <c r="AF11"/>
  <c r="AF43" s="1"/>
  <c r="B385" i="568"/>
  <c r="B384"/>
  <c r="B383"/>
  <c r="D13" i="25"/>
  <c r="B37" i="566"/>
  <c r="B36"/>
  <c r="B23"/>
  <c r="BA11"/>
  <c r="AZ11"/>
  <c r="AZ42" s="1"/>
  <c r="AY11"/>
  <c r="AX11"/>
  <c r="AX42" s="1"/>
  <c r="AW11"/>
  <c r="AV11"/>
  <c r="AV42" s="1"/>
  <c r="AU11"/>
  <c r="AT11"/>
  <c r="AT42" s="1"/>
  <c r="AS11"/>
  <c r="AR11"/>
  <c r="AR42" s="1"/>
  <c r="AO11"/>
  <c r="AN11"/>
  <c r="AN42" s="1"/>
  <c r="AM11"/>
  <c r="AL11"/>
  <c r="AL42" s="1"/>
  <c r="AK11"/>
  <c r="AJ11"/>
  <c r="AJ42" s="1"/>
  <c r="AI11"/>
  <c r="AH11"/>
  <c r="AH43" s="1"/>
  <c r="AG11"/>
  <c r="AF11"/>
  <c r="AF43" s="1"/>
  <c r="B385" i="565"/>
  <c r="B384"/>
  <c r="B383"/>
  <c r="C13" i="25"/>
  <c r="K83" i="817" l="1"/>
  <c r="BJ83" s="1"/>
  <c r="C82" i="25"/>
  <c r="C83" s="1"/>
  <c r="E84" i="817"/>
  <c r="E85" s="1"/>
  <c r="E86" s="1"/>
  <c r="D82" i="25"/>
  <c r="D83" s="1"/>
  <c r="H84" i="817"/>
  <c r="H85" s="1"/>
  <c r="H86" s="1"/>
  <c r="C81" i="25"/>
  <c r="B84" i="817"/>
  <c r="K84" s="1"/>
  <c r="BJ84" s="1"/>
  <c r="F93" i="653"/>
  <c r="I93"/>
  <c r="K93"/>
  <c r="L94" i="587"/>
  <c r="M94" s="1"/>
  <c r="L92"/>
  <c r="M92" s="1"/>
  <c r="L93"/>
  <c r="M93" s="1"/>
  <c r="L93" i="593"/>
  <c r="M93" s="1"/>
  <c r="L92"/>
  <c r="M92" s="1"/>
  <c r="L92" i="602"/>
  <c r="M92" s="1"/>
  <c r="L91"/>
  <c r="M91" s="1"/>
  <c r="L94" i="605"/>
  <c r="M94" s="1"/>
  <c r="L93"/>
  <c r="M93" s="1"/>
  <c r="L94" i="608"/>
  <c r="M94" s="1"/>
  <c r="L93"/>
  <c r="M93" s="1"/>
  <c r="AC15" i="736"/>
  <c r="F69" i="817" s="1"/>
  <c r="T15" i="736"/>
  <c r="V15"/>
  <c r="X15"/>
  <c r="Z15"/>
  <c r="AD15" i="739"/>
  <c r="U15"/>
  <c r="W15"/>
  <c r="Y15"/>
  <c r="AB15"/>
  <c r="AC15" i="742"/>
  <c r="F70" i="817" s="1"/>
  <c r="T15" i="742"/>
  <c r="V15"/>
  <c r="X15"/>
  <c r="Z15"/>
  <c r="AD15" i="745"/>
  <c r="G71" i="817" s="1"/>
  <c r="U15" i="745"/>
  <c r="W15"/>
  <c r="Y15"/>
  <c r="AB15"/>
  <c r="E71" i="817" s="1"/>
  <c r="AC15" i="748"/>
  <c r="F72" i="817" s="1"/>
  <c r="T15" i="748"/>
  <c r="V15"/>
  <c r="X15"/>
  <c r="Z15"/>
  <c r="G93" i="653"/>
  <c r="J93"/>
  <c r="N93"/>
  <c r="H41" i="817" s="1"/>
  <c r="AD15" i="736"/>
  <c r="G69" i="817" s="1"/>
  <c r="U15" i="736"/>
  <c r="W15"/>
  <c r="Y15"/>
  <c r="AB15"/>
  <c r="E69" i="817" s="1"/>
  <c r="AC15" i="739"/>
  <c r="T15"/>
  <c r="V15"/>
  <c r="X15"/>
  <c r="Z15"/>
  <c r="AD15" i="742"/>
  <c r="G70" i="817" s="1"/>
  <c r="U15" i="742"/>
  <c r="W15"/>
  <c r="Y15"/>
  <c r="AB15"/>
  <c r="E70" i="817" s="1"/>
  <c r="AC15" i="745"/>
  <c r="F71" i="817" s="1"/>
  <c r="T15" i="745"/>
  <c r="V15"/>
  <c r="X15"/>
  <c r="Z15"/>
  <c r="AD15" i="748"/>
  <c r="G72" i="817" s="1"/>
  <c r="U15" i="748"/>
  <c r="W15"/>
  <c r="Y15"/>
  <c r="AB15"/>
  <c r="E72" i="817" s="1"/>
  <c r="C68" i="25"/>
  <c r="L92" i="569"/>
  <c r="M92" s="1"/>
  <c r="L91"/>
  <c r="M91" s="1"/>
  <c r="L90"/>
  <c r="L90" i="566"/>
  <c r="L91"/>
  <c r="M91" s="1"/>
  <c r="L92"/>
  <c r="M92" s="1"/>
  <c r="C14" i="25"/>
  <c r="G95" i="584"/>
  <c r="I95"/>
  <c r="K95"/>
  <c r="G95" i="587"/>
  <c r="G91" i="701"/>
  <c r="J91"/>
  <c r="N91"/>
  <c r="H57" i="817" s="1"/>
  <c r="G91" i="707"/>
  <c r="F91" i="713"/>
  <c r="I91"/>
  <c r="K91"/>
  <c r="J91" i="716"/>
  <c r="N91"/>
  <c r="H62" i="817" s="1"/>
  <c r="J93" i="722"/>
  <c r="J93" i="725"/>
  <c r="J93" i="728"/>
  <c r="F93" i="731"/>
  <c r="J93"/>
  <c r="N93"/>
  <c r="H67" i="817" s="1"/>
  <c r="G91" i="698"/>
  <c r="J91"/>
  <c r="G91" i="740"/>
  <c r="I91"/>
  <c r="K91"/>
  <c r="F91" i="743"/>
  <c r="J91"/>
  <c r="N91"/>
  <c r="H70" i="817" s="1"/>
  <c r="F91" i="746"/>
  <c r="J91"/>
  <c r="N91"/>
  <c r="H71" i="817" s="1"/>
  <c r="F91" i="749"/>
  <c r="J91"/>
  <c r="N91"/>
  <c r="H72" i="817" s="1"/>
  <c r="F91" i="752"/>
  <c r="J91"/>
  <c r="G91" i="755"/>
  <c r="I91"/>
  <c r="K91"/>
  <c r="F89" i="761"/>
  <c r="J89"/>
  <c r="N89"/>
  <c r="H76" i="817" s="1"/>
  <c r="K76" s="1"/>
  <c r="G89" i="764"/>
  <c r="I89"/>
  <c r="K89"/>
  <c r="J93" i="596"/>
  <c r="F95" i="608"/>
  <c r="I95"/>
  <c r="K95"/>
  <c r="F95" i="611"/>
  <c r="I95"/>
  <c r="K95"/>
  <c r="G95" i="614"/>
  <c r="J95"/>
  <c r="N95"/>
  <c r="F92" i="617"/>
  <c r="I92"/>
  <c r="K92"/>
  <c r="F92" i="620"/>
  <c r="I92"/>
  <c r="K92"/>
  <c r="F91" i="692"/>
  <c r="I91"/>
  <c r="K91"/>
  <c r="F91" i="701"/>
  <c r="I91"/>
  <c r="K91"/>
  <c r="G91" i="704"/>
  <c r="J91"/>
  <c r="N91"/>
  <c r="H58" i="817" s="1"/>
  <c r="F91" i="707"/>
  <c r="J91" i="710"/>
  <c r="N91"/>
  <c r="H60" i="817" s="1"/>
  <c r="G91" i="713"/>
  <c r="J91"/>
  <c r="F91" i="716"/>
  <c r="I91"/>
  <c r="K91"/>
  <c r="G93" i="719"/>
  <c r="J93"/>
  <c r="G93" i="731"/>
  <c r="G91" i="626"/>
  <c r="J91"/>
  <c r="N91"/>
  <c r="H33" i="817" s="1"/>
  <c r="F93" i="734"/>
  <c r="J93"/>
  <c r="N93"/>
  <c r="H68" i="817" s="1"/>
  <c r="G91" i="737"/>
  <c r="N91" i="698"/>
  <c r="H56" i="817" s="1"/>
  <c r="J91" i="707"/>
  <c r="N91"/>
  <c r="H59" i="817" s="1"/>
  <c r="F91" i="710"/>
  <c r="I91"/>
  <c r="K91"/>
  <c r="F91" i="698"/>
  <c r="I91"/>
  <c r="K91"/>
  <c r="I91" i="737"/>
  <c r="K91"/>
  <c r="F91" i="740"/>
  <c r="J91"/>
  <c r="N91"/>
  <c r="H69" i="817" s="1"/>
  <c r="G91" i="743"/>
  <c r="G91" i="746"/>
  <c r="I91"/>
  <c r="K91"/>
  <c r="G91" i="749"/>
  <c r="I91"/>
  <c r="K91"/>
  <c r="G91" i="752"/>
  <c r="F91" i="755"/>
  <c r="J91"/>
  <c r="N91"/>
  <c r="H74" i="817" s="1"/>
  <c r="K74" s="1"/>
  <c r="G91" i="758"/>
  <c r="I91"/>
  <c r="K91"/>
  <c r="F89" i="764"/>
  <c r="J89"/>
  <c r="N89"/>
  <c r="H82" i="817" s="1"/>
  <c r="K82" s="1"/>
  <c r="BJ82" s="1"/>
  <c r="I91" i="707"/>
  <c r="K91"/>
  <c r="I91" i="752"/>
  <c r="K91"/>
  <c r="G95" i="590"/>
  <c r="I95"/>
  <c r="K95"/>
  <c r="G95" i="608"/>
  <c r="J95"/>
  <c r="N95"/>
  <c r="H27" i="817" s="1"/>
  <c r="G95" i="611"/>
  <c r="J95"/>
  <c r="N95"/>
  <c r="H28" i="817" s="1"/>
  <c r="F95" i="614"/>
  <c r="I95"/>
  <c r="K95"/>
  <c r="C32" i="25"/>
  <c r="F91" i="626"/>
  <c r="I91"/>
  <c r="K91"/>
  <c r="G93" i="734"/>
  <c r="I93"/>
  <c r="K93"/>
  <c r="F91" i="737"/>
  <c r="J91"/>
  <c r="N91"/>
  <c r="F93" i="662"/>
  <c r="I93"/>
  <c r="F93" i="722"/>
  <c r="I93"/>
  <c r="K93"/>
  <c r="F93" i="725"/>
  <c r="I93"/>
  <c r="K93"/>
  <c r="G92" i="617"/>
  <c r="J92"/>
  <c r="P95" i="605"/>
  <c r="J26" i="817" s="1"/>
  <c r="P95" i="608"/>
  <c r="J27" i="817" s="1"/>
  <c r="P95" i="611"/>
  <c r="J28" i="817" s="1"/>
  <c r="O95" i="614"/>
  <c r="L92"/>
  <c r="M92" s="1"/>
  <c r="L94"/>
  <c r="M94" s="1"/>
  <c r="P92" i="617"/>
  <c r="J31" i="817" s="1"/>
  <c r="N92" i="617"/>
  <c r="H31" i="817" s="1"/>
  <c r="P92" i="620"/>
  <c r="N92"/>
  <c r="L90" i="626"/>
  <c r="M90" s="1"/>
  <c r="C53" i="25"/>
  <c r="O91" i="692"/>
  <c r="I54" i="817" s="1"/>
  <c r="C54" i="25"/>
  <c r="C55"/>
  <c r="O91" i="698"/>
  <c r="I56" i="817" s="1"/>
  <c r="P91" i="704"/>
  <c r="J58" i="817" s="1"/>
  <c r="O91" i="707"/>
  <c r="I59" i="817" s="1"/>
  <c r="G91" i="710"/>
  <c r="P91" i="713"/>
  <c r="J61" i="817" s="1"/>
  <c r="N91" i="713"/>
  <c r="H61" i="817" s="1"/>
  <c r="C61" i="25"/>
  <c r="O91" i="716"/>
  <c r="I62" i="817" s="1"/>
  <c r="AC20" i="718"/>
  <c r="F63" i="817" s="1"/>
  <c r="P93" i="719"/>
  <c r="J63" i="817" s="1"/>
  <c r="N93" i="719"/>
  <c r="H63" i="817" s="1"/>
  <c r="C63" i="25"/>
  <c r="O93" i="722"/>
  <c r="I64" i="817" s="1"/>
  <c r="C64" i="25"/>
  <c r="O93" i="725"/>
  <c r="I65" i="817" s="1"/>
  <c r="C65" i="25"/>
  <c r="O93" i="728"/>
  <c r="I66" i="817" s="1"/>
  <c r="AC16" i="751"/>
  <c r="F73" i="817" s="1"/>
  <c r="AC16" i="757"/>
  <c r="F75" i="817" s="1"/>
  <c r="G92" i="620"/>
  <c r="J92"/>
  <c r="O93" i="659"/>
  <c r="I43" i="817" s="1"/>
  <c r="G93" i="659"/>
  <c r="J93"/>
  <c r="N93"/>
  <c r="H43" i="817" s="1"/>
  <c r="O93" i="662"/>
  <c r="I44" i="817" s="1"/>
  <c r="G93" i="662"/>
  <c r="J93"/>
  <c r="N93"/>
  <c r="H44" i="817" s="1"/>
  <c r="G93" i="689"/>
  <c r="I93"/>
  <c r="K93"/>
  <c r="O91" i="695"/>
  <c r="I55" i="817" s="1"/>
  <c r="G91" i="695"/>
  <c r="J91"/>
  <c r="N91"/>
  <c r="H55" i="817" s="1"/>
  <c r="F93" i="728"/>
  <c r="I93"/>
  <c r="K93"/>
  <c r="O95" i="605"/>
  <c r="I26" i="817" s="1"/>
  <c r="O95" i="608"/>
  <c r="I27" i="817" s="1"/>
  <c r="O95" i="611"/>
  <c r="I28" i="817" s="1"/>
  <c r="L92" i="611"/>
  <c r="M92" s="1"/>
  <c r="L94"/>
  <c r="M94" s="1"/>
  <c r="P95" i="614"/>
  <c r="O92" i="617"/>
  <c r="I31" i="817" s="1"/>
  <c r="L90" i="617"/>
  <c r="M90" s="1"/>
  <c r="L91"/>
  <c r="M91" s="1"/>
  <c r="O92" i="620"/>
  <c r="L91"/>
  <c r="M91" s="1"/>
  <c r="C37" i="25"/>
  <c r="C47"/>
  <c r="C48"/>
  <c r="C49"/>
  <c r="P91" i="692"/>
  <c r="J54" i="817" s="1"/>
  <c r="N91" i="692"/>
  <c r="H54" i="817" s="1"/>
  <c r="P91" i="698"/>
  <c r="J56" i="817" s="1"/>
  <c r="O91" i="704"/>
  <c r="I58" i="817" s="1"/>
  <c r="P91" i="707"/>
  <c r="J59" i="817" s="1"/>
  <c r="L90" i="710"/>
  <c r="M90" s="1"/>
  <c r="O91" i="713"/>
  <c r="I61" i="817" s="1"/>
  <c r="P91" i="716"/>
  <c r="J62" i="817" s="1"/>
  <c r="G91" i="716"/>
  <c r="AD20" i="718"/>
  <c r="G63" i="817" s="1"/>
  <c r="U20" i="718"/>
  <c r="AB20"/>
  <c r="E63" i="817" s="1"/>
  <c r="O93" i="719"/>
  <c r="I63" i="817" s="1"/>
  <c r="P93" i="722"/>
  <c r="J64" i="817" s="1"/>
  <c r="G93" i="722"/>
  <c r="N93"/>
  <c r="H64" i="817" s="1"/>
  <c r="P93" i="725"/>
  <c r="J65" i="817" s="1"/>
  <c r="G93" i="725"/>
  <c r="N93"/>
  <c r="H65" i="817" s="1"/>
  <c r="P93" i="728"/>
  <c r="J66" i="817" s="1"/>
  <c r="G93" i="728"/>
  <c r="N93"/>
  <c r="H66" i="817" s="1"/>
  <c r="AD16" i="751"/>
  <c r="G73" i="817" s="1"/>
  <c r="U16" i="751"/>
  <c r="AB16"/>
  <c r="E73" i="817" s="1"/>
  <c r="AD16" i="757"/>
  <c r="G75" i="817" s="1"/>
  <c r="U16" i="757"/>
  <c r="AB16"/>
  <c r="E75" i="817" s="1"/>
  <c r="P93" i="659"/>
  <c r="J43" i="817" s="1"/>
  <c r="F93" i="659"/>
  <c r="I93"/>
  <c r="K93"/>
  <c r="P93" i="662"/>
  <c r="J44" i="817" s="1"/>
  <c r="K93" i="662"/>
  <c r="G91" i="692"/>
  <c r="J91"/>
  <c r="P91" i="695"/>
  <c r="J55" i="817" s="1"/>
  <c r="D54" i="25"/>
  <c r="F91" i="695"/>
  <c r="I91"/>
  <c r="K91"/>
  <c r="F91" i="704"/>
  <c r="I91"/>
  <c r="K91"/>
  <c r="F93" i="719"/>
  <c r="I93"/>
  <c r="K93"/>
  <c r="C60" i="25"/>
  <c r="O91" i="701"/>
  <c r="I57" i="817" s="1"/>
  <c r="P91" i="701"/>
  <c r="J57" i="817" s="1"/>
  <c r="C43" i="25"/>
  <c r="C44"/>
  <c r="C45"/>
  <c r="C42"/>
  <c r="C40"/>
  <c r="C39"/>
  <c r="O91" i="623"/>
  <c r="I32" i="817" s="1"/>
  <c r="P91" i="623"/>
  <c r="J32" i="817" s="1"/>
  <c r="D56" i="25"/>
  <c r="D60"/>
  <c r="D62"/>
  <c r="D25"/>
  <c r="D31"/>
  <c r="D32"/>
  <c r="F91" i="635"/>
  <c r="J91"/>
  <c r="N91"/>
  <c r="H35" i="817" s="1"/>
  <c r="K93" i="656"/>
  <c r="N91" i="752"/>
  <c r="H73" i="817" s="1"/>
  <c r="C18" i="25"/>
  <c r="G93" i="602"/>
  <c r="I93"/>
  <c r="K93"/>
  <c r="F91" i="638"/>
  <c r="J91"/>
  <c r="N91"/>
  <c r="H36" i="817" s="1"/>
  <c r="F91" i="650"/>
  <c r="J91"/>
  <c r="I93" i="656"/>
  <c r="F93" i="680"/>
  <c r="J93"/>
  <c r="N93"/>
  <c r="H50" i="817" s="1"/>
  <c r="F93" i="683"/>
  <c r="J93"/>
  <c r="N93"/>
  <c r="H51" i="817" s="1"/>
  <c r="G93" i="686"/>
  <c r="I93"/>
  <c r="K93"/>
  <c r="F93" i="689"/>
  <c r="J93"/>
  <c r="N93"/>
  <c r="H53" i="817" s="1"/>
  <c r="D55" i="25"/>
  <c r="D57"/>
  <c r="F91" i="644"/>
  <c r="J91"/>
  <c r="N91"/>
  <c r="H38" i="817" s="1"/>
  <c r="F91" i="647"/>
  <c r="J91"/>
  <c r="N91"/>
  <c r="H39" i="817" s="1"/>
  <c r="F91" i="758"/>
  <c r="F95" i="593"/>
  <c r="J95"/>
  <c r="N95"/>
  <c r="H22" i="817" s="1"/>
  <c r="F95" i="578"/>
  <c r="J95"/>
  <c r="N95"/>
  <c r="H17" i="817" s="1"/>
  <c r="F95" i="581"/>
  <c r="J95"/>
  <c r="N95"/>
  <c r="H18" i="817" s="1"/>
  <c r="G93" i="656"/>
  <c r="G91" i="635"/>
  <c r="I91"/>
  <c r="K91"/>
  <c r="G91" i="638"/>
  <c r="I91"/>
  <c r="K91"/>
  <c r="F91" i="641"/>
  <c r="J91"/>
  <c r="N91"/>
  <c r="H37" i="817" s="1"/>
  <c r="G91" i="644"/>
  <c r="I91"/>
  <c r="K91"/>
  <c r="G91" i="647"/>
  <c r="I91"/>
  <c r="K91"/>
  <c r="J93" i="656"/>
  <c r="N93"/>
  <c r="H42" i="817" s="1"/>
  <c r="G93" i="665"/>
  <c r="I93"/>
  <c r="K93"/>
  <c r="G93" i="668"/>
  <c r="I93"/>
  <c r="K93"/>
  <c r="G93" i="671"/>
  <c r="F93" i="674"/>
  <c r="J93"/>
  <c r="N93"/>
  <c r="H48" i="817" s="1"/>
  <c r="G93" i="680"/>
  <c r="I93"/>
  <c r="K93"/>
  <c r="G93" i="683"/>
  <c r="I93"/>
  <c r="K93"/>
  <c r="F93" i="686"/>
  <c r="J93"/>
  <c r="N93"/>
  <c r="H52" i="817" s="1"/>
  <c r="G95" i="578"/>
  <c r="I95"/>
  <c r="K95"/>
  <c r="G95" i="581"/>
  <c r="I95"/>
  <c r="K95"/>
  <c r="F95" i="584"/>
  <c r="J95"/>
  <c r="N95"/>
  <c r="H19" i="817" s="1"/>
  <c r="I95" i="587"/>
  <c r="K95"/>
  <c r="C20" i="25"/>
  <c r="F95" i="590"/>
  <c r="J95"/>
  <c r="N95"/>
  <c r="H21" i="817" s="1"/>
  <c r="G95" i="593"/>
  <c r="I95"/>
  <c r="K95"/>
  <c r="G93" i="596"/>
  <c r="I93"/>
  <c r="K93"/>
  <c r="G93" i="599"/>
  <c r="I93"/>
  <c r="K93"/>
  <c r="F93" i="602"/>
  <c r="J93"/>
  <c r="N93"/>
  <c r="H25" i="817" s="1"/>
  <c r="N93" i="596"/>
  <c r="H23" i="817" s="1"/>
  <c r="F93" i="656"/>
  <c r="D28" i="25"/>
  <c r="J91" i="758"/>
  <c r="N91"/>
  <c r="H75" i="817" s="1"/>
  <c r="G89" i="761"/>
  <c r="G91" i="641"/>
  <c r="I91"/>
  <c r="K91"/>
  <c r="G91" i="650"/>
  <c r="I91"/>
  <c r="K91"/>
  <c r="D40" i="25"/>
  <c r="F93" i="668"/>
  <c r="J93"/>
  <c r="N93"/>
  <c r="H46" i="817" s="1"/>
  <c r="I93" i="671"/>
  <c r="K93"/>
  <c r="G93" i="674"/>
  <c r="I93"/>
  <c r="K93"/>
  <c r="F93" i="677"/>
  <c r="J93"/>
  <c r="N93"/>
  <c r="H49" i="817" s="1"/>
  <c r="I93" i="731"/>
  <c r="K93"/>
  <c r="J93" i="599"/>
  <c r="N93"/>
  <c r="H24" i="817" s="1"/>
  <c r="C75" i="25"/>
  <c r="C76" s="1"/>
  <c r="C77" s="1"/>
  <c r="C78" s="1"/>
  <c r="C79" s="1"/>
  <c r="C80" s="1"/>
  <c r="I89" i="761"/>
  <c r="K89"/>
  <c r="C84" i="25"/>
  <c r="C85" s="1"/>
  <c r="F93" i="665"/>
  <c r="J93"/>
  <c r="N93"/>
  <c r="H45" i="817" s="1"/>
  <c r="I91" i="743"/>
  <c r="K91"/>
  <c r="Q11" i="744"/>
  <c r="Q15" s="1"/>
  <c r="W11"/>
  <c r="W15" s="1"/>
  <c r="B71" i="817" s="1"/>
  <c r="C38" i="25"/>
  <c r="C31"/>
  <c r="C46"/>
  <c r="F93" i="671"/>
  <c r="H93"/>
  <c r="J93"/>
  <c r="N93"/>
  <c r="H47" i="817" s="1"/>
  <c r="C59" i="25"/>
  <c r="T11" i="738"/>
  <c r="T15" s="1"/>
  <c r="X11"/>
  <c r="X15" s="1"/>
  <c r="C69" i="817" s="1"/>
  <c r="T11" i="741"/>
  <c r="T15" s="1"/>
  <c r="X11"/>
  <c r="X15" s="1"/>
  <c r="C70" i="817" s="1"/>
  <c r="D84" i="25"/>
  <c r="D85" s="1"/>
  <c r="Q11" i="747"/>
  <c r="Q15" s="1"/>
  <c r="W11"/>
  <c r="W15" s="1"/>
  <c r="B72" i="817" s="1"/>
  <c r="Q11" i="738"/>
  <c r="Q15" s="1"/>
  <c r="W11"/>
  <c r="W15" s="1"/>
  <c r="B69" i="817" s="1"/>
  <c r="AF44" i="782"/>
  <c r="AF43"/>
  <c r="AF42"/>
  <c r="AH44"/>
  <c r="AH43"/>
  <c r="AH42"/>
  <c r="AJ44"/>
  <c r="AJ43"/>
  <c r="AJ42"/>
  <c r="AL44"/>
  <c r="AL43"/>
  <c r="AL42"/>
  <c r="AN44"/>
  <c r="AN43"/>
  <c r="AN42"/>
  <c r="AN41"/>
  <c r="AR44"/>
  <c r="AR43"/>
  <c r="AR42"/>
  <c r="AR41"/>
  <c r="AT44"/>
  <c r="AT43"/>
  <c r="AT42"/>
  <c r="AT41"/>
  <c r="AV44"/>
  <c r="AV43"/>
  <c r="AV42"/>
  <c r="AV41"/>
  <c r="AX44"/>
  <c r="AX43"/>
  <c r="AX42"/>
  <c r="AX41"/>
  <c r="AZ44"/>
  <c r="AZ43"/>
  <c r="AZ42"/>
  <c r="AZ41"/>
  <c r="L88"/>
  <c r="M88" s="1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G44"/>
  <c r="AG43"/>
  <c r="AG42"/>
  <c r="AI44"/>
  <c r="AI43"/>
  <c r="AI42"/>
  <c r="AK44"/>
  <c r="AK43"/>
  <c r="AK42"/>
  <c r="AM44"/>
  <c r="AM43"/>
  <c r="AM42"/>
  <c r="AO44"/>
  <c r="AO43"/>
  <c r="AO42"/>
  <c r="AO41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AA9" i="781"/>
  <c r="AA10" s="1"/>
  <c r="AA12" s="1"/>
  <c r="AG14" i="782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G44" i="764"/>
  <c r="AG43"/>
  <c r="AG42"/>
  <c r="AI44"/>
  <c r="AI43"/>
  <c r="AI42"/>
  <c r="AK44"/>
  <c r="AK43"/>
  <c r="AK42"/>
  <c r="AM44"/>
  <c r="AM43"/>
  <c r="AM42"/>
  <c r="AO44"/>
  <c r="AO43"/>
  <c r="AO42"/>
  <c r="AS44"/>
  <c r="AS43"/>
  <c r="AS42"/>
  <c r="AU44"/>
  <c r="AU43"/>
  <c r="AU42"/>
  <c r="AW44"/>
  <c r="AW43"/>
  <c r="AW42"/>
  <c r="AW41"/>
  <c r="AY44"/>
  <c r="AY43"/>
  <c r="AY42"/>
  <c r="AY41"/>
  <c r="BA44"/>
  <c r="BA43"/>
  <c r="BA42"/>
  <c r="BA41"/>
  <c r="AA9" i="763"/>
  <c r="AA11" s="1"/>
  <c r="AA13" s="1"/>
  <c r="AG14" i="76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F44"/>
  <c r="AF43"/>
  <c r="AF42"/>
  <c r="AH44"/>
  <c r="AH43"/>
  <c r="AH42"/>
  <c r="AJ44"/>
  <c r="AJ43"/>
  <c r="AJ42"/>
  <c r="AL44"/>
  <c r="AL43"/>
  <c r="AL42"/>
  <c r="AN44"/>
  <c r="AN43"/>
  <c r="AN42"/>
  <c r="AR44"/>
  <c r="AR43"/>
  <c r="AR42"/>
  <c r="AT44"/>
  <c r="AT43"/>
  <c r="AT42"/>
  <c r="AV44"/>
  <c r="AV43"/>
  <c r="AV42"/>
  <c r="AX44"/>
  <c r="AX43"/>
  <c r="AX42"/>
  <c r="AX41"/>
  <c r="AZ44"/>
  <c r="AZ43"/>
  <c r="AZ42"/>
  <c r="AZ41"/>
  <c r="L88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G44" i="761"/>
  <c r="AG43"/>
  <c r="AG42"/>
  <c r="AI44"/>
  <c r="AI43"/>
  <c r="AI42"/>
  <c r="AK44"/>
  <c r="AK43"/>
  <c r="AK42"/>
  <c r="AM44"/>
  <c r="AM43"/>
  <c r="AM42"/>
  <c r="AO44"/>
  <c r="AO43"/>
  <c r="AO42"/>
  <c r="AS44"/>
  <c r="AS43"/>
  <c r="AS42"/>
  <c r="AU44"/>
  <c r="AU43"/>
  <c r="AU42"/>
  <c r="AW44"/>
  <c r="AW43"/>
  <c r="AW42"/>
  <c r="AW41"/>
  <c r="AY44"/>
  <c r="AY43"/>
  <c r="AY42"/>
  <c r="AY41"/>
  <c r="BA44"/>
  <c r="BA43"/>
  <c r="BA42"/>
  <c r="BA41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F44"/>
  <c r="AF43"/>
  <c r="AF42"/>
  <c r="AH44"/>
  <c r="AH43"/>
  <c r="AH42"/>
  <c r="AJ44"/>
  <c r="AJ43"/>
  <c r="AJ42"/>
  <c r="AL44"/>
  <c r="AL43"/>
  <c r="AL42"/>
  <c r="AN44"/>
  <c r="AN43"/>
  <c r="AN42"/>
  <c r="AR44"/>
  <c r="AR43"/>
  <c r="AR42"/>
  <c r="AT44"/>
  <c r="AT43"/>
  <c r="AT42"/>
  <c r="AV44"/>
  <c r="AV43"/>
  <c r="AV42"/>
  <c r="AX44"/>
  <c r="AX43"/>
  <c r="AX42"/>
  <c r="AX41"/>
  <c r="AZ44"/>
  <c r="AZ43"/>
  <c r="AZ42"/>
  <c r="AZ41"/>
  <c r="L88"/>
  <c r="T11" i="747"/>
  <c r="T15" s="1"/>
  <c r="X11"/>
  <c r="X15" s="1"/>
  <c r="C72" i="817" s="1"/>
  <c r="C73" i="25"/>
  <c r="AF14" i="761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G45" i="758"/>
  <c r="AG44"/>
  <c r="AG43"/>
  <c r="AI45"/>
  <c r="AI44"/>
  <c r="AI43"/>
  <c r="AK45"/>
  <c r="AK44"/>
  <c r="AK43"/>
  <c r="AM45"/>
  <c r="AM44"/>
  <c r="AM43"/>
  <c r="AO45"/>
  <c r="AO44"/>
  <c r="AO43"/>
  <c r="AS45"/>
  <c r="AS44"/>
  <c r="AS43"/>
  <c r="AU45"/>
  <c r="AU44"/>
  <c r="AU43"/>
  <c r="AW45"/>
  <c r="AW44"/>
  <c r="AW43"/>
  <c r="AW42"/>
  <c r="AY45"/>
  <c r="AY44"/>
  <c r="AY43"/>
  <c r="AY42"/>
  <c r="BA45"/>
  <c r="BA44"/>
  <c r="BA43"/>
  <c r="BA42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Z41"/>
  <c r="AH42"/>
  <c r="AF45"/>
  <c r="AF44"/>
  <c r="AH45"/>
  <c r="AH44"/>
  <c r="AJ45"/>
  <c r="AJ44"/>
  <c r="AJ43"/>
  <c r="AL45"/>
  <c r="AL44"/>
  <c r="AL43"/>
  <c r="AN45"/>
  <c r="AN44"/>
  <c r="AN43"/>
  <c r="AR45"/>
  <c r="AR44"/>
  <c r="AR43"/>
  <c r="AT45"/>
  <c r="AT44"/>
  <c r="AT43"/>
  <c r="AV45"/>
  <c r="AV44"/>
  <c r="AV43"/>
  <c r="AX45"/>
  <c r="AX44"/>
  <c r="AX43"/>
  <c r="AZ45"/>
  <c r="AZ44"/>
  <c r="AZ43"/>
  <c r="L90"/>
  <c r="M90" s="1"/>
  <c r="L89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X42"/>
  <c r="AF43"/>
  <c r="AF45" i="755"/>
  <c r="AF44"/>
  <c r="AF43"/>
  <c r="AH45"/>
  <c r="AH44"/>
  <c r="AH43"/>
  <c r="AJ45"/>
  <c r="AJ44"/>
  <c r="AJ43"/>
  <c r="AL45"/>
  <c r="AL44"/>
  <c r="AL43"/>
  <c r="AN45"/>
  <c r="AN44"/>
  <c r="AN43"/>
  <c r="AR45"/>
  <c r="AR44"/>
  <c r="AR43"/>
  <c r="AT45"/>
  <c r="AT44"/>
  <c r="AT43"/>
  <c r="AV45"/>
  <c r="AV44"/>
  <c r="AV43"/>
  <c r="AX45"/>
  <c r="AX44"/>
  <c r="AX43"/>
  <c r="AZ45"/>
  <c r="AZ44"/>
  <c r="AZ43"/>
  <c r="AZ42"/>
  <c r="L90"/>
  <c r="M90" s="1"/>
  <c r="L89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X42"/>
  <c r="AG45"/>
  <c r="AG44"/>
  <c r="AG43"/>
  <c r="AI45"/>
  <c r="AI44"/>
  <c r="AI43"/>
  <c r="AK45"/>
  <c r="AK44"/>
  <c r="AK43"/>
  <c r="AM45"/>
  <c r="AM44"/>
  <c r="AM43"/>
  <c r="AO45"/>
  <c r="AO44"/>
  <c r="AO43"/>
  <c r="AS45"/>
  <c r="AS44"/>
  <c r="AS43"/>
  <c r="AU45"/>
  <c r="AU44"/>
  <c r="AU43"/>
  <c r="AW45"/>
  <c r="AW44"/>
  <c r="AW43"/>
  <c r="AW42"/>
  <c r="AY45"/>
  <c r="AY44"/>
  <c r="AY43"/>
  <c r="AY42"/>
  <c r="BA45"/>
  <c r="BA44"/>
  <c r="BA43"/>
  <c r="BA42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T42"/>
  <c r="AV42"/>
  <c r="AG45" i="752"/>
  <c r="AG44"/>
  <c r="AG43"/>
  <c r="AI45"/>
  <c r="AI44"/>
  <c r="AI43"/>
  <c r="AK45"/>
  <c r="AK44"/>
  <c r="AK43"/>
  <c r="AM45"/>
  <c r="AM44"/>
  <c r="AM43"/>
  <c r="AO45"/>
  <c r="AO44"/>
  <c r="AO43"/>
  <c r="AS45"/>
  <c r="AS44"/>
  <c r="AS43"/>
  <c r="AU45"/>
  <c r="AU44"/>
  <c r="AU43"/>
  <c r="AW45"/>
  <c r="AW44"/>
  <c r="AW43"/>
  <c r="AW42"/>
  <c r="AY45"/>
  <c r="AY44"/>
  <c r="AY43"/>
  <c r="AY42"/>
  <c r="BA45"/>
  <c r="BA44"/>
  <c r="BA43"/>
  <c r="BA42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F45"/>
  <c r="AF44"/>
  <c r="AF43"/>
  <c r="AH45"/>
  <c r="AH44"/>
  <c r="AH43"/>
  <c r="AJ45"/>
  <c r="AJ44"/>
  <c r="AJ43"/>
  <c r="AL45"/>
  <c r="AL44"/>
  <c r="AL43"/>
  <c r="AN45"/>
  <c r="AN44"/>
  <c r="AN43"/>
  <c r="AR45"/>
  <c r="AR44"/>
  <c r="AR43"/>
  <c r="AT45"/>
  <c r="AT44"/>
  <c r="AT43"/>
  <c r="AV45"/>
  <c r="AV44"/>
  <c r="AV43"/>
  <c r="AX45"/>
  <c r="AX44"/>
  <c r="AX43"/>
  <c r="AX42"/>
  <c r="AZ45"/>
  <c r="AZ44"/>
  <c r="AZ43"/>
  <c r="AZ42"/>
  <c r="L90"/>
  <c r="M90" s="1"/>
  <c r="L89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G45" i="749"/>
  <c r="AG44"/>
  <c r="AG43"/>
  <c r="AG21"/>
  <c r="AG20"/>
  <c r="AG19"/>
  <c r="AG18"/>
  <c r="AG17"/>
  <c r="AG42"/>
  <c r="AG41"/>
  <c r="AG40"/>
  <c r="AG39"/>
  <c r="AG38"/>
  <c r="AG37"/>
  <c r="AG34"/>
  <c r="AG33"/>
  <c r="AG32"/>
  <c r="AG31"/>
  <c r="AG30"/>
  <c r="AG29"/>
  <c r="AG28"/>
  <c r="AG27"/>
  <c r="AG26"/>
  <c r="AG23"/>
  <c r="AG22"/>
  <c r="AI45"/>
  <c r="AI44"/>
  <c r="AI43"/>
  <c r="AI21"/>
  <c r="AI20"/>
  <c r="AI19"/>
  <c r="AI18"/>
  <c r="AI17"/>
  <c r="AI42"/>
  <c r="AI41"/>
  <c r="AI40"/>
  <c r="AI39"/>
  <c r="AI38"/>
  <c r="AI37"/>
  <c r="AI34"/>
  <c r="AI33"/>
  <c r="AI32"/>
  <c r="AI31"/>
  <c r="AI30"/>
  <c r="AI29"/>
  <c r="AI28"/>
  <c r="AI27"/>
  <c r="AI26"/>
  <c r="AI23"/>
  <c r="AI22"/>
  <c r="AK45"/>
  <c r="AK44"/>
  <c r="AK43"/>
  <c r="AK21"/>
  <c r="AK20"/>
  <c r="AK19"/>
  <c r="AK18"/>
  <c r="AK17"/>
  <c r="AK42"/>
  <c r="AK41"/>
  <c r="AK40"/>
  <c r="AK39"/>
  <c r="AK38"/>
  <c r="AK37"/>
  <c r="AK34"/>
  <c r="AK33"/>
  <c r="AK32"/>
  <c r="AK31"/>
  <c r="AK30"/>
  <c r="AK29"/>
  <c r="AK28"/>
  <c r="AK27"/>
  <c r="AK26"/>
  <c r="AK23"/>
  <c r="AK22"/>
  <c r="AM45"/>
  <c r="AM44"/>
  <c r="AM43"/>
  <c r="AM21"/>
  <c r="AM20"/>
  <c r="AM19"/>
  <c r="AM18"/>
  <c r="AM17"/>
  <c r="AM42"/>
  <c r="AM41"/>
  <c r="AM40"/>
  <c r="AM39"/>
  <c r="AM38"/>
  <c r="AM37"/>
  <c r="AM34"/>
  <c r="AM33"/>
  <c r="AM32"/>
  <c r="AM31"/>
  <c r="AM30"/>
  <c r="AM29"/>
  <c r="AM28"/>
  <c r="AM27"/>
  <c r="AM26"/>
  <c r="AM23"/>
  <c r="AM22"/>
  <c r="AO45"/>
  <c r="AO44"/>
  <c r="AO43"/>
  <c r="AO21"/>
  <c r="AO20"/>
  <c r="AO19"/>
  <c r="AO18"/>
  <c r="AO17"/>
  <c r="AO42"/>
  <c r="AO41"/>
  <c r="AO40"/>
  <c r="AO39"/>
  <c r="AO38"/>
  <c r="AO37"/>
  <c r="AO34"/>
  <c r="AO33"/>
  <c r="AO32"/>
  <c r="AO31"/>
  <c r="AO30"/>
  <c r="AO29"/>
  <c r="AO28"/>
  <c r="AO27"/>
  <c r="AO26"/>
  <c r="AO23"/>
  <c r="AO22"/>
  <c r="AS45"/>
  <c r="AS44"/>
  <c r="AS43"/>
  <c r="AS21"/>
  <c r="AS20"/>
  <c r="AS19"/>
  <c r="AS18"/>
  <c r="AS17"/>
  <c r="AS42"/>
  <c r="AS41"/>
  <c r="AS40"/>
  <c r="AS39"/>
  <c r="AS38"/>
  <c r="AS37"/>
  <c r="AS34"/>
  <c r="AS33"/>
  <c r="AS32"/>
  <c r="AS31"/>
  <c r="AS30"/>
  <c r="AS29"/>
  <c r="AS28"/>
  <c r="AS27"/>
  <c r="AS26"/>
  <c r="AS23"/>
  <c r="AS22"/>
  <c r="AU45"/>
  <c r="AU44"/>
  <c r="AU43"/>
  <c r="AU21"/>
  <c r="AU20"/>
  <c r="AU19"/>
  <c r="AU18"/>
  <c r="AU17"/>
  <c r="AU42"/>
  <c r="AU41"/>
  <c r="AU40"/>
  <c r="AU39"/>
  <c r="AU38"/>
  <c r="AU37"/>
  <c r="AU34"/>
  <c r="AU33"/>
  <c r="AU32"/>
  <c r="AU31"/>
  <c r="AU30"/>
  <c r="AU29"/>
  <c r="AU28"/>
  <c r="AU27"/>
  <c r="AU26"/>
  <c r="AU23"/>
  <c r="AU22"/>
  <c r="AW45"/>
  <c r="AW44"/>
  <c r="AW43"/>
  <c r="AW42"/>
  <c r="AW21"/>
  <c r="AW20"/>
  <c r="AW19"/>
  <c r="AW18"/>
  <c r="AW17"/>
  <c r="AW16"/>
  <c r="AW41"/>
  <c r="AW40"/>
  <c r="AW39"/>
  <c r="AW38"/>
  <c r="AW37"/>
  <c r="AW34"/>
  <c r="AW33"/>
  <c r="AW32"/>
  <c r="AW31"/>
  <c r="AW30"/>
  <c r="AW29"/>
  <c r="AW28"/>
  <c r="AW27"/>
  <c r="AW26"/>
  <c r="AW23"/>
  <c r="AW22"/>
  <c r="AY45"/>
  <c r="AY44"/>
  <c r="AY43"/>
  <c r="AY42"/>
  <c r="AY21"/>
  <c r="AY20"/>
  <c r="AY19"/>
  <c r="AY18"/>
  <c r="AY17"/>
  <c r="AY16"/>
  <c r="AY41"/>
  <c r="AY40"/>
  <c r="AY39"/>
  <c r="AY38"/>
  <c r="AY37"/>
  <c r="AY34"/>
  <c r="AY33"/>
  <c r="AY32"/>
  <c r="AY31"/>
  <c r="AY30"/>
  <c r="AY29"/>
  <c r="AY28"/>
  <c r="AY27"/>
  <c r="AY26"/>
  <c r="AY23"/>
  <c r="AY22"/>
  <c r="BA45"/>
  <c r="BA44"/>
  <c r="BA43"/>
  <c r="BA42"/>
  <c r="BA21"/>
  <c r="BA20"/>
  <c r="BA19"/>
  <c r="BA18"/>
  <c r="BA17"/>
  <c r="BA16"/>
  <c r="BA41"/>
  <c r="BA40"/>
  <c r="BA39"/>
  <c r="BA38"/>
  <c r="BA37"/>
  <c r="BA34"/>
  <c r="BA33"/>
  <c r="BA32"/>
  <c r="BA31"/>
  <c r="BA30"/>
  <c r="BA29"/>
  <c r="BA28"/>
  <c r="BA27"/>
  <c r="BA26"/>
  <c r="BA23"/>
  <c r="BA22"/>
  <c r="AA9" i="748"/>
  <c r="AA10" s="1"/>
  <c r="AA13"/>
  <c r="AA14" s="1"/>
  <c r="AG15" i="749"/>
  <c r="AI15"/>
  <c r="AK15"/>
  <c r="AM15"/>
  <c r="AO15"/>
  <c r="AS15"/>
  <c r="AU15"/>
  <c r="AW15"/>
  <c r="AY15"/>
  <c r="BA15"/>
  <c r="AG16"/>
  <c r="AI16"/>
  <c r="AK16"/>
  <c r="AM16"/>
  <c r="AO16"/>
  <c r="AS16"/>
  <c r="AU16"/>
  <c r="AF42"/>
  <c r="AF41"/>
  <c r="AF40"/>
  <c r="AF39"/>
  <c r="AF38"/>
  <c r="AF37"/>
  <c r="AF34"/>
  <c r="AF33"/>
  <c r="AF32"/>
  <c r="AF31"/>
  <c r="AF30"/>
  <c r="AF29"/>
  <c r="AF28"/>
  <c r="AF27"/>
  <c r="AF26"/>
  <c r="AF23"/>
  <c r="AF22"/>
  <c r="AF45"/>
  <c r="AF44"/>
  <c r="AF43"/>
  <c r="AF21"/>
  <c r="AF20"/>
  <c r="AF19"/>
  <c r="AF18"/>
  <c r="AF17"/>
  <c r="AH45"/>
  <c r="AH44"/>
  <c r="AH43"/>
  <c r="AH42"/>
  <c r="AH41"/>
  <c r="AH40"/>
  <c r="AH39"/>
  <c r="AH38"/>
  <c r="AH37"/>
  <c r="AH34"/>
  <c r="AH33"/>
  <c r="AH32"/>
  <c r="AH31"/>
  <c r="AH30"/>
  <c r="AH29"/>
  <c r="AH28"/>
  <c r="AH27"/>
  <c r="AH26"/>
  <c r="AH23"/>
  <c r="AH22"/>
  <c r="AH21"/>
  <c r="AH20"/>
  <c r="AH19"/>
  <c r="AH18"/>
  <c r="AH17"/>
  <c r="AJ42"/>
  <c r="AJ41"/>
  <c r="AJ40"/>
  <c r="AJ39"/>
  <c r="AJ38"/>
  <c r="AJ37"/>
  <c r="AJ34"/>
  <c r="AJ33"/>
  <c r="AJ32"/>
  <c r="AJ31"/>
  <c r="AJ30"/>
  <c r="AJ29"/>
  <c r="AJ28"/>
  <c r="AJ27"/>
  <c r="AJ26"/>
  <c r="AJ23"/>
  <c r="AJ22"/>
  <c r="AJ45"/>
  <c r="AJ44"/>
  <c r="AJ43"/>
  <c r="AJ21"/>
  <c r="AJ20"/>
  <c r="AJ19"/>
  <c r="AJ18"/>
  <c r="AJ17"/>
  <c r="AL45"/>
  <c r="AL44"/>
  <c r="AL43"/>
  <c r="AL42"/>
  <c r="AL41"/>
  <c r="AL40"/>
  <c r="AL39"/>
  <c r="AL38"/>
  <c r="AL37"/>
  <c r="AL34"/>
  <c r="AL33"/>
  <c r="AL32"/>
  <c r="AL31"/>
  <c r="AL30"/>
  <c r="AL29"/>
  <c r="AL28"/>
  <c r="AL27"/>
  <c r="AL26"/>
  <c r="AL23"/>
  <c r="AL22"/>
  <c r="AL21"/>
  <c r="AL20"/>
  <c r="AL19"/>
  <c r="AL18"/>
  <c r="AL17"/>
  <c r="AN42"/>
  <c r="AN41"/>
  <c r="AN40"/>
  <c r="AN39"/>
  <c r="AN38"/>
  <c r="AN37"/>
  <c r="AN34"/>
  <c r="AN33"/>
  <c r="AN32"/>
  <c r="AN31"/>
  <c r="AN30"/>
  <c r="AN29"/>
  <c r="AN28"/>
  <c r="AN27"/>
  <c r="AN26"/>
  <c r="AN23"/>
  <c r="AN22"/>
  <c r="AN45"/>
  <c r="AN44"/>
  <c r="AN43"/>
  <c r="AN21"/>
  <c r="AN20"/>
  <c r="AN19"/>
  <c r="AN18"/>
  <c r="AN17"/>
  <c r="AR45"/>
  <c r="AR44"/>
  <c r="AR43"/>
  <c r="AR42"/>
  <c r="AR41"/>
  <c r="AR40"/>
  <c r="AR39"/>
  <c r="AR38"/>
  <c r="AR37"/>
  <c r="AR34"/>
  <c r="AR33"/>
  <c r="AR32"/>
  <c r="AR31"/>
  <c r="AR30"/>
  <c r="AR29"/>
  <c r="AR28"/>
  <c r="AR27"/>
  <c r="AR26"/>
  <c r="AR23"/>
  <c r="AR22"/>
  <c r="AR21"/>
  <c r="AR20"/>
  <c r="AR19"/>
  <c r="AR18"/>
  <c r="AR17"/>
  <c r="AT42"/>
  <c r="AT41"/>
  <c r="AT40"/>
  <c r="AT39"/>
  <c r="AT38"/>
  <c r="AT37"/>
  <c r="AT34"/>
  <c r="AT33"/>
  <c r="AT32"/>
  <c r="AT31"/>
  <c r="AT30"/>
  <c r="AT29"/>
  <c r="AT28"/>
  <c r="AT27"/>
  <c r="AT26"/>
  <c r="AT23"/>
  <c r="AT22"/>
  <c r="AT45"/>
  <c r="AT44"/>
  <c r="AT43"/>
  <c r="AT21"/>
  <c r="AT20"/>
  <c r="AT19"/>
  <c r="AT18"/>
  <c r="AT17"/>
  <c r="AV45"/>
  <c r="AV44"/>
  <c r="AV43"/>
  <c r="AV42"/>
  <c r="AV41"/>
  <c r="AV40"/>
  <c r="AV39"/>
  <c r="AV38"/>
  <c r="AV37"/>
  <c r="AV34"/>
  <c r="AV33"/>
  <c r="AV32"/>
  <c r="AV31"/>
  <c r="AV30"/>
  <c r="AV29"/>
  <c r="AV28"/>
  <c r="AV27"/>
  <c r="AV26"/>
  <c r="AV23"/>
  <c r="AV22"/>
  <c r="AV21"/>
  <c r="AV20"/>
  <c r="AV19"/>
  <c r="AV18"/>
  <c r="AV17"/>
  <c r="AX41"/>
  <c r="AX40"/>
  <c r="AX39"/>
  <c r="AX38"/>
  <c r="AX37"/>
  <c r="AX34"/>
  <c r="AX33"/>
  <c r="AX32"/>
  <c r="AX31"/>
  <c r="AX30"/>
  <c r="AX29"/>
  <c r="AX28"/>
  <c r="AX27"/>
  <c r="AX26"/>
  <c r="AX23"/>
  <c r="AX22"/>
  <c r="AX45"/>
  <c r="AX44"/>
  <c r="AX43"/>
  <c r="AX42"/>
  <c r="AX21"/>
  <c r="AX20"/>
  <c r="AX19"/>
  <c r="AX18"/>
  <c r="AX17"/>
  <c r="AZ45"/>
  <c r="AZ44"/>
  <c r="AZ43"/>
  <c r="AZ42"/>
  <c r="AZ41"/>
  <c r="AZ40"/>
  <c r="AZ39"/>
  <c r="AZ38"/>
  <c r="AZ37"/>
  <c r="AZ34"/>
  <c r="AZ33"/>
  <c r="AZ32"/>
  <c r="AZ31"/>
  <c r="AZ30"/>
  <c r="AZ29"/>
  <c r="AZ28"/>
  <c r="AZ27"/>
  <c r="AZ26"/>
  <c r="AZ23"/>
  <c r="AZ22"/>
  <c r="AZ21"/>
  <c r="AZ20"/>
  <c r="AZ19"/>
  <c r="AZ18"/>
  <c r="AZ17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Z16"/>
  <c r="L90"/>
  <c r="M90" s="1"/>
  <c r="L89"/>
  <c r="T11" i="744"/>
  <c r="T15" s="1"/>
  <c r="X11"/>
  <c r="X15" s="1"/>
  <c r="C71" i="817" s="1"/>
  <c r="Q11" i="741"/>
  <c r="Q15" s="1"/>
  <c r="W11"/>
  <c r="W15" s="1"/>
  <c r="B70" i="817" s="1"/>
  <c r="AA9" i="745"/>
  <c r="AA10" s="1"/>
  <c r="AF45" i="746"/>
  <c r="AF44"/>
  <c r="AF43"/>
  <c r="AH45"/>
  <c r="AH44"/>
  <c r="AH43"/>
  <c r="AJ45"/>
  <c r="AJ44"/>
  <c r="AJ43"/>
  <c r="AL45"/>
  <c r="AL44"/>
  <c r="AL43"/>
  <c r="AN45"/>
  <c r="AN44"/>
  <c r="AN43"/>
  <c r="AR45"/>
  <c r="AR44"/>
  <c r="AR43"/>
  <c r="AT45"/>
  <c r="AT44"/>
  <c r="AT43"/>
  <c r="AV45"/>
  <c r="AV44"/>
  <c r="AV43"/>
  <c r="AX45"/>
  <c r="AX44"/>
  <c r="AX43"/>
  <c r="AZ45"/>
  <c r="AZ44"/>
  <c r="AZ43"/>
  <c r="AZ42"/>
  <c r="L90"/>
  <c r="M90" s="1"/>
  <c r="L89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X42"/>
  <c r="AG45"/>
  <c r="AG44"/>
  <c r="AG43"/>
  <c r="AI45"/>
  <c r="AI44"/>
  <c r="AI43"/>
  <c r="AK45"/>
  <c r="AK44"/>
  <c r="AK43"/>
  <c r="AM45"/>
  <c r="AM44"/>
  <c r="AM43"/>
  <c r="AO45"/>
  <c r="AO44"/>
  <c r="AO43"/>
  <c r="AS45"/>
  <c r="AS44"/>
  <c r="AS43"/>
  <c r="AU45"/>
  <c r="AU44"/>
  <c r="AU43"/>
  <c r="AW45"/>
  <c r="AW44"/>
  <c r="AW43"/>
  <c r="AW42"/>
  <c r="AY45"/>
  <c r="AY44"/>
  <c r="AY43"/>
  <c r="AY42"/>
  <c r="BA45"/>
  <c r="BA44"/>
  <c r="BA43"/>
  <c r="BA42"/>
  <c r="AA13" i="745"/>
  <c r="AA14" s="1"/>
  <c r="AG15" i="746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T42"/>
  <c r="AV42"/>
  <c r="AA9" i="742"/>
  <c r="AA10" s="1"/>
  <c r="C69" i="25"/>
  <c r="AF45" i="743"/>
  <c r="AF44"/>
  <c r="AF43"/>
  <c r="AH45"/>
  <c r="AH44"/>
  <c r="AH43"/>
  <c r="AJ45"/>
  <c r="AJ44"/>
  <c r="AJ43"/>
  <c r="AL45"/>
  <c r="AL44"/>
  <c r="AL43"/>
  <c r="AN45"/>
  <c r="AN44"/>
  <c r="AN43"/>
  <c r="AR45"/>
  <c r="AR44"/>
  <c r="AR43"/>
  <c r="AT45"/>
  <c r="AT44"/>
  <c r="AT43"/>
  <c r="AV45"/>
  <c r="AV44"/>
  <c r="AV43"/>
  <c r="AX45"/>
  <c r="AX44"/>
  <c r="AX43"/>
  <c r="AX42"/>
  <c r="AZ45"/>
  <c r="AZ44"/>
  <c r="AZ43"/>
  <c r="AZ42"/>
  <c r="L90"/>
  <c r="M90" s="1"/>
  <c r="L89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G45"/>
  <c r="AG44"/>
  <c r="AG43"/>
  <c r="AI45"/>
  <c r="AI44"/>
  <c r="AI43"/>
  <c r="AK45"/>
  <c r="AK44"/>
  <c r="AK43"/>
  <c r="AM45"/>
  <c r="AM44"/>
  <c r="AM43"/>
  <c r="AO45"/>
  <c r="AO44"/>
  <c r="AO43"/>
  <c r="AS45"/>
  <c r="AS44"/>
  <c r="AS43"/>
  <c r="AU45"/>
  <c r="AU44"/>
  <c r="AU43"/>
  <c r="AW45"/>
  <c r="AW44"/>
  <c r="AW43"/>
  <c r="AY45"/>
  <c r="AY44"/>
  <c r="AY43"/>
  <c r="AY42"/>
  <c r="BA45"/>
  <c r="BA44"/>
  <c r="BA43"/>
  <c r="BA42"/>
  <c r="AA13" i="742"/>
  <c r="AA14" s="1"/>
  <c r="AA15" s="1"/>
  <c r="AG15" i="743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T42"/>
  <c r="AV42"/>
  <c r="E85" i="25"/>
  <c r="AG45" i="740"/>
  <c r="AG44"/>
  <c r="AG43"/>
  <c r="AI45"/>
  <c r="AI44"/>
  <c r="AI43"/>
  <c r="AK45"/>
  <c r="AK44"/>
  <c r="AK43"/>
  <c r="AM45"/>
  <c r="AM44"/>
  <c r="AM43"/>
  <c r="AO45"/>
  <c r="AO44"/>
  <c r="AO43"/>
  <c r="AS45"/>
  <c r="AS44"/>
  <c r="AS43"/>
  <c r="AU45"/>
  <c r="AU44"/>
  <c r="AU43"/>
  <c r="AW45"/>
  <c r="AW44"/>
  <c r="AW43"/>
  <c r="AW42"/>
  <c r="AY45"/>
  <c r="AY44"/>
  <c r="AY43"/>
  <c r="AY42"/>
  <c r="BA45"/>
  <c r="BA44"/>
  <c r="BA43"/>
  <c r="BA42"/>
  <c r="AA13" i="739"/>
  <c r="AA14" s="1"/>
  <c r="AG15" i="740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F45"/>
  <c r="AF44"/>
  <c r="AF43"/>
  <c r="AH45"/>
  <c r="AH44"/>
  <c r="AH43"/>
  <c r="AJ45"/>
  <c r="AJ44"/>
  <c r="AJ43"/>
  <c r="AL45"/>
  <c r="AL44"/>
  <c r="AL43"/>
  <c r="AN45"/>
  <c r="AN44"/>
  <c r="AN43"/>
  <c r="AR45"/>
  <c r="AR44"/>
  <c r="AR43"/>
  <c r="AT45"/>
  <c r="AT44"/>
  <c r="AT43"/>
  <c r="AV45"/>
  <c r="AV44"/>
  <c r="AV43"/>
  <c r="AX45"/>
  <c r="AX44"/>
  <c r="AX43"/>
  <c r="AX42"/>
  <c r="AZ45"/>
  <c r="AZ44"/>
  <c r="AZ43"/>
  <c r="AZ42"/>
  <c r="L90"/>
  <c r="M90" s="1"/>
  <c r="L89"/>
  <c r="AA9" i="739"/>
  <c r="AA10" s="1"/>
  <c r="AF15" i="740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G45" i="737"/>
  <c r="AG44"/>
  <c r="AG43"/>
  <c r="AI45"/>
  <c r="AI44"/>
  <c r="AI43"/>
  <c r="AK45"/>
  <c r="AK44"/>
  <c r="AK43"/>
  <c r="AM45"/>
  <c r="AM44"/>
  <c r="AM43"/>
  <c r="AO45"/>
  <c r="AO44"/>
  <c r="AO43"/>
  <c r="AS45"/>
  <c r="AS44"/>
  <c r="AS43"/>
  <c r="AU45"/>
  <c r="AU44"/>
  <c r="AU43"/>
  <c r="AW45"/>
  <c r="AW44"/>
  <c r="AW43"/>
  <c r="AW42"/>
  <c r="AY45"/>
  <c r="AY44"/>
  <c r="AY43"/>
  <c r="AY42"/>
  <c r="BA45"/>
  <c r="BA44"/>
  <c r="BA43"/>
  <c r="BA42"/>
  <c r="AA13" i="736"/>
  <c r="AA14" s="1"/>
  <c r="AG15" i="737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F45"/>
  <c r="AF44"/>
  <c r="AF43"/>
  <c r="AH45"/>
  <c r="AH44"/>
  <c r="AH43"/>
  <c r="AJ45"/>
  <c r="AJ44"/>
  <c r="AJ43"/>
  <c r="AL45"/>
  <c r="AL44"/>
  <c r="AL43"/>
  <c r="AN45"/>
  <c r="AN44"/>
  <c r="AN43"/>
  <c r="AR45"/>
  <c r="AR44"/>
  <c r="AR43"/>
  <c r="AT45"/>
  <c r="AT44"/>
  <c r="AT43"/>
  <c r="AV45"/>
  <c r="AV44"/>
  <c r="AV43"/>
  <c r="AX45"/>
  <c r="AX44"/>
  <c r="AX43"/>
  <c r="AX42"/>
  <c r="AZ45"/>
  <c r="AZ44"/>
  <c r="AZ43"/>
  <c r="AZ42"/>
  <c r="L90"/>
  <c r="M90" s="1"/>
  <c r="L89"/>
  <c r="O93" i="731"/>
  <c r="I67" i="817" s="1"/>
  <c r="AA9" i="736"/>
  <c r="AA10" s="1"/>
  <c r="AF15" i="737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C67" i="25"/>
  <c r="AF46" i="734"/>
  <c r="AF45"/>
  <c r="AF44"/>
  <c r="AH46"/>
  <c r="AH45"/>
  <c r="AH44"/>
  <c r="AJ46"/>
  <c r="AJ45"/>
  <c r="AJ44"/>
  <c r="AL46"/>
  <c r="AL45"/>
  <c r="AL44"/>
  <c r="AN46"/>
  <c r="AN45"/>
  <c r="AN44"/>
  <c r="AR46"/>
  <c r="AR45"/>
  <c r="AR44"/>
  <c r="AT46"/>
  <c r="AT45"/>
  <c r="AT44"/>
  <c r="AV46"/>
  <c r="AV45"/>
  <c r="AV44"/>
  <c r="AX46"/>
  <c r="AX45"/>
  <c r="AX44"/>
  <c r="AZ46"/>
  <c r="AZ45"/>
  <c r="AZ44"/>
  <c r="AZ43"/>
  <c r="L92"/>
  <c r="M92" s="1"/>
  <c r="L91"/>
  <c r="M91" s="1"/>
  <c r="L90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K23"/>
  <c r="AM23"/>
  <c r="AO23"/>
  <c r="AS23"/>
  <c r="AU23"/>
  <c r="AW23"/>
  <c r="AY23"/>
  <c r="BA23"/>
  <c r="AG24"/>
  <c r="AI24"/>
  <c r="AK24"/>
  <c r="AM24"/>
  <c r="AO24"/>
  <c r="AS24"/>
  <c r="AU24"/>
  <c r="AW24"/>
  <c r="AY24"/>
  <c r="BA24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X43"/>
  <c r="AG46"/>
  <c r="AG45"/>
  <c r="AG44"/>
  <c r="AI46"/>
  <c r="AI45"/>
  <c r="AI44"/>
  <c r="AK46"/>
  <c r="AK45"/>
  <c r="AK44"/>
  <c r="AM46"/>
  <c r="AM45"/>
  <c r="AM44"/>
  <c r="AO46"/>
  <c r="AO45"/>
  <c r="AO44"/>
  <c r="AS46"/>
  <c r="AS45"/>
  <c r="AS44"/>
  <c r="AU46"/>
  <c r="AU45"/>
  <c r="AU44"/>
  <c r="AW46"/>
  <c r="AW45"/>
  <c r="AW44"/>
  <c r="AW43"/>
  <c r="AY46"/>
  <c r="AY45"/>
  <c r="AY44"/>
  <c r="AY43"/>
  <c r="BA46"/>
  <c r="BA45"/>
  <c r="BA44"/>
  <c r="BA43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F23"/>
  <c r="AH23"/>
  <c r="AJ23"/>
  <c r="AL23"/>
  <c r="AN23"/>
  <c r="AR23"/>
  <c r="AT23"/>
  <c r="AV23"/>
  <c r="AX23"/>
  <c r="AZ23"/>
  <c r="AF24"/>
  <c r="AH24"/>
  <c r="AJ24"/>
  <c r="AL24"/>
  <c r="AN24"/>
  <c r="AR24"/>
  <c r="AT24"/>
  <c r="AV24"/>
  <c r="AX24"/>
  <c r="AZ24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T42"/>
  <c r="AV42"/>
  <c r="AX42"/>
  <c r="AZ42"/>
  <c r="AF43"/>
  <c r="AH43"/>
  <c r="AJ43"/>
  <c r="AL43"/>
  <c r="AN43"/>
  <c r="AR43"/>
  <c r="AT43"/>
  <c r="AV43"/>
  <c r="P93" i="731"/>
  <c r="J67" i="817" s="1"/>
  <c r="AG46" i="731"/>
  <c r="AG45"/>
  <c r="AG44"/>
  <c r="AI46"/>
  <c r="AI45"/>
  <c r="AI44"/>
  <c r="AK46"/>
  <c r="AK45"/>
  <c r="AK44"/>
  <c r="AM46"/>
  <c r="AM45"/>
  <c r="AM44"/>
  <c r="AO46"/>
  <c r="AO45"/>
  <c r="AO44"/>
  <c r="AS46"/>
  <c r="AS45"/>
  <c r="AS44"/>
  <c r="AS43"/>
  <c r="AU46"/>
  <c r="AU45"/>
  <c r="AU44"/>
  <c r="AU43"/>
  <c r="AW46"/>
  <c r="AW45"/>
  <c r="AW44"/>
  <c r="AW43"/>
  <c r="AY46"/>
  <c r="AY45"/>
  <c r="AY44"/>
  <c r="AY43"/>
  <c r="BA46"/>
  <c r="BA45"/>
  <c r="BA44"/>
  <c r="BA43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F23"/>
  <c r="AH23"/>
  <c r="AJ23"/>
  <c r="AL23"/>
  <c r="AN23"/>
  <c r="AR23"/>
  <c r="AT23"/>
  <c r="AV23"/>
  <c r="AX23"/>
  <c r="AZ23"/>
  <c r="AF24"/>
  <c r="AH24"/>
  <c r="AJ24"/>
  <c r="AL24"/>
  <c r="AN24"/>
  <c r="AR24"/>
  <c r="AT24"/>
  <c r="AV24"/>
  <c r="AX24"/>
  <c r="AZ24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F46"/>
  <c r="AF45"/>
  <c r="AF44"/>
  <c r="AH46"/>
  <c r="AH45"/>
  <c r="AH44"/>
  <c r="AJ46"/>
  <c r="AJ45"/>
  <c r="AJ44"/>
  <c r="AL46"/>
  <c r="AL45"/>
  <c r="AL44"/>
  <c r="AN46"/>
  <c r="AN45"/>
  <c r="AN44"/>
  <c r="AR46"/>
  <c r="AR45"/>
  <c r="AR44"/>
  <c r="AT46"/>
  <c r="AT45"/>
  <c r="AT44"/>
  <c r="AT43"/>
  <c r="AV46"/>
  <c r="AV45"/>
  <c r="AV44"/>
  <c r="AV43"/>
  <c r="AX46"/>
  <c r="AX45"/>
  <c r="AX44"/>
  <c r="AX43"/>
  <c r="AZ46"/>
  <c r="AZ45"/>
  <c r="AZ44"/>
  <c r="AZ43"/>
  <c r="L92"/>
  <c r="M92" s="1"/>
  <c r="L91"/>
  <c r="M91" s="1"/>
  <c r="L90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K23"/>
  <c r="AM23"/>
  <c r="AO23"/>
  <c r="AS23"/>
  <c r="AU23"/>
  <c r="AW23"/>
  <c r="AY23"/>
  <c r="BA23"/>
  <c r="AG24"/>
  <c r="AI24"/>
  <c r="AK24"/>
  <c r="AM24"/>
  <c r="AO24"/>
  <c r="AS24"/>
  <c r="AU24"/>
  <c r="AW24"/>
  <c r="AY24"/>
  <c r="BA24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G45" i="728"/>
  <c r="AG44"/>
  <c r="AG43"/>
  <c r="AI45"/>
  <c r="AI44"/>
  <c r="AI43"/>
  <c r="AK45"/>
  <c r="AK44"/>
  <c r="AK43"/>
  <c r="AM45"/>
  <c r="AM44"/>
  <c r="AM43"/>
  <c r="AO45"/>
  <c r="AO44"/>
  <c r="AO43"/>
  <c r="AS45"/>
  <c r="AS44"/>
  <c r="AS43"/>
  <c r="AS42"/>
  <c r="AU45"/>
  <c r="AU44"/>
  <c r="AU43"/>
  <c r="AU42"/>
  <c r="AW45"/>
  <c r="AW44"/>
  <c r="AW43"/>
  <c r="AW42"/>
  <c r="AY45"/>
  <c r="AY44"/>
  <c r="AY43"/>
  <c r="AY42"/>
  <c r="BA45"/>
  <c r="BA44"/>
  <c r="BA43"/>
  <c r="BA42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F45"/>
  <c r="AF44"/>
  <c r="AF43"/>
  <c r="AH45"/>
  <c r="AH44"/>
  <c r="AH43"/>
  <c r="AJ45"/>
  <c r="AJ44"/>
  <c r="AJ43"/>
  <c r="AL45"/>
  <c r="AL44"/>
  <c r="AL43"/>
  <c r="AN45"/>
  <c r="AN44"/>
  <c r="AN43"/>
  <c r="AR45"/>
  <c r="AR44"/>
  <c r="AR43"/>
  <c r="AT45"/>
  <c r="AT44"/>
  <c r="AT43"/>
  <c r="AT42"/>
  <c r="AV45"/>
  <c r="AV44"/>
  <c r="AV43"/>
  <c r="AV42"/>
  <c r="AX45"/>
  <c r="AX44"/>
  <c r="AX43"/>
  <c r="AX42"/>
  <c r="AZ45"/>
  <c r="AZ44"/>
  <c r="AZ43"/>
  <c r="AZ42"/>
  <c r="L91"/>
  <c r="M91" s="1"/>
  <c r="L90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F45" i="725"/>
  <c r="AF44"/>
  <c r="AF43"/>
  <c r="AF42"/>
  <c r="AF41"/>
  <c r="AF40"/>
  <c r="AF39"/>
  <c r="AF38"/>
  <c r="AF37"/>
  <c r="AF34"/>
  <c r="AF33"/>
  <c r="AF32"/>
  <c r="AF31"/>
  <c r="AF30"/>
  <c r="AF29"/>
  <c r="AF28"/>
  <c r="AF27"/>
  <c r="AF26"/>
  <c r="AF23"/>
  <c r="AF22"/>
  <c r="AF21"/>
  <c r="AH45"/>
  <c r="AH44"/>
  <c r="AH43"/>
  <c r="AH42"/>
  <c r="AH41"/>
  <c r="AH40"/>
  <c r="AH39"/>
  <c r="AH38"/>
  <c r="AH37"/>
  <c r="AH34"/>
  <c r="AH33"/>
  <c r="AH32"/>
  <c r="AH31"/>
  <c r="AH30"/>
  <c r="AH29"/>
  <c r="AH28"/>
  <c r="AH27"/>
  <c r="AH26"/>
  <c r="AH23"/>
  <c r="AH22"/>
  <c r="AH21"/>
  <c r="AJ45"/>
  <c r="AJ44"/>
  <c r="AJ43"/>
  <c r="AJ42"/>
  <c r="AJ41"/>
  <c r="AJ40"/>
  <c r="AJ39"/>
  <c r="AJ38"/>
  <c r="AJ37"/>
  <c r="AJ34"/>
  <c r="AJ33"/>
  <c r="AJ32"/>
  <c r="AJ31"/>
  <c r="AJ30"/>
  <c r="AJ29"/>
  <c r="AJ28"/>
  <c r="AJ27"/>
  <c r="AJ26"/>
  <c r="AJ23"/>
  <c r="AJ22"/>
  <c r="AJ21"/>
  <c r="AL45"/>
  <c r="AL44"/>
  <c r="AL43"/>
  <c r="AL42"/>
  <c r="AL41"/>
  <c r="AL40"/>
  <c r="AL39"/>
  <c r="AL38"/>
  <c r="AL37"/>
  <c r="AL34"/>
  <c r="AL33"/>
  <c r="AL32"/>
  <c r="AL31"/>
  <c r="AL30"/>
  <c r="AL29"/>
  <c r="AL28"/>
  <c r="AL27"/>
  <c r="AL26"/>
  <c r="AL23"/>
  <c r="AL22"/>
  <c r="AL21"/>
  <c r="AN45"/>
  <c r="AN44"/>
  <c r="AN43"/>
  <c r="AN42"/>
  <c r="AN41"/>
  <c r="AN40"/>
  <c r="AN39"/>
  <c r="AN38"/>
  <c r="AN37"/>
  <c r="AN34"/>
  <c r="AN33"/>
  <c r="AN32"/>
  <c r="AN31"/>
  <c r="AN30"/>
  <c r="AN29"/>
  <c r="AN28"/>
  <c r="AN27"/>
  <c r="AN26"/>
  <c r="AN23"/>
  <c r="AN22"/>
  <c r="AN21"/>
  <c r="AR45"/>
  <c r="AR44"/>
  <c r="AR43"/>
  <c r="AR42"/>
  <c r="AR41"/>
  <c r="AR40"/>
  <c r="AR39"/>
  <c r="AR38"/>
  <c r="AR37"/>
  <c r="AR34"/>
  <c r="AR33"/>
  <c r="AR32"/>
  <c r="AR31"/>
  <c r="AR30"/>
  <c r="AR29"/>
  <c r="AR28"/>
  <c r="AR27"/>
  <c r="AR26"/>
  <c r="AR23"/>
  <c r="AR22"/>
  <c r="AR21"/>
  <c r="AT45"/>
  <c r="AT44"/>
  <c r="AT43"/>
  <c r="AT42"/>
  <c r="AT41"/>
  <c r="AT40"/>
  <c r="AT39"/>
  <c r="AT38"/>
  <c r="AT37"/>
  <c r="AT34"/>
  <c r="AT33"/>
  <c r="AT32"/>
  <c r="AT31"/>
  <c r="AT30"/>
  <c r="AT29"/>
  <c r="AT28"/>
  <c r="AT27"/>
  <c r="AT26"/>
  <c r="AT23"/>
  <c r="AT22"/>
  <c r="AT21"/>
  <c r="AV45"/>
  <c r="AV44"/>
  <c r="AV43"/>
  <c r="AV42"/>
  <c r="AV41"/>
  <c r="AV40"/>
  <c r="AV39"/>
  <c r="AV38"/>
  <c r="AV37"/>
  <c r="AV34"/>
  <c r="AV33"/>
  <c r="AV32"/>
  <c r="AV31"/>
  <c r="AV30"/>
  <c r="AV29"/>
  <c r="AV28"/>
  <c r="AV27"/>
  <c r="AV26"/>
  <c r="AV23"/>
  <c r="AV22"/>
  <c r="AV21"/>
  <c r="AV20"/>
  <c r="AX45"/>
  <c r="AX44"/>
  <c r="AX43"/>
  <c r="AX42"/>
  <c r="AX41"/>
  <c r="AX40"/>
  <c r="AX39"/>
  <c r="AX38"/>
  <c r="AX37"/>
  <c r="AX34"/>
  <c r="AX33"/>
  <c r="AX32"/>
  <c r="AX31"/>
  <c r="AX30"/>
  <c r="AX29"/>
  <c r="AX28"/>
  <c r="AX27"/>
  <c r="AX26"/>
  <c r="AX23"/>
  <c r="AX22"/>
  <c r="AX21"/>
  <c r="AX20"/>
  <c r="AZ45"/>
  <c r="AZ44"/>
  <c r="AZ43"/>
  <c r="AZ42"/>
  <c r="AZ41"/>
  <c r="AZ40"/>
  <c r="AZ39"/>
  <c r="AZ38"/>
  <c r="AZ37"/>
  <c r="AZ34"/>
  <c r="AZ33"/>
  <c r="AZ32"/>
  <c r="AZ31"/>
  <c r="AZ30"/>
  <c r="AZ29"/>
  <c r="AZ28"/>
  <c r="AZ27"/>
  <c r="AZ26"/>
  <c r="AZ23"/>
  <c r="AZ22"/>
  <c r="AZ21"/>
  <c r="AZ20"/>
  <c r="N91" i="650"/>
  <c r="H40" i="817" s="1"/>
  <c r="AF15" i="72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R20"/>
  <c r="AG45"/>
  <c r="AG44"/>
  <c r="AG43"/>
  <c r="AG21"/>
  <c r="AG42"/>
  <c r="AG41"/>
  <c r="AG40"/>
  <c r="AG39"/>
  <c r="AG38"/>
  <c r="AG37"/>
  <c r="AG34"/>
  <c r="AG33"/>
  <c r="AG32"/>
  <c r="AG31"/>
  <c r="AG30"/>
  <c r="AG29"/>
  <c r="AG28"/>
  <c r="AG27"/>
  <c r="AG26"/>
  <c r="AG23"/>
  <c r="AG22"/>
  <c r="AI21"/>
  <c r="AI45"/>
  <c r="AI44"/>
  <c r="AI43"/>
  <c r="AI42"/>
  <c r="AI41"/>
  <c r="AI40"/>
  <c r="AI39"/>
  <c r="AI38"/>
  <c r="AI37"/>
  <c r="AI34"/>
  <c r="AI33"/>
  <c r="AI32"/>
  <c r="AI31"/>
  <c r="AI30"/>
  <c r="AI29"/>
  <c r="AI28"/>
  <c r="AI27"/>
  <c r="AI26"/>
  <c r="AI23"/>
  <c r="AI22"/>
  <c r="AK45"/>
  <c r="AK44"/>
  <c r="AK43"/>
  <c r="AK21"/>
  <c r="AK42"/>
  <c r="AK41"/>
  <c r="AK40"/>
  <c r="AK39"/>
  <c r="AK38"/>
  <c r="AK37"/>
  <c r="AK34"/>
  <c r="AK33"/>
  <c r="AK32"/>
  <c r="AK31"/>
  <c r="AK30"/>
  <c r="AK29"/>
  <c r="AK28"/>
  <c r="AK27"/>
  <c r="AK26"/>
  <c r="AK23"/>
  <c r="AK22"/>
  <c r="AM21"/>
  <c r="AM20"/>
  <c r="AM45"/>
  <c r="AM44"/>
  <c r="AM43"/>
  <c r="AM42"/>
  <c r="AM41"/>
  <c r="AM40"/>
  <c r="AM39"/>
  <c r="AM38"/>
  <c r="AM37"/>
  <c r="AM34"/>
  <c r="AM33"/>
  <c r="AM32"/>
  <c r="AM31"/>
  <c r="AM30"/>
  <c r="AM29"/>
  <c r="AM28"/>
  <c r="AM27"/>
  <c r="AM26"/>
  <c r="AM23"/>
  <c r="AM22"/>
  <c r="AO45"/>
  <c r="AO44"/>
  <c r="AO43"/>
  <c r="AO21"/>
  <c r="AO20"/>
  <c r="AO42"/>
  <c r="AO41"/>
  <c r="AO40"/>
  <c r="AO39"/>
  <c r="AO38"/>
  <c r="AO37"/>
  <c r="AO34"/>
  <c r="AO33"/>
  <c r="AO32"/>
  <c r="AO31"/>
  <c r="AO30"/>
  <c r="AO29"/>
  <c r="AO28"/>
  <c r="AO27"/>
  <c r="AO26"/>
  <c r="AO23"/>
  <c r="AO22"/>
  <c r="AS21"/>
  <c r="AS20"/>
  <c r="AS45"/>
  <c r="AS44"/>
  <c r="AS43"/>
  <c r="AS42"/>
  <c r="AS41"/>
  <c r="AS40"/>
  <c r="AS39"/>
  <c r="AS38"/>
  <c r="AS37"/>
  <c r="AS34"/>
  <c r="AS33"/>
  <c r="AS32"/>
  <c r="AS31"/>
  <c r="AS30"/>
  <c r="AS29"/>
  <c r="AS28"/>
  <c r="AS27"/>
  <c r="AS26"/>
  <c r="AS23"/>
  <c r="AS22"/>
  <c r="AU45"/>
  <c r="AU44"/>
  <c r="AU43"/>
  <c r="AU42"/>
  <c r="AU21"/>
  <c r="AU20"/>
  <c r="AU41"/>
  <c r="AU40"/>
  <c r="AU39"/>
  <c r="AU38"/>
  <c r="AU37"/>
  <c r="AU34"/>
  <c r="AU33"/>
  <c r="AU32"/>
  <c r="AU31"/>
  <c r="AU30"/>
  <c r="AU29"/>
  <c r="AU28"/>
  <c r="AU27"/>
  <c r="AU26"/>
  <c r="AU23"/>
  <c r="AU22"/>
  <c r="AW21"/>
  <c r="AW20"/>
  <c r="AW45"/>
  <c r="AW44"/>
  <c r="AW43"/>
  <c r="AW42"/>
  <c r="AW41"/>
  <c r="AW40"/>
  <c r="AW39"/>
  <c r="AW38"/>
  <c r="AW37"/>
  <c r="AW34"/>
  <c r="AW33"/>
  <c r="AW32"/>
  <c r="AW31"/>
  <c r="AW30"/>
  <c r="AW29"/>
  <c r="AW28"/>
  <c r="AW27"/>
  <c r="AW26"/>
  <c r="AW23"/>
  <c r="AW22"/>
  <c r="AY45"/>
  <c r="AY44"/>
  <c r="AY43"/>
  <c r="AY42"/>
  <c r="AY21"/>
  <c r="AY20"/>
  <c r="AY41"/>
  <c r="AY40"/>
  <c r="AY39"/>
  <c r="AY38"/>
  <c r="AY37"/>
  <c r="AY34"/>
  <c r="AY33"/>
  <c r="AY32"/>
  <c r="AY31"/>
  <c r="AY30"/>
  <c r="AY29"/>
  <c r="AY28"/>
  <c r="AY27"/>
  <c r="AY26"/>
  <c r="AY23"/>
  <c r="AY22"/>
  <c r="BA21"/>
  <c r="BA20"/>
  <c r="BA45"/>
  <c r="BA44"/>
  <c r="BA43"/>
  <c r="BA42"/>
  <c r="BA41"/>
  <c r="BA40"/>
  <c r="BA39"/>
  <c r="BA38"/>
  <c r="BA37"/>
  <c r="BA34"/>
  <c r="BA33"/>
  <c r="BA32"/>
  <c r="BA31"/>
  <c r="BA30"/>
  <c r="BA29"/>
  <c r="BA28"/>
  <c r="BA27"/>
  <c r="BA26"/>
  <c r="BA23"/>
  <c r="BA22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N20"/>
  <c r="AT20"/>
  <c r="L91"/>
  <c r="M91" s="1"/>
  <c r="L90"/>
  <c r="AG45" i="722"/>
  <c r="AG44"/>
  <c r="AG43"/>
  <c r="AG42"/>
  <c r="AG41"/>
  <c r="AG40"/>
  <c r="AG39"/>
  <c r="AG38"/>
  <c r="AG37"/>
  <c r="AG34"/>
  <c r="AG33"/>
  <c r="AG32"/>
  <c r="AG31"/>
  <c r="AG30"/>
  <c r="AG29"/>
  <c r="AG28"/>
  <c r="AI45"/>
  <c r="AI44"/>
  <c r="AI43"/>
  <c r="AI42"/>
  <c r="AI41"/>
  <c r="AI40"/>
  <c r="AI39"/>
  <c r="AI38"/>
  <c r="AI37"/>
  <c r="AI34"/>
  <c r="AI33"/>
  <c r="AI32"/>
  <c r="AI31"/>
  <c r="AI30"/>
  <c r="AI29"/>
  <c r="AI28"/>
  <c r="AK45"/>
  <c r="AK44"/>
  <c r="AK43"/>
  <c r="AK42"/>
  <c r="AK41"/>
  <c r="AK40"/>
  <c r="AK39"/>
  <c r="AK38"/>
  <c r="AK37"/>
  <c r="AK34"/>
  <c r="AK33"/>
  <c r="AK32"/>
  <c r="AK31"/>
  <c r="AK30"/>
  <c r="AK29"/>
  <c r="AK28"/>
  <c r="AM45"/>
  <c r="AM44"/>
  <c r="AM43"/>
  <c r="AM42"/>
  <c r="AM41"/>
  <c r="AM40"/>
  <c r="AM39"/>
  <c r="AM38"/>
  <c r="AM37"/>
  <c r="AM34"/>
  <c r="AM33"/>
  <c r="AM32"/>
  <c r="AM31"/>
  <c r="AM30"/>
  <c r="AM29"/>
  <c r="AM28"/>
  <c r="AM27"/>
  <c r="AO45"/>
  <c r="AO44"/>
  <c r="AO43"/>
  <c r="AO42"/>
  <c r="AO41"/>
  <c r="AO40"/>
  <c r="AO39"/>
  <c r="AO38"/>
  <c r="AO37"/>
  <c r="AO34"/>
  <c r="AO33"/>
  <c r="AO32"/>
  <c r="AO31"/>
  <c r="AO30"/>
  <c r="AO29"/>
  <c r="AO28"/>
  <c r="AO27"/>
  <c r="AS45"/>
  <c r="AS44"/>
  <c r="AS43"/>
  <c r="AS42"/>
  <c r="AS41"/>
  <c r="AS40"/>
  <c r="AS39"/>
  <c r="AS38"/>
  <c r="AS37"/>
  <c r="AS34"/>
  <c r="AS33"/>
  <c r="AS32"/>
  <c r="AS31"/>
  <c r="AS30"/>
  <c r="AS29"/>
  <c r="AS28"/>
  <c r="AS27"/>
  <c r="AU45"/>
  <c r="AU44"/>
  <c r="AU43"/>
  <c r="AU42"/>
  <c r="AU41"/>
  <c r="AU40"/>
  <c r="AU39"/>
  <c r="AU38"/>
  <c r="AU37"/>
  <c r="AU34"/>
  <c r="AU33"/>
  <c r="AU32"/>
  <c r="AU31"/>
  <c r="AU30"/>
  <c r="AU29"/>
  <c r="AU28"/>
  <c r="AU27"/>
  <c r="AW45"/>
  <c r="AW44"/>
  <c r="AW43"/>
  <c r="AW42"/>
  <c r="AW41"/>
  <c r="AW40"/>
  <c r="AW39"/>
  <c r="AW38"/>
  <c r="AW37"/>
  <c r="AW34"/>
  <c r="AW33"/>
  <c r="AW32"/>
  <c r="AW31"/>
  <c r="AW30"/>
  <c r="AW29"/>
  <c r="AW28"/>
  <c r="AW27"/>
  <c r="AY45"/>
  <c r="AY44"/>
  <c r="AY43"/>
  <c r="AY42"/>
  <c r="AY41"/>
  <c r="AY40"/>
  <c r="AY39"/>
  <c r="AY38"/>
  <c r="AY37"/>
  <c r="AY34"/>
  <c r="AY33"/>
  <c r="AY32"/>
  <c r="AY31"/>
  <c r="AY30"/>
  <c r="AY29"/>
  <c r="AY28"/>
  <c r="AY27"/>
  <c r="BA45"/>
  <c r="BA44"/>
  <c r="BA43"/>
  <c r="BA42"/>
  <c r="BA41"/>
  <c r="BA40"/>
  <c r="BA39"/>
  <c r="BA38"/>
  <c r="BA37"/>
  <c r="BA34"/>
  <c r="BA33"/>
  <c r="BA32"/>
  <c r="BA31"/>
  <c r="BA30"/>
  <c r="BA29"/>
  <c r="BA28"/>
  <c r="BA27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R26"/>
  <c r="AV26"/>
  <c r="AZ26"/>
  <c r="AF45"/>
  <c r="AF44"/>
  <c r="AF43"/>
  <c r="AF42"/>
  <c r="AF41"/>
  <c r="AF40"/>
  <c r="AF39"/>
  <c r="AF38"/>
  <c r="AF37"/>
  <c r="AF34"/>
  <c r="AF33"/>
  <c r="AF32"/>
  <c r="AF31"/>
  <c r="AF30"/>
  <c r="AF29"/>
  <c r="AF28"/>
  <c r="AH45"/>
  <c r="AH44"/>
  <c r="AH43"/>
  <c r="AH42"/>
  <c r="AH41"/>
  <c r="AH40"/>
  <c r="AH39"/>
  <c r="AH38"/>
  <c r="AH37"/>
  <c r="AH34"/>
  <c r="AH33"/>
  <c r="AH32"/>
  <c r="AH31"/>
  <c r="AH30"/>
  <c r="AH29"/>
  <c r="AH28"/>
  <c r="AJ45"/>
  <c r="AJ44"/>
  <c r="AJ43"/>
  <c r="AJ42"/>
  <c r="AJ41"/>
  <c r="AJ40"/>
  <c r="AJ39"/>
  <c r="AJ38"/>
  <c r="AJ37"/>
  <c r="AJ34"/>
  <c r="AJ33"/>
  <c r="AJ32"/>
  <c r="AJ31"/>
  <c r="AJ30"/>
  <c r="AJ29"/>
  <c r="AJ28"/>
  <c r="AL45"/>
  <c r="AL44"/>
  <c r="AL43"/>
  <c r="AL42"/>
  <c r="AL41"/>
  <c r="AL40"/>
  <c r="AL39"/>
  <c r="AL38"/>
  <c r="AL37"/>
  <c r="AL34"/>
  <c r="AL33"/>
  <c r="AL32"/>
  <c r="AL31"/>
  <c r="AL30"/>
  <c r="AL29"/>
  <c r="AL28"/>
  <c r="AN45"/>
  <c r="AN44"/>
  <c r="AN43"/>
  <c r="AN42"/>
  <c r="AN41"/>
  <c r="AN40"/>
  <c r="AN39"/>
  <c r="AN38"/>
  <c r="AN37"/>
  <c r="AN34"/>
  <c r="AN33"/>
  <c r="AN32"/>
  <c r="AN31"/>
  <c r="AN30"/>
  <c r="AN29"/>
  <c r="AN28"/>
  <c r="AR45"/>
  <c r="AR44"/>
  <c r="AR43"/>
  <c r="AR42"/>
  <c r="AR41"/>
  <c r="AR40"/>
  <c r="AR39"/>
  <c r="AR38"/>
  <c r="AR37"/>
  <c r="AR34"/>
  <c r="AR33"/>
  <c r="AR32"/>
  <c r="AR31"/>
  <c r="AR30"/>
  <c r="AR29"/>
  <c r="AR28"/>
  <c r="AT45"/>
  <c r="AT44"/>
  <c r="AT43"/>
  <c r="AT42"/>
  <c r="AT41"/>
  <c r="AT40"/>
  <c r="AT39"/>
  <c r="AT38"/>
  <c r="AT37"/>
  <c r="AT34"/>
  <c r="AT33"/>
  <c r="AT32"/>
  <c r="AT31"/>
  <c r="AT30"/>
  <c r="AT29"/>
  <c r="AT28"/>
  <c r="AV45"/>
  <c r="AV44"/>
  <c r="AV43"/>
  <c r="AV42"/>
  <c r="AV41"/>
  <c r="AV40"/>
  <c r="AV39"/>
  <c r="AV38"/>
  <c r="AV37"/>
  <c r="AV34"/>
  <c r="AV33"/>
  <c r="AV32"/>
  <c r="AV31"/>
  <c r="AV30"/>
  <c r="AV29"/>
  <c r="AV28"/>
  <c r="AX45"/>
  <c r="AX44"/>
  <c r="AX43"/>
  <c r="AX42"/>
  <c r="AX41"/>
  <c r="AX40"/>
  <c r="AX39"/>
  <c r="AX38"/>
  <c r="AX37"/>
  <c r="AX34"/>
  <c r="AX33"/>
  <c r="AX32"/>
  <c r="AX31"/>
  <c r="AX30"/>
  <c r="AX29"/>
  <c r="AX28"/>
  <c r="AZ45"/>
  <c r="AZ44"/>
  <c r="AZ43"/>
  <c r="AZ42"/>
  <c r="AZ41"/>
  <c r="AZ40"/>
  <c r="AZ39"/>
  <c r="AZ38"/>
  <c r="AZ37"/>
  <c r="AZ34"/>
  <c r="AZ33"/>
  <c r="AZ32"/>
  <c r="AZ31"/>
  <c r="AZ30"/>
  <c r="AZ29"/>
  <c r="AZ28"/>
  <c r="L91"/>
  <c r="M91" s="1"/>
  <c r="L90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N27"/>
  <c r="AT27"/>
  <c r="AX27"/>
  <c r="AG45" i="719"/>
  <c r="AG44"/>
  <c r="AG43"/>
  <c r="AI45"/>
  <c r="AI44"/>
  <c r="AI43"/>
  <c r="AK45"/>
  <c r="AK44"/>
  <c r="AK43"/>
  <c r="AM45"/>
  <c r="AM44"/>
  <c r="AM43"/>
  <c r="AO45"/>
  <c r="AO44"/>
  <c r="AO43"/>
  <c r="AS45"/>
  <c r="AS44"/>
  <c r="AS43"/>
  <c r="AU45"/>
  <c r="AU44"/>
  <c r="AU43"/>
  <c r="AW45"/>
  <c r="AW44"/>
  <c r="AW43"/>
  <c r="AW42"/>
  <c r="AY45"/>
  <c r="AY44"/>
  <c r="AY43"/>
  <c r="AY42"/>
  <c r="BA45"/>
  <c r="BA44"/>
  <c r="BA43"/>
  <c r="BA42"/>
  <c r="AA9" i="718"/>
  <c r="AA10" s="1"/>
  <c r="AA13"/>
  <c r="AA14" s="1"/>
  <c r="AG15" i="719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F45"/>
  <c r="AF44"/>
  <c r="AF43"/>
  <c r="AH45"/>
  <c r="AH44"/>
  <c r="AH43"/>
  <c r="AJ45"/>
  <c r="AJ44"/>
  <c r="AJ43"/>
  <c r="AL45"/>
  <c r="AL44"/>
  <c r="AL43"/>
  <c r="AN45"/>
  <c r="AN44"/>
  <c r="AN43"/>
  <c r="AR45"/>
  <c r="AR44"/>
  <c r="AR43"/>
  <c r="AT45"/>
  <c r="AT44"/>
  <c r="AT43"/>
  <c r="AV45"/>
  <c r="AV44"/>
  <c r="AV43"/>
  <c r="AX45"/>
  <c r="AX44"/>
  <c r="AX43"/>
  <c r="AX42"/>
  <c r="AZ45"/>
  <c r="AZ44"/>
  <c r="AZ43"/>
  <c r="AZ42"/>
  <c r="L91"/>
  <c r="M91" s="1"/>
  <c r="L90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G44" i="716"/>
  <c r="AG43"/>
  <c r="AG42"/>
  <c r="AI44"/>
  <c r="AI43"/>
  <c r="AI42"/>
  <c r="AK44"/>
  <c r="AK43"/>
  <c r="AK42"/>
  <c r="AM44"/>
  <c r="AM43"/>
  <c r="AM42"/>
  <c r="AO44"/>
  <c r="AO43"/>
  <c r="AO42"/>
  <c r="AS44"/>
  <c r="AS43"/>
  <c r="AS42"/>
  <c r="AU44"/>
  <c r="AU43"/>
  <c r="AU42"/>
  <c r="AW44"/>
  <c r="AW43"/>
  <c r="AW42"/>
  <c r="AW41"/>
  <c r="AY44"/>
  <c r="AY43"/>
  <c r="AY42"/>
  <c r="AY41"/>
  <c r="BA44"/>
  <c r="BA43"/>
  <c r="BA42"/>
  <c r="BA41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F44"/>
  <c r="AF43"/>
  <c r="AF42"/>
  <c r="AH44"/>
  <c r="AH43"/>
  <c r="AH42"/>
  <c r="AJ44"/>
  <c r="AJ43"/>
  <c r="AJ42"/>
  <c r="AL44"/>
  <c r="AL43"/>
  <c r="AL42"/>
  <c r="AN44"/>
  <c r="AN43"/>
  <c r="AN42"/>
  <c r="AR44"/>
  <c r="AR43"/>
  <c r="AR42"/>
  <c r="AT44"/>
  <c r="AT43"/>
  <c r="AT42"/>
  <c r="AV44"/>
  <c r="AV43"/>
  <c r="AV42"/>
  <c r="AX44"/>
  <c r="AX43"/>
  <c r="AX42"/>
  <c r="AX41"/>
  <c r="AZ44"/>
  <c r="AZ43"/>
  <c r="AZ42"/>
  <c r="AZ41"/>
  <c r="L90"/>
  <c r="M90" s="1"/>
  <c r="L89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F44" i="713"/>
  <c r="AF43"/>
  <c r="AF42"/>
  <c r="AH44"/>
  <c r="AH43"/>
  <c r="AH42"/>
  <c r="AJ44"/>
  <c r="AJ43"/>
  <c r="AJ42"/>
  <c r="AL44"/>
  <c r="AL43"/>
  <c r="AL42"/>
  <c r="AN44"/>
  <c r="AN43"/>
  <c r="AN42"/>
  <c r="AR44"/>
  <c r="AR43"/>
  <c r="AR42"/>
  <c r="AT44"/>
  <c r="AT43"/>
  <c r="AT42"/>
  <c r="AV44"/>
  <c r="AV43"/>
  <c r="AV42"/>
  <c r="AX44"/>
  <c r="AX43"/>
  <c r="AX42"/>
  <c r="AZ44"/>
  <c r="AZ43"/>
  <c r="AZ42"/>
  <c r="AZ41"/>
  <c r="L90"/>
  <c r="M90" s="1"/>
  <c r="L89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X41"/>
  <c r="AG44"/>
  <c r="AG43"/>
  <c r="AG42"/>
  <c r="AI44"/>
  <c r="AI43"/>
  <c r="AI42"/>
  <c r="AK44"/>
  <c r="AK43"/>
  <c r="AK42"/>
  <c r="AM44"/>
  <c r="AM43"/>
  <c r="AM42"/>
  <c r="AO44"/>
  <c r="AO43"/>
  <c r="AO42"/>
  <c r="AS44"/>
  <c r="AS43"/>
  <c r="AS42"/>
  <c r="AU44"/>
  <c r="AU43"/>
  <c r="AU42"/>
  <c r="AW44"/>
  <c r="AW43"/>
  <c r="AW42"/>
  <c r="AW41"/>
  <c r="AY44"/>
  <c r="AY43"/>
  <c r="AY42"/>
  <c r="AY41"/>
  <c r="BA44"/>
  <c r="BA43"/>
  <c r="BA42"/>
  <c r="BA41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G44" i="710"/>
  <c r="AG43"/>
  <c r="AG42"/>
  <c r="AI44"/>
  <c r="AI43"/>
  <c r="AI42"/>
  <c r="AK44"/>
  <c r="AK43"/>
  <c r="AK42"/>
  <c r="AM44"/>
  <c r="AM43"/>
  <c r="AM42"/>
  <c r="AO44"/>
  <c r="AO43"/>
  <c r="AO42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F44"/>
  <c r="AF43"/>
  <c r="AF42"/>
  <c r="AH44"/>
  <c r="AH43"/>
  <c r="AH42"/>
  <c r="AJ44"/>
  <c r="AJ43"/>
  <c r="AJ42"/>
  <c r="AL44"/>
  <c r="AL43"/>
  <c r="AL42"/>
  <c r="AN44"/>
  <c r="AN43"/>
  <c r="AN42"/>
  <c r="AR44"/>
  <c r="AR43"/>
  <c r="AR42"/>
  <c r="AT44"/>
  <c r="AT43"/>
  <c r="AT42"/>
  <c r="AT41"/>
  <c r="AV44"/>
  <c r="AV43"/>
  <c r="AV42"/>
  <c r="AV41"/>
  <c r="AX44"/>
  <c r="AX43"/>
  <c r="AX42"/>
  <c r="AX41"/>
  <c r="AZ44"/>
  <c r="AZ43"/>
  <c r="AZ42"/>
  <c r="AZ41"/>
  <c r="L89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G44" i="707"/>
  <c r="AG43"/>
  <c r="AG42"/>
  <c r="AI44"/>
  <c r="AI43"/>
  <c r="AI42"/>
  <c r="AK44"/>
  <c r="AK43"/>
  <c r="AK42"/>
  <c r="AM44"/>
  <c r="AM43"/>
  <c r="AM42"/>
  <c r="AO44"/>
  <c r="AO43"/>
  <c r="AO42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F44"/>
  <c r="AF43"/>
  <c r="AF42"/>
  <c r="AH44"/>
  <c r="AH43"/>
  <c r="AH42"/>
  <c r="AJ44"/>
  <c r="AJ43"/>
  <c r="AJ42"/>
  <c r="AL44"/>
  <c r="AL43"/>
  <c r="AL42"/>
  <c r="AN44"/>
  <c r="AN43"/>
  <c r="AN42"/>
  <c r="AR44"/>
  <c r="AR43"/>
  <c r="AR42"/>
  <c r="AT44"/>
  <c r="AT43"/>
  <c r="AT42"/>
  <c r="AT41"/>
  <c r="AV44"/>
  <c r="AV43"/>
  <c r="AV42"/>
  <c r="AV41"/>
  <c r="AX44"/>
  <c r="AX43"/>
  <c r="AX42"/>
  <c r="AX41"/>
  <c r="AZ44"/>
  <c r="AZ43"/>
  <c r="AZ42"/>
  <c r="AZ41"/>
  <c r="L90"/>
  <c r="M90" s="1"/>
  <c r="L89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G44" i="704"/>
  <c r="AG43"/>
  <c r="AG42"/>
  <c r="AI44"/>
  <c r="AI43"/>
  <c r="AI42"/>
  <c r="AK44"/>
  <c r="AK43"/>
  <c r="AK42"/>
  <c r="AM44"/>
  <c r="AM43"/>
  <c r="AM42"/>
  <c r="AO44"/>
  <c r="AO43"/>
  <c r="AO42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F44"/>
  <c r="AF43"/>
  <c r="AF42"/>
  <c r="AH44"/>
  <c r="AH43"/>
  <c r="AH42"/>
  <c r="AJ44"/>
  <c r="AJ43"/>
  <c r="AJ42"/>
  <c r="AL44"/>
  <c r="AL43"/>
  <c r="AL42"/>
  <c r="AN44"/>
  <c r="AN43"/>
  <c r="AN42"/>
  <c r="AR44"/>
  <c r="AR43"/>
  <c r="AR42"/>
  <c r="AT44"/>
  <c r="AT43"/>
  <c r="AT42"/>
  <c r="AT41"/>
  <c r="AV44"/>
  <c r="AV43"/>
  <c r="AV42"/>
  <c r="AV41"/>
  <c r="AX44"/>
  <c r="AX43"/>
  <c r="AX42"/>
  <c r="AX41"/>
  <c r="AZ44"/>
  <c r="AZ43"/>
  <c r="AZ42"/>
  <c r="AZ41"/>
  <c r="L90"/>
  <c r="M90" s="1"/>
  <c r="L89"/>
  <c r="AD11" i="637"/>
  <c r="U11"/>
  <c r="U16" s="1"/>
  <c r="W11"/>
  <c r="W16" s="1"/>
  <c r="Y11"/>
  <c r="Y16" s="1"/>
  <c r="AF14" i="70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G44" i="701"/>
  <c r="AG43"/>
  <c r="AG42"/>
  <c r="AI44"/>
  <c r="AI43"/>
  <c r="AI42"/>
  <c r="AK44"/>
  <c r="AK43"/>
  <c r="AK42"/>
  <c r="AM44"/>
  <c r="AM43"/>
  <c r="AM42"/>
  <c r="AO44"/>
  <c r="AO43"/>
  <c r="AO42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F44"/>
  <c r="AF43"/>
  <c r="AF42"/>
  <c r="AH44"/>
  <c r="AH43"/>
  <c r="AH42"/>
  <c r="AJ44"/>
  <c r="AJ43"/>
  <c r="AJ42"/>
  <c r="AL44"/>
  <c r="AL43"/>
  <c r="AL42"/>
  <c r="AN44"/>
  <c r="AN43"/>
  <c r="AN42"/>
  <c r="AR44"/>
  <c r="AR43"/>
  <c r="AR42"/>
  <c r="AT44"/>
  <c r="AT43"/>
  <c r="AT42"/>
  <c r="AT41"/>
  <c r="AV44"/>
  <c r="AV43"/>
  <c r="AV42"/>
  <c r="AV41"/>
  <c r="AX44"/>
  <c r="AX43"/>
  <c r="AX42"/>
  <c r="AX41"/>
  <c r="AZ44"/>
  <c r="AZ43"/>
  <c r="AZ42"/>
  <c r="AZ41"/>
  <c r="L90"/>
  <c r="M90" s="1"/>
  <c r="L89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G93" i="677"/>
  <c r="I93"/>
  <c r="K93"/>
  <c r="AC11" i="637"/>
  <c r="T11"/>
  <c r="T16" s="1"/>
  <c r="V11"/>
  <c r="V16" s="1"/>
  <c r="X11"/>
  <c r="X16" s="1"/>
  <c r="AB11"/>
  <c r="AF45" i="698"/>
  <c r="AF44"/>
  <c r="AH45"/>
  <c r="AH44"/>
  <c r="AH43"/>
  <c r="AJ45"/>
  <c r="AJ44"/>
  <c r="AJ43"/>
  <c r="AL45"/>
  <c r="AL44"/>
  <c r="AL43"/>
  <c r="AN45"/>
  <c r="AN44"/>
  <c r="AN43"/>
  <c r="AR45"/>
  <c r="AR44"/>
  <c r="AR43"/>
  <c r="AT45"/>
  <c r="AT44"/>
  <c r="AT43"/>
  <c r="AV45"/>
  <c r="AV44"/>
  <c r="AV43"/>
  <c r="AX45"/>
  <c r="AX44"/>
  <c r="AX43"/>
  <c r="AZ45"/>
  <c r="AZ44"/>
  <c r="AZ43"/>
  <c r="L90"/>
  <c r="M90" s="1"/>
  <c r="L89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T42"/>
  <c r="AX42"/>
  <c r="AF43"/>
  <c r="AG45"/>
  <c r="AG44"/>
  <c r="AG43"/>
  <c r="AI45"/>
  <c r="AI44"/>
  <c r="AI43"/>
  <c r="AK45"/>
  <c r="AK44"/>
  <c r="AK43"/>
  <c r="AM45"/>
  <c r="AM44"/>
  <c r="AM43"/>
  <c r="AO45"/>
  <c r="AO44"/>
  <c r="AO43"/>
  <c r="AS45"/>
  <c r="AS44"/>
  <c r="AS43"/>
  <c r="AS42"/>
  <c r="AU45"/>
  <c r="AU44"/>
  <c r="AU43"/>
  <c r="AU42"/>
  <c r="AW45"/>
  <c r="AW44"/>
  <c r="AW43"/>
  <c r="AW42"/>
  <c r="AY45"/>
  <c r="AY44"/>
  <c r="AY43"/>
  <c r="AY42"/>
  <c r="BA45"/>
  <c r="BA44"/>
  <c r="BA43"/>
  <c r="BA42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V42"/>
  <c r="AZ42"/>
  <c r="AG45" i="695"/>
  <c r="AG44"/>
  <c r="AG43"/>
  <c r="AI45"/>
  <c r="AI44"/>
  <c r="AI43"/>
  <c r="AK45"/>
  <c r="AK44"/>
  <c r="AK43"/>
  <c r="AM45"/>
  <c r="AM44"/>
  <c r="AM43"/>
  <c r="AO45"/>
  <c r="AO44"/>
  <c r="AO43"/>
  <c r="AS45"/>
  <c r="AS44"/>
  <c r="AS43"/>
  <c r="AS42"/>
  <c r="AU45"/>
  <c r="AU44"/>
  <c r="AU43"/>
  <c r="AU42"/>
  <c r="AW45"/>
  <c r="AW44"/>
  <c r="AW43"/>
  <c r="AW42"/>
  <c r="AY45"/>
  <c r="AY44"/>
  <c r="AY43"/>
  <c r="AY42"/>
  <c r="BA45"/>
  <c r="BA44"/>
  <c r="BA43"/>
  <c r="BA42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F45"/>
  <c r="AF44"/>
  <c r="AF43"/>
  <c r="AH45"/>
  <c r="AH44"/>
  <c r="AH43"/>
  <c r="AJ45"/>
  <c r="AJ44"/>
  <c r="AJ43"/>
  <c r="AL45"/>
  <c r="AL44"/>
  <c r="AL43"/>
  <c r="AN45"/>
  <c r="AN44"/>
  <c r="AN43"/>
  <c r="AR45"/>
  <c r="AR44"/>
  <c r="AR43"/>
  <c r="AT45"/>
  <c r="AT44"/>
  <c r="AT43"/>
  <c r="AT42"/>
  <c r="AV45"/>
  <c r="AV44"/>
  <c r="AV43"/>
  <c r="AV42"/>
  <c r="AX45"/>
  <c r="AX44"/>
  <c r="AX43"/>
  <c r="AX42"/>
  <c r="AZ45"/>
  <c r="AZ44"/>
  <c r="AZ43"/>
  <c r="AZ42"/>
  <c r="L90"/>
  <c r="M90" s="1"/>
  <c r="L89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G45" i="692"/>
  <c r="AG44"/>
  <c r="AG43"/>
  <c r="AI45"/>
  <c r="AI44"/>
  <c r="AI43"/>
  <c r="AK45"/>
  <c r="AK44"/>
  <c r="AK43"/>
  <c r="AM45"/>
  <c r="AM44"/>
  <c r="AM43"/>
  <c r="AO45"/>
  <c r="AO44"/>
  <c r="AO43"/>
  <c r="AS45"/>
  <c r="AS44"/>
  <c r="AS43"/>
  <c r="AS42"/>
  <c r="AU45"/>
  <c r="AU44"/>
  <c r="AU43"/>
  <c r="AU42"/>
  <c r="AW45"/>
  <c r="AW44"/>
  <c r="AW43"/>
  <c r="AW42"/>
  <c r="AY45"/>
  <c r="AY44"/>
  <c r="AY43"/>
  <c r="AY42"/>
  <c r="BA45"/>
  <c r="BA44"/>
  <c r="BA43"/>
  <c r="BA42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F45"/>
  <c r="AF44"/>
  <c r="AF43"/>
  <c r="AH45"/>
  <c r="AH44"/>
  <c r="AH43"/>
  <c r="AJ45"/>
  <c r="AJ44"/>
  <c r="AJ43"/>
  <c r="AL45"/>
  <c r="AL44"/>
  <c r="AL43"/>
  <c r="AN45"/>
  <c r="AN44"/>
  <c r="AN43"/>
  <c r="AR45"/>
  <c r="AR44"/>
  <c r="AR43"/>
  <c r="AT45"/>
  <c r="AT44"/>
  <c r="AT43"/>
  <c r="AT42"/>
  <c r="AV45"/>
  <c r="AV44"/>
  <c r="AV43"/>
  <c r="AV42"/>
  <c r="AX45"/>
  <c r="AX44"/>
  <c r="AX43"/>
  <c r="AX42"/>
  <c r="AZ45"/>
  <c r="AZ44"/>
  <c r="AZ43"/>
  <c r="AZ42"/>
  <c r="L90"/>
  <c r="M90" s="1"/>
  <c r="L89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G46" i="689"/>
  <c r="AG45"/>
  <c r="AG44"/>
  <c r="AI46"/>
  <c r="AI45"/>
  <c r="AI44"/>
  <c r="AK46"/>
  <c r="AK45"/>
  <c r="AK44"/>
  <c r="AM46"/>
  <c r="AM45"/>
  <c r="AM44"/>
  <c r="AO46"/>
  <c r="AO45"/>
  <c r="AO44"/>
  <c r="AS46"/>
  <c r="AS45"/>
  <c r="AS44"/>
  <c r="AS43"/>
  <c r="AU46"/>
  <c r="AU45"/>
  <c r="AU44"/>
  <c r="AU43"/>
  <c r="AW46"/>
  <c r="AW45"/>
  <c r="AW44"/>
  <c r="AW43"/>
  <c r="AY46"/>
  <c r="AY45"/>
  <c r="AY44"/>
  <c r="AY43"/>
  <c r="BA46"/>
  <c r="BA45"/>
  <c r="BA44"/>
  <c r="BA43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F23"/>
  <c r="AH23"/>
  <c r="AJ23"/>
  <c r="AL23"/>
  <c r="AN23"/>
  <c r="AR23"/>
  <c r="AT23"/>
  <c r="AV23"/>
  <c r="AX23"/>
  <c r="AZ23"/>
  <c r="AF24"/>
  <c r="AH24"/>
  <c r="AJ24"/>
  <c r="AL24"/>
  <c r="AN24"/>
  <c r="AR24"/>
  <c r="AT24"/>
  <c r="AV24"/>
  <c r="AX24"/>
  <c r="AZ24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F46"/>
  <c r="AF45"/>
  <c r="AF44"/>
  <c r="AH46"/>
  <c r="AH45"/>
  <c r="AH44"/>
  <c r="AJ46"/>
  <c r="AJ45"/>
  <c r="AJ44"/>
  <c r="AL46"/>
  <c r="AL45"/>
  <c r="AL44"/>
  <c r="AN46"/>
  <c r="AN45"/>
  <c r="AN44"/>
  <c r="AR46"/>
  <c r="AR45"/>
  <c r="AR44"/>
  <c r="AT46"/>
  <c r="AT45"/>
  <c r="AT44"/>
  <c r="AT43"/>
  <c r="AV46"/>
  <c r="AV45"/>
  <c r="AV44"/>
  <c r="AV43"/>
  <c r="AX46"/>
  <c r="AX45"/>
  <c r="AX44"/>
  <c r="AX43"/>
  <c r="AZ46"/>
  <c r="AZ45"/>
  <c r="AZ44"/>
  <c r="AZ43"/>
  <c r="L92"/>
  <c r="M92" s="1"/>
  <c r="L91"/>
  <c r="M91" s="1"/>
  <c r="L90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K23"/>
  <c r="AM23"/>
  <c r="AO23"/>
  <c r="AS23"/>
  <c r="AU23"/>
  <c r="AW23"/>
  <c r="AY23"/>
  <c r="BA23"/>
  <c r="AG24"/>
  <c r="AI24"/>
  <c r="AK24"/>
  <c r="AM24"/>
  <c r="AO24"/>
  <c r="AS24"/>
  <c r="AU24"/>
  <c r="AW24"/>
  <c r="AY24"/>
  <c r="BA24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G46" i="686"/>
  <c r="AG45"/>
  <c r="AG44"/>
  <c r="AI46"/>
  <c r="AI45"/>
  <c r="AI44"/>
  <c r="AK46"/>
  <c r="AK45"/>
  <c r="AK44"/>
  <c r="AM46"/>
  <c r="AM45"/>
  <c r="AM44"/>
  <c r="AO46"/>
  <c r="AO45"/>
  <c r="AO44"/>
  <c r="AS46"/>
  <c r="AS45"/>
  <c r="AS44"/>
  <c r="AS43"/>
  <c r="AU46"/>
  <c r="AU45"/>
  <c r="AU44"/>
  <c r="AU43"/>
  <c r="AW46"/>
  <c r="AW45"/>
  <c r="AW44"/>
  <c r="AW43"/>
  <c r="AY46"/>
  <c r="AY45"/>
  <c r="AY44"/>
  <c r="AY43"/>
  <c r="BA46"/>
  <c r="BA45"/>
  <c r="BA44"/>
  <c r="BA43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F23"/>
  <c r="AH23"/>
  <c r="AJ23"/>
  <c r="AL23"/>
  <c r="AN23"/>
  <c r="AR23"/>
  <c r="AT23"/>
  <c r="AV23"/>
  <c r="AX23"/>
  <c r="AZ23"/>
  <c r="AF24"/>
  <c r="AH24"/>
  <c r="AJ24"/>
  <c r="AL24"/>
  <c r="AN24"/>
  <c r="AR24"/>
  <c r="AT24"/>
  <c r="AV24"/>
  <c r="AX24"/>
  <c r="AZ24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F46"/>
  <c r="AF45"/>
  <c r="AF44"/>
  <c r="AH46"/>
  <c r="AH45"/>
  <c r="AH44"/>
  <c r="AJ46"/>
  <c r="AJ45"/>
  <c r="AJ44"/>
  <c r="AL46"/>
  <c r="AL45"/>
  <c r="AL44"/>
  <c r="AN46"/>
  <c r="AN45"/>
  <c r="AN44"/>
  <c r="AR46"/>
  <c r="AR45"/>
  <c r="AR44"/>
  <c r="AT46"/>
  <c r="AT45"/>
  <c r="AT44"/>
  <c r="AT43"/>
  <c r="AV46"/>
  <c r="AV45"/>
  <c r="AV44"/>
  <c r="AV43"/>
  <c r="AX46"/>
  <c r="AX45"/>
  <c r="AX44"/>
  <c r="AX43"/>
  <c r="AZ46"/>
  <c r="AZ45"/>
  <c r="AZ44"/>
  <c r="AZ43"/>
  <c r="L92"/>
  <c r="M92" s="1"/>
  <c r="L91"/>
  <c r="M91" s="1"/>
  <c r="L90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K23"/>
  <c r="AM23"/>
  <c r="AO23"/>
  <c r="AS23"/>
  <c r="AU23"/>
  <c r="AW23"/>
  <c r="AY23"/>
  <c r="BA23"/>
  <c r="AG24"/>
  <c r="AI24"/>
  <c r="AK24"/>
  <c r="AM24"/>
  <c r="AO24"/>
  <c r="AS24"/>
  <c r="AU24"/>
  <c r="AW24"/>
  <c r="AY24"/>
  <c r="BA24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G46" i="683"/>
  <c r="AG45"/>
  <c r="AG44"/>
  <c r="AI46"/>
  <c r="AI45"/>
  <c r="AI44"/>
  <c r="AK46"/>
  <c r="AK45"/>
  <c r="AK44"/>
  <c r="AM46"/>
  <c r="AM45"/>
  <c r="AM44"/>
  <c r="AO46"/>
  <c r="AO45"/>
  <c r="AO44"/>
  <c r="AS46"/>
  <c r="AS45"/>
  <c r="AS44"/>
  <c r="AU46"/>
  <c r="AU45"/>
  <c r="AU44"/>
  <c r="AW46"/>
  <c r="AW45"/>
  <c r="AW44"/>
  <c r="AW43"/>
  <c r="AY46"/>
  <c r="AY45"/>
  <c r="AY44"/>
  <c r="AY43"/>
  <c r="BA46"/>
  <c r="BA45"/>
  <c r="BA44"/>
  <c r="BA43"/>
  <c r="O93" i="677"/>
  <c r="I49" i="817" s="1"/>
  <c r="AG16" i="683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F23"/>
  <c r="AH23"/>
  <c r="AJ23"/>
  <c r="AL23"/>
  <c r="AN23"/>
  <c r="AR23"/>
  <c r="AT23"/>
  <c r="AV23"/>
  <c r="AX23"/>
  <c r="AZ23"/>
  <c r="AF24"/>
  <c r="AH24"/>
  <c r="AJ24"/>
  <c r="AL24"/>
  <c r="AN24"/>
  <c r="AR24"/>
  <c r="AT24"/>
  <c r="AV24"/>
  <c r="AX24"/>
  <c r="AZ24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T42"/>
  <c r="AV42"/>
  <c r="AF46"/>
  <c r="AF45"/>
  <c r="AF44"/>
  <c r="AH46"/>
  <c r="AH45"/>
  <c r="AH44"/>
  <c r="AJ46"/>
  <c r="AJ45"/>
  <c r="AJ44"/>
  <c r="AL46"/>
  <c r="AL45"/>
  <c r="AL44"/>
  <c r="AN46"/>
  <c r="AN45"/>
  <c r="AN44"/>
  <c r="AR46"/>
  <c r="AR45"/>
  <c r="AR44"/>
  <c r="AT46"/>
  <c r="AT45"/>
  <c r="AT44"/>
  <c r="AV46"/>
  <c r="AV45"/>
  <c r="AV44"/>
  <c r="AX46"/>
  <c r="AX45"/>
  <c r="AX44"/>
  <c r="AX43"/>
  <c r="AZ46"/>
  <c r="AZ45"/>
  <c r="AZ44"/>
  <c r="AZ43"/>
  <c r="L92"/>
  <c r="M92" s="1"/>
  <c r="L91"/>
  <c r="M91" s="1"/>
  <c r="L90"/>
  <c r="C33" i="25"/>
  <c r="F91" i="629"/>
  <c r="H91"/>
  <c r="J91"/>
  <c r="AF16" i="683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K23"/>
  <c r="AM23"/>
  <c r="AO23"/>
  <c r="AS23"/>
  <c r="AU23"/>
  <c r="AW23"/>
  <c r="AY23"/>
  <c r="BA23"/>
  <c r="AG24"/>
  <c r="AI24"/>
  <c r="AK24"/>
  <c r="AM24"/>
  <c r="AO24"/>
  <c r="AS24"/>
  <c r="AU24"/>
  <c r="AW24"/>
  <c r="AY24"/>
  <c r="BA24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S43"/>
  <c r="AU43"/>
  <c r="P93" i="677"/>
  <c r="J49" i="817" s="1"/>
  <c r="AF46" i="680"/>
  <c r="AF45"/>
  <c r="AF44"/>
  <c r="AH46"/>
  <c r="AH45"/>
  <c r="AH44"/>
  <c r="AJ46"/>
  <c r="AJ45"/>
  <c r="AJ44"/>
  <c r="AL46"/>
  <c r="AL45"/>
  <c r="AL44"/>
  <c r="AN46"/>
  <c r="AN45"/>
  <c r="AN44"/>
  <c r="AR46"/>
  <c r="AR45"/>
  <c r="AR44"/>
  <c r="AT46"/>
  <c r="AT45"/>
  <c r="AT44"/>
  <c r="AV46"/>
  <c r="AV45"/>
  <c r="AV44"/>
  <c r="AX46"/>
  <c r="AX45"/>
  <c r="AX44"/>
  <c r="AZ46"/>
  <c r="AZ45"/>
  <c r="AZ44"/>
  <c r="AZ43"/>
  <c r="L92"/>
  <c r="M92" s="1"/>
  <c r="L91"/>
  <c r="M91" s="1"/>
  <c r="L90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K23"/>
  <c r="AM23"/>
  <c r="AO23"/>
  <c r="AS23"/>
  <c r="AU23"/>
  <c r="AW23"/>
  <c r="AY23"/>
  <c r="BA23"/>
  <c r="AG24"/>
  <c r="AI24"/>
  <c r="AK24"/>
  <c r="AM24"/>
  <c r="AO24"/>
  <c r="AS24"/>
  <c r="AU24"/>
  <c r="AW24"/>
  <c r="AY24"/>
  <c r="BA24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X43"/>
  <c r="AG46"/>
  <c r="AG45"/>
  <c r="AG44"/>
  <c r="AI46"/>
  <c r="AI45"/>
  <c r="AI44"/>
  <c r="AK46"/>
  <c r="AK45"/>
  <c r="AK44"/>
  <c r="AM46"/>
  <c r="AM45"/>
  <c r="AM44"/>
  <c r="AO46"/>
  <c r="AO45"/>
  <c r="AO44"/>
  <c r="AS46"/>
  <c r="AS45"/>
  <c r="AS44"/>
  <c r="AU46"/>
  <c r="AU45"/>
  <c r="AU44"/>
  <c r="AW46"/>
  <c r="AW45"/>
  <c r="AW44"/>
  <c r="AW43"/>
  <c r="AY46"/>
  <c r="AY45"/>
  <c r="AY44"/>
  <c r="AY43"/>
  <c r="BA46"/>
  <c r="BA45"/>
  <c r="BA44"/>
  <c r="BA43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F23"/>
  <c r="AH23"/>
  <c r="AJ23"/>
  <c r="AL23"/>
  <c r="AN23"/>
  <c r="AR23"/>
  <c r="AT23"/>
  <c r="AV23"/>
  <c r="AX23"/>
  <c r="AZ23"/>
  <c r="AF24"/>
  <c r="AH24"/>
  <c r="AJ24"/>
  <c r="AL24"/>
  <c r="AN24"/>
  <c r="AR24"/>
  <c r="AT24"/>
  <c r="AV24"/>
  <c r="AX24"/>
  <c r="AZ24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T42"/>
  <c r="AV42"/>
  <c r="AX42"/>
  <c r="AZ42"/>
  <c r="AF43"/>
  <c r="AH43"/>
  <c r="AJ43"/>
  <c r="AL43"/>
  <c r="AN43"/>
  <c r="AR43"/>
  <c r="AT43"/>
  <c r="AV43"/>
  <c r="AG46" i="677"/>
  <c r="AG45"/>
  <c r="AG44"/>
  <c r="AI46"/>
  <c r="AI45"/>
  <c r="AI44"/>
  <c r="AK46"/>
  <c r="AK45"/>
  <c r="AK44"/>
  <c r="AM46"/>
  <c r="AM45"/>
  <c r="AM44"/>
  <c r="AO46"/>
  <c r="AO45"/>
  <c r="AO44"/>
  <c r="AS46"/>
  <c r="AS45"/>
  <c r="AS44"/>
  <c r="AS43"/>
  <c r="AU46"/>
  <c r="AU45"/>
  <c r="AU44"/>
  <c r="AU43"/>
  <c r="AW46"/>
  <c r="AW45"/>
  <c r="AW44"/>
  <c r="AW43"/>
  <c r="AY46"/>
  <c r="AY45"/>
  <c r="AY44"/>
  <c r="AY43"/>
  <c r="BA46"/>
  <c r="BA45"/>
  <c r="BA44"/>
  <c r="BA43"/>
  <c r="O93" i="671"/>
  <c r="I47" i="817" s="1"/>
  <c r="AG16" i="677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F23"/>
  <c r="AH23"/>
  <c r="AJ23"/>
  <c r="AL23"/>
  <c r="AN23"/>
  <c r="AR23"/>
  <c r="AT23"/>
  <c r="AV23"/>
  <c r="AX23"/>
  <c r="AZ23"/>
  <c r="AF24"/>
  <c r="AH24"/>
  <c r="AJ24"/>
  <c r="AL24"/>
  <c r="AN24"/>
  <c r="AR24"/>
  <c r="AT24"/>
  <c r="AV24"/>
  <c r="AX24"/>
  <c r="AZ24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F46"/>
  <c r="AF45"/>
  <c r="AF44"/>
  <c r="AH46"/>
  <c r="AH45"/>
  <c r="AH44"/>
  <c r="AJ46"/>
  <c r="AJ45"/>
  <c r="AJ44"/>
  <c r="AL46"/>
  <c r="AL45"/>
  <c r="AL44"/>
  <c r="AN46"/>
  <c r="AN45"/>
  <c r="AN44"/>
  <c r="AR46"/>
  <c r="AR45"/>
  <c r="AR44"/>
  <c r="AT46"/>
  <c r="AT45"/>
  <c r="AT44"/>
  <c r="AT43"/>
  <c r="AV46"/>
  <c r="AV45"/>
  <c r="AV44"/>
  <c r="AV43"/>
  <c r="AX46"/>
  <c r="AX45"/>
  <c r="AX44"/>
  <c r="AX43"/>
  <c r="AZ46"/>
  <c r="AZ45"/>
  <c r="AZ44"/>
  <c r="AZ43"/>
  <c r="L92"/>
  <c r="M92" s="1"/>
  <c r="L91"/>
  <c r="M91" s="1"/>
  <c r="L90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K23"/>
  <c r="AM23"/>
  <c r="AO23"/>
  <c r="AS23"/>
  <c r="AU23"/>
  <c r="AW23"/>
  <c r="AY23"/>
  <c r="BA23"/>
  <c r="AG24"/>
  <c r="AI24"/>
  <c r="AK24"/>
  <c r="AM24"/>
  <c r="AO24"/>
  <c r="AS24"/>
  <c r="AU24"/>
  <c r="AW24"/>
  <c r="AY24"/>
  <c r="BA24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G46" i="674"/>
  <c r="AG45"/>
  <c r="AG44"/>
  <c r="AI46"/>
  <c r="AI45"/>
  <c r="AI44"/>
  <c r="AK46"/>
  <c r="AK45"/>
  <c r="AK44"/>
  <c r="AM46"/>
  <c r="AM45"/>
  <c r="AM44"/>
  <c r="AO46"/>
  <c r="AO45"/>
  <c r="AO44"/>
  <c r="AS46"/>
  <c r="AS45"/>
  <c r="AS44"/>
  <c r="AS43"/>
  <c r="AU46"/>
  <c r="AU45"/>
  <c r="AU44"/>
  <c r="AU43"/>
  <c r="AW46"/>
  <c r="AW45"/>
  <c r="AW44"/>
  <c r="AW43"/>
  <c r="AY46"/>
  <c r="AY45"/>
  <c r="AY44"/>
  <c r="AY43"/>
  <c r="BA46"/>
  <c r="BA45"/>
  <c r="BA44"/>
  <c r="BA43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F23"/>
  <c r="AH23"/>
  <c r="AJ23"/>
  <c r="AL23"/>
  <c r="AN23"/>
  <c r="AR23"/>
  <c r="AT23"/>
  <c r="AV23"/>
  <c r="AX23"/>
  <c r="AZ23"/>
  <c r="AF24"/>
  <c r="AH24"/>
  <c r="AJ24"/>
  <c r="AL24"/>
  <c r="AN24"/>
  <c r="AR24"/>
  <c r="AT24"/>
  <c r="AV24"/>
  <c r="AX24"/>
  <c r="AZ24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F46"/>
  <c r="AF45"/>
  <c r="AF44"/>
  <c r="AH46"/>
  <c r="AH45"/>
  <c r="AH44"/>
  <c r="AJ46"/>
  <c r="AJ45"/>
  <c r="AJ44"/>
  <c r="AL46"/>
  <c r="AL45"/>
  <c r="AL44"/>
  <c r="AN46"/>
  <c r="AN45"/>
  <c r="AN44"/>
  <c r="AR46"/>
  <c r="AR45"/>
  <c r="AR44"/>
  <c r="AT46"/>
  <c r="AT45"/>
  <c r="AT44"/>
  <c r="AT43"/>
  <c r="AV46"/>
  <c r="AV45"/>
  <c r="AV44"/>
  <c r="AV43"/>
  <c r="AX46"/>
  <c r="AX45"/>
  <c r="AX44"/>
  <c r="AX43"/>
  <c r="AZ46"/>
  <c r="AZ45"/>
  <c r="AZ44"/>
  <c r="AZ43"/>
  <c r="L92"/>
  <c r="M92" s="1"/>
  <c r="L91"/>
  <c r="M91" s="1"/>
  <c r="L90"/>
  <c r="P93" i="671"/>
  <c r="J47" i="817" s="1"/>
  <c r="AF16" i="674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K23"/>
  <c r="AM23"/>
  <c r="AO23"/>
  <c r="AS23"/>
  <c r="AU23"/>
  <c r="AW23"/>
  <c r="AY23"/>
  <c r="BA23"/>
  <c r="AG24"/>
  <c r="AI24"/>
  <c r="AK24"/>
  <c r="AM24"/>
  <c r="AO24"/>
  <c r="AS24"/>
  <c r="AU24"/>
  <c r="AW24"/>
  <c r="AY24"/>
  <c r="BA24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G46" i="671"/>
  <c r="AG45"/>
  <c r="AG44"/>
  <c r="AI46"/>
  <c r="AI45"/>
  <c r="AI44"/>
  <c r="AK46"/>
  <c r="AK45"/>
  <c r="AK44"/>
  <c r="AM46"/>
  <c r="AM45"/>
  <c r="AM44"/>
  <c r="AO46"/>
  <c r="AO45"/>
  <c r="AO44"/>
  <c r="AS46"/>
  <c r="AS45"/>
  <c r="AS44"/>
  <c r="AS43"/>
  <c r="AU46"/>
  <c r="AU45"/>
  <c r="AU44"/>
  <c r="AU43"/>
  <c r="AW46"/>
  <c r="AW45"/>
  <c r="AW44"/>
  <c r="AW43"/>
  <c r="AY46"/>
  <c r="AY45"/>
  <c r="AY44"/>
  <c r="AY43"/>
  <c r="BA46"/>
  <c r="BA45"/>
  <c r="BA44"/>
  <c r="BA43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F23"/>
  <c r="AH23"/>
  <c r="AJ23"/>
  <c r="AL23"/>
  <c r="AN23"/>
  <c r="AR23"/>
  <c r="AT23"/>
  <c r="AV23"/>
  <c r="AX23"/>
  <c r="AZ23"/>
  <c r="AF24"/>
  <c r="AH24"/>
  <c r="AJ24"/>
  <c r="AL24"/>
  <c r="AN24"/>
  <c r="AR24"/>
  <c r="AT24"/>
  <c r="AV24"/>
  <c r="AX24"/>
  <c r="AZ24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F46"/>
  <c r="AF45"/>
  <c r="AF44"/>
  <c r="AH46"/>
  <c r="AH45"/>
  <c r="AH44"/>
  <c r="AJ46"/>
  <c r="AJ45"/>
  <c r="AJ44"/>
  <c r="AL46"/>
  <c r="AL45"/>
  <c r="AL44"/>
  <c r="AN46"/>
  <c r="AN45"/>
  <c r="AN44"/>
  <c r="AR46"/>
  <c r="AR45"/>
  <c r="AR44"/>
  <c r="AT46"/>
  <c r="AT45"/>
  <c r="AT44"/>
  <c r="AT43"/>
  <c r="AV46"/>
  <c r="AV45"/>
  <c r="AV44"/>
  <c r="AV43"/>
  <c r="AX46"/>
  <c r="AX45"/>
  <c r="AX44"/>
  <c r="AX43"/>
  <c r="AZ46"/>
  <c r="AZ45"/>
  <c r="AZ44"/>
  <c r="AZ43"/>
  <c r="L92"/>
  <c r="M92" s="1"/>
  <c r="L90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K23"/>
  <c r="AM23"/>
  <c r="AO23"/>
  <c r="AS23"/>
  <c r="AU23"/>
  <c r="AW23"/>
  <c r="AY23"/>
  <c r="BA23"/>
  <c r="AG24"/>
  <c r="AI24"/>
  <c r="AK24"/>
  <c r="AM24"/>
  <c r="AO24"/>
  <c r="AS24"/>
  <c r="AU24"/>
  <c r="AW24"/>
  <c r="AY24"/>
  <c r="BA24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G46" i="668"/>
  <c r="AG45"/>
  <c r="AG44"/>
  <c r="AI46"/>
  <c r="AI45"/>
  <c r="AI44"/>
  <c r="AK46"/>
  <c r="AK45"/>
  <c r="AK44"/>
  <c r="AM46"/>
  <c r="AM45"/>
  <c r="AM44"/>
  <c r="AO46"/>
  <c r="AO45"/>
  <c r="AO44"/>
  <c r="AS46"/>
  <c r="AS45"/>
  <c r="AS44"/>
  <c r="AS43"/>
  <c r="AU46"/>
  <c r="AU45"/>
  <c r="AU44"/>
  <c r="AU43"/>
  <c r="AW46"/>
  <c r="AW45"/>
  <c r="AW44"/>
  <c r="AW43"/>
  <c r="AY46"/>
  <c r="AY45"/>
  <c r="AY44"/>
  <c r="AY43"/>
  <c r="BA46"/>
  <c r="BA45"/>
  <c r="BA44"/>
  <c r="BA43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F23"/>
  <c r="AH23"/>
  <c r="AJ23"/>
  <c r="AL23"/>
  <c r="AN23"/>
  <c r="AR23"/>
  <c r="AT23"/>
  <c r="AV23"/>
  <c r="AX23"/>
  <c r="AZ23"/>
  <c r="AF24"/>
  <c r="AH24"/>
  <c r="AJ24"/>
  <c r="AL24"/>
  <c r="AN24"/>
  <c r="AR24"/>
  <c r="AT24"/>
  <c r="AV24"/>
  <c r="AX24"/>
  <c r="AZ24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F46"/>
  <c r="AF45"/>
  <c r="AF44"/>
  <c r="AH46"/>
  <c r="AH45"/>
  <c r="AH44"/>
  <c r="AJ46"/>
  <c r="AJ45"/>
  <c r="AJ44"/>
  <c r="AL46"/>
  <c r="AL45"/>
  <c r="AL44"/>
  <c r="AN46"/>
  <c r="AN45"/>
  <c r="AN44"/>
  <c r="AR46"/>
  <c r="AR45"/>
  <c r="AR44"/>
  <c r="AT46"/>
  <c r="AT45"/>
  <c r="AT44"/>
  <c r="AT43"/>
  <c r="AV46"/>
  <c r="AV45"/>
  <c r="AV44"/>
  <c r="AV43"/>
  <c r="AX46"/>
  <c r="AX45"/>
  <c r="AX44"/>
  <c r="AX43"/>
  <c r="AZ46"/>
  <c r="AZ45"/>
  <c r="AZ44"/>
  <c r="AZ43"/>
  <c r="L92"/>
  <c r="M92" s="1"/>
  <c r="L91"/>
  <c r="M91" s="1"/>
  <c r="L90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K23"/>
  <c r="AM23"/>
  <c r="AO23"/>
  <c r="AS23"/>
  <c r="AU23"/>
  <c r="AW23"/>
  <c r="AY23"/>
  <c r="BA23"/>
  <c r="AG24"/>
  <c r="AI24"/>
  <c r="AK24"/>
  <c r="AM24"/>
  <c r="AO24"/>
  <c r="AS24"/>
  <c r="AU24"/>
  <c r="AW24"/>
  <c r="AY24"/>
  <c r="BA24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G46" i="665"/>
  <c r="AG45"/>
  <c r="AG44"/>
  <c r="AI46"/>
  <c r="AI45"/>
  <c r="AI44"/>
  <c r="AK46"/>
  <c r="AK45"/>
  <c r="AK44"/>
  <c r="AM46"/>
  <c r="AM45"/>
  <c r="AM44"/>
  <c r="AO46"/>
  <c r="AO45"/>
  <c r="AO44"/>
  <c r="AS46"/>
  <c r="AS45"/>
  <c r="AS44"/>
  <c r="AU46"/>
  <c r="AU45"/>
  <c r="AU44"/>
  <c r="AW46"/>
  <c r="AW45"/>
  <c r="AW44"/>
  <c r="AW43"/>
  <c r="AY46"/>
  <c r="AY45"/>
  <c r="AY44"/>
  <c r="AY43"/>
  <c r="BA46"/>
  <c r="BA45"/>
  <c r="BA44"/>
  <c r="BA43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F23"/>
  <c r="AH23"/>
  <c r="AJ23"/>
  <c r="AL23"/>
  <c r="AN23"/>
  <c r="AR23"/>
  <c r="AT23"/>
  <c r="AV23"/>
  <c r="AX23"/>
  <c r="AZ23"/>
  <c r="AF24"/>
  <c r="AH24"/>
  <c r="AJ24"/>
  <c r="AL24"/>
  <c r="AN24"/>
  <c r="AR24"/>
  <c r="AT24"/>
  <c r="AV24"/>
  <c r="AX24"/>
  <c r="AZ24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T42"/>
  <c r="AV42"/>
  <c r="AF46"/>
  <c r="AF45"/>
  <c r="AF44"/>
  <c r="AH46"/>
  <c r="AH45"/>
  <c r="AH44"/>
  <c r="AJ46"/>
  <c r="AJ45"/>
  <c r="AJ44"/>
  <c r="AL46"/>
  <c r="AL45"/>
  <c r="AL44"/>
  <c r="AN46"/>
  <c r="AN45"/>
  <c r="AN44"/>
  <c r="AR46"/>
  <c r="AR45"/>
  <c r="AR44"/>
  <c r="AT46"/>
  <c r="AT45"/>
  <c r="AT44"/>
  <c r="AV46"/>
  <c r="AV45"/>
  <c r="AV44"/>
  <c r="AX46"/>
  <c r="AX45"/>
  <c r="AX44"/>
  <c r="AX43"/>
  <c r="AZ46"/>
  <c r="AZ45"/>
  <c r="AZ44"/>
  <c r="AZ43"/>
  <c r="L92"/>
  <c r="M92" s="1"/>
  <c r="L91"/>
  <c r="M91" s="1"/>
  <c r="L90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K23"/>
  <c r="AM23"/>
  <c r="AO23"/>
  <c r="AS23"/>
  <c r="AU23"/>
  <c r="AW23"/>
  <c r="AY23"/>
  <c r="BA23"/>
  <c r="AG24"/>
  <c r="AI24"/>
  <c r="AK24"/>
  <c r="AM24"/>
  <c r="AO24"/>
  <c r="AS24"/>
  <c r="AU24"/>
  <c r="AW24"/>
  <c r="AY24"/>
  <c r="BA24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S43"/>
  <c r="AU43"/>
  <c r="AG46" i="662"/>
  <c r="AG45"/>
  <c r="AG44"/>
  <c r="AI46"/>
  <c r="AI45"/>
  <c r="AI44"/>
  <c r="AK46"/>
  <c r="AK45"/>
  <c r="AK44"/>
  <c r="AM46"/>
  <c r="AM45"/>
  <c r="AM44"/>
  <c r="AO46"/>
  <c r="AO45"/>
  <c r="AO44"/>
  <c r="AS46"/>
  <c r="AS45"/>
  <c r="AS44"/>
  <c r="AU46"/>
  <c r="AU45"/>
  <c r="AU44"/>
  <c r="AW46"/>
  <c r="AW45"/>
  <c r="AW44"/>
  <c r="AW43"/>
  <c r="AY46"/>
  <c r="AY45"/>
  <c r="AY44"/>
  <c r="AY43"/>
  <c r="BA46"/>
  <c r="BA45"/>
  <c r="BA44"/>
  <c r="BA43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F23"/>
  <c r="AH23"/>
  <c r="AJ23"/>
  <c r="AL23"/>
  <c r="AN23"/>
  <c r="AR23"/>
  <c r="AT23"/>
  <c r="AV23"/>
  <c r="AX23"/>
  <c r="AZ23"/>
  <c r="AF24"/>
  <c r="AH24"/>
  <c r="AJ24"/>
  <c r="AL24"/>
  <c r="AN24"/>
  <c r="AR24"/>
  <c r="AT24"/>
  <c r="AV24"/>
  <c r="AX24"/>
  <c r="AZ24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T42"/>
  <c r="AV42"/>
  <c r="AF46"/>
  <c r="AF45"/>
  <c r="AF44"/>
  <c r="AH46"/>
  <c r="AH45"/>
  <c r="AH44"/>
  <c r="AJ46"/>
  <c r="AJ45"/>
  <c r="AJ44"/>
  <c r="AL46"/>
  <c r="AL45"/>
  <c r="AL44"/>
  <c r="AN46"/>
  <c r="AN45"/>
  <c r="AN44"/>
  <c r="AR46"/>
  <c r="AR45"/>
  <c r="AR44"/>
  <c r="AT46"/>
  <c r="AT45"/>
  <c r="AT44"/>
  <c r="AV46"/>
  <c r="AV45"/>
  <c r="AV44"/>
  <c r="AX46"/>
  <c r="AX45"/>
  <c r="AX44"/>
  <c r="AX43"/>
  <c r="AZ46"/>
  <c r="AZ45"/>
  <c r="AZ44"/>
  <c r="AZ43"/>
  <c r="L91"/>
  <c r="L90"/>
  <c r="Z9" i="637"/>
  <c r="AA9" s="1"/>
  <c r="Z10"/>
  <c r="AA10" s="1"/>
  <c r="AF16" i="662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K23"/>
  <c r="AM23"/>
  <c r="AO23"/>
  <c r="AS23"/>
  <c r="AU23"/>
  <c r="AW23"/>
  <c r="AY23"/>
  <c r="BA23"/>
  <c r="AG24"/>
  <c r="AI24"/>
  <c r="AK24"/>
  <c r="AM24"/>
  <c r="AO24"/>
  <c r="AS24"/>
  <c r="AU24"/>
  <c r="AW24"/>
  <c r="AY24"/>
  <c r="BA24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S43"/>
  <c r="AU43"/>
  <c r="AG45" i="659"/>
  <c r="AG44"/>
  <c r="AG43"/>
  <c r="AI45"/>
  <c r="AI44"/>
  <c r="AI43"/>
  <c r="AK45"/>
  <c r="AK44"/>
  <c r="AK43"/>
  <c r="AM45"/>
  <c r="AM44"/>
  <c r="AM43"/>
  <c r="AO45"/>
  <c r="AO44"/>
  <c r="AO43"/>
  <c r="AS45"/>
  <c r="AS44"/>
  <c r="AS43"/>
  <c r="AU45"/>
  <c r="AU44"/>
  <c r="AU43"/>
  <c r="AW45"/>
  <c r="AW44"/>
  <c r="AW43"/>
  <c r="AW42"/>
  <c r="AY45"/>
  <c r="AY44"/>
  <c r="AY43"/>
  <c r="AY42"/>
  <c r="BA45"/>
  <c r="BA44"/>
  <c r="BA43"/>
  <c r="BA42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F45"/>
  <c r="AF44"/>
  <c r="AF43"/>
  <c r="AH45"/>
  <c r="AH44"/>
  <c r="AH43"/>
  <c r="AJ45"/>
  <c r="AJ44"/>
  <c r="AJ43"/>
  <c r="AL45"/>
  <c r="AL44"/>
  <c r="AL43"/>
  <c r="AN45"/>
  <c r="AN44"/>
  <c r="AN43"/>
  <c r="AR45"/>
  <c r="AR44"/>
  <c r="AR43"/>
  <c r="AT45"/>
  <c r="AT44"/>
  <c r="AT43"/>
  <c r="AV45"/>
  <c r="AV44"/>
  <c r="AV43"/>
  <c r="AX45"/>
  <c r="AX44"/>
  <c r="AX43"/>
  <c r="AX42"/>
  <c r="AZ45"/>
  <c r="AZ44"/>
  <c r="AZ43"/>
  <c r="AZ42"/>
  <c r="L91"/>
  <c r="L90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G46" i="656"/>
  <c r="AG45"/>
  <c r="AG44"/>
  <c r="AI46"/>
  <c r="AI45"/>
  <c r="AI44"/>
  <c r="AK46"/>
  <c r="AK45"/>
  <c r="AK44"/>
  <c r="AM46"/>
  <c r="AM45"/>
  <c r="AM44"/>
  <c r="AO46"/>
  <c r="AO45"/>
  <c r="AO44"/>
  <c r="AS46"/>
  <c r="AS45"/>
  <c r="AS44"/>
  <c r="AU46"/>
  <c r="AU45"/>
  <c r="AU44"/>
  <c r="AW46"/>
  <c r="AW45"/>
  <c r="AW44"/>
  <c r="AY46"/>
  <c r="AY45"/>
  <c r="AY44"/>
  <c r="BA46"/>
  <c r="BA45"/>
  <c r="BA44"/>
  <c r="BA43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F23"/>
  <c r="AH23"/>
  <c r="AJ23"/>
  <c r="AL23"/>
  <c r="AN23"/>
  <c r="AR23"/>
  <c r="AT23"/>
  <c r="AV23"/>
  <c r="AX23"/>
  <c r="AZ23"/>
  <c r="AF24"/>
  <c r="AH24"/>
  <c r="AJ24"/>
  <c r="AL24"/>
  <c r="AN24"/>
  <c r="AR24"/>
  <c r="AT24"/>
  <c r="AV24"/>
  <c r="AX24"/>
  <c r="AZ24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T42"/>
  <c r="AV42"/>
  <c r="AX42"/>
  <c r="AZ42"/>
  <c r="AF46"/>
  <c r="AF45"/>
  <c r="AF44"/>
  <c r="AH46"/>
  <c r="AH45"/>
  <c r="AH44"/>
  <c r="AJ46"/>
  <c r="AJ45"/>
  <c r="AJ44"/>
  <c r="AL46"/>
  <c r="AL45"/>
  <c r="AL44"/>
  <c r="AN46"/>
  <c r="AN45"/>
  <c r="AN44"/>
  <c r="AR46"/>
  <c r="AR45"/>
  <c r="AR44"/>
  <c r="AT46"/>
  <c r="AT45"/>
  <c r="AT44"/>
  <c r="AV46"/>
  <c r="AV45"/>
  <c r="AV44"/>
  <c r="AX46"/>
  <c r="AX45"/>
  <c r="AX44"/>
  <c r="AZ46"/>
  <c r="AZ45"/>
  <c r="AZ44"/>
  <c r="L92"/>
  <c r="M92" s="1"/>
  <c r="L90"/>
  <c r="M90" s="1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K23"/>
  <c r="AM23"/>
  <c r="AO23"/>
  <c r="AS23"/>
  <c r="AU23"/>
  <c r="AW23"/>
  <c r="AY23"/>
  <c r="BA23"/>
  <c r="AG24"/>
  <c r="AI24"/>
  <c r="AK24"/>
  <c r="AM24"/>
  <c r="AO24"/>
  <c r="AS24"/>
  <c r="AU24"/>
  <c r="AW24"/>
  <c r="AY24"/>
  <c r="BA24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S43"/>
  <c r="AU43"/>
  <c r="AW43"/>
  <c r="AY43"/>
  <c r="AG46" i="653"/>
  <c r="AG45"/>
  <c r="AG44"/>
  <c r="AI46"/>
  <c r="AI45"/>
  <c r="AI44"/>
  <c r="AK46"/>
  <c r="AK45"/>
  <c r="AK44"/>
  <c r="AM46"/>
  <c r="AM45"/>
  <c r="AM44"/>
  <c r="AO46"/>
  <c r="AO45"/>
  <c r="AO44"/>
  <c r="AS46"/>
  <c r="AS45"/>
  <c r="AS44"/>
  <c r="AU46"/>
  <c r="AU45"/>
  <c r="AU44"/>
  <c r="AW46"/>
  <c r="AW45"/>
  <c r="AW44"/>
  <c r="AY46"/>
  <c r="AY45"/>
  <c r="AY44"/>
  <c r="BA46"/>
  <c r="BA45"/>
  <c r="BA44"/>
  <c r="BA43"/>
  <c r="P91" i="647"/>
  <c r="J39" i="817" s="1"/>
  <c r="AG16" i="653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F23"/>
  <c r="AH23"/>
  <c r="AJ23"/>
  <c r="AL23"/>
  <c r="AN23"/>
  <c r="AR23"/>
  <c r="AT23"/>
  <c r="AV23"/>
  <c r="AX23"/>
  <c r="AZ23"/>
  <c r="AF24"/>
  <c r="AH24"/>
  <c r="AJ24"/>
  <c r="AL24"/>
  <c r="AN24"/>
  <c r="AR24"/>
  <c r="AT24"/>
  <c r="AV24"/>
  <c r="AX24"/>
  <c r="AZ24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T42"/>
  <c r="AV42"/>
  <c r="AX42"/>
  <c r="AZ42"/>
  <c r="AF46"/>
  <c r="AF45"/>
  <c r="AF44"/>
  <c r="AH46"/>
  <c r="AH45"/>
  <c r="AH44"/>
  <c r="AJ46"/>
  <c r="AJ45"/>
  <c r="AJ44"/>
  <c r="AL46"/>
  <c r="AL45"/>
  <c r="AL44"/>
  <c r="AN46"/>
  <c r="AN45"/>
  <c r="AN44"/>
  <c r="AR46"/>
  <c r="AR45"/>
  <c r="AR44"/>
  <c r="AT46"/>
  <c r="AT45"/>
  <c r="AT44"/>
  <c r="AV46"/>
  <c r="AV45"/>
  <c r="AV44"/>
  <c r="AX46"/>
  <c r="AX45"/>
  <c r="AX44"/>
  <c r="AZ46"/>
  <c r="AZ45"/>
  <c r="AZ44"/>
  <c r="L91"/>
  <c r="M91" s="1"/>
  <c r="L90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K23"/>
  <c r="AM23"/>
  <c r="AO23"/>
  <c r="AS23"/>
  <c r="AU23"/>
  <c r="AW23"/>
  <c r="AY23"/>
  <c r="BA23"/>
  <c r="AG24"/>
  <c r="AI24"/>
  <c r="AK24"/>
  <c r="AM24"/>
  <c r="AO24"/>
  <c r="AS24"/>
  <c r="AU24"/>
  <c r="AW24"/>
  <c r="AY24"/>
  <c r="BA24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S43"/>
  <c r="AU43"/>
  <c r="AW43"/>
  <c r="AY43"/>
  <c r="O91" i="647"/>
  <c r="I39" i="817" s="1"/>
  <c r="AF45" i="650"/>
  <c r="AF44"/>
  <c r="AH45"/>
  <c r="AH44"/>
  <c r="AH43"/>
  <c r="AJ45"/>
  <c r="AJ44"/>
  <c r="AJ43"/>
  <c r="AL45"/>
  <c r="AL44"/>
  <c r="AL43"/>
  <c r="AN45"/>
  <c r="AN44"/>
  <c r="AN43"/>
  <c r="AR45"/>
  <c r="AR44"/>
  <c r="AR43"/>
  <c r="AT45"/>
  <c r="AT44"/>
  <c r="AT43"/>
  <c r="AV45"/>
  <c r="AV44"/>
  <c r="AV43"/>
  <c r="AX45"/>
  <c r="AX44"/>
  <c r="AX43"/>
  <c r="AZ45"/>
  <c r="AZ44"/>
  <c r="AZ43"/>
  <c r="L90"/>
  <c r="M90" s="1"/>
  <c r="L89"/>
  <c r="M89" s="1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AF43"/>
  <c r="AG45"/>
  <c r="AG44"/>
  <c r="AG43"/>
  <c r="AI45"/>
  <c r="AI44"/>
  <c r="AI43"/>
  <c r="AK45"/>
  <c r="AK44"/>
  <c r="AK43"/>
  <c r="AM45"/>
  <c r="AM44"/>
  <c r="AM43"/>
  <c r="AO45"/>
  <c r="AO44"/>
  <c r="AO43"/>
  <c r="AS45"/>
  <c r="AS44"/>
  <c r="AS43"/>
  <c r="AU45"/>
  <c r="AU44"/>
  <c r="AU43"/>
  <c r="AW45"/>
  <c r="AW44"/>
  <c r="AW43"/>
  <c r="AY45"/>
  <c r="AY44"/>
  <c r="AY43"/>
  <c r="BA45"/>
  <c r="BA44"/>
  <c r="BA43"/>
  <c r="BA42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T42"/>
  <c r="AV42"/>
  <c r="AX42"/>
  <c r="AZ42"/>
  <c r="AG45" i="647"/>
  <c r="AG44"/>
  <c r="AG43"/>
  <c r="AI45"/>
  <c r="AI44"/>
  <c r="AI43"/>
  <c r="AK45"/>
  <c r="AK44"/>
  <c r="AK43"/>
  <c r="AM45"/>
  <c r="AM44"/>
  <c r="AM43"/>
  <c r="AO45"/>
  <c r="AO44"/>
  <c r="AO43"/>
  <c r="AS45"/>
  <c r="AS44"/>
  <c r="AS43"/>
  <c r="AU45"/>
  <c r="AU44"/>
  <c r="AU43"/>
  <c r="AW45"/>
  <c r="AW44"/>
  <c r="AW43"/>
  <c r="AY45"/>
  <c r="AY44"/>
  <c r="AY43"/>
  <c r="BA45"/>
  <c r="BA44"/>
  <c r="BA43"/>
  <c r="BA42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5"/>
  <c r="AF44"/>
  <c r="AF43"/>
  <c r="AH45"/>
  <c r="AH44"/>
  <c r="AH43"/>
  <c r="AJ45"/>
  <c r="AJ44"/>
  <c r="AJ43"/>
  <c r="AL45"/>
  <c r="AL44"/>
  <c r="AL43"/>
  <c r="AN45"/>
  <c r="AN44"/>
  <c r="AN43"/>
  <c r="AR45"/>
  <c r="AR44"/>
  <c r="AR43"/>
  <c r="AT45"/>
  <c r="AT44"/>
  <c r="AT43"/>
  <c r="AV45"/>
  <c r="AV44"/>
  <c r="AV43"/>
  <c r="AX45"/>
  <c r="AX44"/>
  <c r="AX43"/>
  <c r="AZ45"/>
  <c r="AZ44"/>
  <c r="AZ43"/>
  <c r="L90"/>
  <c r="M90" s="1"/>
  <c r="L89"/>
  <c r="M89" s="1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AG45" i="644"/>
  <c r="AG44"/>
  <c r="AG43"/>
  <c r="AI45"/>
  <c r="AI44"/>
  <c r="AI43"/>
  <c r="AK45"/>
  <c r="AK44"/>
  <c r="AK43"/>
  <c r="AM45"/>
  <c r="AM44"/>
  <c r="AM43"/>
  <c r="AO45"/>
  <c r="AO44"/>
  <c r="AO43"/>
  <c r="AS45"/>
  <c r="AS44"/>
  <c r="AS43"/>
  <c r="AU45"/>
  <c r="AU44"/>
  <c r="AU43"/>
  <c r="AW45"/>
  <c r="AW44"/>
  <c r="AW43"/>
  <c r="AY45"/>
  <c r="AY44"/>
  <c r="AY43"/>
  <c r="BA45"/>
  <c r="BA44"/>
  <c r="BA43"/>
  <c r="BA42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5"/>
  <c r="AF44"/>
  <c r="AF43"/>
  <c r="AH45"/>
  <c r="AH44"/>
  <c r="AH43"/>
  <c r="AJ45"/>
  <c r="AJ44"/>
  <c r="AJ43"/>
  <c r="AL45"/>
  <c r="AL44"/>
  <c r="AL43"/>
  <c r="AN45"/>
  <c r="AN44"/>
  <c r="AN43"/>
  <c r="AR45"/>
  <c r="AR44"/>
  <c r="AR43"/>
  <c r="AT45"/>
  <c r="AT44"/>
  <c r="AT43"/>
  <c r="AV45"/>
  <c r="AV44"/>
  <c r="AV43"/>
  <c r="AX45"/>
  <c r="AX44"/>
  <c r="AX43"/>
  <c r="AZ45"/>
  <c r="AZ44"/>
  <c r="AZ43"/>
  <c r="L90"/>
  <c r="M90" s="1"/>
  <c r="L89"/>
  <c r="M89" s="1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AF45" i="641"/>
  <c r="AF44"/>
  <c r="AH45"/>
  <c r="AH44"/>
  <c r="AJ45"/>
  <c r="AJ44"/>
  <c r="AL45"/>
  <c r="AL44"/>
  <c r="AL43"/>
  <c r="AN45"/>
  <c r="AN44"/>
  <c r="AN43"/>
  <c r="AR45"/>
  <c r="AR44"/>
  <c r="AR43"/>
  <c r="AT45"/>
  <c r="AT44"/>
  <c r="AT43"/>
  <c r="AV45"/>
  <c r="AV44"/>
  <c r="AV43"/>
  <c r="AX45"/>
  <c r="AX44"/>
  <c r="AX43"/>
  <c r="AZ45"/>
  <c r="AZ44"/>
  <c r="AZ43"/>
  <c r="L90"/>
  <c r="M90" s="1"/>
  <c r="L89"/>
  <c r="M89" s="1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AF43"/>
  <c r="AJ43"/>
  <c r="AG45"/>
  <c r="AG44"/>
  <c r="AG43"/>
  <c r="AI45"/>
  <c r="AI44"/>
  <c r="AI43"/>
  <c r="AK45"/>
  <c r="AK44"/>
  <c r="AK43"/>
  <c r="AM45"/>
  <c r="AM44"/>
  <c r="AM43"/>
  <c r="AO45"/>
  <c r="AO44"/>
  <c r="AO43"/>
  <c r="AS45"/>
  <c r="AS44"/>
  <c r="AS43"/>
  <c r="AU45"/>
  <c r="AU44"/>
  <c r="AU43"/>
  <c r="AW45"/>
  <c r="AW44"/>
  <c r="AW43"/>
  <c r="AY45"/>
  <c r="AY44"/>
  <c r="AY43"/>
  <c r="BA45"/>
  <c r="BA44"/>
  <c r="BA43"/>
  <c r="BA42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T42"/>
  <c r="AV42"/>
  <c r="AX42"/>
  <c r="AZ42"/>
  <c r="AH43"/>
  <c r="AF45" i="638"/>
  <c r="AF44"/>
  <c r="AF43"/>
  <c r="AH45"/>
  <c r="AH44"/>
  <c r="AH43"/>
  <c r="AJ45"/>
  <c r="AJ44"/>
  <c r="AJ43"/>
  <c r="AL45"/>
  <c r="AL44"/>
  <c r="AL43"/>
  <c r="AN45"/>
  <c r="AN44"/>
  <c r="AN43"/>
  <c r="AR45"/>
  <c r="AR44"/>
  <c r="AR43"/>
  <c r="AT45"/>
  <c r="AT44"/>
  <c r="AT43"/>
  <c r="AV45"/>
  <c r="AV44"/>
  <c r="AV43"/>
  <c r="AX45"/>
  <c r="AX44"/>
  <c r="AX43"/>
  <c r="AZ45"/>
  <c r="AZ44"/>
  <c r="AZ43"/>
  <c r="L90"/>
  <c r="M90" s="1"/>
  <c r="L89"/>
  <c r="M89" s="1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X42"/>
  <c r="AG45"/>
  <c r="AG44"/>
  <c r="AG43"/>
  <c r="AI45"/>
  <c r="AI44"/>
  <c r="AI43"/>
  <c r="AK45"/>
  <c r="AK44"/>
  <c r="AK43"/>
  <c r="AM45"/>
  <c r="AM44"/>
  <c r="AM43"/>
  <c r="AO45"/>
  <c r="AO44"/>
  <c r="AO43"/>
  <c r="AS45"/>
  <c r="AS44"/>
  <c r="AS43"/>
  <c r="AU45"/>
  <c r="AU44"/>
  <c r="AU43"/>
  <c r="AW45"/>
  <c r="AW44"/>
  <c r="AW43"/>
  <c r="AW42"/>
  <c r="AY45"/>
  <c r="AY44"/>
  <c r="AY43"/>
  <c r="AY42"/>
  <c r="BA45"/>
  <c r="BA44"/>
  <c r="BA43"/>
  <c r="BA42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T42"/>
  <c r="AV42"/>
  <c r="AZ42"/>
  <c r="AG45" i="635"/>
  <c r="AG44"/>
  <c r="AI45"/>
  <c r="AI44"/>
  <c r="AI43"/>
  <c r="AK45"/>
  <c r="AK44"/>
  <c r="AK43"/>
  <c r="AM45"/>
  <c r="AM44"/>
  <c r="AM43"/>
  <c r="AO45"/>
  <c r="AO44"/>
  <c r="AO43"/>
  <c r="AS45"/>
  <c r="AS44"/>
  <c r="AS43"/>
  <c r="AU45"/>
  <c r="AU44"/>
  <c r="AU43"/>
  <c r="AW45"/>
  <c r="AW44"/>
  <c r="AW43"/>
  <c r="AY45"/>
  <c r="AY44"/>
  <c r="AY43"/>
  <c r="BA45"/>
  <c r="BA44"/>
  <c r="BA43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F45"/>
  <c r="AF44"/>
  <c r="AH45"/>
  <c r="AH44"/>
  <c r="AJ45"/>
  <c r="AJ44"/>
  <c r="AJ43"/>
  <c r="AL45"/>
  <c r="AL44"/>
  <c r="AL43"/>
  <c r="AN45"/>
  <c r="AN44"/>
  <c r="AN43"/>
  <c r="AR45"/>
  <c r="AR44"/>
  <c r="AR43"/>
  <c r="AT45"/>
  <c r="AT44"/>
  <c r="AT43"/>
  <c r="AV45"/>
  <c r="AV44"/>
  <c r="AV43"/>
  <c r="AX45"/>
  <c r="AX44"/>
  <c r="AX43"/>
  <c r="AZ45"/>
  <c r="AZ44"/>
  <c r="AZ43"/>
  <c r="L90"/>
  <c r="M90" s="1"/>
  <c r="L89"/>
  <c r="M89" s="1"/>
  <c r="L90" i="629"/>
  <c r="M90" s="1"/>
  <c r="AA9" i="634"/>
  <c r="AA11" s="1"/>
  <c r="AA16" s="1"/>
  <c r="AF15" i="63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N91" i="629"/>
  <c r="H34" i="817" s="1"/>
  <c r="O91" i="629"/>
  <c r="I34" i="817" s="1"/>
  <c r="F95" i="587"/>
  <c r="H95"/>
  <c r="J95"/>
  <c r="N95"/>
  <c r="H20" i="817" s="1"/>
  <c r="G91" i="629"/>
  <c r="I91"/>
  <c r="K91"/>
  <c r="P91"/>
  <c r="J34" i="817" s="1"/>
  <c r="AG45" i="629"/>
  <c r="AG44"/>
  <c r="AG43"/>
  <c r="AG42"/>
  <c r="AG41"/>
  <c r="AG40"/>
  <c r="AG39"/>
  <c r="AG38"/>
  <c r="AG37"/>
  <c r="AG34"/>
  <c r="AG33"/>
  <c r="AG32"/>
  <c r="AG31"/>
  <c r="AG30"/>
  <c r="AG29"/>
  <c r="AG28"/>
  <c r="AG27"/>
  <c r="AG26"/>
  <c r="AG23"/>
  <c r="AG22"/>
  <c r="AG21"/>
  <c r="AG20"/>
  <c r="AG19"/>
  <c r="AI45"/>
  <c r="AI44"/>
  <c r="AI43"/>
  <c r="AI42"/>
  <c r="AI41"/>
  <c r="AI40"/>
  <c r="AI39"/>
  <c r="AI38"/>
  <c r="AI37"/>
  <c r="AI34"/>
  <c r="AI33"/>
  <c r="AI32"/>
  <c r="AI31"/>
  <c r="AI30"/>
  <c r="AI29"/>
  <c r="AI28"/>
  <c r="AI27"/>
  <c r="AI26"/>
  <c r="AI23"/>
  <c r="AI22"/>
  <c r="AI21"/>
  <c r="AI20"/>
  <c r="AI19"/>
  <c r="AK45"/>
  <c r="AK44"/>
  <c r="AK43"/>
  <c r="AK42"/>
  <c r="AK41"/>
  <c r="AK40"/>
  <c r="AK39"/>
  <c r="AK38"/>
  <c r="AK37"/>
  <c r="AK34"/>
  <c r="AK33"/>
  <c r="AK32"/>
  <c r="AK31"/>
  <c r="AK30"/>
  <c r="AK29"/>
  <c r="AK28"/>
  <c r="AK27"/>
  <c r="AK26"/>
  <c r="AK23"/>
  <c r="AK22"/>
  <c r="AK21"/>
  <c r="AK20"/>
  <c r="AK19"/>
  <c r="AM45"/>
  <c r="AM44"/>
  <c r="AM43"/>
  <c r="AM42"/>
  <c r="AM41"/>
  <c r="AM40"/>
  <c r="AM39"/>
  <c r="AM38"/>
  <c r="AM37"/>
  <c r="AM34"/>
  <c r="AM33"/>
  <c r="AM32"/>
  <c r="AM31"/>
  <c r="AM30"/>
  <c r="AM29"/>
  <c r="AM28"/>
  <c r="AM27"/>
  <c r="AM26"/>
  <c r="AM23"/>
  <c r="AM22"/>
  <c r="AM21"/>
  <c r="AM20"/>
  <c r="AM19"/>
  <c r="AO45"/>
  <c r="AO44"/>
  <c r="AO43"/>
  <c r="AO42"/>
  <c r="AO41"/>
  <c r="AO40"/>
  <c r="AO39"/>
  <c r="AO38"/>
  <c r="AO37"/>
  <c r="AO34"/>
  <c r="AO33"/>
  <c r="AO32"/>
  <c r="AO31"/>
  <c r="AO30"/>
  <c r="AO29"/>
  <c r="AO28"/>
  <c r="AO27"/>
  <c r="AO26"/>
  <c r="AO23"/>
  <c r="AO22"/>
  <c r="AO21"/>
  <c r="AO20"/>
  <c r="AO19"/>
  <c r="AS45"/>
  <c r="AS44"/>
  <c r="AS43"/>
  <c r="AS42"/>
  <c r="AS41"/>
  <c r="AS40"/>
  <c r="AS39"/>
  <c r="AS38"/>
  <c r="AS37"/>
  <c r="AS34"/>
  <c r="AS33"/>
  <c r="AS32"/>
  <c r="AS31"/>
  <c r="AS30"/>
  <c r="AS29"/>
  <c r="AS28"/>
  <c r="AS27"/>
  <c r="AS26"/>
  <c r="AS23"/>
  <c r="AS22"/>
  <c r="AS21"/>
  <c r="AS20"/>
  <c r="AS19"/>
  <c r="AS18"/>
  <c r="AU45"/>
  <c r="AU44"/>
  <c r="AU43"/>
  <c r="AU42"/>
  <c r="AU41"/>
  <c r="AU40"/>
  <c r="AU39"/>
  <c r="AU38"/>
  <c r="AU37"/>
  <c r="AU34"/>
  <c r="AU33"/>
  <c r="AU32"/>
  <c r="AU31"/>
  <c r="AU30"/>
  <c r="AU29"/>
  <c r="AU28"/>
  <c r="AU27"/>
  <c r="AU26"/>
  <c r="AU23"/>
  <c r="AU22"/>
  <c r="AU21"/>
  <c r="AU20"/>
  <c r="AU19"/>
  <c r="AU18"/>
  <c r="AW45"/>
  <c r="AW44"/>
  <c r="AW43"/>
  <c r="AW42"/>
  <c r="AW41"/>
  <c r="AW40"/>
  <c r="AW39"/>
  <c r="AW38"/>
  <c r="AW37"/>
  <c r="AW34"/>
  <c r="AW33"/>
  <c r="AW32"/>
  <c r="AW31"/>
  <c r="AW30"/>
  <c r="AW29"/>
  <c r="AW28"/>
  <c r="AW27"/>
  <c r="AW26"/>
  <c r="AW23"/>
  <c r="AW22"/>
  <c r="AW21"/>
  <c r="AW20"/>
  <c r="AW19"/>
  <c r="AW18"/>
  <c r="AY45"/>
  <c r="AY44"/>
  <c r="AY43"/>
  <c r="AY42"/>
  <c r="AY41"/>
  <c r="AY40"/>
  <c r="AY39"/>
  <c r="AY38"/>
  <c r="AY37"/>
  <c r="AY34"/>
  <c r="AY33"/>
  <c r="AY32"/>
  <c r="AY31"/>
  <c r="AY30"/>
  <c r="AY29"/>
  <c r="AY28"/>
  <c r="AY27"/>
  <c r="AY26"/>
  <c r="AY23"/>
  <c r="AY22"/>
  <c r="AY21"/>
  <c r="AY20"/>
  <c r="AY19"/>
  <c r="AY18"/>
  <c r="BA45"/>
  <c r="BA44"/>
  <c r="BA43"/>
  <c r="BA42"/>
  <c r="BA41"/>
  <c r="BA40"/>
  <c r="BA39"/>
  <c r="BA38"/>
  <c r="BA37"/>
  <c r="BA34"/>
  <c r="BA33"/>
  <c r="BA32"/>
  <c r="BA31"/>
  <c r="BA30"/>
  <c r="BA29"/>
  <c r="BA28"/>
  <c r="BA27"/>
  <c r="BA26"/>
  <c r="BA23"/>
  <c r="BA22"/>
  <c r="BA21"/>
  <c r="BA20"/>
  <c r="BA19"/>
  <c r="BA18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F45"/>
  <c r="AF44"/>
  <c r="AF43"/>
  <c r="AF21"/>
  <c r="AF20"/>
  <c r="AF19"/>
  <c r="AF42"/>
  <c r="AF41"/>
  <c r="AF40"/>
  <c r="AF39"/>
  <c r="AF38"/>
  <c r="AF37"/>
  <c r="AF34"/>
  <c r="AF33"/>
  <c r="AF32"/>
  <c r="AF31"/>
  <c r="AF30"/>
  <c r="AF29"/>
  <c r="AF28"/>
  <c r="AF27"/>
  <c r="AF26"/>
  <c r="AF23"/>
  <c r="AF22"/>
  <c r="AH21"/>
  <c r="AH20"/>
  <c r="AH19"/>
  <c r="AH45"/>
  <c r="AH44"/>
  <c r="AH43"/>
  <c r="AH42"/>
  <c r="AH41"/>
  <c r="AH40"/>
  <c r="AH39"/>
  <c r="AH38"/>
  <c r="AH37"/>
  <c r="AH34"/>
  <c r="AH33"/>
  <c r="AH32"/>
  <c r="AH31"/>
  <c r="AH30"/>
  <c r="AH29"/>
  <c r="AH28"/>
  <c r="AH27"/>
  <c r="AH26"/>
  <c r="AH23"/>
  <c r="AH22"/>
  <c r="AJ45"/>
  <c r="AJ44"/>
  <c r="AJ43"/>
  <c r="AJ21"/>
  <c r="AJ20"/>
  <c r="AJ19"/>
  <c r="AJ42"/>
  <c r="AJ41"/>
  <c r="AJ40"/>
  <c r="AJ39"/>
  <c r="AJ38"/>
  <c r="AJ37"/>
  <c r="AJ34"/>
  <c r="AJ33"/>
  <c r="AJ32"/>
  <c r="AJ31"/>
  <c r="AJ30"/>
  <c r="AJ29"/>
  <c r="AJ28"/>
  <c r="AJ27"/>
  <c r="AJ26"/>
  <c r="AJ23"/>
  <c r="AJ22"/>
  <c r="AL21"/>
  <c r="AL20"/>
  <c r="AL19"/>
  <c r="AL45"/>
  <c r="AL44"/>
  <c r="AL43"/>
  <c r="AL42"/>
  <c r="AL41"/>
  <c r="AL40"/>
  <c r="AL39"/>
  <c r="AL38"/>
  <c r="AL37"/>
  <c r="AL34"/>
  <c r="AL33"/>
  <c r="AL32"/>
  <c r="AL31"/>
  <c r="AL30"/>
  <c r="AL29"/>
  <c r="AL28"/>
  <c r="AL27"/>
  <c r="AL26"/>
  <c r="AL23"/>
  <c r="AL22"/>
  <c r="AN45"/>
  <c r="AN44"/>
  <c r="AN43"/>
  <c r="AN21"/>
  <c r="AN20"/>
  <c r="AN19"/>
  <c r="AN42"/>
  <c r="AN41"/>
  <c r="AN40"/>
  <c r="AN39"/>
  <c r="AN38"/>
  <c r="AN37"/>
  <c r="AN34"/>
  <c r="AN33"/>
  <c r="AN32"/>
  <c r="AN31"/>
  <c r="AN30"/>
  <c r="AN29"/>
  <c r="AN28"/>
  <c r="AN27"/>
  <c r="AN26"/>
  <c r="AN23"/>
  <c r="AN22"/>
  <c r="AR21"/>
  <c r="AR20"/>
  <c r="AR19"/>
  <c r="AR45"/>
  <c r="AR44"/>
  <c r="AR43"/>
  <c r="AR42"/>
  <c r="AR41"/>
  <c r="AR40"/>
  <c r="AR39"/>
  <c r="AR38"/>
  <c r="AR37"/>
  <c r="AR34"/>
  <c r="AR33"/>
  <c r="AR32"/>
  <c r="AR31"/>
  <c r="AR30"/>
  <c r="AR29"/>
  <c r="AR28"/>
  <c r="AR27"/>
  <c r="AR26"/>
  <c r="AR23"/>
  <c r="AR22"/>
  <c r="AT45"/>
  <c r="AT44"/>
  <c r="AT43"/>
  <c r="AT21"/>
  <c r="AT20"/>
  <c r="AT19"/>
  <c r="AT18"/>
  <c r="AT42"/>
  <c r="AT41"/>
  <c r="AT40"/>
  <c r="AT39"/>
  <c r="AT38"/>
  <c r="AT37"/>
  <c r="AT34"/>
  <c r="AT33"/>
  <c r="AT32"/>
  <c r="AT31"/>
  <c r="AT30"/>
  <c r="AT29"/>
  <c r="AT28"/>
  <c r="AT27"/>
  <c r="AT26"/>
  <c r="AT23"/>
  <c r="AT22"/>
  <c r="AV21"/>
  <c r="AV20"/>
  <c r="AV19"/>
  <c r="AV18"/>
  <c r="AV45"/>
  <c r="AV44"/>
  <c r="AV43"/>
  <c r="AV42"/>
  <c r="AV41"/>
  <c r="AV40"/>
  <c r="AV39"/>
  <c r="AV38"/>
  <c r="AV37"/>
  <c r="AV34"/>
  <c r="AV33"/>
  <c r="AV32"/>
  <c r="AV31"/>
  <c r="AV30"/>
  <c r="AV29"/>
  <c r="AV28"/>
  <c r="AV27"/>
  <c r="AV26"/>
  <c r="AV23"/>
  <c r="AV22"/>
  <c r="AX45"/>
  <c r="AX44"/>
  <c r="AX43"/>
  <c r="AX42"/>
  <c r="AX21"/>
  <c r="AX20"/>
  <c r="AX19"/>
  <c r="AX18"/>
  <c r="AX41"/>
  <c r="AX40"/>
  <c r="AX39"/>
  <c r="AX38"/>
  <c r="AX37"/>
  <c r="AX34"/>
  <c r="AX33"/>
  <c r="AX32"/>
  <c r="AX31"/>
  <c r="AX30"/>
  <c r="AX29"/>
  <c r="AX28"/>
  <c r="AX27"/>
  <c r="AX26"/>
  <c r="AX23"/>
  <c r="AX22"/>
  <c r="AZ21"/>
  <c r="AZ20"/>
  <c r="AZ19"/>
  <c r="AZ18"/>
  <c r="AZ45"/>
  <c r="AZ44"/>
  <c r="AZ43"/>
  <c r="AZ42"/>
  <c r="AZ41"/>
  <c r="AZ40"/>
  <c r="AZ39"/>
  <c r="AZ38"/>
  <c r="AZ37"/>
  <c r="AZ34"/>
  <c r="AZ33"/>
  <c r="AZ32"/>
  <c r="AZ31"/>
  <c r="AZ30"/>
  <c r="AZ29"/>
  <c r="AZ28"/>
  <c r="AZ27"/>
  <c r="AZ26"/>
  <c r="AZ23"/>
  <c r="AZ22"/>
  <c r="C22" i="25"/>
  <c r="C26"/>
  <c r="AF15" i="629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L89"/>
  <c r="AG44" i="626"/>
  <c r="AG43"/>
  <c r="AG42"/>
  <c r="AI44"/>
  <c r="AI43"/>
  <c r="AI42"/>
  <c r="AK44"/>
  <c r="AK43"/>
  <c r="AK42"/>
  <c r="AM44"/>
  <c r="AM43"/>
  <c r="AM42"/>
  <c r="AO44"/>
  <c r="AO43"/>
  <c r="AO42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F44"/>
  <c r="AF43"/>
  <c r="AF42"/>
  <c r="AH44"/>
  <c r="AH43"/>
  <c r="AH42"/>
  <c r="AJ44"/>
  <c r="AJ43"/>
  <c r="AJ42"/>
  <c r="AL44"/>
  <c r="AL43"/>
  <c r="AL42"/>
  <c r="AN44"/>
  <c r="AN43"/>
  <c r="AN42"/>
  <c r="AR44"/>
  <c r="AR43"/>
  <c r="AR42"/>
  <c r="AT44"/>
  <c r="AT43"/>
  <c r="AT42"/>
  <c r="AT41"/>
  <c r="AV44"/>
  <c r="AV43"/>
  <c r="AV42"/>
  <c r="AV41"/>
  <c r="AX44"/>
  <c r="AX43"/>
  <c r="AX42"/>
  <c r="AX41"/>
  <c r="AZ44"/>
  <c r="AZ43"/>
  <c r="AZ42"/>
  <c r="AZ41"/>
  <c r="L89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G45" i="623"/>
  <c r="AG44"/>
  <c r="AG43"/>
  <c r="AI45"/>
  <c r="AI44"/>
  <c r="AI43"/>
  <c r="AK45"/>
  <c r="AK44"/>
  <c r="AK43"/>
  <c r="AM45"/>
  <c r="AM44"/>
  <c r="AM43"/>
  <c r="AO45"/>
  <c r="AO44"/>
  <c r="AO43"/>
  <c r="AS45"/>
  <c r="AS44"/>
  <c r="AS43"/>
  <c r="AS42"/>
  <c r="AU45"/>
  <c r="AU44"/>
  <c r="AU43"/>
  <c r="AU42"/>
  <c r="AW45"/>
  <c r="AW44"/>
  <c r="AW43"/>
  <c r="AW42"/>
  <c r="AY45"/>
  <c r="AY44"/>
  <c r="AY43"/>
  <c r="AY42"/>
  <c r="BA45"/>
  <c r="BA44"/>
  <c r="BA43"/>
  <c r="BA42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F45"/>
  <c r="AF44"/>
  <c r="AF43"/>
  <c r="AH45"/>
  <c r="AH44"/>
  <c r="AH43"/>
  <c r="AJ45"/>
  <c r="AJ44"/>
  <c r="AJ43"/>
  <c r="AL45"/>
  <c r="AL44"/>
  <c r="AL43"/>
  <c r="AN45"/>
  <c r="AN44"/>
  <c r="AN43"/>
  <c r="AR45"/>
  <c r="AR44"/>
  <c r="AR43"/>
  <c r="AT45"/>
  <c r="AT44"/>
  <c r="AT43"/>
  <c r="AT42"/>
  <c r="AV45"/>
  <c r="AV44"/>
  <c r="AV43"/>
  <c r="AV42"/>
  <c r="AX45"/>
  <c r="AX44"/>
  <c r="AX43"/>
  <c r="AX42"/>
  <c r="AZ45"/>
  <c r="AZ44"/>
  <c r="AZ43"/>
  <c r="AZ42"/>
  <c r="L89"/>
  <c r="L91" s="1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G46" i="620"/>
  <c r="AG45"/>
  <c r="AG44"/>
  <c r="AI46"/>
  <c r="AI45"/>
  <c r="AI44"/>
  <c r="AK46"/>
  <c r="AK45"/>
  <c r="AK44"/>
  <c r="AM46"/>
  <c r="AM45"/>
  <c r="AM44"/>
  <c r="AO46"/>
  <c r="AO45"/>
  <c r="AO44"/>
  <c r="AS46"/>
  <c r="AS45"/>
  <c r="AS44"/>
  <c r="AS43"/>
  <c r="AU46"/>
  <c r="AU45"/>
  <c r="AU44"/>
  <c r="AU43"/>
  <c r="AW46"/>
  <c r="AW45"/>
  <c r="AW44"/>
  <c r="AW43"/>
  <c r="AY46"/>
  <c r="AY45"/>
  <c r="AY44"/>
  <c r="AY43"/>
  <c r="BA46"/>
  <c r="BA45"/>
  <c r="BA44"/>
  <c r="BA43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F23"/>
  <c r="AH23"/>
  <c r="AJ23"/>
  <c r="AL23"/>
  <c r="AN23"/>
  <c r="AR23"/>
  <c r="AT23"/>
  <c r="AV23"/>
  <c r="AX23"/>
  <c r="AZ23"/>
  <c r="AF24"/>
  <c r="AH24"/>
  <c r="AJ24"/>
  <c r="AL24"/>
  <c r="AN24"/>
  <c r="AR24"/>
  <c r="AT24"/>
  <c r="AV24"/>
  <c r="AX24"/>
  <c r="AZ24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F46"/>
  <c r="AF45"/>
  <c r="AF44"/>
  <c r="AH46"/>
  <c r="AH45"/>
  <c r="AH44"/>
  <c r="AJ46"/>
  <c r="AJ45"/>
  <c r="AJ44"/>
  <c r="AL46"/>
  <c r="AL45"/>
  <c r="AL44"/>
  <c r="AN46"/>
  <c r="AN45"/>
  <c r="AN44"/>
  <c r="AR46"/>
  <c r="AR45"/>
  <c r="AR44"/>
  <c r="AT46"/>
  <c r="AT45"/>
  <c r="AT44"/>
  <c r="AT43"/>
  <c r="AV46"/>
  <c r="AV45"/>
  <c r="AV44"/>
  <c r="AV43"/>
  <c r="AX46"/>
  <c r="AX45"/>
  <c r="AX44"/>
  <c r="AX43"/>
  <c r="AZ46"/>
  <c r="AZ45"/>
  <c r="AZ44"/>
  <c r="AZ43"/>
  <c r="L90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K23"/>
  <c r="AM23"/>
  <c r="AO23"/>
  <c r="AS23"/>
  <c r="AU23"/>
  <c r="AW23"/>
  <c r="AY23"/>
  <c r="BA23"/>
  <c r="AG24"/>
  <c r="AI24"/>
  <c r="AK24"/>
  <c r="AM24"/>
  <c r="AO24"/>
  <c r="AS24"/>
  <c r="AU24"/>
  <c r="AW24"/>
  <c r="AY24"/>
  <c r="BA24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G46" i="617"/>
  <c r="AG45"/>
  <c r="AG44"/>
  <c r="AI46"/>
  <c r="AI45"/>
  <c r="AI44"/>
  <c r="AK46"/>
  <c r="AK45"/>
  <c r="AK44"/>
  <c r="AM46"/>
  <c r="AM45"/>
  <c r="AM44"/>
  <c r="AO46"/>
  <c r="AO45"/>
  <c r="AO44"/>
  <c r="AS46"/>
  <c r="AS45"/>
  <c r="AS44"/>
  <c r="AS43"/>
  <c r="AU46"/>
  <c r="AU45"/>
  <c r="AU44"/>
  <c r="AU43"/>
  <c r="AW46"/>
  <c r="AW45"/>
  <c r="AW44"/>
  <c r="AW43"/>
  <c r="AY46"/>
  <c r="AY45"/>
  <c r="AY44"/>
  <c r="AY43"/>
  <c r="BA46"/>
  <c r="BA45"/>
  <c r="BA44"/>
  <c r="BA43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F23"/>
  <c r="AH23"/>
  <c r="AJ23"/>
  <c r="AL23"/>
  <c r="AN23"/>
  <c r="AR23"/>
  <c r="AT23"/>
  <c r="AV23"/>
  <c r="AX23"/>
  <c r="AZ23"/>
  <c r="AF24"/>
  <c r="AH24"/>
  <c r="AJ24"/>
  <c r="AL24"/>
  <c r="AN24"/>
  <c r="AR24"/>
  <c r="AT24"/>
  <c r="AV24"/>
  <c r="AX24"/>
  <c r="AZ24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F46"/>
  <c r="AF45"/>
  <c r="AF44"/>
  <c r="AH46"/>
  <c r="AH45"/>
  <c r="AH44"/>
  <c r="AJ46"/>
  <c r="AJ45"/>
  <c r="AJ44"/>
  <c r="AL46"/>
  <c r="AL45"/>
  <c r="AL44"/>
  <c r="AN46"/>
  <c r="AN45"/>
  <c r="AN44"/>
  <c r="AR46"/>
  <c r="AR45"/>
  <c r="AR44"/>
  <c r="AT46"/>
  <c r="AT45"/>
  <c r="AT44"/>
  <c r="AT43"/>
  <c r="AV46"/>
  <c r="AV45"/>
  <c r="AV44"/>
  <c r="AV43"/>
  <c r="AX46"/>
  <c r="AX45"/>
  <c r="AX44"/>
  <c r="AX43"/>
  <c r="AZ46"/>
  <c r="AZ45"/>
  <c r="AZ44"/>
  <c r="AZ43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K23"/>
  <c r="AM23"/>
  <c r="AO23"/>
  <c r="AS23"/>
  <c r="AU23"/>
  <c r="AW23"/>
  <c r="AY23"/>
  <c r="BA23"/>
  <c r="AG24"/>
  <c r="AI24"/>
  <c r="AK24"/>
  <c r="AM24"/>
  <c r="AO24"/>
  <c r="AS24"/>
  <c r="AU24"/>
  <c r="AW24"/>
  <c r="AY24"/>
  <c r="BA24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F47" i="614"/>
  <c r="AF46"/>
  <c r="AF45"/>
  <c r="AF44"/>
  <c r="AF43"/>
  <c r="AF42"/>
  <c r="AF41"/>
  <c r="AF40"/>
  <c r="AF39"/>
  <c r="AF36"/>
  <c r="AF35"/>
  <c r="AF34"/>
  <c r="AF33"/>
  <c r="AF32"/>
  <c r="AF31"/>
  <c r="AF30"/>
  <c r="AH47"/>
  <c r="AH46"/>
  <c r="AH45"/>
  <c r="AH44"/>
  <c r="AH43"/>
  <c r="AH42"/>
  <c r="AH41"/>
  <c r="AH40"/>
  <c r="AH39"/>
  <c r="AH36"/>
  <c r="AH35"/>
  <c r="AH34"/>
  <c r="AH33"/>
  <c r="AH32"/>
  <c r="AH31"/>
  <c r="AH30"/>
  <c r="AJ47"/>
  <c r="AJ46"/>
  <c r="AJ45"/>
  <c r="AJ44"/>
  <c r="AJ43"/>
  <c r="AJ42"/>
  <c r="AJ41"/>
  <c r="AJ40"/>
  <c r="AJ39"/>
  <c r="AJ36"/>
  <c r="AJ35"/>
  <c r="AJ34"/>
  <c r="AJ33"/>
  <c r="AJ32"/>
  <c r="AJ31"/>
  <c r="AJ30"/>
  <c r="AJ29"/>
  <c r="AL47"/>
  <c r="AL46"/>
  <c r="AL45"/>
  <c r="AL44"/>
  <c r="AL43"/>
  <c r="AL42"/>
  <c r="AL41"/>
  <c r="AL40"/>
  <c r="AL39"/>
  <c r="AL36"/>
  <c r="AL35"/>
  <c r="AL34"/>
  <c r="AL33"/>
  <c r="AL32"/>
  <c r="AL31"/>
  <c r="AL30"/>
  <c r="AL29"/>
  <c r="AN47"/>
  <c r="AN46"/>
  <c r="AN45"/>
  <c r="AN44"/>
  <c r="AN43"/>
  <c r="AN42"/>
  <c r="AN41"/>
  <c r="AN40"/>
  <c r="AN39"/>
  <c r="AN36"/>
  <c r="AN35"/>
  <c r="AN34"/>
  <c r="AN33"/>
  <c r="AN32"/>
  <c r="AN31"/>
  <c r="AN30"/>
  <c r="AN29"/>
  <c r="AR47"/>
  <c r="AR46"/>
  <c r="AR45"/>
  <c r="AR44"/>
  <c r="AR43"/>
  <c r="AR42"/>
  <c r="AR41"/>
  <c r="AR40"/>
  <c r="AR39"/>
  <c r="AR36"/>
  <c r="AR35"/>
  <c r="AR34"/>
  <c r="AR33"/>
  <c r="AR32"/>
  <c r="AR31"/>
  <c r="AR30"/>
  <c r="AR29"/>
  <c r="AT47"/>
  <c r="AT46"/>
  <c r="AT45"/>
  <c r="AT44"/>
  <c r="AT43"/>
  <c r="AT42"/>
  <c r="AT41"/>
  <c r="AT40"/>
  <c r="AT39"/>
  <c r="AT36"/>
  <c r="AT35"/>
  <c r="AT34"/>
  <c r="AT33"/>
  <c r="AT32"/>
  <c r="AT31"/>
  <c r="AT30"/>
  <c r="AT29"/>
  <c r="AV47"/>
  <c r="AV46"/>
  <c r="AV45"/>
  <c r="AV44"/>
  <c r="AV43"/>
  <c r="AV42"/>
  <c r="AV41"/>
  <c r="AV40"/>
  <c r="AV39"/>
  <c r="AV36"/>
  <c r="AV35"/>
  <c r="AV34"/>
  <c r="AV33"/>
  <c r="AV32"/>
  <c r="AV31"/>
  <c r="AV30"/>
  <c r="AV29"/>
  <c r="AX47"/>
  <c r="AX46"/>
  <c r="AX45"/>
  <c r="AX44"/>
  <c r="AX43"/>
  <c r="AX42"/>
  <c r="AX41"/>
  <c r="AX40"/>
  <c r="AX39"/>
  <c r="AX36"/>
  <c r="AX35"/>
  <c r="AX34"/>
  <c r="AX33"/>
  <c r="AX32"/>
  <c r="AX31"/>
  <c r="AX30"/>
  <c r="AX29"/>
  <c r="AZ47"/>
  <c r="AZ46"/>
  <c r="AZ45"/>
  <c r="AZ44"/>
  <c r="AZ43"/>
  <c r="AZ42"/>
  <c r="AZ41"/>
  <c r="AZ40"/>
  <c r="AZ39"/>
  <c r="AZ36"/>
  <c r="AZ35"/>
  <c r="AZ34"/>
  <c r="AZ33"/>
  <c r="AZ32"/>
  <c r="AZ31"/>
  <c r="AZ30"/>
  <c r="AZ29"/>
  <c r="L93"/>
  <c r="M93" s="1"/>
  <c r="L91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G24"/>
  <c r="AI24"/>
  <c r="AK24"/>
  <c r="AM24"/>
  <c r="AO24"/>
  <c r="AS24"/>
  <c r="AU24"/>
  <c r="AW24"/>
  <c r="AY24"/>
  <c r="BA24"/>
  <c r="AG25"/>
  <c r="AI25"/>
  <c r="AK25"/>
  <c r="AM25"/>
  <c r="AO25"/>
  <c r="AS25"/>
  <c r="AU25"/>
  <c r="AW25"/>
  <c r="AY25"/>
  <c r="BA25"/>
  <c r="AG28"/>
  <c r="AI28"/>
  <c r="AM28"/>
  <c r="AS28"/>
  <c r="AW28"/>
  <c r="BA28"/>
  <c r="AI29"/>
  <c r="AM29"/>
  <c r="AG47"/>
  <c r="AG46"/>
  <c r="AG45"/>
  <c r="AG44"/>
  <c r="AG43"/>
  <c r="AG42"/>
  <c r="AG41"/>
  <c r="AG40"/>
  <c r="AG39"/>
  <c r="AG36"/>
  <c r="AG35"/>
  <c r="AG34"/>
  <c r="AG33"/>
  <c r="AG32"/>
  <c r="AG31"/>
  <c r="AI47"/>
  <c r="AI46"/>
  <c r="AI45"/>
  <c r="AI44"/>
  <c r="AI43"/>
  <c r="AI42"/>
  <c r="AI41"/>
  <c r="AI40"/>
  <c r="AI39"/>
  <c r="AI36"/>
  <c r="AI35"/>
  <c r="AI34"/>
  <c r="AI33"/>
  <c r="AI32"/>
  <c r="AI31"/>
  <c r="AK47"/>
  <c r="AK46"/>
  <c r="AK45"/>
  <c r="AK44"/>
  <c r="AK43"/>
  <c r="AK42"/>
  <c r="AK41"/>
  <c r="AK40"/>
  <c r="AK39"/>
  <c r="AK36"/>
  <c r="AK35"/>
  <c r="AK34"/>
  <c r="AK33"/>
  <c r="AK32"/>
  <c r="AK31"/>
  <c r="AM47"/>
  <c r="AM46"/>
  <c r="AM45"/>
  <c r="AM44"/>
  <c r="AM43"/>
  <c r="AM42"/>
  <c r="AM41"/>
  <c r="AM40"/>
  <c r="AM39"/>
  <c r="AM36"/>
  <c r="AM35"/>
  <c r="AM34"/>
  <c r="AM33"/>
  <c r="AM32"/>
  <c r="AM31"/>
  <c r="AO47"/>
  <c r="AO46"/>
  <c r="AO45"/>
  <c r="AO44"/>
  <c r="AO43"/>
  <c r="AO42"/>
  <c r="AO41"/>
  <c r="AO40"/>
  <c r="AO39"/>
  <c r="AO36"/>
  <c r="AO35"/>
  <c r="AO34"/>
  <c r="AO33"/>
  <c r="AO32"/>
  <c r="AO31"/>
  <c r="AO30"/>
  <c r="AS47"/>
  <c r="AS46"/>
  <c r="AS45"/>
  <c r="AS44"/>
  <c r="AS43"/>
  <c r="AS42"/>
  <c r="AS41"/>
  <c r="AS40"/>
  <c r="AS39"/>
  <c r="AS36"/>
  <c r="AS35"/>
  <c r="AS34"/>
  <c r="AS33"/>
  <c r="AS32"/>
  <c r="AS31"/>
  <c r="AS30"/>
  <c r="AU47"/>
  <c r="AU46"/>
  <c r="AU45"/>
  <c r="AU44"/>
  <c r="AU43"/>
  <c r="AU42"/>
  <c r="AU41"/>
  <c r="AU40"/>
  <c r="AU39"/>
  <c r="AU36"/>
  <c r="AU35"/>
  <c r="AU34"/>
  <c r="AU33"/>
  <c r="AU32"/>
  <c r="AU31"/>
  <c r="AU30"/>
  <c r="AW47"/>
  <c r="AW46"/>
  <c r="AW45"/>
  <c r="AW44"/>
  <c r="AW43"/>
  <c r="AW42"/>
  <c r="AW41"/>
  <c r="AW40"/>
  <c r="AW39"/>
  <c r="AW36"/>
  <c r="AW35"/>
  <c r="AW34"/>
  <c r="AW33"/>
  <c r="AW32"/>
  <c r="AW31"/>
  <c r="AW30"/>
  <c r="AY47"/>
  <c r="AY46"/>
  <c r="AY45"/>
  <c r="AY44"/>
  <c r="AY43"/>
  <c r="AY42"/>
  <c r="AY41"/>
  <c r="AY40"/>
  <c r="AY39"/>
  <c r="AY36"/>
  <c r="AY35"/>
  <c r="AY34"/>
  <c r="AY33"/>
  <c r="AY32"/>
  <c r="AY31"/>
  <c r="AY30"/>
  <c r="BA47"/>
  <c r="BA46"/>
  <c r="BA45"/>
  <c r="BA44"/>
  <c r="BA43"/>
  <c r="BA42"/>
  <c r="BA41"/>
  <c r="BA40"/>
  <c r="BA39"/>
  <c r="BA36"/>
  <c r="BA35"/>
  <c r="BA34"/>
  <c r="BA33"/>
  <c r="BA32"/>
  <c r="BA31"/>
  <c r="BA30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F24"/>
  <c r="AH24"/>
  <c r="AJ24"/>
  <c r="AL24"/>
  <c r="AN24"/>
  <c r="AR24"/>
  <c r="AT24"/>
  <c r="AV24"/>
  <c r="AX24"/>
  <c r="AZ24"/>
  <c r="AF25"/>
  <c r="AH25"/>
  <c r="AJ25"/>
  <c r="AL25"/>
  <c r="AN25"/>
  <c r="AR25"/>
  <c r="AT25"/>
  <c r="AV25"/>
  <c r="AX25"/>
  <c r="AZ25"/>
  <c r="AF28"/>
  <c r="AH28"/>
  <c r="AJ28"/>
  <c r="AL28"/>
  <c r="AN28"/>
  <c r="AR28"/>
  <c r="AT28"/>
  <c r="AV28"/>
  <c r="AX28"/>
  <c r="AZ28"/>
  <c r="AF29"/>
  <c r="AH29"/>
  <c r="AK29"/>
  <c r="AO29"/>
  <c r="AU29"/>
  <c r="AY29"/>
  <c r="AG30"/>
  <c r="AK30"/>
  <c r="AG47" i="611"/>
  <c r="AG46"/>
  <c r="AG45"/>
  <c r="AI47"/>
  <c r="AI46"/>
  <c r="AI45"/>
  <c r="AK47"/>
  <c r="AK46"/>
  <c r="AK45"/>
  <c r="AM47"/>
  <c r="AM46"/>
  <c r="AM45"/>
  <c r="AO47"/>
  <c r="AO46"/>
  <c r="AO45"/>
  <c r="AS47"/>
  <c r="AS46"/>
  <c r="AS45"/>
  <c r="AS44"/>
  <c r="AU47"/>
  <c r="AU46"/>
  <c r="AU45"/>
  <c r="AU44"/>
  <c r="AW47"/>
  <c r="AW46"/>
  <c r="AW45"/>
  <c r="AW44"/>
  <c r="AY47"/>
  <c r="AY46"/>
  <c r="AY45"/>
  <c r="AY44"/>
  <c r="BA47"/>
  <c r="BA46"/>
  <c r="BA45"/>
  <c r="BA44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F24"/>
  <c r="AH24"/>
  <c r="AJ24"/>
  <c r="AL24"/>
  <c r="AN24"/>
  <c r="AR24"/>
  <c r="AT24"/>
  <c r="AV24"/>
  <c r="AX24"/>
  <c r="AZ24"/>
  <c r="AF25"/>
  <c r="AH25"/>
  <c r="AJ25"/>
  <c r="AL25"/>
  <c r="AN25"/>
  <c r="AR25"/>
  <c r="AT25"/>
  <c r="AV25"/>
  <c r="AX25"/>
  <c r="AZ25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6"/>
  <c r="AH36"/>
  <c r="AJ36"/>
  <c r="AL36"/>
  <c r="AN36"/>
  <c r="AR36"/>
  <c r="AT36"/>
  <c r="AV36"/>
  <c r="AX36"/>
  <c r="AZ36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T42"/>
  <c r="AV42"/>
  <c r="AX42"/>
  <c r="AZ42"/>
  <c r="AF43"/>
  <c r="AH43"/>
  <c r="AJ43"/>
  <c r="AL43"/>
  <c r="AN43"/>
  <c r="AR43"/>
  <c r="AF47"/>
  <c r="AF46"/>
  <c r="AF45"/>
  <c r="AH47"/>
  <c r="AH46"/>
  <c r="AH45"/>
  <c r="AJ47"/>
  <c r="AJ46"/>
  <c r="AJ45"/>
  <c r="AL47"/>
  <c r="AL46"/>
  <c r="AL45"/>
  <c r="AN47"/>
  <c r="AN46"/>
  <c r="AN45"/>
  <c r="AR47"/>
  <c r="AR46"/>
  <c r="AR45"/>
  <c r="AT47"/>
  <c r="AT46"/>
  <c r="AT45"/>
  <c r="AT44"/>
  <c r="AV47"/>
  <c r="AV46"/>
  <c r="AV45"/>
  <c r="AV44"/>
  <c r="AX47"/>
  <c r="AX46"/>
  <c r="AX45"/>
  <c r="AX44"/>
  <c r="AZ47"/>
  <c r="AZ46"/>
  <c r="AZ45"/>
  <c r="AZ44"/>
  <c r="L93"/>
  <c r="M93" s="1"/>
  <c r="L91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G24"/>
  <c r="AI24"/>
  <c r="AK24"/>
  <c r="AM24"/>
  <c r="AO24"/>
  <c r="AS24"/>
  <c r="AU24"/>
  <c r="AW24"/>
  <c r="AY24"/>
  <c r="BA24"/>
  <c r="AG25"/>
  <c r="AI25"/>
  <c r="AK25"/>
  <c r="AM25"/>
  <c r="AO25"/>
  <c r="AS25"/>
  <c r="AU25"/>
  <c r="AW25"/>
  <c r="AY25"/>
  <c r="BA25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6"/>
  <c r="AI36"/>
  <c r="AK36"/>
  <c r="AM36"/>
  <c r="AO36"/>
  <c r="AS36"/>
  <c r="AU36"/>
  <c r="AW36"/>
  <c r="AY36"/>
  <c r="BA36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S43"/>
  <c r="AU43"/>
  <c r="AW43"/>
  <c r="AY43"/>
  <c r="BA43"/>
  <c r="AG44"/>
  <c r="AI44"/>
  <c r="AK44"/>
  <c r="AM44"/>
  <c r="AO44"/>
  <c r="AF47" i="608"/>
  <c r="AF46"/>
  <c r="AF45"/>
  <c r="AF44"/>
  <c r="AF43"/>
  <c r="AF42"/>
  <c r="AF41"/>
  <c r="AF40"/>
  <c r="AF39"/>
  <c r="AF36"/>
  <c r="AF35"/>
  <c r="AF34"/>
  <c r="AF33"/>
  <c r="AF32"/>
  <c r="AF31"/>
  <c r="AF30"/>
  <c r="AF29"/>
  <c r="AF28"/>
  <c r="AH47"/>
  <c r="AH46"/>
  <c r="AH45"/>
  <c r="AH44"/>
  <c r="AH43"/>
  <c r="AH42"/>
  <c r="AH41"/>
  <c r="AH40"/>
  <c r="AH39"/>
  <c r="AH36"/>
  <c r="AH35"/>
  <c r="AH34"/>
  <c r="AH33"/>
  <c r="AH32"/>
  <c r="AH31"/>
  <c r="AH30"/>
  <c r="AH29"/>
  <c r="AH28"/>
  <c r="AJ47"/>
  <c r="AJ46"/>
  <c r="AJ45"/>
  <c r="AJ44"/>
  <c r="AJ43"/>
  <c r="AJ42"/>
  <c r="AJ41"/>
  <c r="AJ40"/>
  <c r="AJ39"/>
  <c r="AJ36"/>
  <c r="AJ35"/>
  <c r="AJ34"/>
  <c r="AJ33"/>
  <c r="AJ32"/>
  <c r="AJ31"/>
  <c r="AJ30"/>
  <c r="AJ29"/>
  <c r="AJ28"/>
  <c r="AL47"/>
  <c r="AL46"/>
  <c r="AL45"/>
  <c r="AL44"/>
  <c r="AL43"/>
  <c r="AL42"/>
  <c r="AL41"/>
  <c r="AL40"/>
  <c r="AL39"/>
  <c r="AL36"/>
  <c r="AL35"/>
  <c r="AL34"/>
  <c r="AL33"/>
  <c r="AL32"/>
  <c r="AL31"/>
  <c r="AL30"/>
  <c r="AL29"/>
  <c r="AL28"/>
  <c r="AN47"/>
  <c r="AN46"/>
  <c r="AN45"/>
  <c r="AN44"/>
  <c r="AN43"/>
  <c r="AN42"/>
  <c r="AN41"/>
  <c r="AN40"/>
  <c r="AN39"/>
  <c r="AN36"/>
  <c r="AN35"/>
  <c r="AN34"/>
  <c r="AN33"/>
  <c r="AN32"/>
  <c r="AN31"/>
  <c r="AN30"/>
  <c r="AN29"/>
  <c r="AN28"/>
  <c r="AN25"/>
  <c r="AR47"/>
  <c r="AR46"/>
  <c r="AR45"/>
  <c r="AR44"/>
  <c r="AR43"/>
  <c r="AR42"/>
  <c r="AR41"/>
  <c r="AR40"/>
  <c r="AR39"/>
  <c r="AR36"/>
  <c r="AR35"/>
  <c r="AR34"/>
  <c r="AR33"/>
  <c r="AR32"/>
  <c r="AR31"/>
  <c r="AR30"/>
  <c r="AR29"/>
  <c r="AR28"/>
  <c r="AR25"/>
  <c r="AT47"/>
  <c r="AT46"/>
  <c r="AT45"/>
  <c r="AT44"/>
  <c r="AT43"/>
  <c r="AT42"/>
  <c r="AT41"/>
  <c r="AT40"/>
  <c r="AT39"/>
  <c r="AT36"/>
  <c r="AT35"/>
  <c r="AT34"/>
  <c r="AT33"/>
  <c r="AT32"/>
  <c r="AT31"/>
  <c r="AT30"/>
  <c r="AT29"/>
  <c r="AT28"/>
  <c r="AT25"/>
  <c r="AV47"/>
  <c r="AV46"/>
  <c r="AV45"/>
  <c r="AV44"/>
  <c r="AV43"/>
  <c r="AV42"/>
  <c r="AV41"/>
  <c r="AV40"/>
  <c r="AV39"/>
  <c r="AV36"/>
  <c r="AV35"/>
  <c r="AV34"/>
  <c r="AV33"/>
  <c r="AV32"/>
  <c r="AV31"/>
  <c r="AV30"/>
  <c r="AV29"/>
  <c r="AV28"/>
  <c r="AV25"/>
  <c r="AX47"/>
  <c r="AX46"/>
  <c r="AX45"/>
  <c r="AX44"/>
  <c r="AX43"/>
  <c r="AX42"/>
  <c r="AX41"/>
  <c r="AX40"/>
  <c r="AX39"/>
  <c r="AX36"/>
  <c r="AX35"/>
  <c r="AX34"/>
  <c r="AX33"/>
  <c r="AX32"/>
  <c r="AX31"/>
  <c r="AX30"/>
  <c r="AX29"/>
  <c r="AX28"/>
  <c r="AX25"/>
  <c r="AZ47"/>
  <c r="AZ46"/>
  <c r="AZ45"/>
  <c r="AZ44"/>
  <c r="AZ43"/>
  <c r="AZ42"/>
  <c r="AZ41"/>
  <c r="AZ40"/>
  <c r="AZ39"/>
  <c r="AZ36"/>
  <c r="AZ35"/>
  <c r="AZ34"/>
  <c r="AZ33"/>
  <c r="AZ32"/>
  <c r="AZ31"/>
  <c r="AZ30"/>
  <c r="AZ29"/>
  <c r="AZ28"/>
  <c r="AZ25"/>
  <c r="L92"/>
  <c r="M92" s="1"/>
  <c r="L91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G24"/>
  <c r="AI24"/>
  <c r="AK24"/>
  <c r="AM24"/>
  <c r="AS24"/>
  <c r="AW24"/>
  <c r="BA24"/>
  <c r="AI25"/>
  <c r="AM25"/>
  <c r="AS25"/>
  <c r="AW25"/>
  <c r="BA25"/>
  <c r="AI28"/>
  <c r="AM28"/>
  <c r="AS28"/>
  <c r="AW28"/>
  <c r="AG44"/>
  <c r="AG43"/>
  <c r="AG42"/>
  <c r="AG41"/>
  <c r="AG40"/>
  <c r="AG39"/>
  <c r="AG36"/>
  <c r="AG35"/>
  <c r="AG34"/>
  <c r="AG33"/>
  <c r="AG32"/>
  <c r="AG31"/>
  <c r="AG30"/>
  <c r="AG47"/>
  <c r="AG46"/>
  <c r="AG45"/>
  <c r="AI47"/>
  <c r="AI46"/>
  <c r="AI45"/>
  <c r="AI44"/>
  <c r="AI43"/>
  <c r="AI42"/>
  <c r="AI41"/>
  <c r="AI40"/>
  <c r="AI39"/>
  <c r="AI36"/>
  <c r="AI35"/>
  <c r="AI34"/>
  <c r="AI33"/>
  <c r="AI32"/>
  <c r="AI31"/>
  <c r="AI30"/>
  <c r="AK44"/>
  <c r="AK43"/>
  <c r="AK42"/>
  <c r="AK41"/>
  <c r="AK40"/>
  <c r="AK39"/>
  <c r="AK36"/>
  <c r="AK35"/>
  <c r="AK34"/>
  <c r="AK33"/>
  <c r="AK32"/>
  <c r="AK31"/>
  <c r="AK30"/>
  <c r="AK47"/>
  <c r="AK46"/>
  <c r="AK45"/>
  <c r="AM47"/>
  <c r="AM46"/>
  <c r="AM45"/>
  <c r="AM44"/>
  <c r="AM43"/>
  <c r="AM42"/>
  <c r="AM41"/>
  <c r="AM40"/>
  <c r="AM39"/>
  <c r="AM36"/>
  <c r="AM35"/>
  <c r="AM34"/>
  <c r="AM33"/>
  <c r="AM32"/>
  <c r="AM31"/>
  <c r="AM30"/>
  <c r="AO44"/>
  <c r="AO43"/>
  <c r="AO42"/>
  <c r="AO41"/>
  <c r="AO40"/>
  <c r="AO39"/>
  <c r="AO36"/>
  <c r="AO35"/>
  <c r="AO34"/>
  <c r="AO33"/>
  <c r="AO32"/>
  <c r="AO31"/>
  <c r="AO30"/>
  <c r="AO47"/>
  <c r="AO46"/>
  <c r="AO45"/>
  <c r="AS47"/>
  <c r="AS46"/>
  <c r="AS45"/>
  <c r="AS44"/>
  <c r="AS43"/>
  <c r="AS42"/>
  <c r="AS41"/>
  <c r="AS40"/>
  <c r="AS39"/>
  <c r="AS36"/>
  <c r="AS35"/>
  <c r="AS34"/>
  <c r="AS33"/>
  <c r="AS32"/>
  <c r="AS31"/>
  <c r="AS30"/>
  <c r="AU43"/>
  <c r="AU42"/>
  <c r="AU41"/>
  <c r="AU40"/>
  <c r="AU39"/>
  <c r="AU36"/>
  <c r="AU35"/>
  <c r="AU34"/>
  <c r="AU33"/>
  <c r="AU32"/>
  <c r="AU31"/>
  <c r="AU30"/>
  <c r="AU47"/>
  <c r="AU46"/>
  <c r="AU45"/>
  <c r="AU44"/>
  <c r="AW47"/>
  <c r="AW46"/>
  <c r="AW45"/>
  <c r="AW44"/>
  <c r="AW43"/>
  <c r="AW42"/>
  <c r="AW41"/>
  <c r="AW40"/>
  <c r="AW39"/>
  <c r="AW36"/>
  <c r="AW35"/>
  <c r="AW34"/>
  <c r="AW33"/>
  <c r="AW32"/>
  <c r="AW31"/>
  <c r="AW30"/>
  <c r="AY43"/>
  <c r="AY42"/>
  <c r="AY41"/>
  <c r="AY40"/>
  <c r="AY39"/>
  <c r="AY36"/>
  <c r="AY35"/>
  <c r="AY34"/>
  <c r="AY33"/>
  <c r="AY32"/>
  <c r="AY31"/>
  <c r="AY30"/>
  <c r="AY47"/>
  <c r="AY46"/>
  <c r="AY45"/>
  <c r="AY44"/>
  <c r="BA47"/>
  <c r="BA46"/>
  <c r="BA45"/>
  <c r="BA44"/>
  <c r="BA43"/>
  <c r="BA42"/>
  <c r="BA41"/>
  <c r="BA40"/>
  <c r="BA39"/>
  <c r="BA36"/>
  <c r="BA35"/>
  <c r="BA34"/>
  <c r="BA33"/>
  <c r="BA32"/>
  <c r="BA31"/>
  <c r="BA30"/>
  <c r="BA29"/>
  <c r="BA73" s="1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F24"/>
  <c r="AH24"/>
  <c r="AJ24"/>
  <c r="AL24"/>
  <c r="AN24"/>
  <c r="AR24"/>
  <c r="AT24"/>
  <c r="AV24"/>
  <c r="AX24"/>
  <c r="AZ24"/>
  <c r="AF25"/>
  <c r="AH25"/>
  <c r="AJ25"/>
  <c r="AL25"/>
  <c r="AO25"/>
  <c r="AU25"/>
  <c r="AY25"/>
  <c r="AG28"/>
  <c r="AK28"/>
  <c r="AO28"/>
  <c r="AU28"/>
  <c r="AY28"/>
  <c r="AG29"/>
  <c r="AK29"/>
  <c r="AO29"/>
  <c r="AU29"/>
  <c r="AY29"/>
  <c r="AG47" i="605"/>
  <c r="AG46"/>
  <c r="AG45"/>
  <c r="AI47"/>
  <c r="AI46"/>
  <c r="AI45"/>
  <c r="AK47"/>
  <c r="AK46"/>
  <c r="AK45"/>
  <c r="AM47"/>
  <c r="AM46"/>
  <c r="AM45"/>
  <c r="AO47"/>
  <c r="AO46"/>
  <c r="AO45"/>
  <c r="AS47"/>
  <c r="AS46"/>
  <c r="AS45"/>
  <c r="AS44"/>
  <c r="AU47"/>
  <c r="AU46"/>
  <c r="AU45"/>
  <c r="AU44"/>
  <c r="AW47"/>
  <c r="AW46"/>
  <c r="AW45"/>
  <c r="AW44"/>
  <c r="AY47"/>
  <c r="AY46"/>
  <c r="AY45"/>
  <c r="AY44"/>
  <c r="BA47"/>
  <c r="BA46"/>
  <c r="BA45"/>
  <c r="BA44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F24"/>
  <c r="AH24"/>
  <c r="AJ24"/>
  <c r="AL24"/>
  <c r="AN24"/>
  <c r="AR24"/>
  <c r="AT24"/>
  <c r="AV24"/>
  <c r="AX24"/>
  <c r="AZ24"/>
  <c r="AF25"/>
  <c r="AH25"/>
  <c r="AJ25"/>
  <c r="AL25"/>
  <c r="AN25"/>
  <c r="AR25"/>
  <c r="AT25"/>
  <c r="AV25"/>
  <c r="AX25"/>
  <c r="AZ25"/>
  <c r="AF28"/>
  <c r="AH28"/>
  <c r="AJ28"/>
  <c r="AL28"/>
  <c r="AN28"/>
  <c r="AR28"/>
  <c r="AT28"/>
  <c r="AV28"/>
  <c r="AX28"/>
  <c r="AZ28"/>
  <c r="AF29"/>
  <c r="AJ29"/>
  <c r="AN29"/>
  <c r="AT29"/>
  <c r="AX29"/>
  <c r="AG30"/>
  <c r="AK30"/>
  <c r="AO30"/>
  <c r="AU30"/>
  <c r="AY30"/>
  <c r="AG31"/>
  <c r="AK31"/>
  <c r="AO31"/>
  <c r="AU31"/>
  <c r="AY31"/>
  <c r="AG32"/>
  <c r="AK32"/>
  <c r="AO32"/>
  <c r="AU32"/>
  <c r="AY32"/>
  <c r="AG33"/>
  <c r="AK33"/>
  <c r="AO33"/>
  <c r="AU33"/>
  <c r="AY33"/>
  <c r="AG34"/>
  <c r="AK34"/>
  <c r="AO34"/>
  <c r="AU34"/>
  <c r="AY34"/>
  <c r="AG35"/>
  <c r="AK35"/>
  <c r="AO35"/>
  <c r="AU35"/>
  <c r="AY35"/>
  <c r="AG36"/>
  <c r="AK36"/>
  <c r="AO36"/>
  <c r="AU36"/>
  <c r="AY36"/>
  <c r="AG39"/>
  <c r="AK39"/>
  <c r="AO39"/>
  <c r="AU39"/>
  <c r="AY39"/>
  <c r="AG40"/>
  <c r="AK40"/>
  <c r="AO40"/>
  <c r="AU40"/>
  <c r="AY40"/>
  <c r="AG41"/>
  <c r="AK41"/>
  <c r="AO41"/>
  <c r="AU41"/>
  <c r="AY41"/>
  <c r="AG42"/>
  <c r="AK42"/>
  <c r="AO42"/>
  <c r="AU42"/>
  <c r="AY42"/>
  <c r="AG43"/>
  <c r="AK43"/>
  <c r="AO43"/>
  <c r="AU43"/>
  <c r="AY43"/>
  <c r="AG44"/>
  <c r="AK44"/>
  <c r="AO44"/>
  <c r="AX44"/>
  <c r="AJ45"/>
  <c r="AT45"/>
  <c r="AF44"/>
  <c r="AF43"/>
  <c r="AF42"/>
  <c r="AF41"/>
  <c r="AF40"/>
  <c r="AF39"/>
  <c r="AF36"/>
  <c r="AF35"/>
  <c r="AF34"/>
  <c r="AF33"/>
  <c r="AF32"/>
  <c r="AF31"/>
  <c r="AF30"/>
  <c r="AH47"/>
  <c r="AH46"/>
  <c r="AH45"/>
  <c r="AH44"/>
  <c r="AH43"/>
  <c r="AH42"/>
  <c r="AH41"/>
  <c r="AH40"/>
  <c r="AH39"/>
  <c r="AH36"/>
  <c r="AH35"/>
  <c r="AH34"/>
  <c r="AH33"/>
  <c r="AH32"/>
  <c r="AH31"/>
  <c r="AH30"/>
  <c r="AJ44"/>
  <c r="AJ43"/>
  <c r="AJ42"/>
  <c r="AJ41"/>
  <c r="AJ40"/>
  <c r="AJ39"/>
  <c r="AJ36"/>
  <c r="AJ35"/>
  <c r="AJ34"/>
  <c r="AJ33"/>
  <c r="AJ32"/>
  <c r="AJ31"/>
  <c r="AJ30"/>
  <c r="AL47"/>
  <c r="AL46"/>
  <c r="AL45"/>
  <c r="AL44"/>
  <c r="AL43"/>
  <c r="AL42"/>
  <c r="AL41"/>
  <c r="AL40"/>
  <c r="AL39"/>
  <c r="AL36"/>
  <c r="AL35"/>
  <c r="AL34"/>
  <c r="AL33"/>
  <c r="AL32"/>
  <c r="AL31"/>
  <c r="AL30"/>
  <c r="AN44"/>
  <c r="AN43"/>
  <c r="AN42"/>
  <c r="AN41"/>
  <c r="AN40"/>
  <c r="AN39"/>
  <c r="AN36"/>
  <c r="AN35"/>
  <c r="AN34"/>
  <c r="AN33"/>
  <c r="AN32"/>
  <c r="AN31"/>
  <c r="AN30"/>
  <c r="AR47"/>
  <c r="AR46"/>
  <c r="AR45"/>
  <c r="AR44"/>
  <c r="AR43"/>
  <c r="AR42"/>
  <c r="AR41"/>
  <c r="AR40"/>
  <c r="AR39"/>
  <c r="AR36"/>
  <c r="AR35"/>
  <c r="AR34"/>
  <c r="AR33"/>
  <c r="AR32"/>
  <c r="AR31"/>
  <c r="AR30"/>
  <c r="AT43"/>
  <c r="AT42"/>
  <c r="AT41"/>
  <c r="AT40"/>
  <c r="AT39"/>
  <c r="AT36"/>
  <c r="AT35"/>
  <c r="AT34"/>
  <c r="AT33"/>
  <c r="AT32"/>
  <c r="AT31"/>
  <c r="AT30"/>
  <c r="AV47"/>
  <c r="AV46"/>
  <c r="AV45"/>
  <c r="AV44"/>
  <c r="AV43"/>
  <c r="AV42"/>
  <c r="AV41"/>
  <c r="AV40"/>
  <c r="AV39"/>
  <c r="AV36"/>
  <c r="AV35"/>
  <c r="AV34"/>
  <c r="AV33"/>
  <c r="AV32"/>
  <c r="AV31"/>
  <c r="AV30"/>
  <c r="AX43"/>
  <c r="AX42"/>
  <c r="AX41"/>
  <c r="AX40"/>
  <c r="AX39"/>
  <c r="AX36"/>
  <c r="AX35"/>
  <c r="AX34"/>
  <c r="AX33"/>
  <c r="AX32"/>
  <c r="AX31"/>
  <c r="AX30"/>
  <c r="AZ47"/>
  <c r="AZ46"/>
  <c r="AZ45"/>
  <c r="AZ44"/>
  <c r="AZ43"/>
  <c r="AZ42"/>
  <c r="AZ41"/>
  <c r="AZ40"/>
  <c r="AZ39"/>
  <c r="AZ36"/>
  <c r="AZ35"/>
  <c r="AZ34"/>
  <c r="AZ33"/>
  <c r="AZ32"/>
  <c r="AZ31"/>
  <c r="AZ30"/>
  <c r="L92"/>
  <c r="M92" s="1"/>
  <c r="L91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G24"/>
  <c r="AI24"/>
  <c r="AK24"/>
  <c r="AM24"/>
  <c r="AO24"/>
  <c r="AS24"/>
  <c r="AU24"/>
  <c r="AW24"/>
  <c r="AY24"/>
  <c r="BA24"/>
  <c r="AG25"/>
  <c r="AI25"/>
  <c r="AK25"/>
  <c r="AM25"/>
  <c r="AO25"/>
  <c r="AS25"/>
  <c r="AU25"/>
  <c r="AW25"/>
  <c r="AY25"/>
  <c r="BA25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I30"/>
  <c r="AM30"/>
  <c r="AS30"/>
  <c r="AW30"/>
  <c r="BA30"/>
  <c r="AI31"/>
  <c r="AM31"/>
  <c r="AS31"/>
  <c r="AW31"/>
  <c r="BA31"/>
  <c r="AI32"/>
  <c r="AM32"/>
  <c r="AS32"/>
  <c r="AW32"/>
  <c r="BA32"/>
  <c r="AI33"/>
  <c r="AM33"/>
  <c r="AS33"/>
  <c r="AW33"/>
  <c r="BA33"/>
  <c r="AI34"/>
  <c r="AM34"/>
  <c r="AS34"/>
  <c r="AW34"/>
  <c r="BA34"/>
  <c r="AI35"/>
  <c r="AM35"/>
  <c r="AS35"/>
  <c r="AW35"/>
  <c r="BA35"/>
  <c r="AI36"/>
  <c r="AM36"/>
  <c r="AS36"/>
  <c r="AW36"/>
  <c r="BA36"/>
  <c r="AI39"/>
  <c r="AM39"/>
  <c r="AS39"/>
  <c r="AW39"/>
  <c r="BA39"/>
  <c r="AI40"/>
  <c r="AM40"/>
  <c r="AS40"/>
  <c r="AW40"/>
  <c r="BA40"/>
  <c r="AI41"/>
  <c r="AM41"/>
  <c r="AS41"/>
  <c r="AW41"/>
  <c r="BA41"/>
  <c r="AI42"/>
  <c r="AM42"/>
  <c r="AS42"/>
  <c r="AW42"/>
  <c r="BA42"/>
  <c r="AI43"/>
  <c r="AM43"/>
  <c r="AS43"/>
  <c r="AW43"/>
  <c r="BA43"/>
  <c r="AI44"/>
  <c r="AM44"/>
  <c r="AT44"/>
  <c r="AF45"/>
  <c r="AN45"/>
  <c r="AX45"/>
  <c r="AJ46"/>
  <c r="AT46"/>
  <c r="AF47"/>
  <c r="AN47"/>
  <c r="AX47"/>
  <c r="AG46" i="602"/>
  <c r="AG45"/>
  <c r="AG44"/>
  <c r="AI46"/>
  <c r="AI45"/>
  <c r="AI44"/>
  <c r="AK46"/>
  <c r="AK45"/>
  <c r="AK44"/>
  <c r="AM46"/>
  <c r="AM45"/>
  <c r="AM44"/>
  <c r="AO46"/>
  <c r="AO45"/>
  <c r="AO44"/>
  <c r="AS46"/>
  <c r="AS45"/>
  <c r="AS44"/>
  <c r="AS43"/>
  <c r="AU46"/>
  <c r="AU45"/>
  <c r="AU44"/>
  <c r="AU43"/>
  <c r="AW46"/>
  <c r="AW45"/>
  <c r="AW44"/>
  <c r="AW43"/>
  <c r="AY46"/>
  <c r="AY45"/>
  <c r="AY44"/>
  <c r="AY43"/>
  <c r="BA46"/>
  <c r="BA45"/>
  <c r="BA44"/>
  <c r="BA43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F23"/>
  <c r="AH23"/>
  <c r="AJ23"/>
  <c r="AL23"/>
  <c r="AN23"/>
  <c r="AR23"/>
  <c r="AT23"/>
  <c r="AV23"/>
  <c r="AX23"/>
  <c r="AZ23"/>
  <c r="AF24"/>
  <c r="AH24"/>
  <c r="AJ24"/>
  <c r="AL24"/>
  <c r="AN24"/>
  <c r="AR24"/>
  <c r="AT24"/>
  <c r="AV24"/>
  <c r="AX24"/>
  <c r="AZ24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F46"/>
  <c r="AF45"/>
  <c r="AF44"/>
  <c r="AH46"/>
  <c r="AH45"/>
  <c r="AH44"/>
  <c r="AJ46"/>
  <c r="AJ45"/>
  <c r="AJ44"/>
  <c r="AL46"/>
  <c r="AL45"/>
  <c r="AL44"/>
  <c r="AN46"/>
  <c r="AN45"/>
  <c r="AN44"/>
  <c r="AR46"/>
  <c r="AR45"/>
  <c r="AR44"/>
  <c r="AT46"/>
  <c r="AT45"/>
  <c r="AT44"/>
  <c r="AT43"/>
  <c r="AV46"/>
  <c r="AV45"/>
  <c r="AV44"/>
  <c r="AV43"/>
  <c r="AX46"/>
  <c r="AX45"/>
  <c r="AX44"/>
  <c r="AX43"/>
  <c r="AZ46"/>
  <c r="AZ45"/>
  <c r="AZ44"/>
  <c r="AZ43"/>
  <c r="L90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K23"/>
  <c r="AM23"/>
  <c r="AO23"/>
  <c r="AS23"/>
  <c r="AU23"/>
  <c r="AW23"/>
  <c r="AY23"/>
  <c r="BA23"/>
  <c r="AG24"/>
  <c r="AI24"/>
  <c r="AK24"/>
  <c r="AM24"/>
  <c r="AO24"/>
  <c r="AS24"/>
  <c r="AU24"/>
  <c r="AW24"/>
  <c r="AY24"/>
  <c r="BA24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G46" i="599"/>
  <c r="AG45"/>
  <c r="AG44"/>
  <c r="AI46"/>
  <c r="AI45"/>
  <c r="AI44"/>
  <c r="AK46"/>
  <c r="AK45"/>
  <c r="AK44"/>
  <c r="AM46"/>
  <c r="AM45"/>
  <c r="AM44"/>
  <c r="AO46"/>
  <c r="AO45"/>
  <c r="AO44"/>
  <c r="AS46"/>
  <c r="AS45"/>
  <c r="AS44"/>
  <c r="AS43"/>
  <c r="AU46"/>
  <c r="AU45"/>
  <c r="AU44"/>
  <c r="AU43"/>
  <c r="AW46"/>
  <c r="AW45"/>
  <c r="AW44"/>
  <c r="AW43"/>
  <c r="AY46"/>
  <c r="AY45"/>
  <c r="AY44"/>
  <c r="AY43"/>
  <c r="BA46"/>
  <c r="BA45"/>
  <c r="BA44"/>
  <c r="BA43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F23"/>
  <c r="AH23"/>
  <c r="AJ23"/>
  <c r="AL23"/>
  <c r="AN23"/>
  <c r="AR23"/>
  <c r="AT23"/>
  <c r="AV23"/>
  <c r="AX23"/>
  <c r="AZ23"/>
  <c r="AF24"/>
  <c r="AH24"/>
  <c r="AJ24"/>
  <c r="AL24"/>
  <c r="AN24"/>
  <c r="AR24"/>
  <c r="AT24"/>
  <c r="AV24"/>
  <c r="AX24"/>
  <c r="AZ24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F46"/>
  <c r="AF45"/>
  <c r="AF44"/>
  <c r="AH46"/>
  <c r="AH45"/>
  <c r="AH44"/>
  <c r="AJ46"/>
  <c r="AJ45"/>
  <c r="AJ44"/>
  <c r="AL46"/>
  <c r="AL45"/>
  <c r="AL44"/>
  <c r="AN46"/>
  <c r="AN45"/>
  <c r="AN44"/>
  <c r="AR46"/>
  <c r="AR45"/>
  <c r="AR44"/>
  <c r="AT46"/>
  <c r="AT45"/>
  <c r="AT44"/>
  <c r="AT43"/>
  <c r="AV46"/>
  <c r="AV45"/>
  <c r="AV44"/>
  <c r="AV43"/>
  <c r="AX46"/>
  <c r="AX45"/>
  <c r="AX44"/>
  <c r="AX43"/>
  <c r="AZ46"/>
  <c r="AZ45"/>
  <c r="AZ44"/>
  <c r="AZ43"/>
  <c r="L92"/>
  <c r="M92" s="1"/>
  <c r="L90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K23"/>
  <c r="AM23"/>
  <c r="AO23"/>
  <c r="AS23"/>
  <c r="AU23"/>
  <c r="AW23"/>
  <c r="AY23"/>
  <c r="BA23"/>
  <c r="AG24"/>
  <c r="AI24"/>
  <c r="AK24"/>
  <c r="AM24"/>
  <c r="AO24"/>
  <c r="AS24"/>
  <c r="AU24"/>
  <c r="AW24"/>
  <c r="AY24"/>
  <c r="BA24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G46" i="596"/>
  <c r="AG45"/>
  <c r="AG44"/>
  <c r="AI46"/>
  <c r="AI45"/>
  <c r="AI44"/>
  <c r="AK46"/>
  <c r="AK45"/>
  <c r="AK44"/>
  <c r="AM46"/>
  <c r="AM45"/>
  <c r="AM44"/>
  <c r="AO46"/>
  <c r="AO45"/>
  <c r="AO44"/>
  <c r="AS46"/>
  <c r="AS45"/>
  <c r="AS44"/>
  <c r="AS43"/>
  <c r="AU46"/>
  <c r="AU45"/>
  <c r="AU44"/>
  <c r="AU43"/>
  <c r="AW46"/>
  <c r="AW45"/>
  <c r="AW44"/>
  <c r="AW43"/>
  <c r="AY46"/>
  <c r="AY45"/>
  <c r="AY44"/>
  <c r="AY43"/>
  <c r="BA46"/>
  <c r="BA45"/>
  <c r="BA44"/>
  <c r="BA43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F23"/>
  <c r="AH23"/>
  <c r="AJ23"/>
  <c r="AL23"/>
  <c r="AN23"/>
  <c r="AR23"/>
  <c r="AT23"/>
  <c r="AV23"/>
  <c r="AX23"/>
  <c r="AZ23"/>
  <c r="AF24"/>
  <c r="AH24"/>
  <c r="AJ24"/>
  <c r="AL24"/>
  <c r="AN24"/>
  <c r="AR24"/>
  <c r="AT24"/>
  <c r="AV24"/>
  <c r="AX24"/>
  <c r="AZ24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F46"/>
  <c r="AF45"/>
  <c r="AF44"/>
  <c r="AH46"/>
  <c r="AH45"/>
  <c r="AH44"/>
  <c r="AJ46"/>
  <c r="AJ45"/>
  <c r="AJ44"/>
  <c r="AL46"/>
  <c r="AL45"/>
  <c r="AL44"/>
  <c r="AN46"/>
  <c r="AN45"/>
  <c r="AN44"/>
  <c r="AR46"/>
  <c r="AR45"/>
  <c r="AR44"/>
  <c r="AT46"/>
  <c r="AT45"/>
  <c r="AT44"/>
  <c r="AT43"/>
  <c r="AV46"/>
  <c r="AV45"/>
  <c r="AV44"/>
  <c r="AV43"/>
  <c r="AX46"/>
  <c r="AX45"/>
  <c r="AX44"/>
  <c r="AX43"/>
  <c r="AZ46"/>
  <c r="AZ45"/>
  <c r="AZ44"/>
  <c r="AZ43"/>
  <c r="L92"/>
  <c r="M92" s="1"/>
  <c r="L90"/>
  <c r="P95" i="587"/>
  <c r="J20" i="817" s="1"/>
  <c r="AF16" i="59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K23"/>
  <c r="AM23"/>
  <c r="AO23"/>
  <c r="AS23"/>
  <c r="AU23"/>
  <c r="AW23"/>
  <c r="AY23"/>
  <c r="BA23"/>
  <c r="AG24"/>
  <c r="AI24"/>
  <c r="AK24"/>
  <c r="AM24"/>
  <c r="AO24"/>
  <c r="AS24"/>
  <c r="AU24"/>
  <c r="AW24"/>
  <c r="AY24"/>
  <c r="BA24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G47" i="593"/>
  <c r="AG46"/>
  <c r="AG45"/>
  <c r="AI47"/>
  <c r="AI46"/>
  <c r="AI45"/>
  <c r="AK47"/>
  <c r="AK46"/>
  <c r="AK45"/>
  <c r="AM47"/>
  <c r="AM46"/>
  <c r="AM45"/>
  <c r="AO47"/>
  <c r="AO46"/>
  <c r="AO45"/>
  <c r="AS47"/>
  <c r="AS46"/>
  <c r="AS45"/>
  <c r="AS44"/>
  <c r="AU47"/>
  <c r="AU46"/>
  <c r="AU45"/>
  <c r="AU44"/>
  <c r="AW47"/>
  <c r="AW46"/>
  <c r="AW45"/>
  <c r="AW44"/>
  <c r="AY47"/>
  <c r="AY46"/>
  <c r="AY45"/>
  <c r="AY44"/>
  <c r="BA47"/>
  <c r="BA46"/>
  <c r="BA45"/>
  <c r="BA44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F24"/>
  <c r="AH24"/>
  <c r="AJ24"/>
  <c r="AL24"/>
  <c r="AN24"/>
  <c r="AR24"/>
  <c r="AT24"/>
  <c r="AV24"/>
  <c r="AX24"/>
  <c r="AZ24"/>
  <c r="AF25"/>
  <c r="AH25"/>
  <c r="AJ25"/>
  <c r="AL25"/>
  <c r="AN25"/>
  <c r="AR25"/>
  <c r="AT25"/>
  <c r="AV25"/>
  <c r="AX25"/>
  <c r="AZ25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6"/>
  <c r="AH36"/>
  <c r="AJ36"/>
  <c r="AL36"/>
  <c r="AN36"/>
  <c r="AR36"/>
  <c r="AT36"/>
  <c r="AV36"/>
  <c r="AX36"/>
  <c r="AZ36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T42"/>
  <c r="AV42"/>
  <c r="AX42"/>
  <c r="AZ42"/>
  <c r="AF43"/>
  <c r="AH43"/>
  <c r="AJ43"/>
  <c r="AL43"/>
  <c r="AN43"/>
  <c r="AR43"/>
  <c r="AF47"/>
  <c r="AF46"/>
  <c r="AF45"/>
  <c r="AH47"/>
  <c r="AH46"/>
  <c r="AH45"/>
  <c r="AJ47"/>
  <c r="AJ46"/>
  <c r="AJ45"/>
  <c r="AL47"/>
  <c r="AL46"/>
  <c r="AL45"/>
  <c r="AN47"/>
  <c r="AN46"/>
  <c r="AN45"/>
  <c r="AR47"/>
  <c r="AR46"/>
  <c r="AR45"/>
  <c r="AT47"/>
  <c r="AT46"/>
  <c r="AT45"/>
  <c r="AT44"/>
  <c r="AV47"/>
  <c r="AV46"/>
  <c r="AV45"/>
  <c r="AV44"/>
  <c r="AX47"/>
  <c r="AX46"/>
  <c r="AX45"/>
  <c r="AX44"/>
  <c r="AZ47"/>
  <c r="AZ46"/>
  <c r="AZ45"/>
  <c r="AZ44"/>
  <c r="L94"/>
  <c r="M94" s="1"/>
  <c r="L91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G24"/>
  <c r="AI24"/>
  <c r="AK24"/>
  <c r="AM24"/>
  <c r="AO24"/>
  <c r="AS24"/>
  <c r="AU24"/>
  <c r="AW24"/>
  <c r="AY24"/>
  <c r="BA24"/>
  <c r="AG25"/>
  <c r="AI25"/>
  <c r="AK25"/>
  <c r="AM25"/>
  <c r="AO25"/>
  <c r="AS25"/>
  <c r="AU25"/>
  <c r="AW25"/>
  <c r="AY25"/>
  <c r="BA25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6"/>
  <c r="AI36"/>
  <c r="AK36"/>
  <c r="AM36"/>
  <c r="AO36"/>
  <c r="AS36"/>
  <c r="AU36"/>
  <c r="AW36"/>
  <c r="AY36"/>
  <c r="BA36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S43"/>
  <c r="AU43"/>
  <c r="AW43"/>
  <c r="AY43"/>
  <c r="BA43"/>
  <c r="AG44"/>
  <c r="AI44"/>
  <c r="AK44"/>
  <c r="AM44"/>
  <c r="AO44"/>
  <c r="AG47" i="590"/>
  <c r="AG46"/>
  <c r="AG45"/>
  <c r="AG44"/>
  <c r="AG43"/>
  <c r="AG42"/>
  <c r="AG41"/>
  <c r="AG40"/>
  <c r="AG39"/>
  <c r="AG36"/>
  <c r="AG35"/>
  <c r="AG34"/>
  <c r="AG33"/>
  <c r="AG32"/>
  <c r="AG31"/>
  <c r="AI47"/>
  <c r="AI46"/>
  <c r="AI45"/>
  <c r="AI44"/>
  <c r="AI43"/>
  <c r="AI42"/>
  <c r="AI41"/>
  <c r="AI40"/>
  <c r="AI39"/>
  <c r="AI36"/>
  <c r="AI35"/>
  <c r="AI34"/>
  <c r="AI33"/>
  <c r="AI32"/>
  <c r="AI31"/>
  <c r="AI30"/>
  <c r="AK47"/>
  <c r="AK46"/>
  <c r="AK45"/>
  <c r="AK44"/>
  <c r="AK43"/>
  <c r="AK42"/>
  <c r="AK41"/>
  <c r="AK40"/>
  <c r="AK39"/>
  <c r="AK36"/>
  <c r="AK35"/>
  <c r="AK34"/>
  <c r="AK33"/>
  <c r="AK32"/>
  <c r="AK31"/>
  <c r="AK30"/>
  <c r="AM47"/>
  <c r="AM46"/>
  <c r="AM45"/>
  <c r="AM44"/>
  <c r="AM43"/>
  <c r="AM42"/>
  <c r="AM41"/>
  <c r="AM40"/>
  <c r="AM39"/>
  <c r="AM36"/>
  <c r="AM35"/>
  <c r="AM34"/>
  <c r="AM33"/>
  <c r="AM32"/>
  <c r="AM31"/>
  <c r="AM30"/>
  <c r="AO47"/>
  <c r="AO46"/>
  <c r="AO45"/>
  <c r="AO44"/>
  <c r="AO43"/>
  <c r="AO42"/>
  <c r="AO41"/>
  <c r="AO40"/>
  <c r="AO39"/>
  <c r="AO36"/>
  <c r="AO35"/>
  <c r="AO34"/>
  <c r="AO33"/>
  <c r="AO32"/>
  <c r="AO31"/>
  <c r="AO30"/>
  <c r="AS47"/>
  <c r="AS46"/>
  <c r="AS45"/>
  <c r="AS44"/>
  <c r="AS43"/>
  <c r="AS42"/>
  <c r="AS41"/>
  <c r="AS40"/>
  <c r="AS39"/>
  <c r="AS36"/>
  <c r="AS35"/>
  <c r="AS34"/>
  <c r="AS33"/>
  <c r="AS32"/>
  <c r="AS31"/>
  <c r="AS30"/>
  <c r="AU47"/>
  <c r="AU46"/>
  <c r="AU45"/>
  <c r="AU44"/>
  <c r="AU43"/>
  <c r="AU42"/>
  <c r="AU41"/>
  <c r="AU40"/>
  <c r="AU39"/>
  <c r="AU36"/>
  <c r="AU35"/>
  <c r="AU34"/>
  <c r="AU33"/>
  <c r="AU32"/>
  <c r="AU31"/>
  <c r="AU30"/>
  <c r="AW47"/>
  <c r="AW46"/>
  <c r="AW45"/>
  <c r="AW44"/>
  <c r="AW43"/>
  <c r="AW42"/>
  <c r="AW41"/>
  <c r="AW40"/>
  <c r="AW39"/>
  <c r="AW36"/>
  <c r="AW35"/>
  <c r="AW34"/>
  <c r="AW33"/>
  <c r="AW32"/>
  <c r="AW31"/>
  <c r="AW30"/>
  <c r="AY47"/>
  <c r="AY46"/>
  <c r="AY45"/>
  <c r="AY44"/>
  <c r="AY43"/>
  <c r="AY42"/>
  <c r="AY41"/>
  <c r="AY40"/>
  <c r="AY39"/>
  <c r="AY36"/>
  <c r="AY35"/>
  <c r="AY34"/>
  <c r="AY33"/>
  <c r="AY32"/>
  <c r="AY31"/>
  <c r="AY30"/>
  <c r="BA47"/>
  <c r="BA46"/>
  <c r="BA45"/>
  <c r="BA44"/>
  <c r="BA43"/>
  <c r="BA42"/>
  <c r="BA41"/>
  <c r="BA40"/>
  <c r="BA39"/>
  <c r="BA36"/>
  <c r="BA35"/>
  <c r="BA34"/>
  <c r="BA33"/>
  <c r="BA32"/>
  <c r="BA31"/>
  <c r="BA30"/>
  <c r="O95" i="587"/>
  <c r="I20" i="817" s="1"/>
  <c r="AG17" i="590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F24"/>
  <c r="AH24"/>
  <c r="AJ24"/>
  <c r="AL24"/>
  <c r="AN24"/>
  <c r="AR24"/>
  <c r="AT24"/>
  <c r="AV24"/>
  <c r="AX24"/>
  <c r="AZ24"/>
  <c r="AF25"/>
  <c r="AH25"/>
  <c r="AJ25"/>
  <c r="AL25"/>
  <c r="AN25"/>
  <c r="AR25"/>
  <c r="AT25"/>
  <c r="AV25"/>
  <c r="AX25"/>
  <c r="AZ25"/>
  <c r="AF28"/>
  <c r="AH28"/>
  <c r="AJ28"/>
  <c r="AL28"/>
  <c r="AN28"/>
  <c r="AR28"/>
  <c r="AT28"/>
  <c r="AV28"/>
  <c r="AX28"/>
  <c r="AZ28"/>
  <c r="AG30"/>
  <c r="AF47"/>
  <c r="AF46"/>
  <c r="AF45"/>
  <c r="AF44"/>
  <c r="AF43"/>
  <c r="AF42"/>
  <c r="AF41"/>
  <c r="AF40"/>
  <c r="AF39"/>
  <c r="AF36"/>
  <c r="AF35"/>
  <c r="AF34"/>
  <c r="AF33"/>
  <c r="AF32"/>
  <c r="AF31"/>
  <c r="AF30"/>
  <c r="AH47"/>
  <c r="AH46"/>
  <c r="AH45"/>
  <c r="AH44"/>
  <c r="AH43"/>
  <c r="AH42"/>
  <c r="AH41"/>
  <c r="AH40"/>
  <c r="AH39"/>
  <c r="AH36"/>
  <c r="AH35"/>
  <c r="AH34"/>
  <c r="AH33"/>
  <c r="AH32"/>
  <c r="AH31"/>
  <c r="AH30"/>
  <c r="AJ47"/>
  <c r="AJ46"/>
  <c r="AJ45"/>
  <c r="AJ44"/>
  <c r="AJ43"/>
  <c r="AJ42"/>
  <c r="AJ41"/>
  <c r="AJ40"/>
  <c r="AJ39"/>
  <c r="AJ36"/>
  <c r="AJ35"/>
  <c r="AJ34"/>
  <c r="AJ33"/>
  <c r="AJ32"/>
  <c r="AJ31"/>
  <c r="AJ30"/>
  <c r="AL47"/>
  <c r="AL46"/>
  <c r="AL45"/>
  <c r="AL44"/>
  <c r="AL43"/>
  <c r="AL42"/>
  <c r="AL41"/>
  <c r="AL40"/>
  <c r="AL39"/>
  <c r="AL36"/>
  <c r="AL35"/>
  <c r="AL34"/>
  <c r="AL33"/>
  <c r="AL32"/>
  <c r="AL31"/>
  <c r="AL30"/>
  <c r="AN47"/>
  <c r="AN46"/>
  <c r="AN45"/>
  <c r="AN44"/>
  <c r="AN43"/>
  <c r="AN42"/>
  <c r="AN41"/>
  <c r="AN40"/>
  <c r="AN39"/>
  <c r="AN36"/>
  <c r="AN35"/>
  <c r="AN34"/>
  <c r="AN33"/>
  <c r="AN32"/>
  <c r="AN31"/>
  <c r="AN30"/>
  <c r="AR47"/>
  <c r="AR46"/>
  <c r="AR45"/>
  <c r="AR44"/>
  <c r="AR43"/>
  <c r="AR42"/>
  <c r="AR41"/>
  <c r="AR40"/>
  <c r="AR39"/>
  <c r="AR36"/>
  <c r="AR35"/>
  <c r="AR34"/>
  <c r="AR33"/>
  <c r="AR32"/>
  <c r="AR31"/>
  <c r="AR30"/>
  <c r="AT47"/>
  <c r="AT46"/>
  <c r="AT45"/>
  <c r="AT44"/>
  <c r="AT43"/>
  <c r="AT42"/>
  <c r="AT41"/>
  <c r="AT40"/>
  <c r="AT39"/>
  <c r="AT36"/>
  <c r="AT35"/>
  <c r="AT34"/>
  <c r="AT33"/>
  <c r="AT32"/>
  <c r="AT31"/>
  <c r="AT30"/>
  <c r="AV47"/>
  <c r="AV46"/>
  <c r="AV45"/>
  <c r="AV44"/>
  <c r="AV43"/>
  <c r="AV42"/>
  <c r="AV41"/>
  <c r="AV40"/>
  <c r="AV39"/>
  <c r="AV36"/>
  <c r="AV35"/>
  <c r="AV34"/>
  <c r="AV33"/>
  <c r="AV32"/>
  <c r="AV31"/>
  <c r="AV30"/>
  <c r="AX47"/>
  <c r="AX46"/>
  <c r="AX45"/>
  <c r="AX44"/>
  <c r="AX43"/>
  <c r="AX42"/>
  <c r="AX41"/>
  <c r="AX40"/>
  <c r="AX39"/>
  <c r="AX36"/>
  <c r="AX35"/>
  <c r="AX34"/>
  <c r="AX33"/>
  <c r="AX32"/>
  <c r="AX31"/>
  <c r="AX30"/>
  <c r="AZ47"/>
  <c r="AZ46"/>
  <c r="AZ45"/>
  <c r="AZ44"/>
  <c r="AZ43"/>
  <c r="AZ42"/>
  <c r="AZ41"/>
  <c r="AZ40"/>
  <c r="AZ39"/>
  <c r="AZ36"/>
  <c r="AZ35"/>
  <c r="AZ34"/>
  <c r="AZ33"/>
  <c r="AZ32"/>
  <c r="AZ31"/>
  <c r="AZ30"/>
  <c r="L94"/>
  <c r="M94" s="1"/>
  <c r="L92"/>
  <c r="M92" s="1"/>
  <c r="L91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G24"/>
  <c r="AI24"/>
  <c r="AK24"/>
  <c r="AM24"/>
  <c r="AO24"/>
  <c r="AS24"/>
  <c r="AU24"/>
  <c r="AW24"/>
  <c r="AY24"/>
  <c r="BA24"/>
  <c r="AG25"/>
  <c r="AI25"/>
  <c r="AK25"/>
  <c r="AM25"/>
  <c r="AO25"/>
  <c r="AS25"/>
  <c r="AU25"/>
  <c r="AW25"/>
  <c r="AY25"/>
  <c r="BA25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47" i="587"/>
  <c r="AG46"/>
  <c r="AG45"/>
  <c r="AI47"/>
  <c r="AI46"/>
  <c r="AI45"/>
  <c r="AK47"/>
  <c r="AK46"/>
  <c r="AK45"/>
  <c r="AM47"/>
  <c r="AM46"/>
  <c r="AM45"/>
  <c r="AO47"/>
  <c r="AO46"/>
  <c r="AO45"/>
  <c r="AS47"/>
  <c r="AS46"/>
  <c r="AS45"/>
  <c r="AU47"/>
  <c r="AU46"/>
  <c r="AU45"/>
  <c r="AW47"/>
  <c r="AW46"/>
  <c r="AW45"/>
  <c r="AW44"/>
  <c r="AY47"/>
  <c r="AY46"/>
  <c r="AY45"/>
  <c r="AY44"/>
  <c r="BA47"/>
  <c r="BA46"/>
  <c r="BA45"/>
  <c r="BA44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F24"/>
  <c r="AH24"/>
  <c r="AJ24"/>
  <c r="AL24"/>
  <c r="AN24"/>
  <c r="AR24"/>
  <c r="AT24"/>
  <c r="AV24"/>
  <c r="AX24"/>
  <c r="AZ24"/>
  <c r="AF25"/>
  <c r="AH25"/>
  <c r="AJ25"/>
  <c r="AL25"/>
  <c r="AN25"/>
  <c r="AR25"/>
  <c r="AT25"/>
  <c r="AV25"/>
  <c r="AX25"/>
  <c r="AZ25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6"/>
  <c r="AH36"/>
  <c r="AJ36"/>
  <c r="AL36"/>
  <c r="AN36"/>
  <c r="AR36"/>
  <c r="AT36"/>
  <c r="AV36"/>
  <c r="AX36"/>
  <c r="AZ36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T42"/>
  <c r="AV42"/>
  <c r="AX42"/>
  <c r="AZ42"/>
  <c r="AF43"/>
  <c r="AH43"/>
  <c r="AJ43"/>
  <c r="AL43"/>
  <c r="AN43"/>
  <c r="AR43"/>
  <c r="AT43"/>
  <c r="AV43"/>
  <c r="AF47"/>
  <c r="AF46"/>
  <c r="AF45"/>
  <c r="AH47"/>
  <c r="AH46"/>
  <c r="AH45"/>
  <c r="AJ47"/>
  <c r="AJ46"/>
  <c r="AJ45"/>
  <c r="AL47"/>
  <c r="AL46"/>
  <c r="AL45"/>
  <c r="AN47"/>
  <c r="AN46"/>
  <c r="AN45"/>
  <c r="AR47"/>
  <c r="AR46"/>
  <c r="AR45"/>
  <c r="AT47"/>
  <c r="AT46"/>
  <c r="AT45"/>
  <c r="AV47"/>
  <c r="AV46"/>
  <c r="AV45"/>
  <c r="AX47"/>
  <c r="AX46"/>
  <c r="AX45"/>
  <c r="AX44"/>
  <c r="AZ47"/>
  <c r="AZ46"/>
  <c r="AZ45"/>
  <c r="AZ44"/>
  <c r="L91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G24"/>
  <c r="AI24"/>
  <c r="AK24"/>
  <c r="AM24"/>
  <c r="AO24"/>
  <c r="AS24"/>
  <c r="AU24"/>
  <c r="AW24"/>
  <c r="AY24"/>
  <c r="BA24"/>
  <c r="AG25"/>
  <c r="AI25"/>
  <c r="AK25"/>
  <c r="AM25"/>
  <c r="AO25"/>
  <c r="AS25"/>
  <c r="AU25"/>
  <c r="AW25"/>
  <c r="AY25"/>
  <c r="BA25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6"/>
  <c r="AI36"/>
  <c r="AK36"/>
  <c r="AM36"/>
  <c r="AO36"/>
  <c r="AS36"/>
  <c r="AU36"/>
  <c r="AW36"/>
  <c r="AY36"/>
  <c r="BA36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S43"/>
  <c r="AU43"/>
  <c r="AW43"/>
  <c r="AY43"/>
  <c r="BA43"/>
  <c r="AG44"/>
  <c r="AI44"/>
  <c r="AK44"/>
  <c r="AM44"/>
  <c r="AO44"/>
  <c r="AS44"/>
  <c r="AU44"/>
  <c r="AG44" i="584"/>
  <c r="AG43"/>
  <c r="AG42"/>
  <c r="AG41"/>
  <c r="AG40"/>
  <c r="AG39"/>
  <c r="AG36"/>
  <c r="AG35"/>
  <c r="AG34"/>
  <c r="AG33"/>
  <c r="AG32"/>
  <c r="AG31"/>
  <c r="AG30"/>
  <c r="AG29"/>
  <c r="AG28"/>
  <c r="AG25"/>
  <c r="AG24"/>
  <c r="AG47"/>
  <c r="AG46"/>
  <c r="AG45"/>
  <c r="AG23"/>
  <c r="AG22"/>
  <c r="AI47"/>
  <c r="AI46"/>
  <c r="AI45"/>
  <c r="AI44"/>
  <c r="AI43"/>
  <c r="AI42"/>
  <c r="AI41"/>
  <c r="AI40"/>
  <c r="AI39"/>
  <c r="AI36"/>
  <c r="AI35"/>
  <c r="AI34"/>
  <c r="AI33"/>
  <c r="AI32"/>
  <c r="AI31"/>
  <c r="AI30"/>
  <c r="AI29"/>
  <c r="AI28"/>
  <c r="AI25"/>
  <c r="AI24"/>
  <c r="AI23"/>
  <c r="AI22"/>
  <c r="AK44"/>
  <c r="AK43"/>
  <c r="AK42"/>
  <c r="AK41"/>
  <c r="AK40"/>
  <c r="AK39"/>
  <c r="AK36"/>
  <c r="AK35"/>
  <c r="AK34"/>
  <c r="AK33"/>
  <c r="AK32"/>
  <c r="AK31"/>
  <c r="AK30"/>
  <c r="AK29"/>
  <c r="AK28"/>
  <c r="AK25"/>
  <c r="AK24"/>
  <c r="AK47"/>
  <c r="AK46"/>
  <c r="AK45"/>
  <c r="AK23"/>
  <c r="AK22"/>
  <c r="AM47"/>
  <c r="AM46"/>
  <c r="AM45"/>
  <c r="AM44"/>
  <c r="AM43"/>
  <c r="AM42"/>
  <c r="AM41"/>
  <c r="AM40"/>
  <c r="AM39"/>
  <c r="AM36"/>
  <c r="AM35"/>
  <c r="AM34"/>
  <c r="AM33"/>
  <c r="AM32"/>
  <c r="AM31"/>
  <c r="AM30"/>
  <c r="AM29"/>
  <c r="AM28"/>
  <c r="AM25"/>
  <c r="AM24"/>
  <c r="AM23"/>
  <c r="AM22"/>
  <c r="AO44"/>
  <c r="AO43"/>
  <c r="AO42"/>
  <c r="AO41"/>
  <c r="AO40"/>
  <c r="AO39"/>
  <c r="AO36"/>
  <c r="AO35"/>
  <c r="AO34"/>
  <c r="AO33"/>
  <c r="AO32"/>
  <c r="AO31"/>
  <c r="AO30"/>
  <c r="AO29"/>
  <c r="AO28"/>
  <c r="AO25"/>
  <c r="AO24"/>
  <c r="AO47"/>
  <c r="AO46"/>
  <c r="AO45"/>
  <c r="AO23"/>
  <c r="AO22"/>
  <c r="AS47"/>
  <c r="AS46"/>
  <c r="AS45"/>
  <c r="AS44"/>
  <c r="AS43"/>
  <c r="AS42"/>
  <c r="AS41"/>
  <c r="AS40"/>
  <c r="AS39"/>
  <c r="AS36"/>
  <c r="AS35"/>
  <c r="AS34"/>
  <c r="AS33"/>
  <c r="AS32"/>
  <c r="AS31"/>
  <c r="AS30"/>
  <c r="AS29"/>
  <c r="AS28"/>
  <c r="AS25"/>
  <c r="AS24"/>
  <c r="AS23"/>
  <c r="AS22"/>
  <c r="AU44"/>
  <c r="AU43"/>
  <c r="AU42"/>
  <c r="AU41"/>
  <c r="AU40"/>
  <c r="AU39"/>
  <c r="AU36"/>
  <c r="AU35"/>
  <c r="AU34"/>
  <c r="AU33"/>
  <c r="AU32"/>
  <c r="AU31"/>
  <c r="AU30"/>
  <c r="AU29"/>
  <c r="AU28"/>
  <c r="AU25"/>
  <c r="AU24"/>
  <c r="AU47"/>
  <c r="AU46"/>
  <c r="AU45"/>
  <c r="AU23"/>
  <c r="AU22"/>
  <c r="AW47"/>
  <c r="AW46"/>
  <c r="AW45"/>
  <c r="AW44"/>
  <c r="AW43"/>
  <c r="AW42"/>
  <c r="AW41"/>
  <c r="AW40"/>
  <c r="AW39"/>
  <c r="AW36"/>
  <c r="AW35"/>
  <c r="AW34"/>
  <c r="AW33"/>
  <c r="AW32"/>
  <c r="AW31"/>
  <c r="AW30"/>
  <c r="AW29"/>
  <c r="AW28"/>
  <c r="AW25"/>
  <c r="AW24"/>
  <c r="AW23"/>
  <c r="AW22"/>
  <c r="AY43"/>
  <c r="AY42"/>
  <c r="AY41"/>
  <c r="AY40"/>
  <c r="AY39"/>
  <c r="AY36"/>
  <c r="AY35"/>
  <c r="AY34"/>
  <c r="AY33"/>
  <c r="AY32"/>
  <c r="AY31"/>
  <c r="AY30"/>
  <c r="AY29"/>
  <c r="AY28"/>
  <c r="AY25"/>
  <c r="AY24"/>
  <c r="AY47"/>
  <c r="AY46"/>
  <c r="AY45"/>
  <c r="AY44"/>
  <c r="AY23"/>
  <c r="AY22"/>
  <c r="BA47"/>
  <c r="BA46"/>
  <c r="BA45"/>
  <c r="BA44"/>
  <c r="BA43"/>
  <c r="BA42"/>
  <c r="BA41"/>
  <c r="BA40"/>
  <c r="BA39"/>
  <c r="BA36"/>
  <c r="BA35"/>
  <c r="BA34"/>
  <c r="BA33"/>
  <c r="BA32"/>
  <c r="BA31"/>
  <c r="BA30"/>
  <c r="BA29"/>
  <c r="BA28"/>
  <c r="BA25"/>
  <c r="BA24"/>
  <c r="BA23"/>
  <c r="BA22"/>
  <c r="BA21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AF47"/>
  <c r="AF46"/>
  <c r="AF45"/>
  <c r="AF23"/>
  <c r="AF22"/>
  <c r="AF44"/>
  <c r="AF43"/>
  <c r="AF42"/>
  <c r="AF41"/>
  <c r="AF40"/>
  <c r="AF39"/>
  <c r="AF36"/>
  <c r="AF35"/>
  <c r="AF34"/>
  <c r="AF33"/>
  <c r="AF32"/>
  <c r="AF31"/>
  <c r="AF30"/>
  <c r="AF29"/>
  <c r="AF28"/>
  <c r="AF25"/>
  <c r="AF24"/>
  <c r="AH47"/>
  <c r="AH46"/>
  <c r="AH45"/>
  <c r="AH23"/>
  <c r="AH22"/>
  <c r="AH44"/>
  <c r="AH43"/>
  <c r="AH42"/>
  <c r="AH41"/>
  <c r="AH40"/>
  <c r="AH39"/>
  <c r="AH36"/>
  <c r="AH35"/>
  <c r="AH34"/>
  <c r="AH33"/>
  <c r="AH32"/>
  <c r="AH31"/>
  <c r="AH30"/>
  <c r="AH29"/>
  <c r="AH28"/>
  <c r="AH25"/>
  <c r="AH24"/>
  <c r="AJ47"/>
  <c r="AJ46"/>
  <c r="AJ45"/>
  <c r="AJ23"/>
  <c r="AJ22"/>
  <c r="AJ44"/>
  <c r="AJ43"/>
  <c r="AJ42"/>
  <c r="AJ41"/>
  <c r="AJ40"/>
  <c r="AJ39"/>
  <c r="AJ36"/>
  <c r="AJ35"/>
  <c r="AJ34"/>
  <c r="AJ33"/>
  <c r="AJ32"/>
  <c r="AJ31"/>
  <c r="AJ30"/>
  <c r="AJ29"/>
  <c r="AJ28"/>
  <c r="AJ25"/>
  <c r="AJ24"/>
  <c r="AL47"/>
  <c r="AL46"/>
  <c r="AL45"/>
  <c r="AL23"/>
  <c r="AL22"/>
  <c r="AL44"/>
  <c r="AL43"/>
  <c r="AL42"/>
  <c r="AL41"/>
  <c r="AL40"/>
  <c r="AL39"/>
  <c r="AL36"/>
  <c r="AL35"/>
  <c r="AL34"/>
  <c r="AL33"/>
  <c r="AL32"/>
  <c r="AL31"/>
  <c r="AL30"/>
  <c r="AL29"/>
  <c r="AL28"/>
  <c r="AL25"/>
  <c r="AL24"/>
  <c r="AN47"/>
  <c r="AN46"/>
  <c r="AN45"/>
  <c r="AN23"/>
  <c r="AN22"/>
  <c r="AN44"/>
  <c r="AN43"/>
  <c r="AN42"/>
  <c r="AN41"/>
  <c r="AN40"/>
  <c r="AN39"/>
  <c r="AN36"/>
  <c r="AN35"/>
  <c r="AN34"/>
  <c r="AN33"/>
  <c r="AN32"/>
  <c r="AN31"/>
  <c r="AN30"/>
  <c r="AN29"/>
  <c r="AN28"/>
  <c r="AN25"/>
  <c r="AN24"/>
  <c r="AR47"/>
  <c r="AR46"/>
  <c r="AR45"/>
  <c r="AR23"/>
  <c r="AR22"/>
  <c r="AR44"/>
  <c r="AR43"/>
  <c r="AR42"/>
  <c r="AR41"/>
  <c r="AR40"/>
  <c r="AR39"/>
  <c r="AR36"/>
  <c r="AR35"/>
  <c r="AR34"/>
  <c r="AR33"/>
  <c r="AR32"/>
  <c r="AR31"/>
  <c r="AR30"/>
  <c r="AR29"/>
  <c r="AR28"/>
  <c r="AR25"/>
  <c r="AR24"/>
  <c r="AT47"/>
  <c r="AT46"/>
  <c r="AT45"/>
  <c r="AT23"/>
  <c r="AT22"/>
  <c r="AT44"/>
  <c r="AT43"/>
  <c r="AT42"/>
  <c r="AT41"/>
  <c r="AT40"/>
  <c r="AT39"/>
  <c r="AT36"/>
  <c r="AT35"/>
  <c r="AT34"/>
  <c r="AT33"/>
  <c r="AT32"/>
  <c r="AT31"/>
  <c r="AT30"/>
  <c r="AT29"/>
  <c r="AT28"/>
  <c r="AT25"/>
  <c r="AT24"/>
  <c r="AV47"/>
  <c r="AV46"/>
  <c r="AV45"/>
  <c r="AV23"/>
  <c r="AV22"/>
  <c r="AV44"/>
  <c r="AV43"/>
  <c r="AV42"/>
  <c r="AV41"/>
  <c r="AV40"/>
  <c r="AV39"/>
  <c r="AV36"/>
  <c r="AV35"/>
  <c r="AV34"/>
  <c r="AV33"/>
  <c r="AV32"/>
  <c r="AV31"/>
  <c r="AV30"/>
  <c r="AV29"/>
  <c r="AV28"/>
  <c r="AV25"/>
  <c r="AV24"/>
  <c r="AX47"/>
  <c r="AX46"/>
  <c r="AX45"/>
  <c r="AX44"/>
  <c r="AX23"/>
  <c r="AX22"/>
  <c r="AX43"/>
  <c r="AX42"/>
  <c r="AX41"/>
  <c r="AX40"/>
  <c r="AX39"/>
  <c r="AX36"/>
  <c r="AX35"/>
  <c r="AX34"/>
  <c r="AX33"/>
  <c r="AX32"/>
  <c r="AX31"/>
  <c r="AX30"/>
  <c r="AX29"/>
  <c r="AX28"/>
  <c r="AX25"/>
  <c r="AX24"/>
  <c r="AZ47"/>
  <c r="AZ46"/>
  <c r="AZ45"/>
  <c r="AZ44"/>
  <c r="AZ23"/>
  <c r="AZ22"/>
  <c r="AZ43"/>
  <c r="AZ42"/>
  <c r="AZ41"/>
  <c r="AZ40"/>
  <c r="AZ39"/>
  <c r="AZ36"/>
  <c r="AZ35"/>
  <c r="AZ34"/>
  <c r="AZ33"/>
  <c r="AZ32"/>
  <c r="AZ31"/>
  <c r="AZ30"/>
  <c r="AZ29"/>
  <c r="AZ28"/>
  <c r="AZ25"/>
  <c r="AZ24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L94"/>
  <c r="M94" s="1"/>
  <c r="L93"/>
  <c r="M93" s="1"/>
  <c r="L92"/>
  <c r="M92" s="1"/>
  <c r="L91"/>
  <c r="C17" i="25"/>
  <c r="AG47" i="581"/>
  <c r="AG46"/>
  <c r="AG45"/>
  <c r="AI47"/>
  <c r="AI46"/>
  <c r="AI45"/>
  <c r="AK47"/>
  <c r="AK46"/>
  <c r="AK45"/>
  <c r="AM47"/>
  <c r="AM46"/>
  <c r="AM45"/>
  <c r="AO47"/>
  <c r="AO46"/>
  <c r="AO45"/>
  <c r="AS47"/>
  <c r="AS46"/>
  <c r="AS45"/>
  <c r="AU47"/>
  <c r="AU46"/>
  <c r="AU45"/>
  <c r="AW47"/>
  <c r="AW46"/>
  <c r="AW45"/>
  <c r="AW44"/>
  <c r="AY47"/>
  <c r="AY46"/>
  <c r="AY45"/>
  <c r="AY44"/>
  <c r="BA47"/>
  <c r="BA46"/>
  <c r="BA45"/>
  <c r="BA44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F24"/>
  <c r="AH24"/>
  <c r="AJ24"/>
  <c r="AL24"/>
  <c r="AN24"/>
  <c r="AR24"/>
  <c r="AT24"/>
  <c r="AV24"/>
  <c r="AX24"/>
  <c r="AZ24"/>
  <c r="AF25"/>
  <c r="AH25"/>
  <c r="AJ25"/>
  <c r="AL25"/>
  <c r="AN25"/>
  <c r="AR25"/>
  <c r="AT25"/>
  <c r="AV25"/>
  <c r="AX25"/>
  <c r="AZ25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6"/>
  <c r="AH36"/>
  <c r="AJ36"/>
  <c r="AL36"/>
  <c r="AN36"/>
  <c r="AR36"/>
  <c r="AT36"/>
  <c r="AV36"/>
  <c r="AX36"/>
  <c r="AZ36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T42"/>
  <c r="AV42"/>
  <c r="AX42"/>
  <c r="AZ42"/>
  <c r="AF43"/>
  <c r="AH43"/>
  <c r="AJ43"/>
  <c r="AL43"/>
  <c r="AN43"/>
  <c r="AR43"/>
  <c r="AT43"/>
  <c r="AV43"/>
  <c r="AZ43"/>
  <c r="AF47"/>
  <c r="AF46"/>
  <c r="AF45"/>
  <c r="AH47"/>
  <c r="AH46"/>
  <c r="AH45"/>
  <c r="AJ47"/>
  <c r="AJ46"/>
  <c r="AJ45"/>
  <c r="AL47"/>
  <c r="AL46"/>
  <c r="AL45"/>
  <c r="AN47"/>
  <c r="AN46"/>
  <c r="AN45"/>
  <c r="AR47"/>
  <c r="AR46"/>
  <c r="AR45"/>
  <c r="AT47"/>
  <c r="AT46"/>
  <c r="AT45"/>
  <c r="AV47"/>
  <c r="AV46"/>
  <c r="AV45"/>
  <c r="AX47"/>
  <c r="AX46"/>
  <c r="AX45"/>
  <c r="AZ47"/>
  <c r="AZ46"/>
  <c r="AZ45"/>
  <c r="L94"/>
  <c r="M94" s="1"/>
  <c r="L93"/>
  <c r="M93" s="1"/>
  <c r="L92"/>
  <c r="M92" s="1"/>
  <c r="L91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G24"/>
  <c r="AI24"/>
  <c r="AK24"/>
  <c r="AM24"/>
  <c r="AO24"/>
  <c r="AS24"/>
  <c r="AU24"/>
  <c r="AW24"/>
  <c r="AY24"/>
  <c r="BA24"/>
  <c r="AG25"/>
  <c r="AI25"/>
  <c r="AK25"/>
  <c r="AM25"/>
  <c r="AO25"/>
  <c r="AS25"/>
  <c r="AU25"/>
  <c r="AW25"/>
  <c r="AY25"/>
  <c r="BA25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6"/>
  <c r="AI36"/>
  <c r="AK36"/>
  <c r="AM36"/>
  <c r="AO36"/>
  <c r="AS36"/>
  <c r="AU36"/>
  <c r="AW36"/>
  <c r="AY36"/>
  <c r="BA36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S43"/>
  <c r="AU43"/>
  <c r="AW43"/>
  <c r="AY43"/>
  <c r="BA43"/>
  <c r="AG44"/>
  <c r="AI44"/>
  <c r="AK44"/>
  <c r="AM44"/>
  <c r="AO44"/>
  <c r="AS44"/>
  <c r="AU44"/>
  <c r="AX44"/>
  <c r="AF47" i="578"/>
  <c r="AF46"/>
  <c r="AF45"/>
  <c r="AH47"/>
  <c r="AH46"/>
  <c r="AH45"/>
  <c r="AJ47"/>
  <c r="AJ46"/>
  <c r="AJ45"/>
  <c r="AL47"/>
  <c r="AL46"/>
  <c r="AL45"/>
  <c r="AN47"/>
  <c r="AN46"/>
  <c r="AN45"/>
  <c r="AR47"/>
  <c r="AR46"/>
  <c r="AR45"/>
  <c r="AT47"/>
  <c r="AT46"/>
  <c r="AT45"/>
  <c r="AV47"/>
  <c r="AV46"/>
  <c r="AV45"/>
  <c r="AX47"/>
  <c r="AX46"/>
  <c r="AX45"/>
  <c r="AZ47"/>
  <c r="AZ46"/>
  <c r="AZ45"/>
  <c r="AZ44"/>
  <c r="L94"/>
  <c r="M94" s="1"/>
  <c r="L93"/>
  <c r="M93" s="1"/>
  <c r="L92"/>
  <c r="M92" s="1"/>
  <c r="L91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G24"/>
  <c r="AI24"/>
  <c r="AK24"/>
  <c r="AM24"/>
  <c r="AO24"/>
  <c r="AS24"/>
  <c r="AU24"/>
  <c r="AW24"/>
  <c r="AY24"/>
  <c r="BA24"/>
  <c r="AG25"/>
  <c r="AI25"/>
  <c r="AK25"/>
  <c r="AM25"/>
  <c r="AO25"/>
  <c r="AS25"/>
  <c r="AU25"/>
  <c r="AW25"/>
  <c r="AY25"/>
  <c r="BA25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6"/>
  <c r="AI36"/>
  <c r="AK36"/>
  <c r="AM36"/>
  <c r="AO36"/>
  <c r="AS36"/>
  <c r="AU36"/>
  <c r="AW36"/>
  <c r="AY36"/>
  <c r="BA36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S43"/>
  <c r="AU43"/>
  <c r="AX44"/>
  <c r="AG47"/>
  <c r="AG46"/>
  <c r="AG45"/>
  <c r="AI47"/>
  <c r="AI46"/>
  <c r="AI45"/>
  <c r="AK47"/>
  <c r="AK46"/>
  <c r="AK45"/>
  <c r="AM47"/>
  <c r="AM46"/>
  <c r="AM45"/>
  <c r="AO47"/>
  <c r="AO46"/>
  <c r="AO45"/>
  <c r="AS47"/>
  <c r="AS46"/>
  <c r="AS45"/>
  <c r="AU47"/>
  <c r="AU46"/>
  <c r="AU45"/>
  <c r="AW47"/>
  <c r="AW46"/>
  <c r="AW45"/>
  <c r="AW44"/>
  <c r="AY47"/>
  <c r="AY46"/>
  <c r="AY45"/>
  <c r="AY44"/>
  <c r="BA47"/>
  <c r="BA46"/>
  <c r="BA45"/>
  <c r="BA44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F24"/>
  <c r="AH24"/>
  <c r="AJ24"/>
  <c r="AL24"/>
  <c r="AN24"/>
  <c r="AR24"/>
  <c r="AT24"/>
  <c r="AV24"/>
  <c r="AX24"/>
  <c r="AZ24"/>
  <c r="AF25"/>
  <c r="AH25"/>
  <c r="AJ25"/>
  <c r="AL25"/>
  <c r="AN25"/>
  <c r="AR25"/>
  <c r="AT25"/>
  <c r="AV25"/>
  <c r="AX25"/>
  <c r="AZ25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6"/>
  <c r="AH36"/>
  <c r="AJ36"/>
  <c r="AL36"/>
  <c r="AN36"/>
  <c r="AR36"/>
  <c r="AT36"/>
  <c r="AV36"/>
  <c r="AX36"/>
  <c r="AZ36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T42"/>
  <c r="AV42"/>
  <c r="AX42"/>
  <c r="AZ42"/>
  <c r="AF43"/>
  <c r="AH43"/>
  <c r="AJ43"/>
  <c r="AL43"/>
  <c r="AN43"/>
  <c r="AR43"/>
  <c r="AT43"/>
  <c r="AV43"/>
  <c r="AX43"/>
  <c r="AZ43"/>
  <c r="AF44"/>
  <c r="AH44"/>
  <c r="AJ44"/>
  <c r="AL44"/>
  <c r="AN44"/>
  <c r="AR44"/>
  <c r="AT44"/>
  <c r="AV44"/>
  <c r="AG46" i="569"/>
  <c r="AG45"/>
  <c r="AG44"/>
  <c r="AI46"/>
  <c r="AI45"/>
  <c r="AI44"/>
  <c r="AI43"/>
  <c r="AK46"/>
  <c r="AK45"/>
  <c r="AK44"/>
  <c r="AK43"/>
  <c r="AM46"/>
  <c r="AM45"/>
  <c r="AM44"/>
  <c r="AM43"/>
  <c r="AO46"/>
  <c r="AO45"/>
  <c r="AO44"/>
  <c r="AO43"/>
  <c r="AS46"/>
  <c r="AS45"/>
  <c r="AS44"/>
  <c r="AS43"/>
  <c r="AU46"/>
  <c r="AU45"/>
  <c r="AU44"/>
  <c r="AU43"/>
  <c r="AW46"/>
  <c r="AW45"/>
  <c r="AW44"/>
  <c r="AW43"/>
  <c r="AY46"/>
  <c r="AY45"/>
  <c r="AY44"/>
  <c r="AY43"/>
  <c r="BA46"/>
  <c r="BA45"/>
  <c r="BA44"/>
  <c r="BA43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F23"/>
  <c r="AH23"/>
  <c r="AJ23"/>
  <c r="AL23"/>
  <c r="AN23"/>
  <c r="AR23"/>
  <c r="AT23"/>
  <c r="AV23"/>
  <c r="AX23"/>
  <c r="AZ23"/>
  <c r="AF24"/>
  <c r="AH24"/>
  <c r="AJ24"/>
  <c r="AL24"/>
  <c r="AN24"/>
  <c r="AR24"/>
  <c r="AT24"/>
  <c r="AV24"/>
  <c r="AX24"/>
  <c r="AZ24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F46"/>
  <c r="AF45"/>
  <c r="AF44"/>
  <c r="AH46"/>
  <c r="AH45"/>
  <c r="AH44"/>
  <c r="AJ46"/>
  <c r="AJ45"/>
  <c r="AJ44"/>
  <c r="AJ43"/>
  <c r="AL46"/>
  <c r="AL45"/>
  <c r="AL44"/>
  <c r="AL43"/>
  <c r="AN46"/>
  <c r="AN45"/>
  <c r="AN44"/>
  <c r="AN43"/>
  <c r="AR46"/>
  <c r="AR45"/>
  <c r="AR44"/>
  <c r="AR43"/>
  <c r="AT46"/>
  <c r="AT45"/>
  <c r="AT44"/>
  <c r="AT43"/>
  <c r="AV46"/>
  <c r="AV45"/>
  <c r="AV44"/>
  <c r="AV43"/>
  <c r="AX46"/>
  <c r="AX45"/>
  <c r="AX44"/>
  <c r="AX43"/>
  <c r="AZ46"/>
  <c r="AZ45"/>
  <c r="AZ44"/>
  <c r="AZ43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K23"/>
  <c r="AM23"/>
  <c r="AO23"/>
  <c r="AS23"/>
  <c r="AU23"/>
  <c r="AW23"/>
  <c r="AY23"/>
  <c r="BA23"/>
  <c r="AG24"/>
  <c r="AI24"/>
  <c r="AK24"/>
  <c r="AM24"/>
  <c r="AO24"/>
  <c r="AS24"/>
  <c r="AU24"/>
  <c r="AW24"/>
  <c r="AY24"/>
  <c r="BA24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G46" i="566"/>
  <c r="AG45"/>
  <c r="AG44"/>
  <c r="AI46"/>
  <c r="AI45"/>
  <c r="AI44"/>
  <c r="AI43"/>
  <c r="AK46"/>
  <c r="AK45"/>
  <c r="AK44"/>
  <c r="AK43"/>
  <c r="AM46"/>
  <c r="AM45"/>
  <c r="AM44"/>
  <c r="AM43"/>
  <c r="AO46"/>
  <c r="AO45"/>
  <c r="AO44"/>
  <c r="AO43"/>
  <c r="AS46"/>
  <c r="AS45"/>
  <c r="AS44"/>
  <c r="AS43"/>
  <c r="AU46"/>
  <c r="AU45"/>
  <c r="AU44"/>
  <c r="AU43"/>
  <c r="AW46"/>
  <c r="AW45"/>
  <c r="AW44"/>
  <c r="AW43"/>
  <c r="AY46"/>
  <c r="AY45"/>
  <c r="AY44"/>
  <c r="AY43"/>
  <c r="BA46"/>
  <c r="BA45"/>
  <c r="BA44"/>
  <c r="BA43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F23"/>
  <c r="AH23"/>
  <c r="AJ23"/>
  <c r="AL23"/>
  <c r="AN23"/>
  <c r="AR23"/>
  <c r="AT23"/>
  <c r="AV23"/>
  <c r="AX23"/>
  <c r="AZ23"/>
  <c r="AF24"/>
  <c r="AH24"/>
  <c r="AJ24"/>
  <c r="AL24"/>
  <c r="AN24"/>
  <c r="AR24"/>
  <c r="AT24"/>
  <c r="AV24"/>
  <c r="AX24"/>
  <c r="AZ24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F46"/>
  <c r="AF45"/>
  <c r="AF44"/>
  <c r="AH46"/>
  <c r="AH45"/>
  <c r="AH44"/>
  <c r="AJ46"/>
  <c r="AJ45"/>
  <c r="AJ44"/>
  <c r="AJ43"/>
  <c r="AL46"/>
  <c r="AL45"/>
  <c r="AL44"/>
  <c r="AL43"/>
  <c r="AN46"/>
  <c r="AN45"/>
  <c r="AN44"/>
  <c r="AN43"/>
  <c r="AR46"/>
  <c r="AR45"/>
  <c r="AR44"/>
  <c r="AR43"/>
  <c r="AT46"/>
  <c r="AT45"/>
  <c r="AT44"/>
  <c r="AT43"/>
  <c r="AV46"/>
  <c r="AV45"/>
  <c r="AV44"/>
  <c r="AV43"/>
  <c r="AX46"/>
  <c r="AX45"/>
  <c r="AX44"/>
  <c r="AX43"/>
  <c r="AZ46"/>
  <c r="AZ45"/>
  <c r="AZ44"/>
  <c r="AZ43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K23"/>
  <c r="AM23"/>
  <c r="AO23"/>
  <c r="AS23"/>
  <c r="AU23"/>
  <c r="AW23"/>
  <c r="AY23"/>
  <c r="BA23"/>
  <c r="AG24"/>
  <c r="AI24"/>
  <c r="AK24"/>
  <c r="AM24"/>
  <c r="AO24"/>
  <c r="AS24"/>
  <c r="AU24"/>
  <c r="AW24"/>
  <c r="AY24"/>
  <c r="BA24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J29" i="817" l="1"/>
  <c r="J30"/>
  <c r="I30"/>
  <c r="I29"/>
  <c r="H29"/>
  <c r="H30"/>
  <c r="K73"/>
  <c r="K75"/>
  <c r="D48" i="25"/>
  <c r="D39"/>
  <c r="D75"/>
  <c r="D76" s="1"/>
  <c r="D77" s="1"/>
  <c r="D78" s="1"/>
  <c r="D79" s="1"/>
  <c r="D80" s="1"/>
  <c r="D23"/>
  <c r="D17"/>
  <c r="D50"/>
  <c r="D45"/>
  <c r="D38"/>
  <c r="D34"/>
  <c r="D51"/>
  <c r="D24"/>
  <c r="D53"/>
  <c r="C74"/>
  <c r="D65"/>
  <c r="D63"/>
  <c r="C62"/>
  <c r="D61"/>
  <c r="D43"/>
  <c r="D42"/>
  <c r="D27"/>
  <c r="D20"/>
  <c r="D74"/>
  <c r="D72"/>
  <c r="D70"/>
  <c r="D29"/>
  <c r="D81"/>
  <c r="D73"/>
  <c r="D68"/>
  <c r="D19"/>
  <c r="C71"/>
  <c r="B85" i="817"/>
  <c r="K85" s="1"/>
  <c r="BJ85" s="1"/>
  <c r="D33" i="25"/>
  <c r="D47"/>
  <c r="D36"/>
  <c r="D22"/>
  <c r="D21"/>
  <c r="D16"/>
  <c r="D49"/>
  <c r="D46"/>
  <c r="D44"/>
  <c r="D37"/>
  <c r="D35"/>
  <c r="D41"/>
  <c r="C72"/>
  <c r="D64"/>
  <c r="D52"/>
  <c r="D59"/>
  <c r="D30"/>
  <c r="D67"/>
  <c r="D26"/>
  <c r="D71"/>
  <c r="D69"/>
  <c r="D66"/>
  <c r="D58"/>
  <c r="D18"/>
  <c r="C70"/>
  <c r="AA15" i="745"/>
  <c r="M90" i="653"/>
  <c r="M93" s="1"/>
  <c r="L93"/>
  <c r="AB16" i="637"/>
  <c r="E36" i="817" s="1"/>
  <c r="AC16" i="637"/>
  <c r="F36" i="817" s="1"/>
  <c r="AD16" i="637"/>
  <c r="G36" i="817" s="1"/>
  <c r="AA15" i="736"/>
  <c r="AA15" i="739"/>
  <c r="AA15" i="748"/>
  <c r="M90" i="569"/>
  <c r="M93" s="1"/>
  <c r="L93"/>
  <c r="M90" i="566"/>
  <c r="M93" s="1"/>
  <c r="L93"/>
  <c r="C27" i="25"/>
  <c r="L91" i="692"/>
  <c r="L93" i="728"/>
  <c r="AA16" i="757"/>
  <c r="L95" i="614"/>
  <c r="L91" i="626"/>
  <c r="AA16" i="751"/>
  <c r="L91" i="713"/>
  <c r="L91" i="716"/>
  <c r="L93" i="719"/>
  <c r="AA20" i="718"/>
  <c r="L93" i="722"/>
  <c r="L93" i="725"/>
  <c r="L92" i="620"/>
  <c r="L91" i="701"/>
  <c r="L91" i="704"/>
  <c r="L91" i="707"/>
  <c r="L91" i="710"/>
  <c r="C19" i="25"/>
  <c r="L95" i="605"/>
  <c r="L95" i="608"/>
  <c r="L95" i="611"/>
  <c r="C25" i="25"/>
  <c r="C24"/>
  <c r="L92" i="617"/>
  <c r="L91" i="698"/>
  <c r="C21" i="25"/>
  <c r="C41"/>
  <c r="C23"/>
  <c r="L91" i="695"/>
  <c r="M91" i="662"/>
  <c r="L93"/>
  <c r="M91" i="659"/>
  <c r="L93"/>
  <c r="C30" i="25"/>
  <c r="C29"/>
  <c r="C28"/>
  <c r="AU73" i="614"/>
  <c r="AK73"/>
  <c r="AX71" i="722"/>
  <c r="AN71"/>
  <c r="AX75" i="782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L89"/>
  <c r="M89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Y75" i="764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AK65" i="614"/>
  <c r="AO77"/>
  <c r="BA75" i="764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L89"/>
  <c r="M88"/>
  <c r="M89" s="1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AY75" i="761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L89"/>
  <c r="M88"/>
  <c r="M89" s="1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BA76" i="758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L91"/>
  <c r="M89"/>
  <c r="M91" s="1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Z76" i="755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L91"/>
  <c r="M89"/>
  <c r="M91" s="1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6" i="752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L91"/>
  <c r="M89"/>
  <c r="M91" s="1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L91" i="749"/>
  <c r="M89"/>
  <c r="M91" s="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Z75"/>
  <c r="AZ71"/>
  <c r="AZ67"/>
  <c r="AZ63"/>
  <c r="AZ59"/>
  <c r="AZ55"/>
  <c r="AZ51"/>
  <c r="AX76"/>
  <c r="AX72"/>
  <c r="AX68"/>
  <c r="AX64"/>
  <c r="AX60"/>
  <c r="AX56"/>
  <c r="AX52"/>
  <c r="AV75"/>
  <c r="AV71"/>
  <c r="AV67"/>
  <c r="AV63"/>
  <c r="AV59"/>
  <c r="AV55"/>
  <c r="AV51"/>
  <c r="AT75"/>
  <c r="AT71"/>
  <c r="AT67"/>
  <c r="AT63"/>
  <c r="AT59"/>
  <c r="AT55"/>
  <c r="AT51"/>
  <c r="AR75"/>
  <c r="AR71"/>
  <c r="AR67"/>
  <c r="AR63"/>
  <c r="AR59"/>
  <c r="AR55"/>
  <c r="AR51"/>
  <c r="AN75"/>
  <c r="AN71"/>
  <c r="AN67"/>
  <c r="AN63"/>
  <c r="AN59"/>
  <c r="AN55"/>
  <c r="AN51"/>
  <c r="AL75"/>
  <c r="AL71"/>
  <c r="AL67"/>
  <c r="AL63"/>
  <c r="AL59"/>
  <c r="AL55"/>
  <c r="AL51"/>
  <c r="AJ75"/>
  <c r="AJ71"/>
  <c r="AJ67"/>
  <c r="AJ63"/>
  <c r="AJ59"/>
  <c r="AJ55"/>
  <c r="AJ51"/>
  <c r="AH75"/>
  <c r="AH71"/>
  <c r="AH67"/>
  <c r="AH63"/>
  <c r="AH59"/>
  <c r="AH55"/>
  <c r="AH51"/>
  <c r="AF75"/>
  <c r="AF71"/>
  <c r="AF67"/>
  <c r="AF63"/>
  <c r="AF59"/>
  <c r="AF55"/>
  <c r="AF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BA75"/>
  <c r="BA71"/>
  <c r="BA67"/>
  <c r="BA63"/>
  <c r="BA59"/>
  <c r="BA55"/>
  <c r="BA51"/>
  <c r="AY75"/>
  <c r="AY71"/>
  <c r="AY67"/>
  <c r="AY63"/>
  <c r="AY59"/>
  <c r="AY55"/>
  <c r="AY51"/>
  <c r="AW75"/>
  <c r="AW71"/>
  <c r="AW67"/>
  <c r="AW63"/>
  <c r="AW59"/>
  <c r="AW55"/>
  <c r="AW51"/>
  <c r="AU75"/>
  <c r="AU71"/>
  <c r="AU67"/>
  <c r="AU63"/>
  <c r="AU59"/>
  <c r="AU55"/>
  <c r="AU51"/>
  <c r="AS76"/>
  <c r="AS72"/>
  <c r="AS68"/>
  <c r="AS64"/>
  <c r="AS60"/>
  <c r="AS56"/>
  <c r="AS52"/>
  <c r="AO75"/>
  <c r="AO71"/>
  <c r="AO67"/>
  <c r="AO63"/>
  <c r="AO59"/>
  <c r="AO55"/>
  <c r="AO51"/>
  <c r="AM76"/>
  <c r="AM72"/>
  <c r="AM68"/>
  <c r="AM64"/>
  <c r="AM60"/>
  <c r="AM56"/>
  <c r="AM52"/>
  <c r="AK75"/>
  <c r="AK71"/>
  <c r="AK67"/>
  <c r="AK63"/>
  <c r="AK59"/>
  <c r="AK55"/>
  <c r="AK51"/>
  <c r="AI76"/>
  <c r="AI72"/>
  <c r="AI68"/>
  <c r="AI64"/>
  <c r="AI60"/>
  <c r="AI56"/>
  <c r="AI52"/>
  <c r="AG75"/>
  <c r="AG71"/>
  <c r="AG67"/>
  <c r="AG63"/>
  <c r="AG59"/>
  <c r="AG55"/>
  <c r="AG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AZ76"/>
  <c r="AZ72"/>
  <c r="AZ68"/>
  <c r="AZ64"/>
  <c r="AZ60"/>
  <c r="AZ56"/>
  <c r="AZ52"/>
  <c r="AX75"/>
  <c r="AX71"/>
  <c r="AX67"/>
  <c r="AX63"/>
  <c r="AX59"/>
  <c r="AX55"/>
  <c r="AX51"/>
  <c r="AV76"/>
  <c r="AV72"/>
  <c r="AV68"/>
  <c r="AV64"/>
  <c r="AV60"/>
  <c r="AV56"/>
  <c r="AV52"/>
  <c r="AT76"/>
  <c r="AT72"/>
  <c r="AT68"/>
  <c r="AT64"/>
  <c r="AT60"/>
  <c r="AT56"/>
  <c r="AT52"/>
  <c r="AR76"/>
  <c r="AR72"/>
  <c r="AR68"/>
  <c r="AR64"/>
  <c r="AR60"/>
  <c r="AR56"/>
  <c r="AR52"/>
  <c r="AN76"/>
  <c r="AN72"/>
  <c r="AN68"/>
  <c r="AN64"/>
  <c r="AN60"/>
  <c r="AN56"/>
  <c r="AN52"/>
  <c r="AL76"/>
  <c r="AL72"/>
  <c r="AL68"/>
  <c r="AL64"/>
  <c r="AL60"/>
  <c r="AL56"/>
  <c r="AL52"/>
  <c r="AJ76"/>
  <c r="AJ72"/>
  <c r="AJ68"/>
  <c r="AJ64"/>
  <c r="AJ60"/>
  <c r="AJ56"/>
  <c r="AJ52"/>
  <c r="AH76"/>
  <c r="AH72"/>
  <c r="AH68"/>
  <c r="AH64"/>
  <c r="AH60"/>
  <c r="AH56"/>
  <c r="AH52"/>
  <c r="AF76"/>
  <c r="AF72"/>
  <c r="AF68"/>
  <c r="AF64"/>
  <c r="AF60"/>
  <c r="AF56"/>
  <c r="AF52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BA76"/>
  <c r="BA72"/>
  <c r="BA68"/>
  <c r="BA64"/>
  <c r="BA60"/>
  <c r="BA56"/>
  <c r="BA52"/>
  <c r="AY76"/>
  <c r="AY72"/>
  <c r="AY68"/>
  <c r="AY64"/>
  <c r="AY60"/>
  <c r="AY56"/>
  <c r="AY52"/>
  <c r="AW76"/>
  <c r="AW72"/>
  <c r="AW68"/>
  <c r="AW64"/>
  <c r="AW60"/>
  <c r="AW56"/>
  <c r="AW52"/>
  <c r="AU76"/>
  <c r="AU72"/>
  <c r="AU68"/>
  <c r="AU64"/>
  <c r="AU60"/>
  <c r="AU56"/>
  <c r="AU52"/>
  <c r="AS75"/>
  <c r="AS71"/>
  <c r="AS67"/>
  <c r="AS63"/>
  <c r="AS59"/>
  <c r="AS55"/>
  <c r="AS51"/>
  <c r="AO76"/>
  <c r="AO72"/>
  <c r="AO68"/>
  <c r="AO64"/>
  <c r="AO60"/>
  <c r="AO56"/>
  <c r="AO52"/>
  <c r="AM75"/>
  <c r="AM71"/>
  <c r="AM67"/>
  <c r="AM63"/>
  <c r="AM59"/>
  <c r="AM55"/>
  <c r="AM51"/>
  <c r="AK76"/>
  <c r="AK72"/>
  <c r="AK68"/>
  <c r="AK64"/>
  <c r="AK60"/>
  <c r="AK56"/>
  <c r="AK52"/>
  <c r="AI75"/>
  <c r="AI71"/>
  <c r="AI67"/>
  <c r="AI63"/>
  <c r="AI59"/>
  <c r="AI55"/>
  <c r="AI51"/>
  <c r="AG76"/>
  <c r="AG72"/>
  <c r="AG68"/>
  <c r="AG64"/>
  <c r="AG60"/>
  <c r="AG56"/>
  <c r="AG52"/>
  <c r="AX76" i="74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L91"/>
  <c r="M89"/>
  <c r="M91" s="1"/>
  <c r="AZ76" i="743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L91"/>
  <c r="M89"/>
  <c r="M91" s="1"/>
  <c r="BA76" i="740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L91"/>
  <c r="M89"/>
  <c r="M91" s="1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BA76" i="737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L91"/>
  <c r="M89"/>
  <c r="M91" s="1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7" i="734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Y77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L93"/>
  <c r="M90"/>
  <c r="M93" s="1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BA77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T75" i="722"/>
  <c r="AY77" i="731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L93"/>
  <c r="M90"/>
  <c r="M93" s="1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BA77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Y76" i="728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M90"/>
  <c r="M93" s="1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Y74" i="725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BA75"/>
  <c r="BA71"/>
  <c r="BA67"/>
  <c r="BA63"/>
  <c r="BA59"/>
  <c r="BA55"/>
  <c r="BA51"/>
  <c r="AY75"/>
  <c r="AY71"/>
  <c r="AY67"/>
  <c r="AY63"/>
  <c r="AY59"/>
  <c r="AY55"/>
  <c r="AY51"/>
  <c r="AW75"/>
  <c r="AW71"/>
  <c r="AW67"/>
  <c r="AW63"/>
  <c r="AW59"/>
  <c r="AW55"/>
  <c r="AW51"/>
  <c r="AU75"/>
  <c r="AU71"/>
  <c r="AU67"/>
  <c r="AU63"/>
  <c r="AU59"/>
  <c r="AU55"/>
  <c r="AU51"/>
  <c r="AS75"/>
  <c r="AS71"/>
  <c r="AS67"/>
  <c r="AS63"/>
  <c r="AS59"/>
  <c r="AS55"/>
  <c r="AS51"/>
  <c r="AO75"/>
  <c r="AO71"/>
  <c r="AO67"/>
  <c r="AO63"/>
  <c r="AO59"/>
  <c r="AO55"/>
  <c r="AO51"/>
  <c r="AM75"/>
  <c r="AM71"/>
  <c r="AM67"/>
  <c r="AM63"/>
  <c r="AM59"/>
  <c r="AM55"/>
  <c r="AM51"/>
  <c r="AK75"/>
  <c r="AK71"/>
  <c r="AK67"/>
  <c r="AK63"/>
  <c r="AK59"/>
  <c r="AK55"/>
  <c r="AK51"/>
  <c r="AI76"/>
  <c r="AI72"/>
  <c r="AI68"/>
  <c r="AI64"/>
  <c r="AI60"/>
  <c r="AI56"/>
  <c r="AI52"/>
  <c r="AG75"/>
  <c r="AG71"/>
  <c r="AG67"/>
  <c r="AG63"/>
  <c r="AG59"/>
  <c r="AG55"/>
  <c r="AG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AZ75"/>
  <c r="AZ71"/>
  <c r="AZ67"/>
  <c r="AZ63"/>
  <c r="AZ59"/>
  <c r="AZ55"/>
  <c r="AZ51"/>
  <c r="AX75"/>
  <c r="AX71"/>
  <c r="AX67"/>
  <c r="AX63"/>
  <c r="AX59"/>
  <c r="AX55"/>
  <c r="AX51"/>
  <c r="AV75"/>
  <c r="AV71"/>
  <c r="AV67"/>
  <c r="AV63"/>
  <c r="AV59"/>
  <c r="AV55"/>
  <c r="AV51"/>
  <c r="AT76"/>
  <c r="AT72"/>
  <c r="AT68"/>
  <c r="AT64"/>
  <c r="AT60"/>
  <c r="AT56"/>
  <c r="AT52"/>
  <c r="AR75"/>
  <c r="AR71"/>
  <c r="AR67"/>
  <c r="AR63"/>
  <c r="AR59"/>
  <c r="AR55"/>
  <c r="AR51"/>
  <c r="AN76"/>
  <c r="AN72"/>
  <c r="AN68"/>
  <c r="AN64"/>
  <c r="AN60"/>
  <c r="AN56"/>
  <c r="AN52"/>
  <c r="AL75"/>
  <c r="AL71"/>
  <c r="AL67"/>
  <c r="AL63"/>
  <c r="AL59"/>
  <c r="AL55"/>
  <c r="AL51"/>
  <c r="AJ76"/>
  <c r="AJ72"/>
  <c r="AJ68"/>
  <c r="AJ64"/>
  <c r="AJ60"/>
  <c r="AJ56"/>
  <c r="AJ52"/>
  <c r="AH75"/>
  <c r="AH71"/>
  <c r="AH67"/>
  <c r="AH63"/>
  <c r="AH59"/>
  <c r="AH55"/>
  <c r="AH51"/>
  <c r="AF76"/>
  <c r="AF72"/>
  <c r="AF68"/>
  <c r="AF64"/>
  <c r="AF60"/>
  <c r="AF56"/>
  <c r="AF52"/>
  <c r="AA11" i="637"/>
  <c r="AA16" s="1"/>
  <c r="AX63" i="722"/>
  <c r="AT59"/>
  <c r="AN63"/>
  <c r="M90" i="725"/>
  <c r="M93" s="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BA76"/>
  <c r="BA72"/>
  <c r="BA68"/>
  <c r="BA64"/>
  <c r="BA60"/>
  <c r="BA56"/>
  <c r="BA52"/>
  <c r="AY76"/>
  <c r="AY72"/>
  <c r="AY68"/>
  <c r="AY64"/>
  <c r="AY60"/>
  <c r="AY56"/>
  <c r="AY52"/>
  <c r="AW76"/>
  <c r="AW72"/>
  <c r="AW68"/>
  <c r="AW64"/>
  <c r="AW60"/>
  <c r="AW56"/>
  <c r="AW52"/>
  <c r="AU76"/>
  <c r="AU72"/>
  <c r="AU68"/>
  <c r="AU64"/>
  <c r="AU60"/>
  <c r="AU56"/>
  <c r="AU52"/>
  <c r="AS76"/>
  <c r="AS72"/>
  <c r="AS68"/>
  <c r="AS64"/>
  <c r="AS60"/>
  <c r="AS56"/>
  <c r="AS52"/>
  <c r="AO76"/>
  <c r="AO72"/>
  <c r="AO68"/>
  <c r="AO64"/>
  <c r="AO60"/>
  <c r="AO56"/>
  <c r="AO52"/>
  <c r="AM76"/>
  <c r="AM72"/>
  <c r="AM68"/>
  <c r="AM64"/>
  <c r="AM60"/>
  <c r="AM56"/>
  <c r="AM52"/>
  <c r="AK76"/>
  <c r="AK72"/>
  <c r="AK68"/>
  <c r="AK64"/>
  <c r="AK60"/>
  <c r="AK56"/>
  <c r="AK52"/>
  <c r="AI75"/>
  <c r="AI71"/>
  <c r="AI67"/>
  <c r="AI63"/>
  <c r="AI59"/>
  <c r="AI55"/>
  <c r="AI51"/>
  <c r="AG76"/>
  <c r="AG72"/>
  <c r="AG68"/>
  <c r="AG64"/>
  <c r="AG60"/>
  <c r="AG56"/>
  <c r="AG52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Z76"/>
  <c r="AZ72"/>
  <c r="AZ68"/>
  <c r="AZ64"/>
  <c r="AZ60"/>
  <c r="AZ56"/>
  <c r="AZ52"/>
  <c r="AX76"/>
  <c r="AX72"/>
  <c r="AX68"/>
  <c r="AX64"/>
  <c r="AX60"/>
  <c r="AX56"/>
  <c r="AX52"/>
  <c r="AV76"/>
  <c r="AV72"/>
  <c r="AV68"/>
  <c r="AV64"/>
  <c r="AV60"/>
  <c r="AV56"/>
  <c r="AV52"/>
  <c r="AT75"/>
  <c r="AT71"/>
  <c r="AT67"/>
  <c r="AT63"/>
  <c r="AT59"/>
  <c r="AT55"/>
  <c r="AT51"/>
  <c r="AR76"/>
  <c r="AR72"/>
  <c r="AR68"/>
  <c r="AR64"/>
  <c r="AR60"/>
  <c r="AR56"/>
  <c r="AR52"/>
  <c r="AN75"/>
  <c r="AN71"/>
  <c r="AN67"/>
  <c r="AN63"/>
  <c r="AN59"/>
  <c r="AN55"/>
  <c r="AN51"/>
  <c r="AL76"/>
  <c r="AL72"/>
  <c r="AL68"/>
  <c r="AL64"/>
  <c r="AL60"/>
  <c r="AL56"/>
  <c r="AL52"/>
  <c r="AJ75"/>
  <c r="AJ71"/>
  <c r="AJ67"/>
  <c r="AJ63"/>
  <c r="AJ59"/>
  <c r="AJ55"/>
  <c r="AJ51"/>
  <c r="AH76"/>
  <c r="AH72"/>
  <c r="AH68"/>
  <c r="AH64"/>
  <c r="AH60"/>
  <c r="AH56"/>
  <c r="AH52"/>
  <c r="AF75"/>
  <c r="AF71"/>
  <c r="AF67"/>
  <c r="AF63"/>
  <c r="AF59"/>
  <c r="AF55"/>
  <c r="AF51"/>
  <c r="AY75" i="722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M90"/>
  <c r="M93" s="1"/>
  <c r="AZ76"/>
  <c r="AZ72"/>
  <c r="AZ68"/>
  <c r="AZ64"/>
  <c r="AZ60"/>
  <c r="AZ56"/>
  <c r="AZ52"/>
  <c r="AX76"/>
  <c r="AX72"/>
  <c r="AX68"/>
  <c r="AX64"/>
  <c r="AX60"/>
  <c r="AX56"/>
  <c r="AX52"/>
  <c r="AV76"/>
  <c r="AV72"/>
  <c r="AV68"/>
  <c r="AV64"/>
  <c r="AV60"/>
  <c r="AV56"/>
  <c r="AV52"/>
  <c r="AT76"/>
  <c r="AT72"/>
  <c r="AT68"/>
  <c r="AT64"/>
  <c r="AT60"/>
  <c r="AT56"/>
  <c r="AT52"/>
  <c r="AR76"/>
  <c r="AR72"/>
  <c r="AR68"/>
  <c r="AR64"/>
  <c r="AR60"/>
  <c r="AR56"/>
  <c r="AR52"/>
  <c r="AN76"/>
  <c r="AN72"/>
  <c r="AN68"/>
  <c r="AN64"/>
  <c r="AN60"/>
  <c r="AN56"/>
  <c r="AN52"/>
  <c r="AL76"/>
  <c r="AL72"/>
  <c r="AL68"/>
  <c r="AL64"/>
  <c r="AL60"/>
  <c r="AL56"/>
  <c r="AL52"/>
  <c r="AJ76"/>
  <c r="AJ72"/>
  <c r="AJ68"/>
  <c r="AJ64"/>
  <c r="AJ60"/>
  <c r="AJ56"/>
  <c r="AJ52"/>
  <c r="AH76"/>
  <c r="AH72"/>
  <c r="AH68"/>
  <c r="AH64"/>
  <c r="AH60"/>
  <c r="AH56"/>
  <c r="AH52"/>
  <c r="AF76"/>
  <c r="AF72"/>
  <c r="AF68"/>
  <c r="AF64"/>
  <c r="AF60"/>
  <c r="AF56"/>
  <c r="AF52"/>
  <c r="AV75"/>
  <c r="AV71"/>
  <c r="AV67"/>
  <c r="AV63"/>
  <c r="AV59"/>
  <c r="AV55"/>
  <c r="AV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K76"/>
  <c r="AK72"/>
  <c r="AK68"/>
  <c r="AK64"/>
  <c r="AK60"/>
  <c r="AK56"/>
  <c r="AK52"/>
  <c r="AI76"/>
  <c r="AI72"/>
  <c r="AI68"/>
  <c r="AI64"/>
  <c r="AI60"/>
  <c r="AI56"/>
  <c r="AI52"/>
  <c r="AG76"/>
  <c r="AG72"/>
  <c r="AG68"/>
  <c r="AG64"/>
  <c r="AG60"/>
  <c r="AG56"/>
  <c r="AG52"/>
  <c r="AX51"/>
  <c r="AX59"/>
  <c r="AX67"/>
  <c r="AX75"/>
  <c r="AT55"/>
  <c r="AT63"/>
  <c r="AT71"/>
  <c r="AN51"/>
  <c r="AN59"/>
  <c r="AN67"/>
  <c r="AN75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AZ75"/>
  <c r="AZ71"/>
  <c r="AZ67"/>
  <c r="AZ63"/>
  <c r="AZ59"/>
  <c r="AZ55"/>
  <c r="AZ51"/>
  <c r="AR75"/>
  <c r="AR71"/>
  <c r="AR67"/>
  <c r="AR63"/>
  <c r="AR59"/>
  <c r="AR55"/>
  <c r="AR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X55"/>
  <c r="AT51"/>
  <c r="AT67"/>
  <c r="AN55"/>
  <c r="AY76" i="719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M90"/>
  <c r="M93" s="1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BA75" i="716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M89"/>
  <c r="M91" s="1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AX75" i="713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M89"/>
  <c r="M91" s="1"/>
  <c r="Z11" i="637"/>
  <c r="Z16" s="1"/>
  <c r="AY75" i="710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M89"/>
  <c r="M91" s="1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BA75" i="707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M89"/>
  <c r="M91" s="1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AY75" i="704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M89"/>
  <c r="M91" s="1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AY75" i="701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M89"/>
  <c r="M91" s="1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AZ76" i="698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M89"/>
  <c r="M91" s="1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6" i="695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M89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BA76" i="692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M89"/>
  <c r="M91" s="1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Y77" i="689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7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L93"/>
  <c r="M90"/>
  <c r="M93" s="1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BA77" i="686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L93"/>
  <c r="M90"/>
  <c r="M93" s="1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7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Y77" i="683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L93"/>
  <c r="M90"/>
  <c r="M93" s="1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7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Z77" i="680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Y77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BA77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L93"/>
  <c r="M90"/>
  <c r="M93" s="1"/>
  <c r="AY77" i="677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L93"/>
  <c r="M90"/>
  <c r="M93" s="1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BA77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Y77" i="674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L93"/>
  <c r="M90"/>
  <c r="M93" s="1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BA77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Y77" i="614"/>
  <c r="BA77" i="671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Y77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L93"/>
  <c r="M90"/>
  <c r="M93" s="1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BA77" i="668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Y77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L93"/>
  <c r="M90"/>
  <c r="M93" s="1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BA77" i="665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L93"/>
  <c r="M90"/>
  <c r="M93" s="1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Y77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BA77" i="662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M90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Y77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BA76" i="659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M90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Y77" i="656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7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L93"/>
  <c r="M93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7" i="653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C36" i="25"/>
  <c r="BA77" i="653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C35" i="25"/>
  <c r="AZ76" i="650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L91"/>
  <c r="M91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C34" i="25"/>
  <c r="BA76" i="647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L91"/>
  <c r="M91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BA76" i="644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L91"/>
  <c r="M91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6" i="641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L91"/>
  <c r="M91"/>
  <c r="AX76" i="638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L91"/>
  <c r="M91"/>
  <c r="AY76" i="635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L91"/>
  <c r="M91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Y61" i="614"/>
  <c r="AU65"/>
  <c r="AO61"/>
  <c r="L91" i="629"/>
  <c r="M89"/>
  <c r="M91" s="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AZ75"/>
  <c r="AZ71"/>
  <c r="AZ67"/>
  <c r="AZ63"/>
  <c r="AZ59"/>
  <c r="AZ55"/>
  <c r="AZ51"/>
  <c r="AX75"/>
  <c r="AX71"/>
  <c r="AX67"/>
  <c r="AX63"/>
  <c r="AX59"/>
  <c r="AX55"/>
  <c r="AX51"/>
  <c r="AV75"/>
  <c r="AV71"/>
  <c r="AV67"/>
  <c r="AV63"/>
  <c r="AV59"/>
  <c r="AV55"/>
  <c r="AV51"/>
  <c r="AT75"/>
  <c r="AT71"/>
  <c r="AT67"/>
  <c r="AT63"/>
  <c r="AT59"/>
  <c r="AT55"/>
  <c r="AT51"/>
  <c r="AR75"/>
  <c r="AR71"/>
  <c r="AR67"/>
  <c r="AR63"/>
  <c r="AR59"/>
  <c r="AR55"/>
  <c r="AR51"/>
  <c r="AN76"/>
  <c r="AN72"/>
  <c r="AN68"/>
  <c r="AN64"/>
  <c r="AN60"/>
  <c r="AN56"/>
  <c r="AN52"/>
  <c r="AL75"/>
  <c r="AL71"/>
  <c r="AL67"/>
  <c r="AL63"/>
  <c r="AL59"/>
  <c r="AL55"/>
  <c r="AL51"/>
  <c r="AJ76"/>
  <c r="AJ72"/>
  <c r="AJ68"/>
  <c r="AJ64"/>
  <c r="AJ60"/>
  <c r="AJ56"/>
  <c r="AJ52"/>
  <c r="AH75"/>
  <c r="AH71"/>
  <c r="AH67"/>
  <c r="AH63"/>
  <c r="AH59"/>
  <c r="AH55"/>
  <c r="AH51"/>
  <c r="AF76"/>
  <c r="AF72"/>
  <c r="AF68"/>
  <c r="AF64"/>
  <c r="AF60"/>
  <c r="AF56"/>
  <c r="AF52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BA75"/>
  <c r="BA71"/>
  <c r="BA67"/>
  <c r="BA63"/>
  <c r="BA59"/>
  <c r="BA55"/>
  <c r="BA51"/>
  <c r="AY75"/>
  <c r="AY71"/>
  <c r="AY67"/>
  <c r="AY63"/>
  <c r="AY59"/>
  <c r="AY55"/>
  <c r="AY51"/>
  <c r="AW75"/>
  <c r="AW71"/>
  <c r="AW67"/>
  <c r="AW63"/>
  <c r="AW59"/>
  <c r="AW55"/>
  <c r="AW51"/>
  <c r="AU75"/>
  <c r="AU71"/>
  <c r="AU67"/>
  <c r="AU63"/>
  <c r="AU59"/>
  <c r="AU55"/>
  <c r="AU51"/>
  <c r="AS75"/>
  <c r="AS71"/>
  <c r="AS67"/>
  <c r="AS63"/>
  <c r="AS59"/>
  <c r="AS55"/>
  <c r="AS51"/>
  <c r="AO76"/>
  <c r="AO72"/>
  <c r="AO68"/>
  <c r="AO64"/>
  <c r="AO60"/>
  <c r="AO56"/>
  <c r="AO52"/>
  <c r="AM75"/>
  <c r="AM71"/>
  <c r="AM67"/>
  <c r="AM63"/>
  <c r="AM59"/>
  <c r="AM55"/>
  <c r="AM51"/>
  <c r="AK76"/>
  <c r="AK72"/>
  <c r="AK68"/>
  <c r="AK64"/>
  <c r="AK60"/>
  <c r="AK56"/>
  <c r="AK52"/>
  <c r="AI75"/>
  <c r="AI71"/>
  <c r="AI67"/>
  <c r="AI63"/>
  <c r="AI59"/>
  <c r="AI55"/>
  <c r="AI51"/>
  <c r="AG76"/>
  <c r="AG72"/>
  <c r="AG68"/>
  <c r="AG64"/>
  <c r="AG60"/>
  <c r="AG56"/>
  <c r="AG52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Z76"/>
  <c r="AZ72"/>
  <c r="AZ68"/>
  <c r="AZ64"/>
  <c r="AZ60"/>
  <c r="AZ56"/>
  <c r="AZ52"/>
  <c r="AX76"/>
  <c r="AX72"/>
  <c r="AX68"/>
  <c r="AX64"/>
  <c r="AX60"/>
  <c r="AX56"/>
  <c r="AX52"/>
  <c r="AV76"/>
  <c r="AV72"/>
  <c r="AV68"/>
  <c r="AV64"/>
  <c r="AV60"/>
  <c r="AV56"/>
  <c r="AV52"/>
  <c r="AT76"/>
  <c r="AT72"/>
  <c r="AT68"/>
  <c r="AT64"/>
  <c r="AT60"/>
  <c r="AT56"/>
  <c r="AT52"/>
  <c r="AR76"/>
  <c r="AR72"/>
  <c r="AR68"/>
  <c r="AR64"/>
  <c r="AR60"/>
  <c r="AR56"/>
  <c r="AR52"/>
  <c r="AN75"/>
  <c r="AN71"/>
  <c r="AN67"/>
  <c r="AN63"/>
  <c r="AN59"/>
  <c r="AN55"/>
  <c r="AN51"/>
  <c r="AL76"/>
  <c r="AL72"/>
  <c r="AL68"/>
  <c r="AL64"/>
  <c r="AL60"/>
  <c r="AL56"/>
  <c r="AL52"/>
  <c r="AJ75"/>
  <c r="AJ71"/>
  <c r="AJ67"/>
  <c r="AJ63"/>
  <c r="AJ59"/>
  <c r="AJ55"/>
  <c r="AJ51"/>
  <c r="AH76"/>
  <c r="AH72"/>
  <c r="AH68"/>
  <c r="AH64"/>
  <c r="AH60"/>
  <c r="AH56"/>
  <c r="AH52"/>
  <c r="AF75"/>
  <c r="AF71"/>
  <c r="AF67"/>
  <c r="AF63"/>
  <c r="AF59"/>
  <c r="AF55"/>
  <c r="AF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BA76"/>
  <c r="BA72"/>
  <c r="BA68"/>
  <c r="BA64"/>
  <c r="BA60"/>
  <c r="BA56"/>
  <c r="BA52"/>
  <c r="AY76"/>
  <c r="AY72"/>
  <c r="AY68"/>
  <c r="AY64"/>
  <c r="AY60"/>
  <c r="AY56"/>
  <c r="AY52"/>
  <c r="AW76"/>
  <c r="AW72"/>
  <c r="AW68"/>
  <c r="AW64"/>
  <c r="AW60"/>
  <c r="AW56"/>
  <c r="AW52"/>
  <c r="AU76"/>
  <c r="AU72"/>
  <c r="AU68"/>
  <c r="AU64"/>
  <c r="AU60"/>
  <c r="AU56"/>
  <c r="AU52"/>
  <c r="AS76"/>
  <c r="AS72"/>
  <c r="AS68"/>
  <c r="AS64"/>
  <c r="AS60"/>
  <c r="AS56"/>
  <c r="AS52"/>
  <c r="AO75"/>
  <c r="AO71"/>
  <c r="AO67"/>
  <c r="AO63"/>
  <c r="AO59"/>
  <c r="AO55"/>
  <c r="AO51"/>
  <c r="AM76"/>
  <c r="AM72"/>
  <c r="AM68"/>
  <c r="AM64"/>
  <c r="AM60"/>
  <c r="AM56"/>
  <c r="AM52"/>
  <c r="AK75"/>
  <c r="AK71"/>
  <c r="AK67"/>
  <c r="AK63"/>
  <c r="AK59"/>
  <c r="AK55"/>
  <c r="AK51"/>
  <c r="AI76"/>
  <c r="AI72"/>
  <c r="AI68"/>
  <c r="AI64"/>
  <c r="AI60"/>
  <c r="AI56"/>
  <c r="AI52"/>
  <c r="AG75"/>
  <c r="AG71"/>
  <c r="AG67"/>
  <c r="AG63"/>
  <c r="AG59"/>
  <c r="AG55"/>
  <c r="AG51"/>
  <c r="BA65" i="608"/>
  <c r="AY75" i="626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M89"/>
  <c r="M91" s="1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BA76" i="623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M89"/>
  <c r="M91" s="1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BA77" i="620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M90"/>
  <c r="M92" s="1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7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7" i="617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Y77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M92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7" i="614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BA78"/>
  <c r="BA74"/>
  <c r="BA70"/>
  <c r="BA66"/>
  <c r="BA62"/>
  <c r="BA58"/>
  <c r="BA54"/>
  <c r="AY78"/>
  <c r="AY74"/>
  <c r="AY70"/>
  <c r="AY66"/>
  <c r="AY62"/>
  <c r="AY58"/>
  <c r="AY54"/>
  <c r="AW78"/>
  <c r="AW74"/>
  <c r="AW70"/>
  <c r="AW66"/>
  <c r="AW62"/>
  <c r="AW58"/>
  <c r="AW54"/>
  <c r="AU78"/>
  <c r="AU74"/>
  <c r="AU70"/>
  <c r="AU66"/>
  <c r="AU62"/>
  <c r="AU58"/>
  <c r="AU54"/>
  <c r="AS78"/>
  <c r="AS74"/>
  <c r="AS70"/>
  <c r="AS66"/>
  <c r="AS62"/>
  <c r="AS58"/>
  <c r="AS54"/>
  <c r="AO78"/>
  <c r="AO74"/>
  <c r="AO70"/>
  <c r="AO66"/>
  <c r="AO62"/>
  <c r="AO58"/>
  <c r="AO54"/>
  <c r="AK78"/>
  <c r="AK74"/>
  <c r="AK70"/>
  <c r="AK66"/>
  <c r="AK62"/>
  <c r="AK58"/>
  <c r="AK54"/>
  <c r="AG78"/>
  <c r="AG74"/>
  <c r="AG70"/>
  <c r="AG66"/>
  <c r="AG62"/>
  <c r="AG58"/>
  <c r="AG54"/>
  <c r="AW77"/>
  <c r="AW73"/>
  <c r="AW69"/>
  <c r="AW65"/>
  <c r="AW61"/>
  <c r="AW57"/>
  <c r="AW53"/>
  <c r="AM77"/>
  <c r="AM73"/>
  <c r="AM69"/>
  <c r="AM65"/>
  <c r="AM61"/>
  <c r="AM57"/>
  <c r="AM53"/>
  <c r="AG77"/>
  <c r="AG73"/>
  <c r="AG69"/>
  <c r="AG65"/>
  <c r="AG61"/>
  <c r="AG57"/>
  <c r="AG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M91"/>
  <c r="M95" s="1"/>
  <c r="AX78"/>
  <c r="AX74"/>
  <c r="AX70"/>
  <c r="AX66"/>
  <c r="AX62"/>
  <c r="AX58"/>
  <c r="AX54"/>
  <c r="AT78"/>
  <c r="AT74"/>
  <c r="AT70"/>
  <c r="AT66"/>
  <c r="AT62"/>
  <c r="AT58"/>
  <c r="AT54"/>
  <c r="AN78"/>
  <c r="AN74"/>
  <c r="AN70"/>
  <c r="AN66"/>
  <c r="AN62"/>
  <c r="AN58"/>
  <c r="AN54"/>
  <c r="AJ78"/>
  <c r="AJ74"/>
  <c r="AJ70"/>
  <c r="AJ66"/>
  <c r="AJ62"/>
  <c r="AJ58"/>
  <c r="AJ54"/>
  <c r="AH78"/>
  <c r="AH74"/>
  <c r="AH70"/>
  <c r="AH66"/>
  <c r="AH62"/>
  <c r="AH58"/>
  <c r="AH54"/>
  <c r="AF78"/>
  <c r="AF74"/>
  <c r="AF70"/>
  <c r="AF66"/>
  <c r="AF62"/>
  <c r="AF58"/>
  <c r="AF54"/>
  <c r="AY57"/>
  <c r="AY65"/>
  <c r="AY73"/>
  <c r="AU53"/>
  <c r="AU61"/>
  <c r="AU69"/>
  <c r="AU77"/>
  <c r="AO57"/>
  <c r="AO65"/>
  <c r="AO73"/>
  <c r="AK53"/>
  <c r="AK61"/>
  <c r="AK69"/>
  <c r="AK77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M78"/>
  <c r="AM74"/>
  <c r="AM70"/>
  <c r="AM66"/>
  <c r="AM62"/>
  <c r="AM58"/>
  <c r="AM54"/>
  <c r="AI78"/>
  <c r="AI74"/>
  <c r="AI70"/>
  <c r="AI66"/>
  <c r="AI62"/>
  <c r="AI58"/>
  <c r="AI54"/>
  <c r="BA77"/>
  <c r="BA73"/>
  <c r="BA69"/>
  <c r="BA65"/>
  <c r="BA61"/>
  <c r="BA57"/>
  <c r="BA53"/>
  <c r="AS77"/>
  <c r="AS73"/>
  <c r="AS69"/>
  <c r="AS65"/>
  <c r="AS61"/>
  <c r="AS57"/>
  <c r="AS53"/>
  <c r="AI77"/>
  <c r="AI73"/>
  <c r="AI69"/>
  <c r="AI65"/>
  <c r="AI61"/>
  <c r="AI57"/>
  <c r="AI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8"/>
  <c r="AZ74"/>
  <c r="AZ70"/>
  <c r="AZ66"/>
  <c r="AZ62"/>
  <c r="AZ58"/>
  <c r="AZ54"/>
  <c r="AV78"/>
  <c r="AV74"/>
  <c r="AV70"/>
  <c r="AV66"/>
  <c r="AV62"/>
  <c r="AV58"/>
  <c r="AV54"/>
  <c r="AR78"/>
  <c r="AR74"/>
  <c r="AR70"/>
  <c r="AR66"/>
  <c r="AR62"/>
  <c r="AR58"/>
  <c r="AR54"/>
  <c r="AL78"/>
  <c r="AL74"/>
  <c r="AL70"/>
  <c r="AL66"/>
  <c r="AL62"/>
  <c r="AL58"/>
  <c r="AL54"/>
  <c r="AY53"/>
  <c r="AY69"/>
  <c r="AU57"/>
  <c r="AO53"/>
  <c r="AO69"/>
  <c r="AK57"/>
  <c r="AY78" i="611"/>
  <c r="AY74"/>
  <c r="AY70"/>
  <c r="AY66"/>
  <c r="AY62"/>
  <c r="AY58"/>
  <c r="AY54"/>
  <c r="AU78"/>
  <c r="AU74"/>
  <c r="AU70"/>
  <c r="AU66"/>
  <c r="AU62"/>
  <c r="AU58"/>
  <c r="AU54"/>
  <c r="AO78"/>
  <c r="AO74"/>
  <c r="AO70"/>
  <c r="AO66"/>
  <c r="AO62"/>
  <c r="AO58"/>
  <c r="AO54"/>
  <c r="AK78"/>
  <c r="AK74"/>
  <c r="AK70"/>
  <c r="AK66"/>
  <c r="AK62"/>
  <c r="AK58"/>
  <c r="AK54"/>
  <c r="AG78"/>
  <c r="AG74"/>
  <c r="AG70"/>
  <c r="AG66"/>
  <c r="AG62"/>
  <c r="AG58"/>
  <c r="AG54"/>
  <c r="AY77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Z78"/>
  <c r="AZ74"/>
  <c r="AZ70"/>
  <c r="AZ66"/>
  <c r="AZ62"/>
  <c r="AZ58"/>
  <c r="AZ54"/>
  <c r="AV78"/>
  <c r="AV74"/>
  <c r="AV70"/>
  <c r="AV66"/>
  <c r="AV62"/>
  <c r="AV58"/>
  <c r="AV54"/>
  <c r="AR78"/>
  <c r="AR74"/>
  <c r="AR70"/>
  <c r="AR66"/>
  <c r="AR62"/>
  <c r="AR58"/>
  <c r="AR54"/>
  <c r="AL78"/>
  <c r="AL74"/>
  <c r="AL70"/>
  <c r="AL66"/>
  <c r="AL62"/>
  <c r="AL58"/>
  <c r="AL54"/>
  <c r="AH78"/>
  <c r="AH74"/>
  <c r="AH70"/>
  <c r="AH66"/>
  <c r="AH62"/>
  <c r="AH58"/>
  <c r="AH54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8"/>
  <c r="BA74"/>
  <c r="BA70"/>
  <c r="BA66"/>
  <c r="BA62"/>
  <c r="BA58"/>
  <c r="BA54"/>
  <c r="AW78"/>
  <c r="AW74"/>
  <c r="AW70"/>
  <c r="AW66"/>
  <c r="AW62"/>
  <c r="AW58"/>
  <c r="AW54"/>
  <c r="AS78"/>
  <c r="AS74"/>
  <c r="AS70"/>
  <c r="AS66"/>
  <c r="AS62"/>
  <c r="AS58"/>
  <c r="AS54"/>
  <c r="AM78"/>
  <c r="AM74"/>
  <c r="AM70"/>
  <c r="AM66"/>
  <c r="AM62"/>
  <c r="AM58"/>
  <c r="AM54"/>
  <c r="AI78"/>
  <c r="AI74"/>
  <c r="AI70"/>
  <c r="AI66"/>
  <c r="AI62"/>
  <c r="AI58"/>
  <c r="AI54"/>
  <c r="BA77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M91"/>
  <c r="M95" s="1"/>
  <c r="AX78"/>
  <c r="AX74"/>
  <c r="AX70"/>
  <c r="AX66"/>
  <c r="AX62"/>
  <c r="AX58"/>
  <c r="AX54"/>
  <c r="AT78"/>
  <c r="AT74"/>
  <c r="AT70"/>
  <c r="AT66"/>
  <c r="AT62"/>
  <c r="AT58"/>
  <c r="AT54"/>
  <c r="AN78"/>
  <c r="AN74"/>
  <c r="AN70"/>
  <c r="AN66"/>
  <c r="AN62"/>
  <c r="AN58"/>
  <c r="AN54"/>
  <c r="AJ78"/>
  <c r="AJ74"/>
  <c r="AJ70"/>
  <c r="AJ66"/>
  <c r="AJ62"/>
  <c r="AJ58"/>
  <c r="AJ54"/>
  <c r="AF78"/>
  <c r="AF74"/>
  <c r="AF70"/>
  <c r="AF66"/>
  <c r="AF62"/>
  <c r="AF58"/>
  <c r="AF54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U77" i="608"/>
  <c r="AU73"/>
  <c r="AU69"/>
  <c r="AU65"/>
  <c r="AU61"/>
  <c r="AU57"/>
  <c r="AU53"/>
  <c r="AK77"/>
  <c r="AK73"/>
  <c r="AK69"/>
  <c r="AK65"/>
  <c r="AK61"/>
  <c r="AK57"/>
  <c r="AK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O78"/>
  <c r="AO74"/>
  <c r="AO70"/>
  <c r="AO66"/>
  <c r="AO62"/>
  <c r="AO58"/>
  <c r="AO54"/>
  <c r="AK78"/>
  <c r="AK74"/>
  <c r="AK70"/>
  <c r="AK66"/>
  <c r="AK62"/>
  <c r="AK58"/>
  <c r="AK54"/>
  <c r="AG78"/>
  <c r="AG74"/>
  <c r="AG70"/>
  <c r="AG66"/>
  <c r="AG62"/>
  <c r="AG58"/>
  <c r="AG54"/>
  <c r="AW77"/>
  <c r="AW73"/>
  <c r="AW69"/>
  <c r="AW65"/>
  <c r="AW61"/>
  <c r="AW57"/>
  <c r="AW53"/>
  <c r="AM77"/>
  <c r="AM73"/>
  <c r="AM69"/>
  <c r="AM65"/>
  <c r="AM61"/>
  <c r="AM57"/>
  <c r="AM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8"/>
  <c r="AZ74"/>
  <c r="AZ70"/>
  <c r="AZ66"/>
  <c r="AZ62"/>
  <c r="AZ58"/>
  <c r="AZ54"/>
  <c r="AX77"/>
  <c r="AX73"/>
  <c r="AX69"/>
  <c r="AX65"/>
  <c r="AX61"/>
  <c r="AX57"/>
  <c r="AX53"/>
  <c r="AV78"/>
  <c r="AV74"/>
  <c r="AV70"/>
  <c r="AV66"/>
  <c r="AV62"/>
  <c r="AV58"/>
  <c r="AV54"/>
  <c r="AT77"/>
  <c r="AT73"/>
  <c r="AT69"/>
  <c r="AT65"/>
  <c r="AT61"/>
  <c r="AT57"/>
  <c r="AT53"/>
  <c r="AR78"/>
  <c r="AR74"/>
  <c r="AR70"/>
  <c r="AR66"/>
  <c r="AR62"/>
  <c r="AR58"/>
  <c r="AR54"/>
  <c r="AN77"/>
  <c r="AN73"/>
  <c r="AN69"/>
  <c r="AN65"/>
  <c r="AN61"/>
  <c r="AN57"/>
  <c r="AN53"/>
  <c r="AL77"/>
  <c r="AL73"/>
  <c r="AL69"/>
  <c r="AL65"/>
  <c r="AL61"/>
  <c r="AL57"/>
  <c r="AL53"/>
  <c r="AJ77"/>
  <c r="AJ73"/>
  <c r="AJ69"/>
  <c r="AJ65"/>
  <c r="AJ61"/>
  <c r="AJ57"/>
  <c r="AJ53"/>
  <c r="AH77"/>
  <c r="AH73"/>
  <c r="AH69"/>
  <c r="AH65"/>
  <c r="AH61"/>
  <c r="AH57"/>
  <c r="AH53"/>
  <c r="AF77"/>
  <c r="AF73"/>
  <c r="AF69"/>
  <c r="AF65"/>
  <c r="AF61"/>
  <c r="AF57"/>
  <c r="AF53"/>
  <c r="BA53"/>
  <c r="BA61"/>
  <c r="BA69"/>
  <c r="BA77"/>
  <c r="AY77"/>
  <c r="AY73"/>
  <c r="AY69"/>
  <c r="AY65"/>
  <c r="AY61"/>
  <c r="AY57"/>
  <c r="AY53"/>
  <c r="AO77"/>
  <c r="AO73"/>
  <c r="AO69"/>
  <c r="AO65"/>
  <c r="AO61"/>
  <c r="AO57"/>
  <c r="AO53"/>
  <c r="AG77"/>
  <c r="AG73"/>
  <c r="AG69"/>
  <c r="AG65"/>
  <c r="AG61"/>
  <c r="AG57"/>
  <c r="AG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8"/>
  <c r="BA74"/>
  <c r="BA70"/>
  <c r="BA66"/>
  <c r="BA62"/>
  <c r="BA58"/>
  <c r="BA54"/>
  <c r="AY78"/>
  <c r="AY74"/>
  <c r="AY70"/>
  <c r="AY66"/>
  <c r="AY62"/>
  <c r="AY58"/>
  <c r="AY54"/>
  <c r="AW78"/>
  <c r="AW74"/>
  <c r="AW70"/>
  <c r="AW66"/>
  <c r="AW62"/>
  <c r="AW58"/>
  <c r="AW54"/>
  <c r="AU78"/>
  <c r="AU74"/>
  <c r="AU70"/>
  <c r="AU66"/>
  <c r="AU62"/>
  <c r="AU58"/>
  <c r="AU54"/>
  <c r="AS78"/>
  <c r="AS74"/>
  <c r="AS70"/>
  <c r="AS66"/>
  <c r="AS62"/>
  <c r="AS58"/>
  <c r="AS54"/>
  <c r="AM78"/>
  <c r="AM74"/>
  <c r="AM70"/>
  <c r="AM66"/>
  <c r="AM62"/>
  <c r="AM58"/>
  <c r="AM54"/>
  <c r="AI78"/>
  <c r="AI74"/>
  <c r="AI70"/>
  <c r="AI66"/>
  <c r="AI62"/>
  <c r="AI58"/>
  <c r="AI54"/>
  <c r="AS77"/>
  <c r="AS73"/>
  <c r="AS69"/>
  <c r="AS65"/>
  <c r="AS61"/>
  <c r="AS57"/>
  <c r="AS53"/>
  <c r="AI77"/>
  <c r="AI73"/>
  <c r="AI69"/>
  <c r="AI65"/>
  <c r="AI61"/>
  <c r="AI57"/>
  <c r="AI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M91"/>
  <c r="M95" s="1"/>
  <c r="AZ77"/>
  <c r="AZ73"/>
  <c r="AZ69"/>
  <c r="AZ65"/>
  <c r="AZ61"/>
  <c r="AZ57"/>
  <c r="AZ53"/>
  <c r="AX78"/>
  <c r="AX74"/>
  <c r="AX70"/>
  <c r="AX66"/>
  <c r="AX62"/>
  <c r="AX58"/>
  <c r="AX54"/>
  <c r="AV77"/>
  <c r="AV73"/>
  <c r="AV69"/>
  <c r="AV65"/>
  <c r="AV61"/>
  <c r="AV57"/>
  <c r="AV53"/>
  <c r="AT78"/>
  <c r="AT74"/>
  <c r="AT70"/>
  <c r="AT66"/>
  <c r="AT62"/>
  <c r="AT58"/>
  <c r="AT54"/>
  <c r="AR77"/>
  <c r="AR73"/>
  <c r="AR69"/>
  <c r="AR65"/>
  <c r="AR61"/>
  <c r="AR57"/>
  <c r="AR53"/>
  <c r="AN78"/>
  <c r="AN74"/>
  <c r="AN70"/>
  <c r="AN66"/>
  <c r="AN62"/>
  <c r="AN58"/>
  <c r="AN54"/>
  <c r="AL78"/>
  <c r="AL74"/>
  <c r="AL70"/>
  <c r="AL66"/>
  <c r="AL62"/>
  <c r="AL58"/>
  <c r="AL54"/>
  <c r="AJ78"/>
  <c r="AJ74"/>
  <c r="AJ70"/>
  <c r="AJ66"/>
  <c r="AJ62"/>
  <c r="AJ58"/>
  <c r="AJ54"/>
  <c r="AH78"/>
  <c r="AH74"/>
  <c r="AH70"/>
  <c r="AH66"/>
  <c r="AH62"/>
  <c r="AH58"/>
  <c r="AH54"/>
  <c r="AF78"/>
  <c r="AF74"/>
  <c r="AF70"/>
  <c r="AF66"/>
  <c r="AF62"/>
  <c r="AF58"/>
  <c r="AF54"/>
  <c r="BA57"/>
  <c r="BA78" i="605"/>
  <c r="BA74"/>
  <c r="BA70"/>
  <c r="BA66"/>
  <c r="BA62"/>
  <c r="BA58"/>
  <c r="BA54"/>
  <c r="AS78"/>
  <c r="AS74"/>
  <c r="AS70"/>
  <c r="AS66"/>
  <c r="AS62"/>
  <c r="AS58"/>
  <c r="AS54"/>
  <c r="AI78"/>
  <c r="AI74"/>
  <c r="AI70"/>
  <c r="AI66"/>
  <c r="AI62"/>
  <c r="AI58"/>
  <c r="AI54"/>
  <c r="BA77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M91"/>
  <c r="M95" s="1"/>
  <c r="AZ78"/>
  <c r="AZ74"/>
  <c r="AZ70"/>
  <c r="AZ66"/>
  <c r="AZ62"/>
  <c r="AZ58"/>
  <c r="AZ54"/>
  <c r="AX74"/>
  <c r="AX66"/>
  <c r="AX58"/>
  <c r="AX78"/>
  <c r="AX70"/>
  <c r="AX62"/>
  <c r="AX54"/>
  <c r="AV78"/>
  <c r="AV74"/>
  <c r="AV70"/>
  <c r="AV66"/>
  <c r="AV62"/>
  <c r="AV58"/>
  <c r="AV54"/>
  <c r="AT78"/>
  <c r="AT70"/>
  <c r="AT62"/>
  <c r="AT54"/>
  <c r="AT74"/>
  <c r="AT66"/>
  <c r="AT58"/>
  <c r="AR78"/>
  <c r="AR74"/>
  <c r="AR70"/>
  <c r="AR66"/>
  <c r="AR62"/>
  <c r="AR58"/>
  <c r="AR54"/>
  <c r="AN74"/>
  <c r="AN66"/>
  <c r="AN58"/>
  <c r="AN78"/>
  <c r="AN70"/>
  <c r="AN62"/>
  <c r="AN54"/>
  <c r="AH78"/>
  <c r="AH74"/>
  <c r="AH70"/>
  <c r="AH66"/>
  <c r="AH62"/>
  <c r="AH58"/>
  <c r="AH54"/>
  <c r="AF74"/>
  <c r="AF66"/>
  <c r="AF58"/>
  <c r="AF78"/>
  <c r="AF70"/>
  <c r="AF62"/>
  <c r="AF54"/>
  <c r="AY78"/>
  <c r="AY74"/>
  <c r="AY70"/>
  <c r="AY66"/>
  <c r="AY62"/>
  <c r="AY58"/>
  <c r="AY54"/>
  <c r="AO78"/>
  <c r="AO74"/>
  <c r="AO70"/>
  <c r="AO66"/>
  <c r="AO62"/>
  <c r="AO58"/>
  <c r="AO54"/>
  <c r="AG78"/>
  <c r="AG74"/>
  <c r="AG70"/>
  <c r="AG66"/>
  <c r="AG62"/>
  <c r="AG58"/>
  <c r="AG54"/>
  <c r="AX77"/>
  <c r="AX69"/>
  <c r="AX61"/>
  <c r="AX53"/>
  <c r="AX73"/>
  <c r="AX65"/>
  <c r="AX57"/>
  <c r="AT73"/>
  <c r="AT65"/>
  <c r="AT57"/>
  <c r="AT77"/>
  <c r="AT69"/>
  <c r="AT61"/>
  <c r="AT53"/>
  <c r="AN77"/>
  <c r="AN69"/>
  <c r="AN61"/>
  <c r="AN53"/>
  <c r="AN73"/>
  <c r="AN65"/>
  <c r="AN57"/>
  <c r="AJ73"/>
  <c r="AJ65"/>
  <c r="AJ57"/>
  <c r="AJ77"/>
  <c r="AJ69"/>
  <c r="AJ61"/>
  <c r="AJ53"/>
  <c r="AF77"/>
  <c r="AF69"/>
  <c r="AF61"/>
  <c r="AF53"/>
  <c r="AF73"/>
  <c r="AF65"/>
  <c r="AF57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W78"/>
  <c r="AW74"/>
  <c r="AW70"/>
  <c r="AW66"/>
  <c r="AW62"/>
  <c r="AW58"/>
  <c r="AW54"/>
  <c r="AM78"/>
  <c r="AM74"/>
  <c r="AM70"/>
  <c r="AM66"/>
  <c r="AM62"/>
  <c r="AM58"/>
  <c r="AM54"/>
  <c r="AY77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X72"/>
  <c r="AX64"/>
  <c r="AX56"/>
  <c r="AX76"/>
  <c r="AX68"/>
  <c r="AX60"/>
  <c r="AX52"/>
  <c r="AT76"/>
  <c r="AT68"/>
  <c r="AT60"/>
  <c r="AT52"/>
  <c r="AT72"/>
  <c r="AT64"/>
  <c r="AT56"/>
  <c r="AN72"/>
  <c r="AN64"/>
  <c r="AN56"/>
  <c r="AN76"/>
  <c r="AN68"/>
  <c r="AN60"/>
  <c r="AN52"/>
  <c r="AJ76"/>
  <c r="AJ68"/>
  <c r="AJ60"/>
  <c r="AJ52"/>
  <c r="AJ72"/>
  <c r="AJ64"/>
  <c r="AJ56"/>
  <c r="AF72"/>
  <c r="AF64"/>
  <c r="AF56"/>
  <c r="AF76"/>
  <c r="AF68"/>
  <c r="AF60"/>
  <c r="AF52"/>
  <c r="AL78"/>
  <c r="AL74"/>
  <c r="AL70"/>
  <c r="AL66"/>
  <c r="AL62"/>
  <c r="AL58"/>
  <c r="AL54"/>
  <c r="AJ78"/>
  <c r="AJ70"/>
  <c r="AJ62"/>
  <c r="AJ54"/>
  <c r="AJ74"/>
  <c r="AJ66"/>
  <c r="AJ58"/>
  <c r="AU78"/>
  <c r="AU74"/>
  <c r="AU70"/>
  <c r="AU66"/>
  <c r="AU62"/>
  <c r="AU58"/>
  <c r="AU54"/>
  <c r="AK78"/>
  <c r="AK74"/>
  <c r="AK70"/>
  <c r="AK66"/>
  <c r="AK62"/>
  <c r="AK58"/>
  <c r="AK54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7" i="602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L93"/>
  <c r="M90"/>
  <c r="M93" s="1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7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Y77" i="599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L93"/>
  <c r="M90"/>
  <c r="M93" s="1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BA77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7" i="596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Y77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L93"/>
  <c r="M90"/>
  <c r="M93" s="1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8" i="593"/>
  <c r="AY74"/>
  <c r="AY70"/>
  <c r="AY66"/>
  <c r="AY62"/>
  <c r="AY58"/>
  <c r="AY54"/>
  <c r="AU78"/>
  <c r="AU74"/>
  <c r="AU70"/>
  <c r="AU66"/>
  <c r="AU62"/>
  <c r="AU58"/>
  <c r="AU54"/>
  <c r="AO78"/>
  <c r="AO74"/>
  <c r="AO70"/>
  <c r="AO66"/>
  <c r="AO62"/>
  <c r="AO58"/>
  <c r="AO54"/>
  <c r="AK78"/>
  <c r="AK74"/>
  <c r="AK70"/>
  <c r="AK66"/>
  <c r="AK62"/>
  <c r="AK58"/>
  <c r="AK54"/>
  <c r="AG78"/>
  <c r="AG74"/>
  <c r="AG70"/>
  <c r="AG66"/>
  <c r="AG62"/>
  <c r="AG58"/>
  <c r="AG54"/>
  <c r="AY77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Z78"/>
  <c r="AZ74"/>
  <c r="AZ70"/>
  <c r="AZ66"/>
  <c r="AZ62"/>
  <c r="AZ58"/>
  <c r="AZ54"/>
  <c r="AV78"/>
  <c r="AV74"/>
  <c r="AV70"/>
  <c r="AV66"/>
  <c r="AV62"/>
  <c r="AV58"/>
  <c r="AV54"/>
  <c r="AR78"/>
  <c r="AR74"/>
  <c r="AR70"/>
  <c r="AR66"/>
  <c r="AR62"/>
  <c r="AR58"/>
  <c r="AR54"/>
  <c r="AL78"/>
  <c r="AL74"/>
  <c r="AL70"/>
  <c r="AL66"/>
  <c r="AL62"/>
  <c r="AL58"/>
  <c r="AL54"/>
  <c r="AH78"/>
  <c r="AH74"/>
  <c r="AH70"/>
  <c r="AH66"/>
  <c r="AH62"/>
  <c r="AH58"/>
  <c r="AH54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8"/>
  <c r="BA74"/>
  <c r="BA70"/>
  <c r="BA66"/>
  <c r="BA62"/>
  <c r="BA58"/>
  <c r="BA54"/>
  <c r="AW78"/>
  <c r="AW74"/>
  <c r="AW70"/>
  <c r="AW66"/>
  <c r="AW62"/>
  <c r="AW58"/>
  <c r="AW54"/>
  <c r="AS78"/>
  <c r="AS74"/>
  <c r="AS70"/>
  <c r="AS66"/>
  <c r="AS62"/>
  <c r="AS58"/>
  <c r="AS54"/>
  <c r="AM78"/>
  <c r="AM74"/>
  <c r="AM70"/>
  <c r="AM66"/>
  <c r="AM62"/>
  <c r="AM58"/>
  <c r="AM54"/>
  <c r="AI78"/>
  <c r="AI74"/>
  <c r="AI70"/>
  <c r="AI66"/>
  <c r="AI62"/>
  <c r="AI58"/>
  <c r="AI54"/>
  <c r="BA77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L95"/>
  <c r="M91"/>
  <c r="M95" s="1"/>
  <c r="AX78"/>
  <c r="AX74"/>
  <c r="AX70"/>
  <c r="AX66"/>
  <c r="AX62"/>
  <c r="AX58"/>
  <c r="AX54"/>
  <c r="AT78"/>
  <c r="AT74"/>
  <c r="AT70"/>
  <c r="AT66"/>
  <c r="AT62"/>
  <c r="AT58"/>
  <c r="AT54"/>
  <c r="AN78"/>
  <c r="AN74"/>
  <c r="AN70"/>
  <c r="AN66"/>
  <c r="AN62"/>
  <c r="AN58"/>
  <c r="AN54"/>
  <c r="AJ78"/>
  <c r="AJ74"/>
  <c r="AJ70"/>
  <c r="AJ66"/>
  <c r="AJ62"/>
  <c r="AJ58"/>
  <c r="AJ54"/>
  <c r="AF78"/>
  <c r="AF74"/>
  <c r="AF70"/>
  <c r="AF66"/>
  <c r="AF62"/>
  <c r="AF58"/>
  <c r="AF54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7" i="590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BA78"/>
  <c r="BA74"/>
  <c r="BA70"/>
  <c r="BA66"/>
  <c r="BA62"/>
  <c r="BA58"/>
  <c r="BA54"/>
  <c r="AY78"/>
  <c r="AY74"/>
  <c r="AY70"/>
  <c r="AY66"/>
  <c r="AY62"/>
  <c r="AY58"/>
  <c r="AY54"/>
  <c r="AW78"/>
  <c r="AW74"/>
  <c r="AW70"/>
  <c r="AW66"/>
  <c r="AW62"/>
  <c r="AW58"/>
  <c r="AW54"/>
  <c r="AU78"/>
  <c r="AU74"/>
  <c r="AU70"/>
  <c r="AU66"/>
  <c r="AU62"/>
  <c r="AU58"/>
  <c r="AU54"/>
  <c r="AS78"/>
  <c r="AS74"/>
  <c r="AS70"/>
  <c r="AS66"/>
  <c r="AS62"/>
  <c r="AS58"/>
  <c r="AS54"/>
  <c r="AO78"/>
  <c r="AO74"/>
  <c r="AO70"/>
  <c r="AO66"/>
  <c r="AO62"/>
  <c r="AO58"/>
  <c r="AO54"/>
  <c r="AM78"/>
  <c r="AM74"/>
  <c r="AM70"/>
  <c r="AM66"/>
  <c r="AM62"/>
  <c r="AM58"/>
  <c r="AM54"/>
  <c r="AK78"/>
  <c r="AK74"/>
  <c r="AK70"/>
  <c r="AK66"/>
  <c r="AK62"/>
  <c r="AK58"/>
  <c r="AK54"/>
  <c r="AI78"/>
  <c r="AI74"/>
  <c r="AI70"/>
  <c r="AI66"/>
  <c r="AI62"/>
  <c r="AI58"/>
  <c r="AI54"/>
  <c r="BA77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L95"/>
  <c r="M91"/>
  <c r="M95" s="1"/>
  <c r="AZ78"/>
  <c r="AZ74"/>
  <c r="AZ70"/>
  <c r="AZ66"/>
  <c r="AZ62"/>
  <c r="AZ58"/>
  <c r="AZ54"/>
  <c r="AX78"/>
  <c r="AX74"/>
  <c r="AX70"/>
  <c r="AX66"/>
  <c r="AX62"/>
  <c r="AX58"/>
  <c r="AX54"/>
  <c r="AV78"/>
  <c r="AV74"/>
  <c r="AV70"/>
  <c r="AV66"/>
  <c r="AV62"/>
  <c r="AV58"/>
  <c r="AV54"/>
  <c r="AT78"/>
  <c r="AT74"/>
  <c r="AT70"/>
  <c r="AT66"/>
  <c r="AT62"/>
  <c r="AT58"/>
  <c r="AT54"/>
  <c r="AR78"/>
  <c r="AR74"/>
  <c r="AR70"/>
  <c r="AR66"/>
  <c r="AR62"/>
  <c r="AR58"/>
  <c r="AR54"/>
  <c r="AN78"/>
  <c r="AN74"/>
  <c r="AN70"/>
  <c r="AN66"/>
  <c r="AN62"/>
  <c r="AN58"/>
  <c r="AN54"/>
  <c r="AL78"/>
  <c r="AL74"/>
  <c r="AL70"/>
  <c r="AL66"/>
  <c r="AL62"/>
  <c r="AL58"/>
  <c r="AL54"/>
  <c r="AJ78"/>
  <c r="AJ74"/>
  <c r="AJ70"/>
  <c r="AJ66"/>
  <c r="AJ62"/>
  <c r="AJ58"/>
  <c r="AJ54"/>
  <c r="AH78"/>
  <c r="AH74"/>
  <c r="AH70"/>
  <c r="AH66"/>
  <c r="AH62"/>
  <c r="AH58"/>
  <c r="AH54"/>
  <c r="AF78"/>
  <c r="AF74"/>
  <c r="AF70"/>
  <c r="AF66"/>
  <c r="AF62"/>
  <c r="AF58"/>
  <c r="AF54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G78"/>
  <c r="AG74"/>
  <c r="AG70"/>
  <c r="AG66"/>
  <c r="AG62"/>
  <c r="AG58"/>
  <c r="AG54"/>
  <c r="AY78" i="587"/>
  <c r="AY74"/>
  <c r="AY70"/>
  <c r="AY66"/>
  <c r="AY62"/>
  <c r="AY58"/>
  <c r="AY54"/>
  <c r="AU78"/>
  <c r="AU74"/>
  <c r="AU70"/>
  <c r="AU66"/>
  <c r="AU62"/>
  <c r="AU58"/>
  <c r="AU54"/>
  <c r="AO78"/>
  <c r="AO74"/>
  <c r="AO70"/>
  <c r="AO66"/>
  <c r="AO62"/>
  <c r="AO58"/>
  <c r="AO54"/>
  <c r="AK78"/>
  <c r="AK74"/>
  <c r="AK70"/>
  <c r="AK66"/>
  <c r="AK62"/>
  <c r="AK58"/>
  <c r="AK54"/>
  <c r="AG78"/>
  <c r="AG74"/>
  <c r="AG70"/>
  <c r="AG66"/>
  <c r="AG62"/>
  <c r="AG58"/>
  <c r="AG54"/>
  <c r="AY77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8"/>
  <c r="AX74"/>
  <c r="AX70"/>
  <c r="AX66"/>
  <c r="AX62"/>
  <c r="AX58"/>
  <c r="AX54"/>
  <c r="AT78"/>
  <c r="AT74"/>
  <c r="AT70"/>
  <c r="AT66"/>
  <c r="AT62"/>
  <c r="AT58"/>
  <c r="AT54"/>
  <c r="AN78"/>
  <c r="AN74"/>
  <c r="AN70"/>
  <c r="AN66"/>
  <c r="AN62"/>
  <c r="AN58"/>
  <c r="AN54"/>
  <c r="AJ78"/>
  <c r="AJ74"/>
  <c r="AJ70"/>
  <c r="AJ66"/>
  <c r="AJ62"/>
  <c r="AJ58"/>
  <c r="AJ54"/>
  <c r="AF78"/>
  <c r="AF74"/>
  <c r="AF70"/>
  <c r="AF66"/>
  <c r="AF62"/>
  <c r="AF58"/>
  <c r="AF54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BA78"/>
  <c r="BA74"/>
  <c r="BA70"/>
  <c r="BA66"/>
  <c r="BA62"/>
  <c r="BA58"/>
  <c r="BA54"/>
  <c r="AW78"/>
  <c r="AW74"/>
  <c r="AW70"/>
  <c r="AW66"/>
  <c r="AW62"/>
  <c r="AW58"/>
  <c r="AW54"/>
  <c r="AS78"/>
  <c r="AS74"/>
  <c r="AS70"/>
  <c r="AS66"/>
  <c r="AS62"/>
  <c r="AS58"/>
  <c r="AS54"/>
  <c r="AM78"/>
  <c r="AM74"/>
  <c r="AM70"/>
  <c r="AM66"/>
  <c r="AM62"/>
  <c r="AM58"/>
  <c r="AM54"/>
  <c r="AI78"/>
  <c r="AI74"/>
  <c r="AI70"/>
  <c r="AI66"/>
  <c r="AI62"/>
  <c r="AI58"/>
  <c r="AI54"/>
  <c r="BA77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L95"/>
  <c r="M91"/>
  <c r="M95" s="1"/>
  <c r="AZ78"/>
  <c r="AZ74"/>
  <c r="AZ70"/>
  <c r="AZ66"/>
  <c r="AZ62"/>
  <c r="AZ58"/>
  <c r="AZ54"/>
  <c r="AV78"/>
  <c r="AV74"/>
  <c r="AV70"/>
  <c r="AV66"/>
  <c r="AV62"/>
  <c r="AV58"/>
  <c r="AV54"/>
  <c r="AR78"/>
  <c r="AR74"/>
  <c r="AR70"/>
  <c r="AR66"/>
  <c r="AR62"/>
  <c r="AR58"/>
  <c r="AR54"/>
  <c r="AL78"/>
  <c r="AL74"/>
  <c r="AL70"/>
  <c r="AL66"/>
  <c r="AL62"/>
  <c r="AL58"/>
  <c r="AL54"/>
  <c r="AH78"/>
  <c r="AH74"/>
  <c r="AH70"/>
  <c r="AH66"/>
  <c r="AH62"/>
  <c r="AH58"/>
  <c r="AH54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L95" i="584"/>
  <c r="M91"/>
  <c r="M95" s="1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8"/>
  <c r="AZ74"/>
  <c r="AZ70"/>
  <c r="AZ66"/>
  <c r="AZ62"/>
  <c r="AZ58"/>
  <c r="AZ54"/>
  <c r="AX78"/>
  <c r="AX74"/>
  <c r="AX70"/>
  <c r="AX66"/>
  <c r="AX62"/>
  <c r="AX58"/>
  <c r="AX54"/>
  <c r="AV78"/>
  <c r="AV74"/>
  <c r="AV70"/>
  <c r="AV66"/>
  <c r="AV62"/>
  <c r="AV58"/>
  <c r="AV54"/>
  <c r="AT78"/>
  <c r="AT74"/>
  <c r="AT70"/>
  <c r="AT66"/>
  <c r="AT62"/>
  <c r="AT58"/>
  <c r="AT54"/>
  <c r="AR78"/>
  <c r="AR74"/>
  <c r="AR70"/>
  <c r="AR66"/>
  <c r="AR62"/>
  <c r="AR58"/>
  <c r="AR54"/>
  <c r="AN78"/>
  <c r="AN74"/>
  <c r="AN70"/>
  <c r="AN66"/>
  <c r="AN62"/>
  <c r="AN58"/>
  <c r="AN54"/>
  <c r="AL78"/>
  <c r="AL74"/>
  <c r="AL70"/>
  <c r="AL66"/>
  <c r="AL62"/>
  <c r="AL58"/>
  <c r="AL54"/>
  <c r="AJ78"/>
  <c r="AJ74"/>
  <c r="AJ70"/>
  <c r="AJ66"/>
  <c r="AJ62"/>
  <c r="AJ58"/>
  <c r="AJ54"/>
  <c r="AH78"/>
  <c r="AH74"/>
  <c r="AH70"/>
  <c r="AH66"/>
  <c r="AH62"/>
  <c r="AH58"/>
  <c r="AH54"/>
  <c r="AF78"/>
  <c r="AF74"/>
  <c r="AF70"/>
  <c r="AF66"/>
  <c r="AF62"/>
  <c r="AF58"/>
  <c r="AF54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7"/>
  <c r="BA73"/>
  <c r="BA69"/>
  <c r="BA65"/>
  <c r="BA61"/>
  <c r="BA57"/>
  <c r="BA53"/>
  <c r="AY77"/>
  <c r="AY73"/>
  <c r="AY69"/>
  <c r="AY65"/>
  <c r="AY61"/>
  <c r="AY57"/>
  <c r="AY53"/>
  <c r="AW77"/>
  <c r="AW73"/>
  <c r="AW69"/>
  <c r="AW65"/>
  <c r="AW61"/>
  <c r="AW57"/>
  <c r="AW53"/>
  <c r="AU78"/>
  <c r="AU74"/>
  <c r="AU70"/>
  <c r="AU66"/>
  <c r="AU62"/>
  <c r="AU58"/>
  <c r="AU54"/>
  <c r="AS77"/>
  <c r="AS73"/>
  <c r="AS69"/>
  <c r="AS65"/>
  <c r="AS61"/>
  <c r="AS57"/>
  <c r="AS53"/>
  <c r="AO78"/>
  <c r="AO74"/>
  <c r="AO70"/>
  <c r="AO66"/>
  <c r="AO62"/>
  <c r="AO58"/>
  <c r="AO54"/>
  <c r="AM77"/>
  <c r="AM73"/>
  <c r="AM69"/>
  <c r="AM65"/>
  <c r="AM61"/>
  <c r="AM57"/>
  <c r="AM53"/>
  <c r="AK78"/>
  <c r="AK74"/>
  <c r="AK70"/>
  <c r="AK66"/>
  <c r="AK62"/>
  <c r="AK58"/>
  <c r="AK54"/>
  <c r="AI77"/>
  <c r="AI73"/>
  <c r="AI69"/>
  <c r="AI65"/>
  <c r="AI61"/>
  <c r="AI57"/>
  <c r="AI53"/>
  <c r="AG78"/>
  <c r="AG74"/>
  <c r="AG70"/>
  <c r="AG66"/>
  <c r="AG62"/>
  <c r="AG58"/>
  <c r="AG54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Z77"/>
  <c r="AZ73"/>
  <c r="AZ69"/>
  <c r="AZ65"/>
  <c r="AZ61"/>
  <c r="AZ57"/>
  <c r="AZ53"/>
  <c r="AX77"/>
  <c r="AX73"/>
  <c r="AX69"/>
  <c r="AX65"/>
  <c r="AX61"/>
  <c r="AX57"/>
  <c r="AX53"/>
  <c r="AV77"/>
  <c r="AV73"/>
  <c r="AV69"/>
  <c r="AV65"/>
  <c r="AV61"/>
  <c r="AV57"/>
  <c r="AV53"/>
  <c r="AT77"/>
  <c r="AT73"/>
  <c r="AT69"/>
  <c r="AT65"/>
  <c r="AT61"/>
  <c r="AT57"/>
  <c r="AT53"/>
  <c r="AR77"/>
  <c r="AR73"/>
  <c r="AR69"/>
  <c r="AR65"/>
  <c r="AR61"/>
  <c r="AR57"/>
  <c r="AR53"/>
  <c r="AN77"/>
  <c r="AN73"/>
  <c r="AN69"/>
  <c r="AN65"/>
  <c r="AN61"/>
  <c r="AN57"/>
  <c r="AN53"/>
  <c r="AL77"/>
  <c r="AL73"/>
  <c r="AL69"/>
  <c r="AL65"/>
  <c r="AL61"/>
  <c r="AL57"/>
  <c r="AL53"/>
  <c r="AJ77"/>
  <c r="AJ73"/>
  <c r="AJ69"/>
  <c r="AJ65"/>
  <c r="AJ61"/>
  <c r="AJ57"/>
  <c r="AJ53"/>
  <c r="AH77"/>
  <c r="AH73"/>
  <c r="AH69"/>
  <c r="AH65"/>
  <c r="AH61"/>
  <c r="AH57"/>
  <c r="AH53"/>
  <c r="AF77"/>
  <c r="AF73"/>
  <c r="AF69"/>
  <c r="AF65"/>
  <c r="AF61"/>
  <c r="AF57"/>
  <c r="AF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BA78"/>
  <c r="BA74"/>
  <c r="BA70"/>
  <c r="BA66"/>
  <c r="BA62"/>
  <c r="BA58"/>
  <c r="BA54"/>
  <c r="AY78"/>
  <c r="AY74"/>
  <c r="AY70"/>
  <c r="AY66"/>
  <c r="AY62"/>
  <c r="AY58"/>
  <c r="AY54"/>
  <c r="AW78"/>
  <c r="AW74"/>
  <c r="AW70"/>
  <c r="AW66"/>
  <c r="AW62"/>
  <c r="AW58"/>
  <c r="AW54"/>
  <c r="AU77"/>
  <c r="AU73"/>
  <c r="AU69"/>
  <c r="AU65"/>
  <c r="AU61"/>
  <c r="AU57"/>
  <c r="AU53"/>
  <c r="AS78"/>
  <c r="AS74"/>
  <c r="AS70"/>
  <c r="AS66"/>
  <c r="AS62"/>
  <c r="AS58"/>
  <c r="AS54"/>
  <c r="AO77"/>
  <c r="AO73"/>
  <c r="AO69"/>
  <c r="AO65"/>
  <c r="AO61"/>
  <c r="AO57"/>
  <c r="AO53"/>
  <c r="AM78"/>
  <c r="AM74"/>
  <c r="AM70"/>
  <c r="AM66"/>
  <c r="AM62"/>
  <c r="AM58"/>
  <c r="AM54"/>
  <c r="AK77"/>
  <c r="AK73"/>
  <c r="AK69"/>
  <c r="AK65"/>
  <c r="AK61"/>
  <c r="AK57"/>
  <c r="AK53"/>
  <c r="AI78"/>
  <c r="AI74"/>
  <c r="AI70"/>
  <c r="AI66"/>
  <c r="AI62"/>
  <c r="AI58"/>
  <c r="AI54"/>
  <c r="AG77"/>
  <c r="AG73"/>
  <c r="AG69"/>
  <c r="AG65"/>
  <c r="AG61"/>
  <c r="AG57"/>
  <c r="AG53"/>
  <c r="BA78" i="581"/>
  <c r="BA74"/>
  <c r="BA70"/>
  <c r="BA66"/>
  <c r="BA62"/>
  <c r="BA58"/>
  <c r="BA54"/>
  <c r="AW78"/>
  <c r="AW74"/>
  <c r="AW70"/>
  <c r="AW66"/>
  <c r="AW62"/>
  <c r="AW58"/>
  <c r="AW54"/>
  <c r="AS78"/>
  <c r="AS74"/>
  <c r="AS70"/>
  <c r="AS66"/>
  <c r="AS62"/>
  <c r="AS58"/>
  <c r="AS54"/>
  <c r="AM78"/>
  <c r="AM74"/>
  <c r="AM70"/>
  <c r="AM66"/>
  <c r="AM62"/>
  <c r="AM58"/>
  <c r="AM54"/>
  <c r="AI78"/>
  <c r="AI74"/>
  <c r="AI70"/>
  <c r="AI66"/>
  <c r="AI62"/>
  <c r="AI58"/>
  <c r="AI54"/>
  <c r="BA77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L95"/>
  <c r="M91"/>
  <c r="M95" s="1"/>
  <c r="AX78"/>
  <c r="AX74"/>
  <c r="AX70"/>
  <c r="AX66"/>
  <c r="AX62"/>
  <c r="AX58"/>
  <c r="AX54"/>
  <c r="AT78"/>
  <c r="AT74"/>
  <c r="AT70"/>
  <c r="AT66"/>
  <c r="AT62"/>
  <c r="AT58"/>
  <c r="AT54"/>
  <c r="AN78"/>
  <c r="AN74"/>
  <c r="AN70"/>
  <c r="AN66"/>
  <c r="AN62"/>
  <c r="AN58"/>
  <c r="AN54"/>
  <c r="AJ78"/>
  <c r="AJ74"/>
  <c r="AJ70"/>
  <c r="AJ66"/>
  <c r="AJ62"/>
  <c r="AJ58"/>
  <c r="AJ54"/>
  <c r="AF78"/>
  <c r="AF74"/>
  <c r="AF70"/>
  <c r="AF66"/>
  <c r="AF62"/>
  <c r="AF58"/>
  <c r="AF54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8"/>
  <c r="AY74"/>
  <c r="AY70"/>
  <c r="AY66"/>
  <c r="AY62"/>
  <c r="AY58"/>
  <c r="AY54"/>
  <c r="AU78"/>
  <c r="AU74"/>
  <c r="AU70"/>
  <c r="AU66"/>
  <c r="AU62"/>
  <c r="AU58"/>
  <c r="AU54"/>
  <c r="AO78"/>
  <c r="AO74"/>
  <c r="AO70"/>
  <c r="AO66"/>
  <c r="AO62"/>
  <c r="AO58"/>
  <c r="AO54"/>
  <c r="AK78"/>
  <c r="AK74"/>
  <c r="AK70"/>
  <c r="AK66"/>
  <c r="AK62"/>
  <c r="AK58"/>
  <c r="AK54"/>
  <c r="AG78"/>
  <c r="AG74"/>
  <c r="AG70"/>
  <c r="AG66"/>
  <c r="AG62"/>
  <c r="AG58"/>
  <c r="AG54"/>
  <c r="AY77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Z78"/>
  <c r="AZ74"/>
  <c r="AZ70"/>
  <c r="AZ66"/>
  <c r="AZ62"/>
  <c r="AZ58"/>
  <c r="AZ54"/>
  <c r="AV78"/>
  <c r="AV74"/>
  <c r="AV70"/>
  <c r="AV66"/>
  <c r="AV62"/>
  <c r="AV58"/>
  <c r="AV54"/>
  <c r="AR78"/>
  <c r="AR74"/>
  <c r="AR70"/>
  <c r="AR66"/>
  <c r="AR62"/>
  <c r="AR58"/>
  <c r="AR54"/>
  <c r="AL78"/>
  <c r="AL74"/>
  <c r="AL70"/>
  <c r="AL66"/>
  <c r="AL62"/>
  <c r="AL58"/>
  <c r="AL54"/>
  <c r="AH78"/>
  <c r="AH74"/>
  <c r="AH70"/>
  <c r="AH66"/>
  <c r="AH62"/>
  <c r="AH58"/>
  <c r="AH54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X78" i="578"/>
  <c r="AX74"/>
  <c r="AX70"/>
  <c r="AX66"/>
  <c r="AX62"/>
  <c r="AX58"/>
  <c r="AX54"/>
  <c r="AT78"/>
  <c r="AT74"/>
  <c r="AT70"/>
  <c r="AT66"/>
  <c r="AT62"/>
  <c r="AT58"/>
  <c r="AT54"/>
  <c r="AN78"/>
  <c r="AN74"/>
  <c r="AN70"/>
  <c r="AN66"/>
  <c r="AN62"/>
  <c r="AN58"/>
  <c r="AN54"/>
  <c r="AJ78"/>
  <c r="AJ74"/>
  <c r="AJ70"/>
  <c r="AJ66"/>
  <c r="AJ62"/>
  <c r="AJ58"/>
  <c r="AJ54"/>
  <c r="AF78"/>
  <c r="AF74"/>
  <c r="AF70"/>
  <c r="AF66"/>
  <c r="AF62"/>
  <c r="AF58"/>
  <c r="AF54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BA78"/>
  <c r="BA74"/>
  <c r="BA70"/>
  <c r="BA66"/>
  <c r="BA62"/>
  <c r="BA58"/>
  <c r="BA54"/>
  <c r="AW78"/>
  <c r="AW74"/>
  <c r="AW70"/>
  <c r="AW66"/>
  <c r="AW62"/>
  <c r="AW58"/>
  <c r="AW54"/>
  <c r="AS78"/>
  <c r="AS74"/>
  <c r="AS70"/>
  <c r="AS66"/>
  <c r="AS62"/>
  <c r="AS58"/>
  <c r="AS54"/>
  <c r="AM78"/>
  <c r="AM74"/>
  <c r="AM70"/>
  <c r="AM66"/>
  <c r="AM62"/>
  <c r="AM58"/>
  <c r="AM54"/>
  <c r="AI78"/>
  <c r="AI74"/>
  <c r="AI70"/>
  <c r="AI66"/>
  <c r="AI62"/>
  <c r="AI58"/>
  <c r="AI54"/>
  <c r="BA77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L95"/>
  <c r="M91"/>
  <c r="M95" s="1"/>
  <c r="AZ78"/>
  <c r="AZ74"/>
  <c r="AZ70"/>
  <c r="AZ66"/>
  <c r="AZ62"/>
  <c r="AZ58"/>
  <c r="AZ54"/>
  <c r="AV78"/>
  <c r="AV74"/>
  <c r="AV70"/>
  <c r="AV66"/>
  <c r="AV62"/>
  <c r="AV58"/>
  <c r="AV54"/>
  <c r="AR78"/>
  <c r="AR74"/>
  <c r="AR70"/>
  <c r="AR66"/>
  <c r="AR62"/>
  <c r="AR58"/>
  <c r="AR54"/>
  <c r="AL78"/>
  <c r="AL74"/>
  <c r="AL70"/>
  <c r="AL66"/>
  <c r="AL62"/>
  <c r="AL58"/>
  <c r="AL54"/>
  <c r="AH78"/>
  <c r="AH74"/>
  <c r="AH70"/>
  <c r="AH66"/>
  <c r="AH62"/>
  <c r="AH58"/>
  <c r="AH54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Y78"/>
  <c r="AY74"/>
  <c r="AY70"/>
  <c r="AY66"/>
  <c r="AY62"/>
  <c r="AY58"/>
  <c r="AY54"/>
  <c r="AU78"/>
  <c r="AU74"/>
  <c r="AU70"/>
  <c r="AU66"/>
  <c r="AU62"/>
  <c r="AU58"/>
  <c r="AU54"/>
  <c r="AO78"/>
  <c r="AO74"/>
  <c r="AO70"/>
  <c r="AO66"/>
  <c r="AO62"/>
  <c r="AO58"/>
  <c r="AO54"/>
  <c r="AK78"/>
  <c r="AK74"/>
  <c r="AK70"/>
  <c r="AK66"/>
  <c r="AK62"/>
  <c r="AK58"/>
  <c r="AK54"/>
  <c r="AG78"/>
  <c r="AG74"/>
  <c r="AG70"/>
  <c r="AG66"/>
  <c r="AG62"/>
  <c r="AG58"/>
  <c r="AG54"/>
  <c r="AY77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7" i="569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BA77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Y77" i="566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BA77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86" i="817" l="1"/>
  <c r="H77"/>
  <c r="K77" s="1"/>
  <c r="M91" i="695"/>
  <c r="M93" i="659"/>
  <c r="M93" i="662"/>
  <c r="K86" i="817" l="1"/>
  <c r="BJ86" s="1"/>
  <c r="H78"/>
  <c r="K78" s="1"/>
  <c r="B36" i="563"/>
  <c r="B37" s="1"/>
  <c r="B41" s="1"/>
  <c r="C21"/>
  <c r="B21"/>
  <c r="B16"/>
  <c r="B17" s="1"/>
  <c r="B20" s="1"/>
  <c r="N88" i="562"/>
  <c r="N89" s="1"/>
  <c r="BF26" i="817" s="1"/>
  <c r="K88" i="562"/>
  <c r="K89" s="1"/>
  <c r="J88"/>
  <c r="J89" s="1"/>
  <c r="I88"/>
  <c r="I89" s="1"/>
  <c r="H89"/>
  <c r="G88"/>
  <c r="G89" s="1"/>
  <c r="F88"/>
  <c r="F89" s="1"/>
  <c r="C88"/>
  <c r="B88"/>
  <c r="A88"/>
  <c r="B35"/>
  <c r="B34"/>
  <c r="B21"/>
  <c r="L88" s="1"/>
  <c r="BA9"/>
  <c r="BA30" s="1"/>
  <c r="AZ9"/>
  <c r="AZ40" s="1"/>
  <c r="AY9"/>
  <c r="AY30" s="1"/>
  <c r="AX9"/>
  <c r="AX40" s="1"/>
  <c r="AW9"/>
  <c r="AW30" s="1"/>
  <c r="AV9"/>
  <c r="AV40" s="1"/>
  <c r="AU9"/>
  <c r="AU30" s="1"/>
  <c r="AT9"/>
  <c r="AT40" s="1"/>
  <c r="AS9"/>
  <c r="AS30" s="1"/>
  <c r="AR9"/>
  <c r="AR40" s="1"/>
  <c r="AO9"/>
  <c r="AO30" s="1"/>
  <c r="AN9"/>
  <c r="AN41" s="1"/>
  <c r="AM9"/>
  <c r="AM30" s="1"/>
  <c r="AL9"/>
  <c r="AL41" s="1"/>
  <c r="AK9"/>
  <c r="AK30" s="1"/>
  <c r="AJ9"/>
  <c r="AJ41" s="1"/>
  <c r="AI9"/>
  <c r="AI30" s="1"/>
  <c r="AH9"/>
  <c r="AH41" s="1"/>
  <c r="AG9"/>
  <c r="AG30" s="1"/>
  <c r="AF9"/>
  <c r="AF41" s="1"/>
  <c r="P88"/>
  <c r="P89" s="1"/>
  <c r="BH26" i="817" s="1"/>
  <c r="BH27" s="1"/>
  <c r="BH28" s="1"/>
  <c r="O88" i="562"/>
  <c r="O89" s="1"/>
  <c r="BG26" i="817" s="1"/>
  <c r="BG27" s="1"/>
  <c r="BG28" s="1"/>
  <c r="B373" i="561"/>
  <c r="B372"/>
  <c r="B371"/>
  <c r="AB10"/>
  <c r="Z10"/>
  <c r="AA10" s="1"/>
  <c r="Y10"/>
  <c r="X10"/>
  <c r="W10"/>
  <c r="V10"/>
  <c r="U10"/>
  <c r="T10"/>
  <c r="AD10"/>
  <c r="AC10"/>
  <c r="AB9"/>
  <c r="Z9"/>
  <c r="AA9" s="1"/>
  <c r="Y9"/>
  <c r="X9"/>
  <c r="W9"/>
  <c r="V9"/>
  <c r="U9"/>
  <c r="T9"/>
  <c r="AD9"/>
  <c r="AC9"/>
  <c r="X10" i="560"/>
  <c r="W10"/>
  <c r="T10"/>
  <c r="Q10"/>
  <c r="X9"/>
  <c r="W9"/>
  <c r="T9"/>
  <c r="Q9"/>
  <c r="X8"/>
  <c r="W8"/>
  <c r="U8"/>
  <c r="T8"/>
  <c r="S8"/>
  <c r="R8"/>
  <c r="Q8"/>
  <c r="Y8"/>
  <c r="V8"/>
  <c r="X7"/>
  <c r="W7"/>
  <c r="T7"/>
  <c r="Q7"/>
  <c r="BF27" i="817" l="1"/>
  <c r="BF28" s="1"/>
  <c r="X25" i="25"/>
  <c r="X26" s="1"/>
  <c r="X27" s="1"/>
  <c r="H79" i="817"/>
  <c r="K79" s="1"/>
  <c r="BJ79" s="1"/>
  <c r="AI21" i="562"/>
  <c r="AS21"/>
  <c r="BA21"/>
  <c r="AM21"/>
  <c r="AW21"/>
  <c r="T11" i="560"/>
  <c r="T13" s="1"/>
  <c r="W11"/>
  <c r="AI22" i="562"/>
  <c r="AM22"/>
  <c r="AS22"/>
  <c r="AW22"/>
  <c r="BA22"/>
  <c r="AI25"/>
  <c r="AM25"/>
  <c r="AS25"/>
  <c r="AW25"/>
  <c r="BA25"/>
  <c r="AI26"/>
  <c r="AM26"/>
  <c r="AS26"/>
  <c r="AW26"/>
  <c r="BA26"/>
  <c r="AI27"/>
  <c r="AM27"/>
  <c r="AS27"/>
  <c r="AW27"/>
  <c r="BA27"/>
  <c r="AI28"/>
  <c r="AM28"/>
  <c r="AS28"/>
  <c r="AW28"/>
  <c r="BA28"/>
  <c r="AI29"/>
  <c r="AM29"/>
  <c r="AS29"/>
  <c r="AW29"/>
  <c r="BA29"/>
  <c r="W13" i="560"/>
  <c r="AZ26" i="817" s="1"/>
  <c r="Q11" i="560"/>
  <c r="Q13" s="1"/>
  <c r="X11"/>
  <c r="X13" s="1"/>
  <c r="BA26" i="817" s="1"/>
  <c r="BA27" s="1"/>
  <c r="BA28" s="1"/>
  <c r="AB11" i="561"/>
  <c r="AG21" i="562"/>
  <c r="AK21"/>
  <c r="AO21"/>
  <c r="AU21"/>
  <c r="AY21"/>
  <c r="AG22"/>
  <c r="AK22"/>
  <c r="AO22"/>
  <c r="AU22"/>
  <c r="AY22"/>
  <c r="AG25"/>
  <c r="AK25"/>
  <c r="AO25"/>
  <c r="AU25"/>
  <c r="AY25"/>
  <c r="AG26"/>
  <c r="AK26"/>
  <c r="AO26"/>
  <c r="AU26"/>
  <c r="AY26"/>
  <c r="AG27"/>
  <c r="AK27"/>
  <c r="AO27"/>
  <c r="AU27"/>
  <c r="AY27"/>
  <c r="AG28"/>
  <c r="AK28"/>
  <c r="AO28"/>
  <c r="AU28"/>
  <c r="AY28"/>
  <c r="AG29"/>
  <c r="AK29"/>
  <c r="AO29"/>
  <c r="AU29"/>
  <c r="AY29"/>
  <c r="U11" i="561"/>
  <c r="W11"/>
  <c r="W13" s="1"/>
  <c r="AC11"/>
  <c r="AC13" s="1"/>
  <c r="BD26" i="817" s="1"/>
  <c r="BD27" s="1"/>
  <c r="BD28" s="1"/>
  <c r="T11" i="561"/>
  <c r="V11"/>
  <c r="X11"/>
  <c r="AA11"/>
  <c r="AA13" s="1"/>
  <c r="AD11"/>
  <c r="AD13" s="1"/>
  <c r="BE26" i="817" s="1"/>
  <c r="BE27" s="1"/>
  <c r="BE28" s="1"/>
  <c r="Y11" i="561"/>
  <c r="Y13" s="1"/>
  <c r="T13"/>
  <c r="V13"/>
  <c r="X13"/>
  <c r="AB13"/>
  <c r="BC26" i="817" s="1"/>
  <c r="Z11" i="561"/>
  <c r="Z13" s="1"/>
  <c r="U13"/>
  <c r="AG44" i="562"/>
  <c r="AG43"/>
  <c r="AG42"/>
  <c r="AI44"/>
  <c r="AI43"/>
  <c r="AI42"/>
  <c r="AK44"/>
  <c r="AK43"/>
  <c r="AK42"/>
  <c r="AM44"/>
  <c r="AM43"/>
  <c r="AM42"/>
  <c r="AO44"/>
  <c r="AO43"/>
  <c r="AO42"/>
  <c r="AS44"/>
  <c r="AS43"/>
  <c r="AS42"/>
  <c r="AU44"/>
  <c r="AU43"/>
  <c r="AU42"/>
  <c r="AW44"/>
  <c r="AW43"/>
  <c r="AW42"/>
  <c r="AY44"/>
  <c r="AY43"/>
  <c r="AY42"/>
  <c r="BA44"/>
  <c r="BA43"/>
  <c r="BA42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S41"/>
  <c r="AW41"/>
  <c r="BA41"/>
  <c r="AF44"/>
  <c r="AF43"/>
  <c r="AF42"/>
  <c r="AH44"/>
  <c r="AH43"/>
  <c r="AH42"/>
  <c r="AJ44"/>
  <c r="AJ43"/>
  <c r="AJ42"/>
  <c r="AL44"/>
  <c r="AL43"/>
  <c r="AL42"/>
  <c r="AN44"/>
  <c r="AN43"/>
  <c r="AN42"/>
  <c r="AR44"/>
  <c r="AR43"/>
  <c r="AR42"/>
  <c r="AR41"/>
  <c r="AT44"/>
  <c r="AT43"/>
  <c r="AT42"/>
  <c r="AT41"/>
  <c r="AV44"/>
  <c r="AV43"/>
  <c r="AV42"/>
  <c r="AV41"/>
  <c r="AX44"/>
  <c r="AX43"/>
  <c r="AX42"/>
  <c r="AX41"/>
  <c r="AZ44"/>
  <c r="AZ43"/>
  <c r="AZ42"/>
  <c r="AZ41"/>
  <c r="L89"/>
  <c r="M88"/>
  <c r="M89" s="1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31"/>
  <c r="AI31"/>
  <c r="AK31"/>
  <c r="AM31"/>
  <c r="AO31"/>
  <c r="AS31"/>
  <c r="AU31"/>
  <c r="AW31"/>
  <c r="AY31"/>
  <c r="BA31"/>
  <c r="AG32"/>
  <c r="AI32"/>
  <c r="AK32"/>
  <c r="AK58" s="1"/>
  <c r="AM32"/>
  <c r="AO32"/>
  <c r="AS32"/>
  <c r="AU32"/>
  <c r="AU58" s="1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U41"/>
  <c r="AY41"/>
  <c r="C20" i="563"/>
  <c r="C40"/>
  <c r="C41"/>
  <c r="B40"/>
  <c r="BC27" i="817" l="1"/>
  <c r="BC28" s="1"/>
  <c r="W25" i="25"/>
  <c r="W26" s="1"/>
  <c r="W27" s="1"/>
  <c r="H80" i="817"/>
  <c r="K80" s="1"/>
  <c r="BJ80" s="1"/>
  <c r="AW62" i="562"/>
  <c r="AM62"/>
  <c r="AW54"/>
  <c r="AM54"/>
  <c r="AS50"/>
  <c r="AU50"/>
  <c r="AK50"/>
  <c r="AW50"/>
  <c r="AM50"/>
  <c r="BA50"/>
  <c r="AI50"/>
  <c r="BA62"/>
  <c r="AS62"/>
  <c r="AI62"/>
  <c r="BA70"/>
  <c r="AW70"/>
  <c r="AS70"/>
  <c r="AM70"/>
  <c r="AI70"/>
  <c r="BA66"/>
  <c r="AS54"/>
  <c r="AI54"/>
  <c r="AY50"/>
  <c r="AO50"/>
  <c r="AG50"/>
  <c r="AY74"/>
  <c r="AU74"/>
  <c r="AO74"/>
  <c r="AK74"/>
  <c r="AG74"/>
  <c r="AY58"/>
  <c r="AO58"/>
  <c r="AG58"/>
  <c r="AY66"/>
  <c r="AU66"/>
  <c r="AO66"/>
  <c r="AK66"/>
  <c r="AG66"/>
  <c r="BA54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BA58"/>
  <c r="BA74"/>
  <c r="AY54"/>
  <c r="AY62"/>
  <c r="AY70"/>
  <c r="AW58"/>
  <c r="AW66"/>
  <c r="AW74"/>
  <c r="AU54"/>
  <c r="AU62"/>
  <c r="AU70"/>
  <c r="AS58"/>
  <c r="AS66"/>
  <c r="AS74"/>
  <c r="AO54"/>
  <c r="AO62"/>
  <c r="AO70"/>
  <c r="AM58"/>
  <c r="AM66"/>
  <c r="AM74"/>
  <c r="AK54"/>
  <c r="AK62"/>
  <c r="AK70"/>
  <c r="AI58"/>
  <c r="AI66"/>
  <c r="AI74"/>
  <c r="AG54"/>
  <c r="AG62"/>
  <c r="AG70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H81" i="817" l="1"/>
  <c r="C88" i="556"/>
  <c r="AB10" i="555"/>
  <c r="Z10"/>
  <c r="AA10" s="1"/>
  <c r="Y10"/>
  <c r="X10"/>
  <c r="W10"/>
  <c r="V10"/>
  <c r="U10"/>
  <c r="T10"/>
  <c r="AD10"/>
  <c r="AC10"/>
  <c r="AB9"/>
  <c r="AB11" s="1"/>
  <c r="AB12" s="1"/>
  <c r="AI72" i="817" s="1"/>
  <c r="Z9" i="555"/>
  <c r="AA9" s="1"/>
  <c r="Y9"/>
  <c r="Y11" s="1"/>
  <c r="Y12" s="1"/>
  <c r="X9"/>
  <c r="X11" s="1"/>
  <c r="X12" s="1"/>
  <c r="W9"/>
  <c r="W11" s="1"/>
  <c r="W12" s="1"/>
  <c r="V9"/>
  <c r="V11" s="1"/>
  <c r="V12" s="1"/>
  <c r="U9"/>
  <c r="U11" s="1"/>
  <c r="U12" s="1"/>
  <c r="T9"/>
  <c r="T11" s="1"/>
  <c r="T12" s="1"/>
  <c r="AD9"/>
  <c r="AD11" s="1"/>
  <c r="AD12" s="1"/>
  <c r="AK72" i="817" s="1"/>
  <c r="AK73" s="1"/>
  <c r="AK74" s="1"/>
  <c r="AK75" s="1"/>
  <c r="AC9" i="555"/>
  <c r="AC11" s="1"/>
  <c r="AC12" s="1"/>
  <c r="AJ72" i="817" s="1"/>
  <c r="AJ73" s="1"/>
  <c r="AJ74" s="1"/>
  <c r="AJ75" s="1"/>
  <c r="AB11" i="421"/>
  <c r="Z11"/>
  <c r="AA11" s="1"/>
  <c r="Y11"/>
  <c r="X11"/>
  <c r="W11"/>
  <c r="V11"/>
  <c r="U11"/>
  <c r="T11"/>
  <c r="AD11"/>
  <c r="AC11"/>
  <c r="C88" i="422"/>
  <c r="B88"/>
  <c r="A88"/>
  <c r="N88"/>
  <c r="N89" s="1"/>
  <c r="AL42" i="817" s="1"/>
  <c r="K88" i="422"/>
  <c r="K89" s="1"/>
  <c r="J88"/>
  <c r="J89" s="1"/>
  <c r="I88"/>
  <c r="I89" s="1"/>
  <c r="H89"/>
  <c r="G88"/>
  <c r="G89" s="1"/>
  <c r="F88"/>
  <c r="F89" s="1"/>
  <c r="N88" i="556"/>
  <c r="N89" s="1"/>
  <c r="AL72" i="817" s="1"/>
  <c r="K88" i="556"/>
  <c r="K89" s="1"/>
  <c r="J88"/>
  <c r="J89" s="1"/>
  <c r="I88"/>
  <c r="I89" s="1"/>
  <c r="H89"/>
  <c r="G88"/>
  <c r="G89" s="1"/>
  <c r="F88"/>
  <c r="F89" s="1"/>
  <c r="B88"/>
  <c r="B35"/>
  <c r="B34"/>
  <c r="B21"/>
  <c r="L88" s="1"/>
  <c r="BA9"/>
  <c r="BA40" s="1"/>
  <c r="AZ9"/>
  <c r="AY9"/>
  <c r="AY40" s="1"/>
  <c r="AX9"/>
  <c r="AW9"/>
  <c r="AW40" s="1"/>
  <c r="AV9"/>
  <c r="AU9"/>
  <c r="AU40" s="1"/>
  <c r="AT9"/>
  <c r="AS9"/>
  <c r="AS40" s="1"/>
  <c r="AR9"/>
  <c r="AO9"/>
  <c r="AO40" s="1"/>
  <c r="AN9"/>
  <c r="AM9"/>
  <c r="AM40" s="1"/>
  <c r="AL9"/>
  <c r="AK9"/>
  <c r="AK40" s="1"/>
  <c r="AJ9"/>
  <c r="AI9"/>
  <c r="AI40" s="1"/>
  <c r="AH9"/>
  <c r="AG9"/>
  <c r="AG41" s="1"/>
  <c r="AF9"/>
  <c r="P88"/>
  <c r="P89" s="1"/>
  <c r="AN72" i="817" s="1"/>
  <c r="AN73" s="1"/>
  <c r="AN74" s="1"/>
  <c r="AN75" s="1"/>
  <c r="O88" i="556"/>
  <c r="O89" s="1"/>
  <c r="AM72" i="817" s="1"/>
  <c r="AM73" s="1"/>
  <c r="AM74" s="1"/>
  <c r="AM75" s="1"/>
  <c r="B372" i="555"/>
  <c r="B371"/>
  <c r="B370"/>
  <c r="AP11"/>
  <c r="AO11"/>
  <c r="AN11"/>
  <c r="AM11"/>
  <c r="AL11"/>
  <c r="AK11"/>
  <c r="AJ11"/>
  <c r="AI11"/>
  <c r="AH11"/>
  <c r="AG11"/>
  <c r="AF11"/>
  <c r="X12" i="554"/>
  <c r="W12"/>
  <c r="U12"/>
  <c r="T12"/>
  <c r="S12"/>
  <c r="R12"/>
  <c r="Q12"/>
  <c r="Y12"/>
  <c r="V12"/>
  <c r="X11"/>
  <c r="W11"/>
  <c r="U11"/>
  <c r="T11"/>
  <c r="S11"/>
  <c r="R11"/>
  <c r="Q11"/>
  <c r="Y11"/>
  <c r="V11"/>
  <c r="X10"/>
  <c r="W10"/>
  <c r="U10"/>
  <c r="T10"/>
  <c r="S10"/>
  <c r="R10"/>
  <c r="Q10"/>
  <c r="Y10"/>
  <c r="V10"/>
  <c r="X9"/>
  <c r="W9"/>
  <c r="U9"/>
  <c r="T9"/>
  <c r="S9"/>
  <c r="R9"/>
  <c r="Q9"/>
  <c r="Y9"/>
  <c r="V9"/>
  <c r="X8"/>
  <c r="W8"/>
  <c r="U8"/>
  <c r="T8"/>
  <c r="S8"/>
  <c r="R8"/>
  <c r="Q8"/>
  <c r="Y8"/>
  <c r="V8"/>
  <c r="K81" i="817" l="1"/>
  <c r="BJ81" s="1"/>
  <c r="P41" i="25"/>
  <c r="P42" s="1"/>
  <c r="P43" s="1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P57" s="1"/>
  <c r="P58" s="1"/>
  <c r="P59" s="1"/>
  <c r="P60" s="1"/>
  <c r="AL43" i="817"/>
  <c r="AL44" s="1"/>
  <c r="AL45" s="1"/>
  <c r="AL46" s="1"/>
  <c r="AL47" s="1"/>
  <c r="AL48" s="1"/>
  <c r="AL49" s="1"/>
  <c r="AL50" s="1"/>
  <c r="AL51" s="1"/>
  <c r="AL52" s="1"/>
  <c r="AL53" s="1"/>
  <c r="AL54" s="1"/>
  <c r="AL55" s="1"/>
  <c r="AL56" s="1"/>
  <c r="AL57" s="1"/>
  <c r="AL58" s="1"/>
  <c r="AL59" s="1"/>
  <c r="AL60" s="1"/>
  <c r="AL61" s="1"/>
  <c r="O71" i="25"/>
  <c r="O72" s="1"/>
  <c r="O73" s="1"/>
  <c r="O74" s="1"/>
  <c r="AI73" i="817"/>
  <c r="AI74" s="1"/>
  <c r="AI75" s="1"/>
  <c r="P71" i="25"/>
  <c r="P72" s="1"/>
  <c r="P73" s="1"/>
  <c r="P74" s="1"/>
  <c r="AL73" i="817"/>
  <c r="AL74" s="1"/>
  <c r="AL75" s="1"/>
  <c r="V13" i="554"/>
  <c r="V14" s="1"/>
  <c r="Q13"/>
  <c r="Q14" s="1"/>
  <c r="S13"/>
  <c r="S14" s="1"/>
  <c r="U13"/>
  <c r="U14" s="1"/>
  <c r="X13"/>
  <c r="X14" s="1"/>
  <c r="AG72" i="817" s="1"/>
  <c r="AG73" s="1"/>
  <c r="AG74" s="1"/>
  <c r="AG75" s="1"/>
  <c r="AA11" i="555"/>
  <c r="AA12" s="1"/>
  <c r="Z11"/>
  <c r="Z12" s="1"/>
  <c r="Y13" i="554"/>
  <c r="Y14" s="1"/>
  <c r="AH72" i="817" s="1"/>
  <c r="AH73" s="1"/>
  <c r="AH74" s="1"/>
  <c r="AH75" s="1"/>
  <c r="R13" i="554"/>
  <c r="R14" s="1"/>
  <c r="T13"/>
  <c r="T14" s="1"/>
  <c r="W13"/>
  <c r="W14" s="1"/>
  <c r="AF72" i="817" s="1"/>
  <c r="AO72" s="1"/>
  <c r="AF44" i="556"/>
  <c r="AF43"/>
  <c r="AF42"/>
  <c r="AH44"/>
  <c r="AH43"/>
  <c r="AH42"/>
  <c r="AJ44"/>
  <c r="AJ43"/>
  <c r="AJ42"/>
  <c r="AJ41"/>
  <c r="AL44"/>
  <c r="AL43"/>
  <c r="AL42"/>
  <c r="AL41"/>
  <c r="AN44"/>
  <c r="AN43"/>
  <c r="AN42"/>
  <c r="AN41"/>
  <c r="AR44"/>
  <c r="AR43"/>
  <c r="AR42"/>
  <c r="AR41"/>
  <c r="AT44"/>
  <c r="AT43"/>
  <c r="AT42"/>
  <c r="AT41"/>
  <c r="AV44"/>
  <c r="AV43"/>
  <c r="AV42"/>
  <c r="AV41"/>
  <c r="AX44"/>
  <c r="AX43"/>
  <c r="AX42"/>
  <c r="AX41"/>
  <c r="AZ44"/>
  <c r="AZ43"/>
  <c r="AZ42"/>
  <c r="AZ41"/>
  <c r="L89"/>
  <c r="M88"/>
  <c r="M89" s="1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G44"/>
  <c r="AG43"/>
  <c r="AG42"/>
  <c r="AI44"/>
  <c r="AI43"/>
  <c r="AI42"/>
  <c r="AI41"/>
  <c r="AK44"/>
  <c r="AK43"/>
  <c r="AK42"/>
  <c r="AK41"/>
  <c r="AM44"/>
  <c r="AM43"/>
  <c r="AM42"/>
  <c r="AM41"/>
  <c r="AO44"/>
  <c r="AO43"/>
  <c r="AO42"/>
  <c r="AO41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N88" i="553"/>
  <c r="N89" s="1"/>
  <c r="AB60" i="817" s="1"/>
  <c r="K88" i="553"/>
  <c r="K89" s="1"/>
  <c r="J88"/>
  <c r="J89" s="1"/>
  <c r="I88"/>
  <c r="I89" s="1"/>
  <c r="H89"/>
  <c r="G88"/>
  <c r="G89" s="1"/>
  <c r="F88"/>
  <c r="F89" s="1"/>
  <c r="C88"/>
  <c r="B88"/>
  <c r="A88"/>
  <c r="B35"/>
  <c r="B34"/>
  <c r="B21"/>
  <c r="L88" s="1"/>
  <c r="BA9"/>
  <c r="BA40" s="1"/>
  <c r="AZ9"/>
  <c r="AY9"/>
  <c r="AY40" s="1"/>
  <c r="AX9"/>
  <c r="AW9"/>
  <c r="AW40" s="1"/>
  <c r="AV9"/>
  <c r="AU9"/>
  <c r="AU40" s="1"/>
  <c r="AT9"/>
  <c r="AS9"/>
  <c r="AS40" s="1"/>
  <c r="AR9"/>
  <c r="AO9"/>
  <c r="AO40" s="1"/>
  <c r="AN9"/>
  <c r="AM9"/>
  <c r="AM40" s="1"/>
  <c r="AL9"/>
  <c r="AK9"/>
  <c r="AK40" s="1"/>
  <c r="AJ9"/>
  <c r="AI9"/>
  <c r="AI41" s="1"/>
  <c r="AH9"/>
  <c r="AG9"/>
  <c r="AG41" s="1"/>
  <c r="AF9"/>
  <c r="P88"/>
  <c r="P89" s="1"/>
  <c r="AD60" i="817" s="1"/>
  <c r="AD61" s="1"/>
  <c r="O88" i="553"/>
  <c r="O89" s="1"/>
  <c r="AC60" i="817" s="1"/>
  <c r="AC61" s="1"/>
  <c r="B374" i="552"/>
  <c r="B373"/>
  <c r="B372"/>
  <c r="AB10"/>
  <c r="AN10" s="1"/>
  <c r="Z10"/>
  <c r="AL10" s="1"/>
  <c r="Y10"/>
  <c r="AK10" s="1"/>
  <c r="X10"/>
  <c r="AJ10" s="1"/>
  <c r="W10"/>
  <c r="AI10" s="1"/>
  <c r="V10"/>
  <c r="AH10" s="1"/>
  <c r="U10"/>
  <c r="AG10" s="1"/>
  <c r="T10"/>
  <c r="AF10" s="1"/>
  <c r="AD10"/>
  <c r="AP10" s="1"/>
  <c r="AC10"/>
  <c r="AO10" s="1"/>
  <c r="AB9"/>
  <c r="AN9" s="1"/>
  <c r="Z9"/>
  <c r="AL9" s="1"/>
  <c r="Y9"/>
  <c r="AK9" s="1"/>
  <c r="X9"/>
  <c r="AJ9" s="1"/>
  <c r="W9"/>
  <c r="AI9" s="1"/>
  <c r="V9"/>
  <c r="AH9" s="1"/>
  <c r="U9"/>
  <c r="AG9" s="1"/>
  <c r="T9"/>
  <c r="AF9" s="1"/>
  <c r="AD9"/>
  <c r="AP9" s="1"/>
  <c r="AC9"/>
  <c r="AO9" s="1"/>
  <c r="AB11"/>
  <c r="Y60" i="817" s="1"/>
  <c r="X11" i="551"/>
  <c r="W11"/>
  <c r="T11"/>
  <c r="Q11"/>
  <c r="U11"/>
  <c r="S11"/>
  <c r="R11"/>
  <c r="X10"/>
  <c r="W10"/>
  <c r="U10"/>
  <c r="T10"/>
  <c r="S10"/>
  <c r="R10"/>
  <c r="Q10"/>
  <c r="Y10"/>
  <c r="V10"/>
  <c r="X9"/>
  <c r="W9"/>
  <c r="U9"/>
  <c r="T9"/>
  <c r="S9"/>
  <c r="R9"/>
  <c r="Q9"/>
  <c r="Y9"/>
  <c r="V9"/>
  <c r="X8"/>
  <c r="W8"/>
  <c r="T8"/>
  <c r="Q8"/>
  <c r="J8"/>
  <c r="V8" s="1"/>
  <c r="S8"/>
  <c r="R8"/>
  <c r="C88" i="413"/>
  <c r="X8" i="550"/>
  <c r="X9" s="1"/>
  <c r="W57" i="817" s="1"/>
  <c r="W58" s="1"/>
  <c r="W8" i="550"/>
  <c r="W9" s="1"/>
  <c r="V57" i="817" s="1"/>
  <c r="U8" i="550"/>
  <c r="U9" s="1"/>
  <c r="T8"/>
  <c r="T9" s="1"/>
  <c r="S8"/>
  <c r="R8"/>
  <c r="R9" s="1"/>
  <c r="Q8"/>
  <c r="Q9" s="1"/>
  <c r="Y8"/>
  <c r="Y9" s="1"/>
  <c r="X57" i="817" s="1"/>
  <c r="X58" s="1"/>
  <c r="V8" i="550"/>
  <c r="N88" i="548"/>
  <c r="N89" s="1"/>
  <c r="AB57" i="817" s="1"/>
  <c r="K88" i="548"/>
  <c r="K89" s="1"/>
  <c r="J88"/>
  <c r="J89" s="1"/>
  <c r="I88"/>
  <c r="I89" s="1"/>
  <c r="H89"/>
  <c r="G88"/>
  <c r="G89" s="1"/>
  <c r="F88"/>
  <c r="F89" s="1"/>
  <c r="C88"/>
  <c r="B88"/>
  <c r="B35"/>
  <c r="B34"/>
  <c r="B21"/>
  <c r="L88" s="1"/>
  <c r="BA9"/>
  <c r="AZ9"/>
  <c r="AY9"/>
  <c r="AY14" s="1"/>
  <c r="AX9"/>
  <c r="AW9"/>
  <c r="AV9"/>
  <c r="AU9"/>
  <c r="AU14" s="1"/>
  <c r="AT9"/>
  <c r="AS9"/>
  <c r="AR9"/>
  <c r="AO9"/>
  <c r="AO14" s="1"/>
  <c r="AN9"/>
  <c r="AM9"/>
  <c r="AL9"/>
  <c r="AK9"/>
  <c r="AK15" s="1"/>
  <c r="AJ9"/>
  <c r="AI9"/>
  <c r="AH9"/>
  <c r="AG9"/>
  <c r="AG15" s="1"/>
  <c r="AF9"/>
  <c r="P88"/>
  <c r="P89" s="1"/>
  <c r="AD57" i="817" s="1"/>
  <c r="AD58" s="1"/>
  <c r="O88" i="548"/>
  <c r="O89" s="1"/>
  <c r="AC57" i="817" s="1"/>
  <c r="AC58" s="1"/>
  <c r="B374" i="547"/>
  <c r="B373"/>
  <c r="B372"/>
  <c r="AB9"/>
  <c r="AN9" s="1"/>
  <c r="Z9"/>
  <c r="AL9" s="1"/>
  <c r="Y9"/>
  <c r="AK9" s="1"/>
  <c r="X9"/>
  <c r="AJ9" s="1"/>
  <c r="W9"/>
  <c r="AI9" s="1"/>
  <c r="V9"/>
  <c r="AH9" s="1"/>
  <c r="U9"/>
  <c r="AG9" s="1"/>
  <c r="T9"/>
  <c r="AF9" s="1"/>
  <c r="AD9"/>
  <c r="AP9" s="1"/>
  <c r="AC9"/>
  <c r="AO9" s="1"/>
  <c r="N88" i="546"/>
  <c r="N89" s="1"/>
  <c r="AB56" i="817" s="1"/>
  <c r="K88" i="546"/>
  <c r="K89" s="1"/>
  <c r="J88"/>
  <c r="J89" s="1"/>
  <c r="I88"/>
  <c r="I89" s="1"/>
  <c r="H89"/>
  <c r="G88"/>
  <c r="G89" s="1"/>
  <c r="F88"/>
  <c r="F89" s="1"/>
  <c r="C88"/>
  <c r="B88"/>
  <c r="B35"/>
  <c r="B34"/>
  <c r="B21"/>
  <c r="L88" s="1"/>
  <c r="BA9"/>
  <c r="AZ9"/>
  <c r="AZ44" s="1"/>
  <c r="AY9"/>
  <c r="AX9"/>
  <c r="AX20" s="1"/>
  <c r="AW9"/>
  <c r="AV9"/>
  <c r="AV44" s="1"/>
  <c r="AU9"/>
  <c r="AT9"/>
  <c r="AT20" s="1"/>
  <c r="AS9"/>
  <c r="AR9"/>
  <c r="AR44" s="1"/>
  <c r="AO9"/>
  <c r="AN9"/>
  <c r="AN20" s="1"/>
  <c r="AM9"/>
  <c r="AL9"/>
  <c r="AL44" s="1"/>
  <c r="AK9"/>
  <c r="AJ9"/>
  <c r="AJ20" s="1"/>
  <c r="AI9"/>
  <c r="AH9"/>
  <c r="AH44" s="1"/>
  <c r="AG9"/>
  <c r="AF9"/>
  <c r="AF20" s="1"/>
  <c r="P88"/>
  <c r="P89" s="1"/>
  <c r="AD56" i="817" s="1"/>
  <c r="O88" i="546"/>
  <c r="O89" s="1"/>
  <c r="AC56" i="817" s="1"/>
  <c r="B375" i="545"/>
  <c r="B374"/>
  <c r="B373"/>
  <c r="AB10"/>
  <c r="AN10" s="1"/>
  <c r="Z10"/>
  <c r="AL10" s="1"/>
  <c r="Y10"/>
  <c r="AK10" s="1"/>
  <c r="X10"/>
  <c r="AJ10" s="1"/>
  <c r="W10"/>
  <c r="AI10" s="1"/>
  <c r="V10"/>
  <c r="AH10" s="1"/>
  <c r="U10"/>
  <c r="AG10" s="1"/>
  <c r="T10"/>
  <c r="AF10" s="1"/>
  <c r="AD10"/>
  <c r="AP10" s="1"/>
  <c r="AC10"/>
  <c r="AO10" s="1"/>
  <c r="AB9"/>
  <c r="Z9"/>
  <c r="AL9" s="1"/>
  <c r="Y9"/>
  <c r="Y11" s="1"/>
  <c r="X9"/>
  <c r="W9"/>
  <c r="W11" s="1"/>
  <c r="V9"/>
  <c r="V11" s="1"/>
  <c r="U9"/>
  <c r="U11" s="1"/>
  <c r="T9"/>
  <c r="T11" s="1"/>
  <c r="AD9"/>
  <c r="AC9"/>
  <c r="X10" i="544"/>
  <c r="W10"/>
  <c r="U10"/>
  <c r="T10"/>
  <c r="S10"/>
  <c r="R10"/>
  <c r="Q10"/>
  <c r="Y10"/>
  <c r="V10"/>
  <c r="X9"/>
  <c r="W9"/>
  <c r="T9"/>
  <c r="Q9"/>
  <c r="U9"/>
  <c r="S9"/>
  <c r="R9"/>
  <c r="X8"/>
  <c r="W8"/>
  <c r="U8"/>
  <c r="T8"/>
  <c r="T11" s="1"/>
  <c r="S8"/>
  <c r="R8"/>
  <c r="Q8"/>
  <c r="Y8"/>
  <c r="V8"/>
  <c r="V10" i="408"/>
  <c r="Q10"/>
  <c r="R10"/>
  <c r="S10"/>
  <c r="T10"/>
  <c r="U10"/>
  <c r="W10"/>
  <c r="X10"/>
  <c r="Y10"/>
  <c r="C88" i="404"/>
  <c r="C88" i="410"/>
  <c r="N88" i="543"/>
  <c r="N89" s="1"/>
  <c r="R62" i="817" s="1"/>
  <c r="K88" i="543"/>
  <c r="J88"/>
  <c r="J89" s="1"/>
  <c r="I88"/>
  <c r="I89" s="1"/>
  <c r="H89"/>
  <c r="G88"/>
  <c r="G89" s="1"/>
  <c r="F88"/>
  <c r="F89" s="1"/>
  <c r="B88"/>
  <c r="A88"/>
  <c r="K89"/>
  <c r="B35"/>
  <c r="B34"/>
  <c r="B21"/>
  <c r="BA9"/>
  <c r="AZ9"/>
  <c r="AZ40" s="1"/>
  <c r="AY9"/>
  <c r="AX9"/>
  <c r="AX40" s="1"/>
  <c r="AW9"/>
  <c r="AV9"/>
  <c r="AV40" s="1"/>
  <c r="AU9"/>
  <c r="AT9"/>
  <c r="AT40" s="1"/>
  <c r="AS9"/>
  <c r="AR9"/>
  <c r="AR40" s="1"/>
  <c r="AO9"/>
  <c r="AN9"/>
  <c r="AN40" s="1"/>
  <c r="AM9"/>
  <c r="AL9"/>
  <c r="AL41" s="1"/>
  <c r="AK9"/>
  <c r="AJ9"/>
  <c r="AJ41" s="1"/>
  <c r="AI9"/>
  <c r="AH9"/>
  <c r="AH41" s="1"/>
  <c r="AG9"/>
  <c r="AF9"/>
  <c r="AF41" s="1"/>
  <c r="P88"/>
  <c r="P89" s="1"/>
  <c r="O88"/>
  <c r="O89" s="1"/>
  <c r="B348" i="542"/>
  <c r="B347"/>
  <c r="B346"/>
  <c r="AB10"/>
  <c r="AN10" s="1"/>
  <c r="Z10"/>
  <c r="AL10" s="1"/>
  <c r="Y10"/>
  <c r="AK10" s="1"/>
  <c r="X10"/>
  <c r="AJ10" s="1"/>
  <c r="W10"/>
  <c r="AI10" s="1"/>
  <c r="V10"/>
  <c r="AH10" s="1"/>
  <c r="U10"/>
  <c r="AG10" s="1"/>
  <c r="T10"/>
  <c r="AF10" s="1"/>
  <c r="AD10"/>
  <c r="AP10" s="1"/>
  <c r="AC10"/>
  <c r="AO10" s="1"/>
  <c r="AB9"/>
  <c r="AN9" s="1"/>
  <c r="Z9"/>
  <c r="AL9" s="1"/>
  <c r="Y9"/>
  <c r="AK9" s="1"/>
  <c r="X9"/>
  <c r="AJ9" s="1"/>
  <c r="W9"/>
  <c r="AI9" s="1"/>
  <c r="V9"/>
  <c r="AH9" s="1"/>
  <c r="U9"/>
  <c r="AG9" s="1"/>
  <c r="T9"/>
  <c r="AF9" s="1"/>
  <c r="AD9"/>
  <c r="AP9" s="1"/>
  <c r="AC9"/>
  <c r="AO9" s="1"/>
  <c r="X12" i="541"/>
  <c r="W12"/>
  <c r="T12"/>
  <c r="Q12"/>
  <c r="U12"/>
  <c r="S12"/>
  <c r="R12"/>
  <c r="X11"/>
  <c r="W11"/>
  <c r="U11"/>
  <c r="T11"/>
  <c r="S11"/>
  <c r="R11"/>
  <c r="Q11"/>
  <c r="Y11"/>
  <c r="V11"/>
  <c r="X10"/>
  <c r="W10"/>
  <c r="U10"/>
  <c r="T10"/>
  <c r="S10"/>
  <c r="R10"/>
  <c r="Q10"/>
  <c r="Y10"/>
  <c r="V10"/>
  <c r="X9"/>
  <c r="W9"/>
  <c r="U9"/>
  <c r="T9"/>
  <c r="S9"/>
  <c r="R9"/>
  <c r="Q9"/>
  <c r="Y9"/>
  <c r="V9"/>
  <c r="X8"/>
  <c r="W8"/>
  <c r="T8"/>
  <c r="Q8"/>
  <c r="U8"/>
  <c r="S8"/>
  <c r="R8"/>
  <c r="N88" i="540"/>
  <c r="N89" s="1"/>
  <c r="R63" i="817" s="1"/>
  <c r="K88" i="540"/>
  <c r="J88"/>
  <c r="J89" s="1"/>
  <c r="I88"/>
  <c r="I89" s="1"/>
  <c r="H89"/>
  <c r="G88"/>
  <c r="G89" s="1"/>
  <c r="F88"/>
  <c r="F89" s="1"/>
  <c r="B88"/>
  <c r="A88"/>
  <c r="K89"/>
  <c r="B35"/>
  <c r="B34"/>
  <c r="B21"/>
  <c r="BA9"/>
  <c r="BA40" s="1"/>
  <c r="AZ9"/>
  <c r="AY9"/>
  <c r="AY40" s="1"/>
  <c r="AX9"/>
  <c r="AW9"/>
  <c r="AW40" s="1"/>
  <c r="AV9"/>
  <c r="AU9"/>
  <c r="AU40" s="1"/>
  <c r="AT9"/>
  <c r="AS9"/>
  <c r="AS40" s="1"/>
  <c r="AR9"/>
  <c r="AO9"/>
  <c r="AO40" s="1"/>
  <c r="AN9"/>
  <c r="AM9"/>
  <c r="AM41" s="1"/>
  <c r="AL9"/>
  <c r="AK9"/>
  <c r="AK41" s="1"/>
  <c r="AJ9"/>
  <c r="AI9"/>
  <c r="AI41" s="1"/>
  <c r="AH9"/>
  <c r="AG9"/>
  <c r="AG41" s="1"/>
  <c r="AF9"/>
  <c r="P88"/>
  <c r="P89" s="1"/>
  <c r="O88"/>
  <c r="O89" s="1"/>
  <c r="B348" i="539"/>
  <c r="B347"/>
  <c r="B346"/>
  <c r="AB10"/>
  <c r="AN10" s="1"/>
  <c r="Z10"/>
  <c r="AL10" s="1"/>
  <c r="Y10"/>
  <c r="AK10" s="1"/>
  <c r="X10"/>
  <c r="AJ10" s="1"/>
  <c r="W10"/>
  <c r="AI10" s="1"/>
  <c r="V10"/>
  <c r="AH10" s="1"/>
  <c r="U10"/>
  <c r="AG10" s="1"/>
  <c r="T10"/>
  <c r="AF10" s="1"/>
  <c r="AD10"/>
  <c r="AP10" s="1"/>
  <c r="AC10"/>
  <c r="AO10" s="1"/>
  <c r="AB9"/>
  <c r="AN9" s="1"/>
  <c r="Z9"/>
  <c r="AL9" s="1"/>
  <c r="Y9"/>
  <c r="AK9" s="1"/>
  <c r="X9"/>
  <c r="AJ9" s="1"/>
  <c r="W9"/>
  <c r="AI9" s="1"/>
  <c r="V9"/>
  <c r="AH9" s="1"/>
  <c r="U9"/>
  <c r="AG9" s="1"/>
  <c r="T9"/>
  <c r="AF9" s="1"/>
  <c r="AD9"/>
  <c r="AP9" s="1"/>
  <c r="AC9"/>
  <c r="AO9" s="1"/>
  <c r="X8" i="538"/>
  <c r="X9" s="1"/>
  <c r="W8"/>
  <c r="W9" s="1"/>
  <c r="L63" i="817" s="1"/>
  <c r="U8" i="538"/>
  <c r="U9" s="1"/>
  <c r="T8"/>
  <c r="T9" s="1"/>
  <c r="S8"/>
  <c r="S9" s="1"/>
  <c r="R8"/>
  <c r="R9" s="1"/>
  <c r="Q8"/>
  <c r="Q9" s="1"/>
  <c r="Y8"/>
  <c r="Y9" s="1"/>
  <c r="V8"/>
  <c r="V9" s="1"/>
  <c r="N88" i="537"/>
  <c r="N89" s="1"/>
  <c r="R58" i="817" s="1"/>
  <c r="K88" i="537"/>
  <c r="K89" s="1"/>
  <c r="J88"/>
  <c r="J89" s="1"/>
  <c r="I88"/>
  <c r="I89" s="1"/>
  <c r="H89"/>
  <c r="G88"/>
  <c r="G89" s="1"/>
  <c r="F88"/>
  <c r="F89" s="1"/>
  <c r="C88"/>
  <c r="B88"/>
  <c r="A88"/>
  <c r="B35"/>
  <c r="B34"/>
  <c r="B21"/>
  <c r="L88" s="1"/>
  <c r="BA9"/>
  <c r="AZ9"/>
  <c r="AZ40" s="1"/>
  <c r="AY9"/>
  <c r="AX9"/>
  <c r="AX40" s="1"/>
  <c r="AW9"/>
  <c r="AV9"/>
  <c r="AV40" s="1"/>
  <c r="AU9"/>
  <c r="AT9"/>
  <c r="AT40" s="1"/>
  <c r="AS9"/>
  <c r="AR9"/>
  <c r="AR40" s="1"/>
  <c r="AO9"/>
  <c r="AN9"/>
  <c r="AN40" s="1"/>
  <c r="AM9"/>
  <c r="AL9"/>
  <c r="AL40" s="1"/>
  <c r="AK9"/>
  <c r="AJ9"/>
  <c r="AJ40" s="1"/>
  <c r="AI9"/>
  <c r="AH9"/>
  <c r="AH41" s="1"/>
  <c r="AG9"/>
  <c r="AF9"/>
  <c r="AF41" s="1"/>
  <c r="P88"/>
  <c r="P89" s="1"/>
  <c r="O88"/>
  <c r="O89" s="1"/>
  <c r="B348" i="536"/>
  <c r="B347"/>
  <c r="B346"/>
  <c r="AB9"/>
  <c r="AB10" s="1"/>
  <c r="O58" i="817" s="1"/>
  <c r="Z9" i="536"/>
  <c r="AA9" s="1"/>
  <c r="AA10" s="1"/>
  <c r="Y9"/>
  <c r="Y10" s="1"/>
  <c r="X9"/>
  <c r="X10" s="1"/>
  <c r="W9"/>
  <c r="W10" s="1"/>
  <c r="V9"/>
  <c r="V10" s="1"/>
  <c r="U9"/>
  <c r="U10" s="1"/>
  <c r="T9"/>
  <c r="T10" s="1"/>
  <c r="AD9"/>
  <c r="AD10" s="1"/>
  <c r="AC9"/>
  <c r="AC10" s="1"/>
  <c r="X8" i="535"/>
  <c r="X9" s="1"/>
  <c r="W8"/>
  <c r="U8"/>
  <c r="U9" s="1"/>
  <c r="T8"/>
  <c r="T9" s="1"/>
  <c r="S8"/>
  <c r="R8"/>
  <c r="Q8"/>
  <c r="Q9" s="1"/>
  <c r="Y8"/>
  <c r="Y9" s="1"/>
  <c r="V8"/>
  <c r="W9"/>
  <c r="L58" i="817" s="1"/>
  <c r="U58" s="1"/>
  <c r="H57" i="25" l="1"/>
  <c r="F62"/>
  <c r="F63" s="1"/>
  <c r="F64" s="1"/>
  <c r="F65" s="1"/>
  <c r="F66" s="1"/>
  <c r="H61"/>
  <c r="L56"/>
  <c r="L57" s="1"/>
  <c r="AB58" i="817"/>
  <c r="N71" i="25"/>
  <c r="G57"/>
  <c r="H62"/>
  <c r="H63" s="1"/>
  <c r="H64" s="1"/>
  <c r="H65" s="1"/>
  <c r="H66" s="1"/>
  <c r="R64" i="817"/>
  <c r="R65" s="1"/>
  <c r="R66" s="1"/>
  <c r="R67" s="1"/>
  <c r="K55" i="25"/>
  <c r="L55"/>
  <c r="L59"/>
  <c r="L60" s="1"/>
  <c r="AB61" i="817"/>
  <c r="N72" i="25"/>
  <c r="Q71"/>
  <c r="Q11" i="544"/>
  <c r="T10" i="547"/>
  <c r="S11" i="544"/>
  <c r="X10" i="547"/>
  <c r="V10"/>
  <c r="Z10"/>
  <c r="AK11" i="552"/>
  <c r="W11"/>
  <c r="AG11"/>
  <c r="AI11"/>
  <c r="AA9"/>
  <c r="AM9" s="1"/>
  <c r="AD10" i="547"/>
  <c r="AA57" i="817" s="1"/>
  <c r="AA58" s="1"/>
  <c r="U10" i="547"/>
  <c r="W10"/>
  <c r="Y10"/>
  <c r="S12" i="551"/>
  <c r="Q12"/>
  <c r="W12"/>
  <c r="V60" i="817" s="1"/>
  <c r="AB10" i="547"/>
  <c r="Y57" i="817" s="1"/>
  <c r="R13" i="541"/>
  <c r="U13"/>
  <c r="T13"/>
  <c r="X13"/>
  <c r="W11" i="544"/>
  <c r="V56" i="817" s="1"/>
  <c r="U11" i="552"/>
  <c r="Y11"/>
  <c r="AX75" i="556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T12" i="551"/>
  <c r="X12"/>
  <c r="W60" i="817" s="1"/>
  <c r="W61" s="1"/>
  <c r="T11" i="552"/>
  <c r="V11"/>
  <c r="X11"/>
  <c r="Z11"/>
  <c r="AD11"/>
  <c r="AA60" i="817" s="1"/>
  <c r="AA61" s="1"/>
  <c r="AZ75" i="556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U8" i="551"/>
  <c r="U12" s="1"/>
  <c r="J11"/>
  <c r="V11" s="1"/>
  <c r="V12" s="1"/>
  <c r="AO11" i="552"/>
  <c r="AC11"/>
  <c r="Z60" i="817" s="1"/>
  <c r="Z61" s="1"/>
  <c r="R12" i="551"/>
  <c r="M8"/>
  <c r="Y8" s="1"/>
  <c r="M11"/>
  <c r="Y11" s="1"/>
  <c r="AF11" i="552"/>
  <c r="AH11"/>
  <c r="AJ11"/>
  <c r="AL11"/>
  <c r="AN11"/>
  <c r="AP11"/>
  <c r="AF44" i="553"/>
  <c r="AF43"/>
  <c r="AF42"/>
  <c r="AH44"/>
  <c r="AH43"/>
  <c r="AH42"/>
  <c r="AJ44"/>
  <c r="AJ43"/>
  <c r="AJ42"/>
  <c r="AJ41"/>
  <c r="AL44"/>
  <c r="AL43"/>
  <c r="AL42"/>
  <c r="AL41"/>
  <c r="AN44"/>
  <c r="AN43"/>
  <c r="AN42"/>
  <c r="AN41"/>
  <c r="AR44"/>
  <c r="AR43"/>
  <c r="AR42"/>
  <c r="AR41"/>
  <c r="AT44"/>
  <c r="AT43"/>
  <c r="AT42"/>
  <c r="AT41"/>
  <c r="AV44"/>
  <c r="AV43"/>
  <c r="AV42"/>
  <c r="AV41"/>
  <c r="AX44"/>
  <c r="AX43"/>
  <c r="AX42"/>
  <c r="AX41"/>
  <c r="AZ44"/>
  <c r="AZ43"/>
  <c r="AZ42"/>
  <c r="AZ41"/>
  <c r="L89"/>
  <c r="M88"/>
  <c r="M89" s="1"/>
  <c r="AA10" i="552"/>
  <c r="AM10" s="1"/>
  <c r="AF14" i="553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G44"/>
  <c r="AG43"/>
  <c r="AG42"/>
  <c r="AI44"/>
  <c r="AI43"/>
  <c r="AI42"/>
  <c r="AK44"/>
  <c r="AK43"/>
  <c r="AK42"/>
  <c r="AK41"/>
  <c r="AM44"/>
  <c r="AM43"/>
  <c r="AM42"/>
  <c r="AM41"/>
  <c r="AO44"/>
  <c r="AO43"/>
  <c r="AO42"/>
  <c r="AO41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V9" i="550"/>
  <c r="S9"/>
  <c r="AH9" i="545"/>
  <c r="AH11" s="1"/>
  <c r="AG10" i="547"/>
  <c r="AK10"/>
  <c r="X11" i="544"/>
  <c r="W56" i="817" s="1"/>
  <c r="AA9" i="545"/>
  <c r="AI10" i="547"/>
  <c r="AO10"/>
  <c r="AC10"/>
  <c r="Z57" i="817" s="1"/>
  <c r="Z58" s="1"/>
  <c r="AF44" i="548"/>
  <c r="AF43"/>
  <c r="AF42"/>
  <c r="AF41"/>
  <c r="AF40"/>
  <c r="AF39"/>
  <c r="AF38"/>
  <c r="AF37"/>
  <c r="AF36"/>
  <c r="AF33"/>
  <c r="AF32"/>
  <c r="AF31"/>
  <c r="AF30"/>
  <c r="AF29"/>
  <c r="AF28"/>
  <c r="AF27"/>
  <c r="AF26"/>
  <c r="AF25"/>
  <c r="AF22"/>
  <c r="AF21"/>
  <c r="AF20"/>
  <c r="AF19"/>
  <c r="AF18"/>
  <c r="AF17"/>
  <c r="AF16"/>
  <c r="AF15"/>
  <c r="AH42"/>
  <c r="AH41"/>
  <c r="AH40"/>
  <c r="AH39"/>
  <c r="AH38"/>
  <c r="AH37"/>
  <c r="AH36"/>
  <c r="AH33"/>
  <c r="AH32"/>
  <c r="AH31"/>
  <c r="AH30"/>
  <c r="AH29"/>
  <c r="AH28"/>
  <c r="AH27"/>
  <c r="AH26"/>
  <c r="AH25"/>
  <c r="AH22"/>
  <c r="AH21"/>
  <c r="AH44"/>
  <c r="AH43"/>
  <c r="AH20"/>
  <c r="AH19"/>
  <c r="AH18"/>
  <c r="AH17"/>
  <c r="AH16"/>
  <c r="AH15"/>
  <c r="AJ44"/>
  <c r="AJ43"/>
  <c r="AJ42"/>
  <c r="AJ41"/>
  <c r="AJ40"/>
  <c r="AJ39"/>
  <c r="AJ38"/>
  <c r="AJ37"/>
  <c r="AJ36"/>
  <c r="AJ33"/>
  <c r="AJ32"/>
  <c r="AJ31"/>
  <c r="AJ30"/>
  <c r="AJ29"/>
  <c r="AJ28"/>
  <c r="AJ27"/>
  <c r="AJ26"/>
  <c r="AJ25"/>
  <c r="AJ22"/>
  <c r="AJ21"/>
  <c r="AJ20"/>
  <c r="AJ19"/>
  <c r="AJ18"/>
  <c r="AJ17"/>
  <c r="AJ16"/>
  <c r="AJ15"/>
  <c r="AL42"/>
  <c r="AL41"/>
  <c r="AL40"/>
  <c r="AL39"/>
  <c r="AL38"/>
  <c r="AL37"/>
  <c r="AL36"/>
  <c r="AL33"/>
  <c r="AL32"/>
  <c r="AL31"/>
  <c r="AL30"/>
  <c r="AL29"/>
  <c r="AL28"/>
  <c r="AL27"/>
  <c r="AL26"/>
  <c r="AL25"/>
  <c r="AL22"/>
  <c r="AL21"/>
  <c r="AL44"/>
  <c r="AL43"/>
  <c r="AL20"/>
  <c r="AL19"/>
  <c r="AL18"/>
  <c r="AL17"/>
  <c r="AL16"/>
  <c r="AL15"/>
  <c r="AN44"/>
  <c r="AN43"/>
  <c r="AN42"/>
  <c r="AN41"/>
  <c r="AN40"/>
  <c r="AN39"/>
  <c r="AN38"/>
  <c r="AN37"/>
  <c r="AN36"/>
  <c r="AN33"/>
  <c r="AN32"/>
  <c r="AN31"/>
  <c r="AN30"/>
  <c r="AN29"/>
  <c r="AN28"/>
  <c r="AN27"/>
  <c r="AN26"/>
  <c r="AN25"/>
  <c r="AN22"/>
  <c r="AN21"/>
  <c r="AN20"/>
  <c r="AN19"/>
  <c r="AN18"/>
  <c r="AN17"/>
  <c r="AN16"/>
  <c r="AN15"/>
  <c r="AN14"/>
  <c r="AR42"/>
  <c r="AR41"/>
  <c r="AR40"/>
  <c r="AR39"/>
  <c r="AR38"/>
  <c r="AR37"/>
  <c r="AR36"/>
  <c r="AR33"/>
  <c r="AR32"/>
  <c r="AR31"/>
  <c r="AR30"/>
  <c r="AR29"/>
  <c r="AR28"/>
  <c r="AR27"/>
  <c r="AR26"/>
  <c r="AR25"/>
  <c r="AR22"/>
  <c r="AR21"/>
  <c r="AR44"/>
  <c r="AR43"/>
  <c r="AR20"/>
  <c r="AR19"/>
  <c r="AR18"/>
  <c r="AR17"/>
  <c r="AR16"/>
  <c r="AR15"/>
  <c r="AR14"/>
  <c r="AT44"/>
  <c r="AT43"/>
  <c r="AT42"/>
  <c r="AT41"/>
  <c r="AT40"/>
  <c r="AT39"/>
  <c r="AT38"/>
  <c r="AT37"/>
  <c r="AT36"/>
  <c r="AT33"/>
  <c r="AT32"/>
  <c r="AT31"/>
  <c r="AT30"/>
  <c r="AT29"/>
  <c r="AT28"/>
  <c r="AT27"/>
  <c r="AT26"/>
  <c r="AT25"/>
  <c r="AT22"/>
  <c r="AT21"/>
  <c r="AT20"/>
  <c r="AT19"/>
  <c r="AT18"/>
  <c r="AT17"/>
  <c r="AT16"/>
  <c r="AT15"/>
  <c r="AT14"/>
  <c r="AV42"/>
  <c r="AV41"/>
  <c r="AV40"/>
  <c r="AV39"/>
  <c r="AV38"/>
  <c r="AV37"/>
  <c r="AV36"/>
  <c r="AV33"/>
  <c r="AV32"/>
  <c r="AV31"/>
  <c r="AV30"/>
  <c r="AV29"/>
  <c r="AV28"/>
  <c r="AV27"/>
  <c r="AV26"/>
  <c r="AV25"/>
  <c r="AV22"/>
  <c r="AV21"/>
  <c r="AV44"/>
  <c r="AV43"/>
  <c r="AV20"/>
  <c r="AV19"/>
  <c r="AV18"/>
  <c r="AV17"/>
  <c r="AV16"/>
  <c r="AV15"/>
  <c r="AV14"/>
  <c r="AX44"/>
  <c r="AX43"/>
  <c r="AX42"/>
  <c r="AX41"/>
  <c r="AX40"/>
  <c r="AX39"/>
  <c r="AX38"/>
  <c r="AX37"/>
  <c r="AX36"/>
  <c r="AX33"/>
  <c r="AX32"/>
  <c r="AX31"/>
  <c r="AX30"/>
  <c r="AX29"/>
  <c r="AX28"/>
  <c r="AX27"/>
  <c r="AX26"/>
  <c r="AX25"/>
  <c r="AX22"/>
  <c r="AX21"/>
  <c r="AX20"/>
  <c r="AX19"/>
  <c r="AX18"/>
  <c r="AX17"/>
  <c r="AX16"/>
  <c r="AX15"/>
  <c r="AX14"/>
  <c r="AZ41"/>
  <c r="AZ40"/>
  <c r="AZ39"/>
  <c r="AZ38"/>
  <c r="AZ37"/>
  <c r="AZ36"/>
  <c r="AZ33"/>
  <c r="AZ32"/>
  <c r="AZ31"/>
  <c r="AZ30"/>
  <c r="AZ29"/>
  <c r="AZ28"/>
  <c r="AZ27"/>
  <c r="AZ26"/>
  <c r="AZ25"/>
  <c r="AZ22"/>
  <c r="AZ21"/>
  <c r="AZ44"/>
  <c r="AZ43"/>
  <c r="AZ42"/>
  <c r="AZ20"/>
  <c r="AZ19"/>
  <c r="AZ18"/>
  <c r="AZ17"/>
  <c r="AZ16"/>
  <c r="AZ15"/>
  <c r="AZ14"/>
  <c r="X11" i="545"/>
  <c r="Z11"/>
  <c r="AB11"/>
  <c r="Y56" i="817" s="1"/>
  <c r="AF9" i="545"/>
  <c r="AF11" s="1"/>
  <c r="AJ9"/>
  <c r="AJ11" s="1"/>
  <c r="AN9"/>
  <c r="AN11" s="1"/>
  <c r="AA10"/>
  <c r="AM10" s="1"/>
  <c r="AF10" i="547"/>
  <c r="AH10"/>
  <c r="AJ10"/>
  <c r="AL10"/>
  <c r="AN10"/>
  <c r="AP10"/>
  <c r="AA9"/>
  <c r="AM9" s="1"/>
  <c r="AF14" i="548"/>
  <c r="AH14"/>
  <c r="AJ14"/>
  <c r="AL14"/>
  <c r="AG44"/>
  <c r="AG43"/>
  <c r="AG20"/>
  <c r="AG19"/>
  <c r="AG18"/>
  <c r="AG17"/>
  <c r="AG16"/>
  <c r="AG42"/>
  <c r="AG41"/>
  <c r="AG40"/>
  <c r="AG39"/>
  <c r="AG38"/>
  <c r="AG37"/>
  <c r="AG36"/>
  <c r="AG33"/>
  <c r="AG32"/>
  <c r="AG31"/>
  <c r="AG30"/>
  <c r="AG29"/>
  <c r="AG28"/>
  <c r="AG27"/>
  <c r="AG26"/>
  <c r="AG25"/>
  <c r="AG22"/>
  <c r="AG21"/>
  <c r="AI44"/>
  <c r="AI43"/>
  <c r="AI20"/>
  <c r="AI19"/>
  <c r="AI18"/>
  <c r="AI17"/>
  <c r="AI16"/>
  <c r="AI42"/>
  <c r="AI41"/>
  <c r="AI40"/>
  <c r="AI39"/>
  <c r="AI38"/>
  <c r="AI37"/>
  <c r="AI36"/>
  <c r="AI33"/>
  <c r="AI32"/>
  <c r="AI31"/>
  <c r="AI30"/>
  <c r="AI29"/>
  <c r="AI28"/>
  <c r="AI27"/>
  <c r="AI26"/>
  <c r="AI25"/>
  <c r="AI22"/>
  <c r="AI21"/>
  <c r="AK44"/>
  <c r="AK43"/>
  <c r="AK20"/>
  <c r="AK19"/>
  <c r="AK18"/>
  <c r="AK17"/>
  <c r="AK16"/>
  <c r="AK42"/>
  <c r="AK41"/>
  <c r="AK40"/>
  <c r="AK39"/>
  <c r="AK38"/>
  <c r="AK37"/>
  <c r="AK36"/>
  <c r="AK33"/>
  <c r="AK32"/>
  <c r="AK31"/>
  <c r="AK30"/>
  <c r="AK29"/>
  <c r="AK28"/>
  <c r="AK27"/>
  <c r="AK26"/>
  <c r="AK25"/>
  <c r="AK22"/>
  <c r="AK21"/>
  <c r="AM44"/>
  <c r="AM43"/>
  <c r="AM20"/>
  <c r="AM19"/>
  <c r="AM18"/>
  <c r="AM17"/>
  <c r="AM16"/>
  <c r="AM15"/>
  <c r="AM42"/>
  <c r="AM41"/>
  <c r="AM40"/>
  <c r="AM39"/>
  <c r="AM38"/>
  <c r="AM37"/>
  <c r="AM36"/>
  <c r="AM33"/>
  <c r="AM32"/>
  <c r="AM31"/>
  <c r="AM30"/>
  <c r="AM29"/>
  <c r="AM28"/>
  <c r="AM27"/>
  <c r="AM26"/>
  <c r="AM25"/>
  <c r="AM22"/>
  <c r="AM21"/>
  <c r="AO44"/>
  <c r="AO43"/>
  <c r="AO20"/>
  <c r="AO19"/>
  <c r="AO18"/>
  <c r="AO17"/>
  <c r="AO16"/>
  <c r="AO15"/>
  <c r="AO42"/>
  <c r="AO41"/>
  <c r="AO40"/>
  <c r="AO39"/>
  <c r="AO38"/>
  <c r="AO37"/>
  <c r="AO36"/>
  <c r="AO33"/>
  <c r="AO32"/>
  <c r="AO31"/>
  <c r="AO30"/>
  <c r="AO29"/>
  <c r="AO28"/>
  <c r="AO27"/>
  <c r="AO26"/>
  <c r="AO25"/>
  <c r="AO22"/>
  <c r="AO21"/>
  <c r="AS44"/>
  <c r="AS43"/>
  <c r="AS20"/>
  <c r="AS19"/>
  <c r="AS18"/>
  <c r="AS17"/>
  <c r="AS16"/>
  <c r="AS15"/>
  <c r="AS42"/>
  <c r="AS41"/>
  <c r="AS40"/>
  <c r="AS39"/>
  <c r="AS38"/>
  <c r="AS37"/>
  <c r="AS36"/>
  <c r="AS33"/>
  <c r="AS32"/>
  <c r="AS31"/>
  <c r="AS30"/>
  <c r="AS29"/>
  <c r="AS28"/>
  <c r="AS27"/>
  <c r="AS26"/>
  <c r="AS25"/>
  <c r="AS22"/>
  <c r="AS21"/>
  <c r="AU44"/>
  <c r="AU43"/>
  <c r="AU20"/>
  <c r="AU19"/>
  <c r="AU18"/>
  <c r="AU17"/>
  <c r="AU16"/>
  <c r="AU15"/>
  <c r="AU42"/>
  <c r="AU41"/>
  <c r="AU40"/>
  <c r="AU39"/>
  <c r="AU38"/>
  <c r="AU37"/>
  <c r="AU36"/>
  <c r="AU33"/>
  <c r="AU32"/>
  <c r="AU31"/>
  <c r="AU30"/>
  <c r="AU29"/>
  <c r="AU28"/>
  <c r="AU27"/>
  <c r="AU26"/>
  <c r="AU25"/>
  <c r="AU22"/>
  <c r="AU21"/>
  <c r="AW44"/>
  <c r="AW43"/>
  <c r="AW20"/>
  <c r="AW19"/>
  <c r="AW18"/>
  <c r="AW17"/>
  <c r="AW16"/>
  <c r="AW15"/>
  <c r="AW42"/>
  <c r="AW41"/>
  <c r="AW40"/>
  <c r="AW39"/>
  <c r="AW38"/>
  <c r="AW37"/>
  <c r="AW36"/>
  <c r="AW33"/>
  <c r="AW32"/>
  <c r="AW31"/>
  <c r="AW30"/>
  <c r="AW29"/>
  <c r="AW28"/>
  <c r="AW27"/>
  <c r="AW26"/>
  <c r="AW25"/>
  <c r="AW22"/>
  <c r="AW21"/>
  <c r="AY44"/>
  <c r="AY43"/>
  <c r="AY42"/>
  <c r="AY20"/>
  <c r="AY19"/>
  <c r="AY18"/>
  <c r="AY17"/>
  <c r="AY16"/>
  <c r="AY15"/>
  <c r="AY41"/>
  <c r="AY40"/>
  <c r="AY39"/>
  <c r="AY38"/>
  <c r="AY37"/>
  <c r="AY36"/>
  <c r="AY33"/>
  <c r="AY32"/>
  <c r="AY31"/>
  <c r="AY30"/>
  <c r="AY29"/>
  <c r="AY28"/>
  <c r="AY27"/>
  <c r="AY26"/>
  <c r="AY25"/>
  <c r="AY22"/>
  <c r="AY21"/>
  <c r="BA44"/>
  <c r="BA43"/>
  <c r="BA42"/>
  <c r="BA20"/>
  <c r="BA19"/>
  <c r="BA18"/>
  <c r="BA17"/>
  <c r="BA16"/>
  <c r="BA15"/>
  <c r="BA41"/>
  <c r="BA40"/>
  <c r="BA39"/>
  <c r="BA38"/>
  <c r="BA37"/>
  <c r="BA36"/>
  <c r="BA33"/>
  <c r="BA32"/>
  <c r="BA31"/>
  <c r="BA30"/>
  <c r="BA29"/>
  <c r="BA28"/>
  <c r="BA27"/>
  <c r="BA26"/>
  <c r="BA25"/>
  <c r="BA22"/>
  <c r="BA21"/>
  <c r="AC11" i="545"/>
  <c r="Z56" i="817" s="1"/>
  <c r="AL11" i="545"/>
  <c r="AG14" i="548"/>
  <c r="AI14"/>
  <c r="AK14"/>
  <c r="AM14"/>
  <c r="AS14"/>
  <c r="AW14"/>
  <c r="BA14"/>
  <c r="AI15"/>
  <c r="L89"/>
  <c r="M88"/>
  <c r="M89" s="1"/>
  <c r="J9" i="544"/>
  <c r="V9" s="1"/>
  <c r="U11"/>
  <c r="R11"/>
  <c r="AP9" i="545"/>
  <c r="AP11" s="1"/>
  <c r="AD11"/>
  <c r="AA56" i="817" s="1"/>
  <c r="M9" i="544"/>
  <c r="Y9" s="1"/>
  <c r="Y11" s="1"/>
  <c r="X56" i="817" s="1"/>
  <c r="V11" i="544"/>
  <c r="AG9" i="545"/>
  <c r="AG11" s="1"/>
  <c r="AI9"/>
  <c r="AI11" s="1"/>
  <c r="AK9"/>
  <c r="AK11" s="1"/>
  <c r="AO9"/>
  <c r="AO11" s="1"/>
  <c r="AG44" i="546"/>
  <c r="AG43"/>
  <c r="AG42"/>
  <c r="AI44"/>
  <c r="AI43"/>
  <c r="AI42"/>
  <c r="AK44"/>
  <c r="AK43"/>
  <c r="AK42"/>
  <c r="AK41"/>
  <c r="AM44"/>
  <c r="AM43"/>
  <c r="AM42"/>
  <c r="AM41"/>
  <c r="AO44"/>
  <c r="AO43"/>
  <c r="AO42"/>
  <c r="AO41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N41"/>
  <c r="AT41"/>
  <c r="AX41"/>
  <c r="AF42"/>
  <c r="AJ42"/>
  <c r="AN42"/>
  <c r="AT42"/>
  <c r="AX42"/>
  <c r="AF43"/>
  <c r="AJ43"/>
  <c r="AN43"/>
  <c r="AT43"/>
  <c r="AX43"/>
  <c r="AF44"/>
  <c r="AJ44"/>
  <c r="AN44"/>
  <c r="AT44"/>
  <c r="AX44"/>
  <c r="L89"/>
  <c r="M88"/>
  <c r="M89" s="1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H20"/>
  <c r="AL20"/>
  <c r="AR20"/>
  <c r="AV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L41"/>
  <c r="AR41"/>
  <c r="AV41"/>
  <c r="AZ41"/>
  <c r="AH42"/>
  <c r="AL42"/>
  <c r="AR42"/>
  <c r="AV42"/>
  <c r="AZ42"/>
  <c r="AH43"/>
  <c r="AL43"/>
  <c r="AR43"/>
  <c r="AV43"/>
  <c r="AZ43"/>
  <c r="AC12" i="542"/>
  <c r="T12"/>
  <c r="W12"/>
  <c r="Y12"/>
  <c r="U12"/>
  <c r="V12"/>
  <c r="X12"/>
  <c r="Z12"/>
  <c r="AB12"/>
  <c r="O62" i="817" s="1"/>
  <c r="AD12" i="542"/>
  <c r="S13" i="541"/>
  <c r="Q13"/>
  <c r="W13"/>
  <c r="L62" i="817" s="1"/>
  <c r="U62" s="1"/>
  <c r="M8" i="541"/>
  <c r="Y8" s="1"/>
  <c r="M12"/>
  <c r="Y12" s="1"/>
  <c r="U12" i="539"/>
  <c r="W12"/>
  <c r="Y12"/>
  <c r="AC12"/>
  <c r="J8" i="541"/>
  <c r="V8" s="1"/>
  <c r="J12"/>
  <c r="V12" s="1"/>
  <c r="T12" i="539"/>
  <c r="V12"/>
  <c r="X12"/>
  <c r="Z12"/>
  <c r="AB12"/>
  <c r="O63" i="817" s="1"/>
  <c r="U63" s="1"/>
  <c r="AD12" i="539"/>
  <c r="AG44" i="543"/>
  <c r="AG43"/>
  <c r="AG42"/>
  <c r="AI44"/>
  <c r="AI43"/>
  <c r="AI42"/>
  <c r="AK44"/>
  <c r="AK43"/>
  <c r="AK42"/>
  <c r="AM44"/>
  <c r="AM43"/>
  <c r="AM42"/>
  <c r="AO44"/>
  <c r="AO43"/>
  <c r="AO42"/>
  <c r="AO41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AA9" i="542"/>
  <c r="AA10"/>
  <c r="AM10" s="1"/>
  <c r="AG14" i="543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F44"/>
  <c r="AF43"/>
  <c r="AF42"/>
  <c r="AH44"/>
  <c r="AH43"/>
  <c r="AH42"/>
  <c r="AJ44"/>
  <c r="AJ43"/>
  <c r="AJ42"/>
  <c r="AL44"/>
  <c r="AL43"/>
  <c r="AL42"/>
  <c r="AN44"/>
  <c r="AN43"/>
  <c r="AN42"/>
  <c r="AN41"/>
  <c r="AR44"/>
  <c r="AR43"/>
  <c r="AR42"/>
  <c r="AR41"/>
  <c r="AT44"/>
  <c r="AT43"/>
  <c r="AT42"/>
  <c r="AT41"/>
  <c r="AV44"/>
  <c r="AV43"/>
  <c r="AV42"/>
  <c r="AV41"/>
  <c r="AX44"/>
  <c r="AX43"/>
  <c r="AX42"/>
  <c r="AX41"/>
  <c r="AZ44"/>
  <c r="AZ43"/>
  <c r="AZ42"/>
  <c r="AZ41"/>
  <c r="L88"/>
  <c r="M88" s="1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F44" i="540"/>
  <c r="AF43"/>
  <c r="AF42"/>
  <c r="AH44"/>
  <c r="AH43"/>
  <c r="AH42"/>
  <c r="AJ44"/>
  <c r="AJ43"/>
  <c r="AJ42"/>
  <c r="AL44"/>
  <c r="AL43"/>
  <c r="AL42"/>
  <c r="AN44"/>
  <c r="AN43"/>
  <c r="AN42"/>
  <c r="AR44"/>
  <c r="AR43"/>
  <c r="AR42"/>
  <c r="AR41"/>
  <c r="AT44"/>
  <c r="AT43"/>
  <c r="AT42"/>
  <c r="AT41"/>
  <c r="AV44"/>
  <c r="AV43"/>
  <c r="AV42"/>
  <c r="AV41"/>
  <c r="AX44"/>
  <c r="AX43"/>
  <c r="AX42"/>
  <c r="AX41"/>
  <c r="AZ44"/>
  <c r="AZ43"/>
  <c r="AZ42"/>
  <c r="AZ41"/>
  <c r="L88"/>
  <c r="M88" s="1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G44"/>
  <c r="AG43"/>
  <c r="AG42"/>
  <c r="AI44"/>
  <c r="AI43"/>
  <c r="AI42"/>
  <c r="AK44"/>
  <c r="AK43"/>
  <c r="AK42"/>
  <c r="AM44"/>
  <c r="AM43"/>
  <c r="AM42"/>
  <c r="AO44"/>
  <c r="AO43"/>
  <c r="AO42"/>
  <c r="AO41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AA9" i="539"/>
  <c r="AA10"/>
  <c r="AM10" s="1"/>
  <c r="AG14" i="540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Z10" i="536"/>
  <c r="R9" i="535"/>
  <c r="AG44" i="537"/>
  <c r="AG43"/>
  <c r="AG42"/>
  <c r="AI44"/>
  <c r="AI43"/>
  <c r="AI42"/>
  <c r="AI41"/>
  <c r="AK44"/>
  <c r="AK43"/>
  <c r="AK42"/>
  <c r="AK41"/>
  <c r="AM44"/>
  <c r="AM43"/>
  <c r="AM42"/>
  <c r="AM41"/>
  <c r="AO44"/>
  <c r="AO43"/>
  <c r="AO42"/>
  <c r="AO41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V9" i="535"/>
  <c r="S9"/>
  <c r="AG14" i="537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F44"/>
  <c r="AF43"/>
  <c r="AF42"/>
  <c r="AH44"/>
  <c r="AH43"/>
  <c r="AH42"/>
  <c r="AJ44"/>
  <c r="AJ43"/>
  <c r="AJ42"/>
  <c r="AJ41"/>
  <c r="AL44"/>
  <c r="AL43"/>
  <c r="AL42"/>
  <c r="AL41"/>
  <c r="AN44"/>
  <c r="AN43"/>
  <c r="AN42"/>
  <c r="AN41"/>
  <c r="AR44"/>
  <c r="AR43"/>
  <c r="AR42"/>
  <c r="AR41"/>
  <c r="AT44"/>
  <c r="AT43"/>
  <c r="AT42"/>
  <c r="AT41"/>
  <c r="AV44"/>
  <c r="AV43"/>
  <c r="AV42"/>
  <c r="AV41"/>
  <c r="AX44"/>
  <c r="AX43"/>
  <c r="AX42"/>
  <c r="AX41"/>
  <c r="AZ44"/>
  <c r="AZ43"/>
  <c r="AZ42"/>
  <c r="AZ41"/>
  <c r="L89"/>
  <c r="M88"/>
  <c r="M89" s="1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X11" i="366"/>
  <c r="W11"/>
  <c r="U11"/>
  <c r="T11"/>
  <c r="S11"/>
  <c r="R11"/>
  <c r="Q11"/>
  <c r="Y11"/>
  <c r="V11"/>
  <c r="X9"/>
  <c r="W9"/>
  <c r="T9"/>
  <c r="Q9"/>
  <c r="U9"/>
  <c r="M9"/>
  <c r="Y9" s="1"/>
  <c r="R9"/>
  <c r="AE57" i="817" l="1"/>
  <c r="AE56"/>
  <c r="F61" i="25"/>
  <c r="G61"/>
  <c r="V61" i="817"/>
  <c r="F57" i="25"/>
  <c r="G62"/>
  <c r="G63" s="1"/>
  <c r="G64" s="1"/>
  <c r="G65" s="1"/>
  <c r="G66" s="1"/>
  <c r="O64" i="817"/>
  <c r="O65" s="1"/>
  <c r="O66" s="1"/>
  <c r="O67" s="1"/>
  <c r="V58"/>
  <c r="K59" i="25"/>
  <c r="K60" s="1"/>
  <c r="Y61" i="817"/>
  <c r="K56" i="25"/>
  <c r="K57" s="1"/>
  <c r="Y58" i="817"/>
  <c r="J55" i="25"/>
  <c r="AF73" i="817"/>
  <c r="AO73" s="1"/>
  <c r="L64"/>
  <c r="U64" s="1"/>
  <c r="N73" i="25"/>
  <c r="Q72"/>
  <c r="J59"/>
  <c r="J60" s="1"/>
  <c r="J56"/>
  <c r="J57" s="1"/>
  <c r="AA11" i="545"/>
  <c r="AM9"/>
  <c r="AM11" s="1"/>
  <c r="Y12" i="551"/>
  <c r="X60" i="817" s="1"/>
  <c r="X61" s="1"/>
  <c r="AZ75" i="553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AY69" i="548"/>
  <c r="AU57"/>
  <c r="AX75" i="553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A11" i="552"/>
  <c r="AM11"/>
  <c r="AO61" i="548"/>
  <c r="AY61"/>
  <c r="AU73"/>
  <c r="AO69"/>
  <c r="AW73"/>
  <c r="AW69"/>
  <c r="AW65"/>
  <c r="AW61"/>
  <c r="AW57"/>
  <c r="AW53"/>
  <c r="AW49"/>
  <c r="AM73"/>
  <c r="AM69"/>
  <c r="AM65"/>
  <c r="AM61"/>
  <c r="AM57"/>
  <c r="AM53"/>
  <c r="AM49"/>
  <c r="AI73"/>
  <c r="AI69"/>
  <c r="AI65"/>
  <c r="AI61"/>
  <c r="AI57"/>
  <c r="AI53"/>
  <c r="AI49"/>
  <c r="BA74"/>
  <c r="BA70"/>
  <c r="BA66"/>
  <c r="BA62"/>
  <c r="BA58"/>
  <c r="BA54"/>
  <c r="BA50"/>
  <c r="AY74"/>
  <c r="AY70"/>
  <c r="AY66"/>
  <c r="AY62"/>
  <c r="AY58"/>
  <c r="AY54"/>
  <c r="AY50"/>
  <c r="AW74"/>
  <c r="AW70"/>
  <c r="AW66"/>
  <c r="AW62"/>
  <c r="AW58"/>
  <c r="AW54"/>
  <c r="AW50"/>
  <c r="AU74"/>
  <c r="AU70"/>
  <c r="AU66"/>
  <c r="AU62"/>
  <c r="AU58"/>
  <c r="AU54"/>
  <c r="AU50"/>
  <c r="AS74"/>
  <c r="AS70"/>
  <c r="AS66"/>
  <c r="AS62"/>
  <c r="AS58"/>
  <c r="AS54"/>
  <c r="AS50"/>
  <c r="AO74"/>
  <c r="AO70"/>
  <c r="AO66"/>
  <c r="AO62"/>
  <c r="AO58"/>
  <c r="AO54"/>
  <c r="AO50"/>
  <c r="AM74"/>
  <c r="AM70"/>
  <c r="AM66"/>
  <c r="AM62"/>
  <c r="AM58"/>
  <c r="AM54"/>
  <c r="AM50"/>
  <c r="AK74"/>
  <c r="AK70"/>
  <c r="AK66"/>
  <c r="AK62"/>
  <c r="AK58"/>
  <c r="AK54"/>
  <c r="AK50"/>
  <c r="AI75"/>
  <c r="AI71"/>
  <c r="AI67"/>
  <c r="AI63"/>
  <c r="AI59"/>
  <c r="AI55"/>
  <c r="AI51"/>
  <c r="AG74"/>
  <c r="AG70"/>
  <c r="AG66"/>
  <c r="AG62"/>
  <c r="AG58"/>
  <c r="AG54"/>
  <c r="AG50"/>
  <c r="AJ73"/>
  <c r="AJ69"/>
  <c r="AJ65"/>
  <c r="AJ61"/>
  <c r="AJ57"/>
  <c r="AJ53"/>
  <c r="AJ49"/>
  <c r="AF73"/>
  <c r="AF69"/>
  <c r="AF65"/>
  <c r="AF61"/>
  <c r="AF57"/>
  <c r="AF53"/>
  <c r="AF49"/>
  <c r="AM10" i="547"/>
  <c r="AA10"/>
  <c r="AZ73" i="548"/>
  <c r="AZ69"/>
  <c r="AZ65"/>
  <c r="AZ61"/>
  <c r="AZ57"/>
  <c r="AZ53"/>
  <c r="AZ49"/>
  <c r="AZ74"/>
  <c r="AZ70"/>
  <c r="AZ66"/>
  <c r="AZ62"/>
  <c r="AZ58"/>
  <c r="AZ54"/>
  <c r="AZ50"/>
  <c r="AX74"/>
  <c r="AX70"/>
  <c r="AX66"/>
  <c r="AX62"/>
  <c r="AX58"/>
  <c r="AX54"/>
  <c r="AX50"/>
  <c r="AV73"/>
  <c r="AV69"/>
  <c r="AV65"/>
  <c r="AV61"/>
  <c r="AV57"/>
  <c r="AV53"/>
  <c r="AV49"/>
  <c r="AV75"/>
  <c r="AV71"/>
  <c r="AV67"/>
  <c r="AV63"/>
  <c r="AV59"/>
  <c r="AV55"/>
  <c r="AV51"/>
  <c r="AT74"/>
  <c r="AT70"/>
  <c r="AT66"/>
  <c r="AT62"/>
  <c r="AT58"/>
  <c r="AT54"/>
  <c r="AT50"/>
  <c r="AR73"/>
  <c r="AR69"/>
  <c r="AR65"/>
  <c r="AR61"/>
  <c r="AR57"/>
  <c r="AR53"/>
  <c r="AR49"/>
  <c r="AR75"/>
  <c r="AR71"/>
  <c r="AR67"/>
  <c r="AR63"/>
  <c r="AR59"/>
  <c r="AR55"/>
  <c r="AR51"/>
  <c r="AN74"/>
  <c r="AN70"/>
  <c r="AN66"/>
  <c r="AN62"/>
  <c r="AN58"/>
  <c r="AN54"/>
  <c r="AN50"/>
  <c r="AL74"/>
  <c r="AL70"/>
  <c r="AL66"/>
  <c r="AL62"/>
  <c r="AL58"/>
  <c r="AL54"/>
  <c r="AL50"/>
  <c r="AJ74"/>
  <c r="AJ70"/>
  <c r="AJ66"/>
  <c r="AJ62"/>
  <c r="AJ58"/>
  <c r="AJ54"/>
  <c r="AJ50"/>
  <c r="AH74"/>
  <c r="AH70"/>
  <c r="AH66"/>
  <c r="AH62"/>
  <c r="AH58"/>
  <c r="AH54"/>
  <c r="AH50"/>
  <c r="AF74"/>
  <c r="AF70"/>
  <c r="AF66"/>
  <c r="AF62"/>
  <c r="AF58"/>
  <c r="AF54"/>
  <c r="AF50"/>
  <c r="AY49"/>
  <c r="AY57"/>
  <c r="AY65"/>
  <c r="AY73"/>
  <c r="AU53"/>
  <c r="AU61"/>
  <c r="AU69"/>
  <c r="AO49"/>
  <c r="AO57"/>
  <c r="AO65"/>
  <c r="AO73"/>
  <c r="BA73"/>
  <c r="BA69"/>
  <c r="BA65"/>
  <c r="BA61"/>
  <c r="BA57"/>
  <c r="BA53"/>
  <c r="BA49"/>
  <c r="AS73"/>
  <c r="AS69"/>
  <c r="AS65"/>
  <c r="AS61"/>
  <c r="AS57"/>
  <c r="AS53"/>
  <c r="AS49"/>
  <c r="AK73"/>
  <c r="AK69"/>
  <c r="AK65"/>
  <c r="AK61"/>
  <c r="AK57"/>
  <c r="AK53"/>
  <c r="AK49"/>
  <c r="AG73"/>
  <c r="AG69"/>
  <c r="AG65"/>
  <c r="AG61"/>
  <c r="AG57"/>
  <c r="AG53"/>
  <c r="AG49"/>
  <c r="BA75"/>
  <c r="BA71"/>
  <c r="BA67"/>
  <c r="BA63"/>
  <c r="BA59"/>
  <c r="BA55"/>
  <c r="BA51"/>
  <c r="AY75"/>
  <c r="AY71"/>
  <c r="AY67"/>
  <c r="AY63"/>
  <c r="AY59"/>
  <c r="AY55"/>
  <c r="AY51"/>
  <c r="AW75"/>
  <c r="AW71"/>
  <c r="AW67"/>
  <c r="AW63"/>
  <c r="AW59"/>
  <c r="AW55"/>
  <c r="AW51"/>
  <c r="AU75"/>
  <c r="AU71"/>
  <c r="AU67"/>
  <c r="AU63"/>
  <c r="AU59"/>
  <c r="AU55"/>
  <c r="AU51"/>
  <c r="AS75"/>
  <c r="AS71"/>
  <c r="AS67"/>
  <c r="AS63"/>
  <c r="AS59"/>
  <c r="AS55"/>
  <c r="AS51"/>
  <c r="AO75"/>
  <c r="AO71"/>
  <c r="AO67"/>
  <c r="AO63"/>
  <c r="AO59"/>
  <c r="AO55"/>
  <c r="AO51"/>
  <c r="AM75"/>
  <c r="AM71"/>
  <c r="AM67"/>
  <c r="AM63"/>
  <c r="AM59"/>
  <c r="AM55"/>
  <c r="AM51"/>
  <c r="AK75"/>
  <c r="AK71"/>
  <c r="AK67"/>
  <c r="AK63"/>
  <c r="AK59"/>
  <c r="AK55"/>
  <c r="AK51"/>
  <c r="AI74"/>
  <c r="AI70"/>
  <c r="AI66"/>
  <c r="AI62"/>
  <c r="AI58"/>
  <c r="AI54"/>
  <c r="AI50"/>
  <c r="AG75"/>
  <c r="AG71"/>
  <c r="AG67"/>
  <c r="AG63"/>
  <c r="AG59"/>
  <c r="AG55"/>
  <c r="AG51"/>
  <c r="AL73"/>
  <c r="AL69"/>
  <c r="AL65"/>
  <c r="AL61"/>
  <c r="AL57"/>
  <c r="AL53"/>
  <c r="AL49"/>
  <c r="AH73"/>
  <c r="AH69"/>
  <c r="AH65"/>
  <c r="AH61"/>
  <c r="AH57"/>
  <c r="AH53"/>
  <c r="AH49"/>
  <c r="AZ75"/>
  <c r="AZ71"/>
  <c r="AZ67"/>
  <c r="AZ63"/>
  <c r="AZ59"/>
  <c r="AZ55"/>
  <c r="AZ51"/>
  <c r="AX73"/>
  <c r="AX69"/>
  <c r="AX65"/>
  <c r="AX61"/>
  <c r="AX57"/>
  <c r="AX53"/>
  <c r="AX49"/>
  <c r="AX75"/>
  <c r="AX71"/>
  <c r="AX67"/>
  <c r="AX63"/>
  <c r="AX59"/>
  <c r="AX55"/>
  <c r="AX51"/>
  <c r="AV74"/>
  <c r="AV70"/>
  <c r="AV66"/>
  <c r="AV62"/>
  <c r="AV58"/>
  <c r="AV54"/>
  <c r="AV50"/>
  <c r="AT73"/>
  <c r="AT69"/>
  <c r="AT65"/>
  <c r="AT61"/>
  <c r="AT57"/>
  <c r="AT53"/>
  <c r="AT49"/>
  <c r="AT75"/>
  <c r="AT71"/>
  <c r="AT67"/>
  <c r="AT63"/>
  <c r="AT59"/>
  <c r="AT55"/>
  <c r="AT51"/>
  <c r="AR74"/>
  <c r="AR70"/>
  <c r="AR66"/>
  <c r="AR62"/>
  <c r="AR58"/>
  <c r="AR54"/>
  <c r="AR50"/>
  <c r="AN73"/>
  <c r="AN69"/>
  <c r="AN65"/>
  <c r="AN61"/>
  <c r="AN57"/>
  <c r="AN53"/>
  <c r="AN49"/>
  <c r="AN75"/>
  <c r="AN71"/>
  <c r="AN67"/>
  <c r="AN63"/>
  <c r="AN59"/>
  <c r="AN55"/>
  <c r="AN51"/>
  <c r="AL75"/>
  <c r="AL71"/>
  <c r="AL67"/>
  <c r="AL63"/>
  <c r="AL59"/>
  <c r="AL55"/>
  <c r="AL51"/>
  <c r="AJ75"/>
  <c r="AJ71"/>
  <c r="AJ67"/>
  <c r="AJ63"/>
  <c r="AJ59"/>
  <c r="AJ55"/>
  <c r="AJ51"/>
  <c r="AH75"/>
  <c r="AH71"/>
  <c r="AH67"/>
  <c r="AH63"/>
  <c r="AH59"/>
  <c r="AH55"/>
  <c r="AH51"/>
  <c r="AF75"/>
  <c r="AF71"/>
  <c r="AF67"/>
  <c r="AF63"/>
  <c r="AF59"/>
  <c r="AF55"/>
  <c r="AF51"/>
  <c r="AY53"/>
  <c r="AU49"/>
  <c r="AU65"/>
  <c r="AO53"/>
  <c r="AY75" i="546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AM9" i="542"/>
  <c r="AA12"/>
  <c r="V13" i="541"/>
  <c r="Y13"/>
  <c r="AM9" i="539"/>
  <c r="AA12"/>
  <c r="AY75" i="543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M89"/>
  <c r="L89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AZ75" i="540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M89"/>
  <c r="L89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Y75" i="537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J9" i="366"/>
  <c r="V9" s="1"/>
  <c r="S9"/>
  <c r="X10" i="77"/>
  <c r="W10"/>
  <c r="T10"/>
  <c r="Q10"/>
  <c r="J11" i="396"/>
  <c r="M11"/>
  <c r="Y11" s="1"/>
  <c r="R11"/>
  <c r="J11" i="188"/>
  <c r="M11"/>
  <c r="Y11" s="1"/>
  <c r="R11"/>
  <c r="J12" i="366"/>
  <c r="M12"/>
  <c r="Y12" s="1"/>
  <c r="R12"/>
  <c r="X11" i="396"/>
  <c r="W11"/>
  <c r="T11"/>
  <c r="Q11"/>
  <c r="X11" i="188"/>
  <c r="W11"/>
  <c r="T11"/>
  <c r="Q11"/>
  <c r="X12" i="366"/>
  <c r="W12"/>
  <c r="T12"/>
  <c r="Q12"/>
  <c r="X11" i="363"/>
  <c r="W11"/>
  <c r="T11"/>
  <c r="Q11"/>
  <c r="J11"/>
  <c r="V11" s="1"/>
  <c r="M11"/>
  <c r="R11"/>
  <c r="AE58" i="817" l="1"/>
  <c r="AE61"/>
  <c r="AE60"/>
  <c r="L65"/>
  <c r="U65" s="1"/>
  <c r="AF74"/>
  <c r="AO74" s="1"/>
  <c r="N74" i="25"/>
  <c r="Q74" s="1"/>
  <c r="Q73"/>
  <c r="U11" i="188"/>
  <c r="U12" i="366"/>
  <c r="U11" i="396"/>
  <c r="S11" i="363"/>
  <c r="U11"/>
  <c r="Y11"/>
  <c r="V11" i="396"/>
  <c r="S11"/>
  <c r="V11" i="188"/>
  <c r="S11"/>
  <c r="V12" i="366"/>
  <c r="S12"/>
  <c r="AF75" i="817" l="1"/>
  <c r="AO75" s="1"/>
  <c r="L66"/>
  <c r="U66" s="1"/>
  <c r="G64" i="369"/>
  <c r="F64"/>
  <c r="Y14" s="1"/>
  <c r="E64"/>
  <c r="X14" s="1"/>
  <c r="D64"/>
  <c r="W14" s="1"/>
  <c r="K63"/>
  <c r="J63"/>
  <c r="I63"/>
  <c r="K62"/>
  <c r="J62"/>
  <c r="I62"/>
  <c r="K61"/>
  <c r="J61"/>
  <c r="I61"/>
  <c r="A47"/>
  <c r="A45"/>
  <c r="E34"/>
  <c r="C34"/>
  <c r="P27"/>
  <c r="O27"/>
  <c r="N27"/>
  <c r="M27"/>
  <c r="L27"/>
  <c r="P26"/>
  <c r="O26"/>
  <c r="N26"/>
  <c r="M26"/>
  <c r="L26"/>
  <c r="T25"/>
  <c r="S25"/>
  <c r="E35" s="1"/>
  <c r="R25"/>
  <c r="D35" s="1"/>
  <c r="Q25"/>
  <c r="C35" s="1"/>
  <c r="P25"/>
  <c r="O25"/>
  <c r="N25"/>
  <c r="M25"/>
  <c r="L25"/>
  <c r="P24"/>
  <c r="O24"/>
  <c r="N24"/>
  <c r="M24"/>
  <c r="L24"/>
  <c r="P23"/>
  <c r="O23"/>
  <c r="N23"/>
  <c r="M23"/>
  <c r="L23"/>
  <c r="L67" i="817" l="1"/>
  <c r="U67" s="1"/>
  <c r="O28" i="369"/>
  <c r="C36"/>
  <c r="R14" s="1"/>
  <c r="J64"/>
  <c r="L62"/>
  <c r="K64"/>
  <c r="E36"/>
  <c r="S14" s="1"/>
  <c r="I64"/>
  <c r="L63"/>
  <c r="L28"/>
  <c r="N28"/>
  <c r="M28"/>
  <c r="C21" i="530" l="1"/>
  <c r="B21"/>
  <c r="C20"/>
  <c r="B20"/>
  <c r="U65" i="25"/>
  <c r="U64"/>
  <c r="U63"/>
  <c r="U62"/>
  <c r="U61"/>
  <c r="U60"/>
  <c r="U59"/>
  <c r="U58"/>
  <c r="U57"/>
  <c r="U56"/>
  <c r="U55"/>
  <c r="U26"/>
  <c r="U25"/>
  <c r="U24"/>
  <c r="U23"/>
  <c r="U22"/>
  <c r="U21"/>
  <c r="U20"/>
  <c r="U19"/>
  <c r="U18"/>
  <c r="U17"/>
  <c r="U16"/>
  <c r="U15"/>
  <c r="U14"/>
  <c r="U13"/>
  <c r="U12"/>
  <c r="Q69"/>
  <c r="Q68"/>
  <c r="Q67"/>
  <c r="Q66"/>
  <c r="Q65"/>
  <c r="Q64"/>
  <c r="Q63"/>
  <c r="Q62"/>
  <c r="Q61"/>
  <c r="Q13"/>
  <c r="Q12"/>
  <c r="M69"/>
  <c r="M68"/>
  <c r="M67"/>
  <c r="M66"/>
  <c r="M65"/>
  <c r="M64"/>
  <c r="M63"/>
  <c r="M62"/>
  <c r="M61"/>
  <c r="M60"/>
  <c r="M59"/>
  <c r="M57"/>
  <c r="M56"/>
  <c r="M55"/>
  <c r="M51"/>
  <c r="M50"/>
  <c r="M49"/>
  <c r="M45"/>
  <c r="M44"/>
  <c r="M43"/>
  <c r="M42"/>
  <c r="M41"/>
  <c r="M40"/>
  <c r="M39"/>
  <c r="M38"/>
  <c r="M37"/>
  <c r="M36"/>
  <c r="M34"/>
  <c r="M33"/>
  <c r="M32"/>
  <c r="M30"/>
  <c r="M25"/>
  <c r="M24"/>
  <c r="M23"/>
  <c r="M22"/>
  <c r="M19"/>
  <c r="M18"/>
  <c r="M17"/>
  <c r="M16"/>
  <c r="M15"/>
  <c r="M14"/>
  <c r="M13"/>
  <c r="M12"/>
  <c r="I69"/>
  <c r="I68"/>
  <c r="I67"/>
  <c r="I66"/>
  <c r="I65"/>
  <c r="I64"/>
  <c r="I63"/>
  <c r="I62"/>
  <c r="I61"/>
  <c r="I59"/>
  <c r="I58"/>
  <c r="I57"/>
  <c r="N88" i="527" l="1"/>
  <c r="N89" s="1"/>
  <c r="AV76" i="817" s="1"/>
  <c r="K88" i="527"/>
  <c r="K89" s="1"/>
  <c r="J88"/>
  <c r="J89" s="1"/>
  <c r="I88"/>
  <c r="I89" s="1"/>
  <c r="H89"/>
  <c r="G88"/>
  <c r="G89" s="1"/>
  <c r="F88"/>
  <c r="F89" s="1"/>
  <c r="C88"/>
  <c r="B88"/>
  <c r="A88"/>
  <c r="B35"/>
  <c r="B34"/>
  <c r="B21"/>
  <c r="L88" s="1"/>
  <c r="BA8"/>
  <c r="AZ8"/>
  <c r="AZ39" s="1"/>
  <c r="AY8"/>
  <c r="AX8"/>
  <c r="AX39" s="1"/>
  <c r="AW8"/>
  <c r="AV8"/>
  <c r="AV39" s="1"/>
  <c r="AU8"/>
  <c r="AT8"/>
  <c r="AT39" s="1"/>
  <c r="AS8"/>
  <c r="AR8"/>
  <c r="AR39" s="1"/>
  <c r="AO8"/>
  <c r="AN8"/>
  <c r="AN39" s="1"/>
  <c r="AM8"/>
  <c r="AL8"/>
  <c r="AL39" s="1"/>
  <c r="AK8"/>
  <c r="AJ8"/>
  <c r="AJ39" s="1"/>
  <c r="AI8"/>
  <c r="AH8"/>
  <c r="AH40" s="1"/>
  <c r="AG8"/>
  <c r="AF8"/>
  <c r="AF40" s="1"/>
  <c r="P88"/>
  <c r="P89" s="1"/>
  <c r="AX76" i="817" s="1"/>
  <c r="AX77" s="1"/>
  <c r="AX78" s="1"/>
  <c r="O88" i="527"/>
  <c r="O89" s="1"/>
  <c r="AW76" i="817" s="1"/>
  <c r="AW77" s="1"/>
  <c r="AW78" s="1"/>
  <c r="B345" i="526"/>
  <c r="B344"/>
  <c r="B343"/>
  <c r="AB9"/>
  <c r="AB11" s="1"/>
  <c r="AS76" i="817" s="1"/>
  <c r="Z9" i="526"/>
  <c r="Z11" s="1"/>
  <c r="Y9"/>
  <c r="Y11" s="1"/>
  <c r="X9"/>
  <c r="X11" s="1"/>
  <c r="W9"/>
  <c r="W11" s="1"/>
  <c r="V9"/>
  <c r="V11" s="1"/>
  <c r="U9"/>
  <c r="U11" s="1"/>
  <c r="T9"/>
  <c r="T11" s="1"/>
  <c r="AD9"/>
  <c r="AD11" s="1"/>
  <c r="AU76" i="817" s="1"/>
  <c r="AU77" s="1"/>
  <c r="AU78" s="1"/>
  <c r="AC9" i="526"/>
  <c r="AC11" s="1"/>
  <c r="AT76" i="817" s="1"/>
  <c r="AT77" s="1"/>
  <c r="AT78" s="1"/>
  <c r="X8" i="525"/>
  <c r="X9" s="1"/>
  <c r="AQ76" i="817" s="1"/>
  <c r="AQ77" s="1"/>
  <c r="AQ78" s="1"/>
  <c r="W8" i="525"/>
  <c r="W9" s="1"/>
  <c r="AP76" i="817" s="1"/>
  <c r="U8" i="525"/>
  <c r="U9" s="1"/>
  <c r="T8"/>
  <c r="T9" s="1"/>
  <c r="S8"/>
  <c r="S9" s="1"/>
  <c r="R8"/>
  <c r="R9" s="1"/>
  <c r="Q8"/>
  <c r="Q9" s="1"/>
  <c r="Y8"/>
  <c r="Y9" s="1"/>
  <c r="AR76" i="817" s="1"/>
  <c r="AR77" s="1"/>
  <c r="AR78" s="1"/>
  <c r="V8" i="525"/>
  <c r="V9" s="1"/>
  <c r="U53" i="25"/>
  <c r="N88" i="521"/>
  <c r="N89" s="1"/>
  <c r="AV75" i="817" s="1"/>
  <c r="K88" i="521"/>
  <c r="K89" s="1"/>
  <c r="J88"/>
  <c r="J89" s="1"/>
  <c r="I88"/>
  <c r="I89" s="1"/>
  <c r="H89"/>
  <c r="G88"/>
  <c r="G89" s="1"/>
  <c r="F88"/>
  <c r="F89" s="1"/>
  <c r="C88"/>
  <c r="B88"/>
  <c r="A88"/>
  <c r="B35"/>
  <c r="B34"/>
  <c r="B21"/>
  <c r="L88" s="1"/>
  <c r="BA8"/>
  <c r="BA36" s="1"/>
  <c r="AZ8"/>
  <c r="AY8"/>
  <c r="AY36" s="1"/>
  <c r="AX8"/>
  <c r="AW8"/>
  <c r="AW36" s="1"/>
  <c r="AV8"/>
  <c r="AU8"/>
  <c r="AU36" s="1"/>
  <c r="AT8"/>
  <c r="AS8"/>
  <c r="AS36" s="1"/>
  <c r="AR8"/>
  <c r="AO8"/>
  <c r="AO37" s="1"/>
  <c r="AN8"/>
  <c r="AM8"/>
  <c r="AM37" s="1"/>
  <c r="AL8"/>
  <c r="AK8"/>
  <c r="AK37" s="1"/>
  <c r="AJ8"/>
  <c r="AI8"/>
  <c r="AI37" s="1"/>
  <c r="AH8"/>
  <c r="AG8"/>
  <c r="AG37" s="1"/>
  <c r="AF8"/>
  <c r="P88"/>
  <c r="P89" s="1"/>
  <c r="AX75" i="817" s="1"/>
  <c r="O88" i="521"/>
  <c r="O89" s="1"/>
  <c r="AW75" i="817" s="1"/>
  <c r="B345" i="520"/>
  <c r="B344"/>
  <c r="B343"/>
  <c r="AB9"/>
  <c r="AB11" s="1"/>
  <c r="AS75" i="817" s="1"/>
  <c r="Z9" i="520"/>
  <c r="Z11" s="1"/>
  <c r="Y9"/>
  <c r="Y11" s="1"/>
  <c r="X9"/>
  <c r="X11" s="1"/>
  <c r="W9"/>
  <c r="W11" s="1"/>
  <c r="V9"/>
  <c r="V11" s="1"/>
  <c r="U9"/>
  <c r="U11" s="1"/>
  <c r="T9"/>
  <c r="T11" s="1"/>
  <c r="AD9"/>
  <c r="AD11" s="1"/>
  <c r="AU75" i="817" s="1"/>
  <c r="AC9" i="520"/>
  <c r="AC11" s="1"/>
  <c r="AT75" i="817" s="1"/>
  <c r="X8" i="519"/>
  <c r="X9" s="1"/>
  <c r="AQ75" i="817" s="1"/>
  <c r="W8" i="519"/>
  <c r="W9" s="1"/>
  <c r="AP75" i="817" s="1"/>
  <c r="U8" i="519"/>
  <c r="U9" s="1"/>
  <c r="T8"/>
  <c r="T9" s="1"/>
  <c r="S8"/>
  <c r="S9" s="1"/>
  <c r="R8"/>
  <c r="R9" s="1"/>
  <c r="Q8"/>
  <c r="Q9" s="1"/>
  <c r="Y8"/>
  <c r="Y9" s="1"/>
  <c r="AR75" i="817" s="1"/>
  <c r="V8" i="519"/>
  <c r="V9" s="1"/>
  <c r="N88" i="518"/>
  <c r="N89" s="1"/>
  <c r="AV71" i="817" s="1"/>
  <c r="K88" i="518"/>
  <c r="K89" s="1"/>
  <c r="J88"/>
  <c r="J89" s="1"/>
  <c r="I88"/>
  <c r="I89" s="1"/>
  <c r="H89"/>
  <c r="G88"/>
  <c r="G89" s="1"/>
  <c r="F88"/>
  <c r="F89" s="1"/>
  <c r="C88"/>
  <c r="B88"/>
  <c r="A88"/>
  <c r="B35"/>
  <c r="B34"/>
  <c r="B21"/>
  <c r="L88" s="1"/>
  <c r="BA8"/>
  <c r="BA20" s="1"/>
  <c r="AZ8"/>
  <c r="AZ43" s="1"/>
  <c r="AY8"/>
  <c r="AY20" s="1"/>
  <c r="AX8"/>
  <c r="AX43" s="1"/>
  <c r="AW8"/>
  <c r="AW20" s="1"/>
  <c r="AV8"/>
  <c r="AV43" s="1"/>
  <c r="AU8"/>
  <c r="AU20" s="1"/>
  <c r="AT8"/>
  <c r="AT43" s="1"/>
  <c r="AS8"/>
  <c r="AS20" s="1"/>
  <c r="AR8"/>
  <c r="AR43" s="1"/>
  <c r="AO8"/>
  <c r="AO20" s="1"/>
  <c r="AN8"/>
  <c r="AN43" s="1"/>
  <c r="AM8"/>
  <c r="AM20" s="1"/>
  <c r="AL8"/>
  <c r="AL43" s="1"/>
  <c r="AK8"/>
  <c r="AK20" s="1"/>
  <c r="AJ8"/>
  <c r="AJ43" s="1"/>
  <c r="AI8"/>
  <c r="AI20" s="1"/>
  <c r="AH8"/>
  <c r="AH43" s="1"/>
  <c r="AG8"/>
  <c r="AG20" s="1"/>
  <c r="AF8"/>
  <c r="AF43" s="1"/>
  <c r="P88"/>
  <c r="P89" s="1"/>
  <c r="AX71" i="817" s="1"/>
  <c r="AX72" s="1"/>
  <c r="AX73" s="1"/>
  <c r="AX74" s="1"/>
  <c r="O88" i="518"/>
  <c r="O89" s="1"/>
  <c r="AW71" i="817" s="1"/>
  <c r="AW72" s="1"/>
  <c r="AW73" s="1"/>
  <c r="AW74" s="1"/>
  <c r="B342" i="517"/>
  <c r="B341"/>
  <c r="B340"/>
  <c r="X8" i="516"/>
  <c r="X9" s="1"/>
  <c r="AQ71" i="817" s="1"/>
  <c r="AQ72" s="1"/>
  <c r="AQ73" s="1"/>
  <c r="AQ74" s="1"/>
  <c r="W8" i="516"/>
  <c r="W9" s="1"/>
  <c r="AP71" i="817" s="1"/>
  <c r="U8" i="516"/>
  <c r="U9" s="1"/>
  <c r="T8"/>
  <c r="T9" s="1"/>
  <c r="S8"/>
  <c r="S9" s="1"/>
  <c r="R8"/>
  <c r="R9" s="1"/>
  <c r="Q8"/>
  <c r="Q9" s="1"/>
  <c r="Y8"/>
  <c r="Y9" s="1"/>
  <c r="AR71" i="817" s="1"/>
  <c r="AR72" s="1"/>
  <c r="AR73" s="1"/>
  <c r="AR74" s="1"/>
  <c r="V8" i="516"/>
  <c r="V9" s="1"/>
  <c r="N88" i="515"/>
  <c r="N89" s="1"/>
  <c r="AV51" i="817" s="1"/>
  <c r="K88" i="515"/>
  <c r="K89" s="1"/>
  <c r="J88"/>
  <c r="J89" s="1"/>
  <c r="I88"/>
  <c r="I89" s="1"/>
  <c r="H89"/>
  <c r="G88"/>
  <c r="G89" s="1"/>
  <c r="F88"/>
  <c r="F89" s="1"/>
  <c r="C88"/>
  <c r="B88"/>
  <c r="A88"/>
  <c r="B35"/>
  <c r="B34"/>
  <c r="B21"/>
  <c r="L88" s="1"/>
  <c r="BA9"/>
  <c r="AZ9"/>
  <c r="AZ40" s="1"/>
  <c r="AY9"/>
  <c r="AX9"/>
  <c r="AX40" s="1"/>
  <c r="AW9"/>
  <c r="AV9"/>
  <c r="AV40" s="1"/>
  <c r="AU9"/>
  <c r="AT9"/>
  <c r="AT40" s="1"/>
  <c r="AS9"/>
  <c r="AR9"/>
  <c r="AR40" s="1"/>
  <c r="AO9"/>
  <c r="AN9"/>
  <c r="AN40" s="1"/>
  <c r="AM9"/>
  <c r="AL9"/>
  <c r="AL40" s="1"/>
  <c r="AK9"/>
  <c r="AJ9"/>
  <c r="AJ40" s="1"/>
  <c r="AI9"/>
  <c r="AH9"/>
  <c r="AH41" s="1"/>
  <c r="AG9"/>
  <c r="AF9"/>
  <c r="AF41" s="1"/>
  <c r="P88"/>
  <c r="P89" s="1"/>
  <c r="AX51" i="817" s="1"/>
  <c r="O88" i="515"/>
  <c r="O89" s="1"/>
  <c r="AW51" i="817" s="1"/>
  <c r="B380" i="514"/>
  <c r="B379"/>
  <c r="B378"/>
  <c r="AB10"/>
  <c r="Z10"/>
  <c r="AA10" s="1"/>
  <c r="Y10"/>
  <c r="X10"/>
  <c r="W10"/>
  <c r="V10"/>
  <c r="U10"/>
  <c r="T10"/>
  <c r="AD10"/>
  <c r="AC10"/>
  <c r="AB9"/>
  <c r="AB11" s="1"/>
  <c r="AB13" s="1"/>
  <c r="AS51" i="817" s="1"/>
  <c r="Z9" i="514"/>
  <c r="AA9" s="1"/>
  <c r="AA11" s="1"/>
  <c r="AA13" s="1"/>
  <c r="Y9"/>
  <c r="Y11" s="1"/>
  <c r="Y13" s="1"/>
  <c r="X9"/>
  <c r="X11" s="1"/>
  <c r="X13" s="1"/>
  <c r="W9"/>
  <c r="W11" s="1"/>
  <c r="W13" s="1"/>
  <c r="V9"/>
  <c r="V11" s="1"/>
  <c r="V13" s="1"/>
  <c r="U9"/>
  <c r="U11" s="1"/>
  <c r="U13" s="1"/>
  <c r="T9"/>
  <c r="T11" s="1"/>
  <c r="T13" s="1"/>
  <c r="AD9"/>
  <c r="AD11" s="1"/>
  <c r="AD13" s="1"/>
  <c r="AU51" i="817" s="1"/>
  <c r="AC9" i="514"/>
  <c r="AC11" s="1"/>
  <c r="AC13" s="1"/>
  <c r="AT51" i="817" s="1"/>
  <c r="N88" i="512"/>
  <c r="N89" s="1"/>
  <c r="AV50" i="817" s="1"/>
  <c r="K88" i="512"/>
  <c r="K89" s="1"/>
  <c r="J88"/>
  <c r="J89" s="1"/>
  <c r="I88"/>
  <c r="I89" s="1"/>
  <c r="H89"/>
  <c r="G88"/>
  <c r="G89" s="1"/>
  <c r="F88"/>
  <c r="F89" s="1"/>
  <c r="C88"/>
  <c r="B88"/>
  <c r="A88"/>
  <c r="B35"/>
  <c r="B34"/>
  <c r="B21"/>
  <c r="L88" s="1"/>
  <c r="BA9"/>
  <c r="BA44" s="1"/>
  <c r="AZ9"/>
  <c r="AZ20" s="1"/>
  <c r="AY9"/>
  <c r="AY44" s="1"/>
  <c r="AX9"/>
  <c r="AX20" s="1"/>
  <c r="AW9"/>
  <c r="AW44" s="1"/>
  <c r="AV9"/>
  <c r="AV20" s="1"/>
  <c r="AU9"/>
  <c r="AU44" s="1"/>
  <c r="AT9"/>
  <c r="AT20" s="1"/>
  <c r="AS9"/>
  <c r="AS44" s="1"/>
  <c r="AR9"/>
  <c r="AR20" s="1"/>
  <c r="AO9"/>
  <c r="AO44" s="1"/>
  <c r="AN9"/>
  <c r="AN20" s="1"/>
  <c r="AM9"/>
  <c r="AM44" s="1"/>
  <c r="AL9"/>
  <c r="AL20" s="1"/>
  <c r="AK9"/>
  <c r="AK44" s="1"/>
  <c r="AJ9"/>
  <c r="AJ20" s="1"/>
  <c r="AI9"/>
  <c r="AI44" s="1"/>
  <c r="AH9"/>
  <c r="AH20" s="1"/>
  <c r="AG9"/>
  <c r="AG44" s="1"/>
  <c r="AF9"/>
  <c r="AF20" s="1"/>
  <c r="P88"/>
  <c r="P89" s="1"/>
  <c r="AX50" i="817" s="1"/>
  <c r="O88" i="512"/>
  <c r="O89" s="1"/>
  <c r="AW50" i="817" s="1"/>
  <c r="B380" i="511"/>
  <c r="B379"/>
  <c r="B378"/>
  <c r="AB10"/>
  <c r="Z10"/>
  <c r="AA10" s="1"/>
  <c r="Y10"/>
  <c r="X10"/>
  <c r="W10"/>
  <c r="V10"/>
  <c r="U10"/>
  <c r="T10"/>
  <c r="AD10"/>
  <c r="AC10"/>
  <c r="AB9"/>
  <c r="AB11" s="1"/>
  <c r="AB13" s="1"/>
  <c r="AS50" i="817" s="1"/>
  <c r="Z9" i="511"/>
  <c r="AA9" s="1"/>
  <c r="AA11" s="1"/>
  <c r="AA13" s="1"/>
  <c r="Y9"/>
  <c r="Y11" s="1"/>
  <c r="Y13" s="1"/>
  <c r="X9"/>
  <c r="X11" s="1"/>
  <c r="X13" s="1"/>
  <c r="W9"/>
  <c r="W11" s="1"/>
  <c r="W13" s="1"/>
  <c r="V9"/>
  <c r="V11" s="1"/>
  <c r="V13" s="1"/>
  <c r="U9"/>
  <c r="U11" s="1"/>
  <c r="U13" s="1"/>
  <c r="T9"/>
  <c r="T11" s="1"/>
  <c r="T13" s="1"/>
  <c r="AD9"/>
  <c r="AD11" s="1"/>
  <c r="AD13" s="1"/>
  <c r="AU50" i="817" s="1"/>
  <c r="AC9" i="511"/>
  <c r="AC11" s="1"/>
  <c r="AC13" s="1"/>
  <c r="AT50" i="817" s="1"/>
  <c r="N88" i="509"/>
  <c r="N89" s="1"/>
  <c r="AV49" i="817" s="1"/>
  <c r="K88" i="509"/>
  <c r="K89" s="1"/>
  <c r="J88"/>
  <c r="J89" s="1"/>
  <c r="I88"/>
  <c r="I89" s="1"/>
  <c r="H89"/>
  <c r="G88"/>
  <c r="G89" s="1"/>
  <c r="F88"/>
  <c r="F89" s="1"/>
  <c r="C88"/>
  <c r="B88"/>
  <c r="A88"/>
  <c r="B35"/>
  <c r="B34"/>
  <c r="B21"/>
  <c r="L88" s="1"/>
  <c r="BA9"/>
  <c r="AZ9"/>
  <c r="AZ40" s="1"/>
  <c r="AY9"/>
  <c r="AX9"/>
  <c r="AX40" s="1"/>
  <c r="AW9"/>
  <c r="AV9"/>
  <c r="AV40" s="1"/>
  <c r="AU9"/>
  <c r="AT9"/>
  <c r="AT40" s="1"/>
  <c r="AS9"/>
  <c r="AR9"/>
  <c r="AR40" s="1"/>
  <c r="AO9"/>
  <c r="AN9"/>
  <c r="AN40" s="1"/>
  <c r="AM9"/>
  <c r="AL9"/>
  <c r="AL40" s="1"/>
  <c r="AK9"/>
  <c r="AJ9"/>
  <c r="AJ40" s="1"/>
  <c r="AI9"/>
  <c r="AH9"/>
  <c r="AH41" s="1"/>
  <c r="AG9"/>
  <c r="AF9"/>
  <c r="AF41" s="1"/>
  <c r="P88"/>
  <c r="P89" s="1"/>
  <c r="AX49" i="817" s="1"/>
  <c r="O88" i="509"/>
  <c r="O89" s="1"/>
  <c r="AW49" i="817" s="1"/>
  <c r="B380" i="508"/>
  <c r="B379"/>
  <c r="B378"/>
  <c r="AB10"/>
  <c r="Z10"/>
  <c r="AA10" s="1"/>
  <c r="Y10"/>
  <c r="X10"/>
  <c r="W10"/>
  <c r="V10"/>
  <c r="U10"/>
  <c r="T10"/>
  <c r="AD10"/>
  <c r="AC10"/>
  <c r="AB9"/>
  <c r="AB11" s="1"/>
  <c r="AB13" s="1"/>
  <c r="AS49" i="817" s="1"/>
  <c r="Z9" i="508"/>
  <c r="Z11" s="1"/>
  <c r="Z13" s="1"/>
  <c r="Y9"/>
  <c r="X9"/>
  <c r="X11" s="1"/>
  <c r="X13" s="1"/>
  <c r="W9"/>
  <c r="V9"/>
  <c r="V11" s="1"/>
  <c r="V13" s="1"/>
  <c r="U9"/>
  <c r="T9"/>
  <c r="T11" s="1"/>
  <c r="T13" s="1"/>
  <c r="AD9"/>
  <c r="AC9"/>
  <c r="AC11" s="1"/>
  <c r="AC13" s="1"/>
  <c r="AT49" i="817" s="1"/>
  <c r="N88" i="506"/>
  <c r="N89" s="1"/>
  <c r="AV48" i="817" s="1"/>
  <c r="K88" i="506"/>
  <c r="K89" s="1"/>
  <c r="J88"/>
  <c r="J89" s="1"/>
  <c r="I88"/>
  <c r="I89" s="1"/>
  <c r="H89"/>
  <c r="G88"/>
  <c r="G89" s="1"/>
  <c r="F88"/>
  <c r="F89" s="1"/>
  <c r="C88"/>
  <c r="B88"/>
  <c r="A88"/>
  <c r="B35"/>
  <c r="B34"/>
  <c r="B21"/>
  <c r="L88" s="1"/>
  <c r="BA9"/>
  <c r="AZ9"/>
  <c r="AZ40" s="1"/>
  <c r="AY9"/>
  <c r="AX9"/>
  <c r="AX40" s="1"/>
  <c r="AW9"/>
  <c r="AV9"/>
  <c r="AV40" s="1"/>
  <c r="AU9"/>
  <c r="AT9"/>
  <c r="AT40" s="1"/>
  <c r="AS9"/>
  <c r="AR9"/>
  <c r="AR40" s="1"/>
  <c r="AO9"/>
  <c r="AN9"/>
  <c r="AN40" s="1"/>
  <c r="AM9"/>
  <c r="AL9"/>
  <c r="AL40" s="1"/>
  <c r="AK9"/>
  <c r="AJ9"/>
  <c r="AJ40" s="1"/>
  <c r="AI9"/>
  <c r="AH9"/>
  <c r="AH41" s="1"/>
  <c r="AG9"/>
  <c r="AF9"/>
  <c r="AF41" s="1"/>
  <c r="P88"/>
  <c r="P89" s="1"/>
  <c r="AX48" i="817" s="1"/>
  <c r="O88" i="506"/>
  <c r="O89" s="1"/>
  <c r="AW48" i="817" s="1"/>
  <c r="B380" i="505"/>
  <c r="B379"/>
  <c r="B378"/>
  <c r="AB10"/>
  <c r="Z10"/>
  <c r="AA10" s="1"/>
  <c r="Y10"/>
  <c r="X10"/>
  <c r="W10"/>
  <c r="V10"/>
  <c r="U10"/>
  <c r="T10"/>
  <c r="AD10"/>
  <c r="AC10"/>
  <c r="AB9"/>
  <c r="AB11" s="1"/>
  <c r="AB13" s="1"/>
  <c r="AS48" i="817" s="1"/>
  <c r="Z9" i="505"/>
  <c r="Z11" s="1"/>
  <c r="Z13" s="1"/>
  <c r="Y9"/>
  <c r="Y11" s="1"/>
  <c r="Y13" s="1"/>
  <c r="X9"/>
  <c r="X11" s="1"/>
  <c r="X13" s="1"/>
  <c r="W9"/>
  <c r="W11" s="1"/>
  <c r="W13" s="1"/>
  <c r="V9"/>
  <c r="V11" s="1"/>
  <c r="V13" s="1"/>
  <c r="U9"/>
  <c r="U11" s="1"/>
  <c r="U13" s="1"/>
  <c r="T9"/>
  <c r="T11" s="1"/>
  <c r="T13" s="1"/>
  <c r="AD9"/>
  <c r="AD11" s="1"/>
  <c r="AD13" s="1"/>
  <c r="AU48" i="817" s="1"/>
  <c r="AC9" i="505"/>
  <c r="AC11" s="1"/>
  <c r="AC13" s="1"/>
  <c r="AT48" i="817" s="1"/>
  <c r="N88" i="503"/>
  <c r="N89" s="1"/>
  <c r="AV47" i="817" s="1"/>
  <c r="K88" i="503"/>
  <c r="K89" s="1"/>
  <c r="J88"/>
  <c r="J89" s="1"/>
  <c r="I88"/>
  <c r="I89" s="1"/>
  <c r="H89"/>
  <c r="G88"/>
  <c r="G89" s="1"/>
  <c r="F88"/>
  <c r="F89" s="1"/>
  <c r="C88"/>
  <c r="B88"/>
  <c r="A88"/>
  <c r="B35"/>
  <c r="B34"/>
  <c r="B21"/>
  <c r="BA9"/>
  <c r="AZ9"/>
  <c r="AY9"/>
  <c r="AX9"/>
  <c r="AW9"/>
  <c r="AV9"/>
  <c r="AV21" s="1"/>
  <c r="AU9"/>
  <c r="AT9"/>
  <c r="AT21" s="1"/>
  <c r="AS9"/>
  <c r="AR9"/>
  <c r="AR21" s="1"/>
  <c r="AO9"/>
  <c r="AN9"/>
  <c r="AN21" s="1"/>
  <c r="AM9"/>
  <c r="AL9"/>
  <c r="AL21" s="1"/>
  <c r="AK9"/>
  <c r="AJ9"/>
  <c r="AJ21" s="1"/>
  <c r="AI9"/>
  <c r="AH9"/>
  <c r="AH21" s="1"/>
  <c r="AG9"/>
  <c r="AF9"/>
  <c r="AF21" s="1"/>
  <c r="P88"/>
  <c r="P89" s="1"/>
  <c r="AX47" i="817" s="1"/>
  <c r="O88" i="503"/>
  <c r="O89" s="1"/>
  <c r="AW47" i="817" s="1"/>
  <c r="B380" i="502"/>
  <c r="B379"/>
  <c r="B378"/>
  <c r="AB10"/>
  <c r="Z10"/>
  <c r="AA10" s="1"/>
  <c r="Y10"/>
  <c r="X10"/>
  <c r="W10"/>
  <c r="V10"/>
  <c r="U10"/>
  <c r="T10"/>
  <c r="AD10"/>
  <c r="AC10"/>
  <c r="AB9"/>
  <c r="AB11" s="1"/>
  <c r="AB13" s="1"/>
  <c r="AS47" i="817" s="1"/>
  <c r="Z9" i="502"/>
  <c r="AA9" s="1"/>
  <c r="AA11" s="1"/>
  <c r="AA13" s="1"/>
  <c r="Y9"/>
  <c r="Y11" s="1"/>
  <c r="Y13" s="1"/>
  <c r="X9"/>
  <c r="X11" s="1"/>
  <c r="X13" s="1"/>
  <c r="W9"/>
  <c r="W11" s="1"/>
  <c r="W13" s="1"/>
  <c r="V9"/>
  <c r="V11" s="1"/>
  <c r="V13" s="1"/>
  <c r="U9"/>
  <c r="U11" s="1"/>
  <c r="U13" s="1"/>
  <c r="T9"/>
  <c r="T11" s="1"/>
  <c r="T13" s="1"/>
  <c r="AD9"/>
  <c r="AD11" s="1"/>
  <c r="AD13" s="1"/>
  <c r="AU47" i="817" s="1"/>
  <c r="AC9" i="502"/>
  <c r="AC11" s="1"/>
  <c r="AC13" s="1"/>
  <c r="AT47" i="817" s="1"/>
  <c r="N90" i="500"/>
  <c r="K90"/>
  <c r="J90"/>
  <c r="I90"/>
  <c r="G90"/>
  <c r="F90"/>
  <c r="C90"/>
  <c r="B90"/>
  <c r="A90"/>
  <c r="N89"/>
  <c r="K89"/>
  <c r="J89"/>
  <c r="I89"/>
  <c r="H91"/>
  <c r="G89"/>
  <c r="G91" s="1"/>
  <c r="F89"/>
  <c r="F91" s="1"/>
  <c r="C89"/>
  <c r="B89"/>
  <c r="A89"/>
  <c r="B36"/>
  <c r="B35"/>
  <c r="B22"/>
  <c r="BA10"/>
  <c r="AZ10"/>
  <c r="AZ41" s="1"/>
  <c r="AY10"/>
  <c r="AX10"/>
  <c r="AX41" s="1"/>
  <c r="AW10"/>
  <c r="AV10"/>
  <c r="AV41" s="1"/>
  <c r="AU10"/>
  <c r="AT10"/>
  <c r="AT41" s="1"/>
  <c r="AS10"/>
  <c r="AR10"/>
  <c r="AR42" s="1"/>
  <c r="AO10"/>
  <c r="AN10"/>
  <c r="AN42" s="1"/>
  <c r="AM10"/>
  <c r="AL10"/>
  <c r="AL42" s="1"/>
  <c r="AK10"/>
  <c r="AJ10"/>
  <c r="AJ42" s="1"/>
  <c r="AI10"/>
  <c r="AH10"/>
  <c r="AH42" s="1"/>
  <c r="AG10"/>
  <c r="AF10"/>
  <c r="AF42" s="1"/>
  <c r="P90"/>
  <c r="O90"/>
  <c r="P89"/>
  <c r="P91" s="1"/>
  <c r="AX46" i="817" s="1"/>
  <c r="O89" i="500"/>
  <c r="O91" s="1"/>
  <c r="AW46" i="817" s="1"/>
  <c r="B383" i="499"/>
  <c r="B382"/>
  <c r="B38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AD14"/>
  <c r="AD15" s="1"/>
  <c r="AC14"/>
  <c r="AC15" s="1"/>
  <c r="AB10"/>
  <c r="Y10"/>
  <c r="X10"/>
  <c r="W10"/>
  <c r="V10"/>
  <c r="U10"/>
  <c r="T10"/>
  <c r="AD10"/>
  <c r="AC10"/>
  <c r="AB9"/>
  <c r="Y9"/>
  <c r="X9"/>
  <c r="W9"/>
  <c r="V9"/>
  <c r="U9"/>
  <c r="T9"/>
  <c r="AD9"/>
  <c r="AC9"/>
  <c r="X10" i="498"/>
  <c r="X11" s="1"/>
  <c r="X12" s="1"/>
  <c r="AQ46" i="817" s="1"/>
  <c r="W10" i="498"/>
  <c r="W11" s="1"/>
  <c r="W12" s="1"/>
  <c r="AP46" i="817" s="1"/>
  <c r="U10" i="498"/>
  <c r="U11" s="1"/>
  <c r="U12" s="1"/>
  <c r="T10"/>
  <c r="T11" s="1"/>
  <c r="T12" s="1"/>
  <c r="S10"/>
  <c r="S11" s="1"/>
  <c r="S12" s="1"/>
  <c r="R10"/>
  <c r="R11" s="1"/>
  <c r="R12" s="1"/>
  <c r="Q10"/>
  <c r="Q11" s="1"/>
  <c r="Q12" s="1"/>
  <c r="Y10"/>
  <c r="Y11" s="1"/>
  <c r="Y12" s="1"/>
  <c r="AR46" i="817" s="1"/>
  <c r="V10" i="498"/>
  <c r="V11" s="1"/>
  <c r="V12" s="1"/>
  <c r="N90" i="497"/>
  <c r="K90"/>
  <c r="J90"/>
  <c r="I90"/>
  <c r="G90"/>
  <c r="F90"/>
  <c r="C90"/>
  <c r="B90"/>
  <c r="A90"/>
  <c r="N89"/>
  <c r="K89"/>
  <c r="J89"/>
  <c r="I89"/>
  <c r="H91"/>
  <c r="G89"/>
  <c r="G91" s="1"/>
  <c r="F89"/>
  <c r="F91" s="1"/>
  <c r="C89"/>
  <c r="B89"/>
  <c r="A89"/>
  <c r="B36"/>
  <c r="B35"/>
  <c r="B22"/>
  <c r="BA10"/>
  <c r="BA41" s="1"/>
  <c r="AZ10"/>
  <c r="AY10"/>
  <c r="AY41" s="1"/>
  <c r="AX10"/>
  <c r="AW10"/>
  <c r="AW41" s="1"/>
  <c r="AV10"/>
  <c r="AU10"/>
  <c r="AU41" s="1"/>
  <c r="AT10"/>
  <c r="AS10"/>
  <c r="AS42" s="1"/>
  <c r="AR10"/>
  <c r="AO10"/>
  <c r="AO42" s="1"/>
  <c r="AN10"/>
  <c r="AM10"/>
  <c r="AM42" s="1"/>
  <c r="AL10"/>
  <c r="AK10"/>
  <c r="AK42" s="1"/>
  <c r="AJ10"/>
  <c r="AI10"/>
  <c r="AI42" s="1"/>
  <c r="AH10"/>
  <c r="AG10"/>
  <c r="AG42" s="1"/>
  <c r="AF10"/>
  <c r="P90"/>
  <c r="O90"/>
  <c r="P89"/>
  <c r="P91" s="1"/>
  <c r="AX45" i="817" s="1"/>
  <c r="O89" i="497"/>
  <c r="O91" s="1"/>
  <c r="AW45" i="817" s="1"/>
  <c r="B383" i="496"/>
  <c r="B382"/>
  <c r="B38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AD14"/>
  <c r="AD15" s="1"/>
  <c r="AC14"/>
  <c r="AC15" s="1"/>
  <c r="AB10"/>
  <c r="Z10"/>
  <c r="AA10" s="1"/>
  <c r="Y10"/>
  <c r="X10"/>
  <c r="W10"/>
  <c r="V10"/>
  <c r="U10"/>
  <c r="T10"/>
  <c r="AD10"/>
  <c r="AC10"/>
  <c r="AB9"/>
  <c r="Z9"/>
  <c r="Z11" s="1"/>
  <c r="Z16" s="1"/>
  <c r="Y9"/>
  <c r="Y11" s="1"/>
  <c r="Y16" s="1"/>
  <c r="X9"/>
  <c r="X11" s="1"/>
  <c r="X16" s="1"/>
  <c r="W9"/>
  <c r="W11" s="1"/>
  <c r="W16" s="1"/>
  <c r="V9"/>
  <c r="V11" s="1"/>
  <c r="V16" s="1"/>
  <c r="U9"/>
  <c r="U11" s="1"/>
  <c r="U16" s="1"/>
  <c r="T9"/>
  <c r="T11" s="1"/>
  <c r="T16" s="1"/>
  <c r="AD9"/>
  <c r="AD11" s="1"/>
  <c r="AD16" s="1"/>
  <c r="AU45" i="817" s="1"/>
  <c r="AC9" i="496"/>
  <c r="AC11" s="1"/>
  <c r="X10" i="495"/>
  <c r="X11" s="1"/>
  <c r="X12" s="1"/>
  <c r="AQ45" i="817" s="1"/>
  <c r="W10" i="495"/>
  <c r="W11" s="1"/>
  <c r="W12" s="1"/>
  <c r="AP45" i="817" s="1"/>
  <c r="U10" i="495"/>
  <c r="U11" s="1"/>
  <c r="U12" s="1"/>
  <c r="T10"/>
  <c r="T11" s="1"/>
  <c r="T12" s="1"/>
  <c r="S10"/>
  <c r="S11" s="1"/>
  <c r="S12" s="1"/>
  <c r="R10"/>
  <c r="R11" s="1"/>
  <c r="R12" s="1"/>
  <c r="Q10"/>
  <c r="Q11" s="1"/>
  <c r="Q12" s="1"/>
  <c r="Y10"/>
  <c r="Y11" s="1"/>
  <c r="Y12" s="1"/>
  <c r="AR45" i="817" s="1"/>
  <c r="V10" i="495"/>
  <c r="V11" s="1"/>
  <c r="V12" s="1"/>
  <c r="N92" i="491"/>
  <c r="K92"/>
  <c r="J92"/>
  <c r="I92"/>
  <c r="G92"/>
  <c r="F92"/>
  <c r="C92"/>
  <c r="B92"/>
  <c r="A92"/>
  <c r="P92"/>
  <c r="O92"/>
  <c r="AB18" i="490"/>
  <c r="AB19" s="1"/>
  <c r="Y18"/>
  <c r="Y19" s="1"/>
  <c r="X18"/>
  <c r="X19" s="1"/>
  <c r="W18"/>
  <c r="W19" s="1"/>
  <c r="V18"/>
  <c r="V19" s="1"/>
  <c r="U18"/>
  <c r="U19" s="1"/>
  <c r="T18"/>
  <c r="T19" s="1"/>
  <c r="AD18"/>
  <c r="AD19" s="1"/>
  <c r="AC18"/>
  <c r="AC19" s="1"/>
  <c r="X18" i="489"/>
  <c r="X19" s="1"/>
  <c r="W18"/>
  <c r="W19" s="1"/>
  <c r="U18"/>
  <c r="U19" s="1"/>
  <c r="T18"/>
  <c r="T19" s="1"/>
  <c r="S18"/>
  <c r="S19" s="1"/>
  <c r="R18"/>
  <c r="R19" s="1"/>
  <c r="Q18"/>
  <c r="Q19" s="1"/>
  <c r="Y18"/>
  <c r="Y19" s="1"/>
  <c r="V18"/>
  <c r="V19" s="1"/>
  <c r="N90" i="494"/>
  <c r="K90"/>
  <c r="J90"/>
  <c r="I90"/>
  <c r="G90"/>
  <c r="F90"/>
  <c r="C90"/>
  <c r="B90"/>
  <c r="A90"/>
  <c r="P90"/>
  <c r="O90"/>
  <c r="X10" i="492"/>
  <c r="X11" s="1"/>
  <c r="X12" s="1"/>
  <c r="AQ44" i="817" s="1"/>
  <c r="W10" i="492"/>
  <c r="W11" s="1"/>
  <c r="W12" s="1"/>
  <c r="AP44" i="817" s="1"/>
  <c r="U10" i="492"/>
  <c r="T10"/>
  <c r="T11" s="1"/>
  <c r="T12" s="1"/>
  <c r="S10"/>
  <c r="R10"/>
  <c r="Q10"/>
  <c r="Q11" s="1"/>
  <c r="Q12" s="1"/>
  <c r="Y10"/>
  <c r="V10"/>
  <c r="N89" i="494"/>
  <c r="K89"/>
  <c r="J89"/>
  <c r="I89"/>
  <c r="G89"/>
  <c r="F89"/>
  <c r="C89"/>
  <c r="B89"/>
  <c r="A89"/>
  <c r="B36"/>
  <c r="B35"/>
  <c r="B22"/>
  <c r="L90" s="1"/>
  <c r="BA10"/>
  <c r="AZ10"/>
  <c r="AZ41" s="1"/>
  <c r="AY10"/>
  <c r="AX10"/>
  <c r="AX41" s="1"/>
  <c r="AW10"/>
  <c r="AV10"/>
  <c r="AV41" s="1"/>
  <c r="AU10"/>
  <c r="AT10"/>
  <c r="AT41" s="1"/>
  <c r="AS10"/>
  <c r="AR10"/>
  <c r="AR41" s="1"/>
  <c r="AO10"/>
  <c r="AN10"/>
  <c r="AN41" s="1"/>
  <c r="AM10"/>
  <c r="AL10"/>
  <c r="AL42" s="1"/>
  <c r="AK10"/>
  <c r="AJ10"/>
  <c r="AJ42" s="1"/>
  <c r="AI10"/>
  <c r="AH10"/>
  <c r="AH42" s="1"/>
  <c r="AG10"/>
  <c r="AF10"/>
  <c r="AF42" s="1"/>
  <c r="P89"/>
  <c r="O89"/>
  <c r="B383" i="493"/>
  <c r="B382"/>
  <c r="B38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AD14"/>
  <c r="AD15" s="1"/>
  <c r="AC14"/>
  <c r="AC15" s="1"/>
  <c r="AB10"/>
  <c r="Z10"/>
  <c r="AA10" s="1"/>
  <c r="Y10"/>
  <c r="X10"/>
  <c r="W10"/>
  <c r="V10"/>
  <c r="U10"/>
  <c r="T10"/>
  <c r="AD10"/>
  <c r="AC10"/>
  <c r="AB9"/>
  <c r="AB11" s="1"/>
  <c r="Z9"/>
  <c r="AA9" s="1"/>
  <c r="AA11" s="1"/>
  <c r="Y9"/>
  <c r="Y11" s="1"/>
  <c r="Y16" s="1"/>
  <c r="X9"/>
  <c r="X11" s="1"/>
  <c r="X16" s="1"/>
  <c r="W9"/>
  <c r="W11" s="1"/>
  <c r="W16" s="1"/>
  <c r="V9"/>
  <c r="V11" s="1"/>
  <c r="V16" s="1"/>
  <c r="U9"/>
  <c r="U11" s="1"/>
  <c r="U16" s="1"/>
  <c r="T9"/>
  <c r="T11" s="1"/>
  <c r="T16" s="1"/>
  <c r="AD9"/>
  <c r="AD11" s="1"/>
  <c r="AC9"/>
  <c r="AC11" s="1"/>
  <c r="AC16" s="1"/>
  <c r="AT44" i="817" s="1"/>
  <c r="N91" i="491"/>
  <c r="K91"/>
  <c r="J91"/>
  <c r="I91"/>
  <c r="G91"/>
  <c r="F91"/>
  <c r="C91"/>
  <c r="B91"/>
  <c r="A91"/>
  <c r="N90"/>
  <c r="K90"/>
  <c r="J90"/>
  <c r="I90"/>
  <c r="H93"/>
  <c r="G90"/>
  <c r="G93" s="1"/>
  <c r="F90"/>
  <c r="F93" s="1"/>
  <c r="C90"/>
  <c r="B90"/>
  <c r="A90"/>
  <c r="B37"/>
  <c r="B36"/>
  <c r="B23"/>
  <c r="L92" s="1"/>
  <c r="M92" s="1"/>
  <c r="BA11"/>
  <c r="AZ11"/>
  <c r="AY11"/>
  <c r="AX11"/>
  <c r="AW11"/>
  <c r="AV11"/>
  <c r="AU11"/>
  <c r="AT11"/>
  <c r="AS11"/>
  <c r="AR11"/>
  <c r="AO11"/>
  <c r="AN11"/>
  <c r="AM11"/>
  <c r="AL11"/>
  <c r="AK11"/>
  <c r="AJ11"/>
  <c r="AI11"/>
  <c r="AH11"/>
  <c r="AH23" s="1"/>
  <c r="AG11"/>
  <c r="AF11"/>
  <c r="AF23" s="1"/>
  <c r="P91"/>
  <c r="O91"/>
  <c r="P90"/>
  <c r="P93" s="1"/>
  <c r="AX43" i="817" s="1"/>
  <c r="O90" i="491"/>
  <c r="O93" s="1"/>
  <c r="AW43" i="817" s="1"/>
  <c r="B387" i="490"/>
  <c r="B386"/>
  <c r="Z18" s="1"/>
  <c r="Z19" s="1"/>
  <c r="B385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AD14"/>
  <c r="AD15" s="1"/>
  <c r="AC14"/>
  <c r="AC15" s="1"/>
  <c r="AB10"/>
  <c r="Z10"/>
  <c r="AA10" s="1"/>
  <c r="Y10"/>
  <c r="X10"/>
  <c r="W10"/>
  <c r="V10"/>
  <c r="U10"/>
  <c r="T10"/>
  <c r="AD10"/>
  <c r="AC10"/>
  <c r="AB9"/>
  <c r="AB11" s="1"/>
  <c r="Z9"/>
  <c r="AA9" s="1"/>
  <c r="AA11" s="1"/>
  <c r="Y9"/>
  <c r="Y11" s="1"/>
  <c r="X9"/>
  <c r="X11" s="1"/>
  <c r="W9"/>
  <c r="W11" s="1"/>
  <c r="V9"/>
  <c r="V11" s="1"/>
  <c r="U9"/>
  <c r="U11" s="1"/>
  <c r="T9"/>
  <c r="T11" s="1"/>
  <c r="AD9"/>
  <c r="AD11" s="1"/>
  <c r="AC9"/>
  <c r="AC11" s="1"/>
  <c r="X14" i="489"/>
  <c r="W14"/>
  <c r="U14"/>
  <c r="T14"/>
  <c r="S14"/>
  <c r="R14"/>
  <c r="Q14"/>
  <c r="Y14"/>
  <c r="V14"/>
  <c r="X13"/>
  <c r="W13"/>
  <c r="T13"/>
  <c r="T15" s="1"/>
  <c r="Q13"/>
  <c r="Q15" s="1"/>
  <c r="X9"/>
  <c r="W9"/>
  <c r="U9"/>
  <c r="T9"/>
  <c r="S9"/>
  <c r="R9"/>
  <c r="Q9"/>
  <c r="Y9"/>
  <c r="V9"/>
  <c r="X8"/>
  <c r="W8"/>
  <c r="T8"/>
  <c r="T10" s="1"/>
  <c r="Q8"/>
  <c r="Q10" s="1"/>
  <c r="D8"/>
  <c r="N90" i="488"/>
  <c r="K90"/>
  <c r="J90"/>
  <c r="I90"/>
  <c r="G90"/>
  <c r="F90"/>
  <c r="C90"/>
  <c r="B90"/>
  <c r="A90"/>
  <c r="N89"/>
  <c r="K89"/>
  <c r="J89"/>
  <c r="I89"/>
  <c r="H91"/>
  <c r="G89"/>
  <c r="G91" s="1"/>
  <c r="F89"/>
  <c r="F91" s="1"/>
  <c r="C89"/>
  <c r="B89"/>
  <c r="A89"/>
  <c r="B36"/>
  <c r="B35"/>
  <c r="B22"/>
  <c r="BA10"/>
  <c r="AZ10"/>
  <c r="AZ41" s="1"/>
  <c r="AY10"/>
  <c r="AX10"/>
  <c r="AX41" s="1"/>
  <c r="AW10"/>
  <c r="AV10"/>
  <c r="AV41" s="1"/>
  <c r="AU10"/>
  <c r="AT10"/>
  <c r="AT41" s="1"/>
  <c r="AS10"/>
  <c r="AR10"/>
  <c r="AR41" s="1"/>
  <c r="AO10"/>
  <c r="AN10"/>
  <c r="AN41" s="1"/>
  <c r="AM10"/>
  <c r="AL10"/>
  <c r="AL42" s="1"/>
  <c r="AK10"/>
  <c r="AJ10"/>
  <c r="AJ42" s="1"/>
  <c r="AI10"/>
  <c r="AH10"/>
  <c r="AH42" s="1"/>
  <c r="AG10"/>
  <c r="AF10"/>
  <c r="AF42" s="1"/>
  <c r="P90"/>
  <c r="O90"/>
  <c r="P89"/>
  <c r="P91" s="1"/>
  <c r="AX42" i="817" s="1"/>
  <c r="O89" i="488"/>
  <c r="O91" s="1"/>
  <c r="AW42" i="817" s="1"/>
  <c r="B383" i="487"/>
  <c r="B382"/>
  <c r="B38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AD14"/>
  <c r="AD15" s="1"/>
  <c r="AC14"/>
  <c r="AC15" s="1"/>
  <c r="AB10"/>
  <c r="Z10"/>
  <c r="AA10" s="1"/>
  <c r="Y10"/>
  <c r="X10"/>
  <c r="W10"/>
  <c r="V10"/>
  <c r="U10"/>
  <c r="T10"/>
  <c r="AD10"/>
  <c r="AC10"/>
  <c r="AB9"/>
  <c r="AB11" s="1"/>
  <c r="AB16" s="1"/>
  <c r="AS42" i="817" s="1"/>
  <c r="Z9" i="487"/>
  <c r="Z11" s="1"/>
  <c r="Z16" s="1"/>
  <c r="Y9"/>
  <c r="X9"/>
  <c r="X11" s="1"/>
  <c r="X16" s="1"/>
  <c r="W9"/>
  <c r="V9"/>
  <c r="V11" s="1"/>
  <c r="V16" s="1"/>
  <c r="U9"/>
  <c r="T9"/>
  <c r="T11" s="1"/>
  <c r="T16" s="1"/>
  <c r="AD9"/>
  <c r="AC9"/>
  <c r="AC11" s="1"/>
  <c r="AC16" s="1"/>
  <c r="AT42" i="817" s="1"/>
  <c r="X14" i="486"/>
  <c r="W14"/>
  <c r="U14"/>
  <c r="T14"/>
  <c r="S14"/>
  <c r="R14"/>
  <c r="Q14"/>
  <c r="Y14"/>
  <c r="V14"/>
  <c r="X13"/>
  <c r="W13"/>
  <c r="T13"/>
  <c r="T15" s="1"/>
  <c r="Q13"/>
  <c r="Q15" s="1"/>
  <c r="X9"/>
  <c r="W9"/>
  <c r="U9"/>
  <c r="T9"/>
  <c r="S9"/>
  <c r="R9"/>
  <c r="Q9"/>
  <c r="Y9"/>
  <c r="V9"/>
  <c r="X8"/>
  <c r="W8"/>
  <c r="T8"/>
  <c r="T10" s="1"/>
  <c r="Q8"/>
  <c r="Q10" s="1"/>
  <c r="D8"/>
  <c r="N90" i="485"/>
  <c r="K90"/>
  <c r="J90"/>
  <c r="I90"/>
  <c r="G90"/>
  <c r="F90"/>
  <c r="C90"/>
  <c r="B90"/>
  <c r="A90"/>
  <c r="N89"/>
  <c r="K89"/>
  <c r="J89"/>
  <c r="I89"/>
  <c r="G89"/>
  <c r="F89"/>
  <c r="C89"/>
  <c r="B89"/>
  <c r="A89"/>
  <c r="B36"/>
  <c r="B35"/>
  <c r="B22"/>
  <c r="BA10"/>
  <c r="BA41" s="1"/>
  <c r="AZ10"/>
  <c r="AY10"/>
  <c r="AY41" s="1"/>
  <c r="AX10"/>
  <c r="AW10"/>
  <c r="AW41" s="1"/>
  <c r="AV10"/>
  <c r="AU10"/>
  <c r="AU41" s="1"/>
  <c r="AT10"/>
  <c r="AS10"/>
  <c r="AS41" s="1"/>
  <c r="AR10"/>
  <c r="AO10"/>
  <c r="AO41" s="1"/>
  <c r="AN10"/>
  <c r="AM10"/>
  <c r="AM41" s="1"/>
  <c r="AL10"/>
  <c r="AK10"/>
  <c r="AK42" s="1"/>
  <c r="AJ10"/>
  <c r="AI10"/>
  <c r="AI42" s="1"/>
  <c r="AH10"/>
  <c r="AG10"/>
  <c r="AG42" s="1"/>
  <c r="AF10"/>
  <c r="P90"/>
  <c r="O90"/>
  <c r="P89"/>
  <c r="P91" s="1"/>
  <c r="AX41" i="817" s="1"/>
  <c r="O89" i="485"/>
  <c r="O91" s="1"/>
  <c r="AW41" i="817" s="1"/>
  <c r="B383" i="484"/>
  <c r="B382"/>
  <c r="B381"/>
  <c r="Z14" s="1"/>
  <c r="Z15" s="1"/>
  <c r="AB14"/>
  <c r="AB15" s="1"/>
  <c r="Y14"/>
  <c r="Y15" s="1"/>
  <c r="X14"/>
  <c r="X15" s="1"/>
  <c r="W14"/>
  <c r="W15" s="1"/>
  <c r="V14"/>
  <c r="V15" s="1"/>
  <c r="U14"/>
  <c r="U15" s="1"/>
  <c r="T14"/>
  <c r="T15" s="1"/>
  <c r="AD14"/>
  <c r="AD15" s="1"/>
  <c r="AC14"/>
  <c r="AC15" s="1"/>
  <c r="AB10"/>
  <c r="Y10"/>
  <c r="X10"/>
  <c r="W10"/>
  <c r="V10"/>
  <c r="U10"/>
  <c r="T10"/>
  <c r="AD10"/>
  <c r="AC10"/>
  <c r="AB9"/>
  <c r="Z9"/>
  <c r="Y9"/>
  <c r="X9"/>
  <c r="W9"/>
  <c r="V9"/>
  <c r="U9"/>
  <c r="T9"/>
  <c r="AD9"/>
  <c r="AD11" s="1"/>
  <c r="AC9"/>
  <c r="X14" i="483"/>
  <c r="W14"/>
  <c r="U14"/>
  <c r="T14"/>
  <c r="S14"/>
  <c r="R14"/>
  <c r="Q14"/>
  <c r="Y14"/>
  <c r="V14"/>
  <c r="X13"/>
  <c r="W13"/>
  <c r="T13"/>
  <c r="T15" s="1"/>
  <c r="Q13"/>
  <c r="Q15" s="1"/>
  <c r="X9"/>
  <c r="W9"/>
  <c r="U9"/>
  <c r="T9"/>
  <c r="S9"/>
  <c r="R9"/>
  <c r="Q9"/>
  <c r="Y9"/>
  <c r="V9"/>
  <c r="X8"/>
  <c r="W8"/>
  <c r="T8"/>
  <c r="T10" s="1"/>
  <c r="Q8"/>
  <c r="Q10" s="1"/>
  <c r="D8"/>
  <c r="N90" i="482"/>
  <c r="K90"/>
  <c r="J90"/>
  <c r="I90"/>
  <c r="G90"/>
  <c r="F90"/>
  <c r="C90"/>
  <c r="B90"/>
  <c r="A90"/>
  <c r="N89"/>
  <c r="K89"/>
  <c r="J89"/>
  <c r="I89"/>
  <c r="H91"/>
  <c r="G89"/>
  <c r="G91" s="1"/>
  <c r="F89"/>
  <c r="F91" s="1"/>
  <c r="C89"/>
  <c r="B89"/>
  <c r="A89"/>
  <c r="B36"/>
  <c r="B35"/>
  <c r="B22"/>
  <c r="BA10"/>
  <c r="AZ10"/>
  <c r="AZ41" s="1"/>
  <c r="AY10"/>
  <c r="AX10"/>
  <c r="AX41" s="1"/>
  <c r="AW10"/>
  <c r="AV10"/>
  <c r="AV41" s="1"/>
  <c r="AU10"/>
  <c r="AT10"/>
  <c r="AT41" s="1"/>
  <c r="AS10"/>
  <c r="AR10"/>
  <c r="AR41" s="1"/>
  <c r="AO10"/>
  <c r="AN10"/>
  <c r="AN41" s="1"/>
  <c r="AM10"/>
  <c r="AL10"/>
  <c r="AL42" s="1"/>
  <c r="AK10"/>
  <c r="AJ10"/>
  <c r="AJ42" s="1"/>
  <c r="AI10"/>
  <c r="AH10"/>
  <c r="AH42" s="1"/>
  <c r="AG10"/>
  <c r="AF10"/>
  <c r="AF42" s="1"/>
  <c r="P90"/>
  <c r="O90"/>
  <c r="P89"/>
  <c r="P91" s="1"/>
  <c r="AX40" i="817" s="1"/>
  <c r="O89" i="482"/>
  <c r="O91" s="1"/>
  <c r="AW40" i="817" s="1"/>
  <c r="B383" i="481"/>
  <c r="B382"/>
  <c r="B381"/>
  <c r="Z10" s="1"/>
  <c r="AA10" s="1"/>
  <c r="AB14"/>
  <c r="AB15" s="1"/>
  <c r="Y14"/>
  <c r="Y15" s="1"/>
  <c r="X14"/>
  <c r="X15" s="1"/>
  <c r="W14"/>
  <c r="W15" s="1"/>
  <c r="V14"/>
  <c r="V15" s="1"/>
  <c r="U14"/>
  <c r="U15" s="1"/>
  <c r="T14"/>
  <c r="T15" s="1"/>
  <c r="AD14"/>
  <c r="AD15" s="1"/>
  <c r="AC14"/>
  <c r="AC15" s="1"/>
  <c r="AB10"/>
  <c r="Y10"/>
  <c r="X10"/>
  <c r="W10"/>
  <c r="V10"/>
  <c r="U10"/>
  <c r="T10"/>
  <c r="AD10"/>
  <c r="AC10"/>
  <c r="AB9"/>
  <c r="Y9"/>
  <c r="X9"/>
  <c r="W9"/>
  <c r="V9"/>
  <c r="U9"/>
  <c r="T9"/>
  <c r="AD9"/>
  <c r="AC9"/>
  <c r="X16" i="480"/>
  <c r="W16"/>
  <c r="U16"/>
  <c r="T16"/>
  <c r="S16"/>
  <c r="R16"/>
  <c r="Q16"/>
  <c r="Y16"/>
  <c r="V16"/>
  <c r="X15"/>
  <c r="W15"/>
  <c r="T15"/>
  <c r="Q15"/>
  <c r="X14"/>
  <c r="W14"/>
  <c r="U14"/>
  <c r="T14"/>
  <c r="S14"/>
  <c r="R14"/>
  <c r="Q14"/>
  <c r="Y14"/>
  <c r="V14"/>
  <c r="X13"/>
  <c r="W13"/>
  <c r="T13"/>
  <c r="Q13"/>
  <c r="X9"/>
  <c r="W9"/>
  <c r="U9"/>
  <c r="T9"/>
  <c r="S9"/>
  <c r="R9"/>
  <c r="Q9"/>
  <c r="Y9"/>
  <c r="V9"/>
  <c r="X8"/>
  <c r="W8"/>
  <c r="T8"/>
  <c r="T10" s="1"/>
  <c r="Q8"/>
  <c r="Q10" s="1"/>
  <c r="D8"/>
  <c r="X18" i="477"/>
  <c r="W18"/>
  <c r="U18"/>
  <c r="T18"/>
  <c r="S18"/>
  <c r="R18"/>
  <c r="Q18"/>
  <c r="Y18"/>
  <c r="V18"/>
  <c r="X17"/>
  <c r="W17"/>
  <c r="U17"/>
  <c r="T17"/>
  <c r="S17"/>
  <c r="R17"/>
  <c r="Q17"/>
  <c r="Y17"/>
  <c r="V17"/>
  <c r="X16"/>
  <c r="W16"/>
  <c r="T16"/>
  <c r="Q16"/>
  <c r="X15"/>
  <c r="W15"/>
  <c r="T15"/>
  <c r="Q15"/>
  <c r="X14"/>
  <c r="W14"/>
  <c r="U14"/>
  <c r="T14"/>
  <c r="S14"/>
  <c r="R14"/>
  <c r="Q14"/>
  <c r="Y14"/>
  <c r="V14"/>
  <c r="X13"/>
  <c r="W13"/>
  <c r="T13"/>
  <c r="Q13"/>
  <c r="V13" i="474"/>
  <c r="Y13"/>
  <c r="Q13"/>
  <c r="R13"/>
  <c r="S13"/>
  <c r="T13"/>
  <c r="U13"/>
  <c r="W13"/>
  <c r="X13"/>
  <c r="J14"/>
  <c r="V14" s="1"/>
  <c r="M14"/>
  <c r="Q14"/>
  <c r="R14"/>
  <c r="S14"/>
  <c r="T14"/>
  <c r="U14"/>
  <c r="W14"/>
  <c r="X14"/>
  <c r="Y14"/>
  <c r="N90" i="479"/>
  <c r="K90"/>
  <c r="J90"/>
  <c r="I90"/>
  <c r="G90"/>
  <c r="F90"/>
  <c r="C90"/>
  <c r="B90"/>
  <c r="A90"/>
  <c r="N89"/>
  <c r="K89"/>
  <c r="J89"/>
  <c r="I89"/>
  <c r="H91"/>
  <c r="G89"/>
  <c r="G91" s="1"/>
  <c r="F89"/>
  <c r="F91" s="1"/>
  <c r="C89"/>
  <c r="B89"/>
  <c r="A89"/>
  <c r="B36"/>
  <c r="B35"/>
  <c r="B22"/>
  <c r="BA10"/>
  <c r="AZ10"/>
  <c r="AZ41" s="1"/>
  <c r="AY10"/>
  <c r="AX10"/>
  <c r="AX41" s="1"/>
  <c r="AW10"/>
  <c r="AV10"/>
  <c r="AV41" s="1"/>
  <c r="AU10"/>
  <c r="AT10"/>
  <c r="AT41" s="1"/>
  <c r="AS10"/>
  <c r="AR10"/>
  <c r="AR41" s="1"/>
  <c r="AO10"/>
  <c r="AN10"/>
  <c r="AN41" s="1"/>
  <c r="AM10"/>
  <c r="AL10"/>
  <c r="AL42" s="1"/>
  <c r="AK10"/>
  <c r="AJ10"/>
  <c r="AJ42" s="1"/>
  <c r="AI10"/>
  <c r="AH10"/>
  <c r="AH42" s="1"/>
  <c r="AG10"/>
  <c r="AF10"/>
  <c r="AF42" s="1"/>
  <c r="P90"/>
  <c r="O90"/>
  <c r="P89"/>
  <c r="P91" s="1"/>
  <c r="AX39" i="817" s="1"/>
  <c r="O89" i="479"/>
  <c r="O91" s="1"/>
  <c r="AW39" i="817" s="1"/>
  <c r="B383" i="478"/>
  <c r="B382"/>
  <c r="B38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AD14"/>
  <c r="AD15" s="1"/>
  <c r="AC14"/>
  <c r="AC15" s="1"/>
  <c r="AB10"/>
  <c r="Z10"/>
  <c r="AA10" s="1"/>
  <c r="Y10"/>
  <c r="X10"/>
  <c r="W10"/>
  <c r="V10"/>
  <c r="U10"/>
  <c r="T10"/>
  <c r="AD10"/>
  <c r="AC10"/>
  <c r="AB9"/>
  <c r="AB11" s="1"/>
  <c r="AB16" s="1"/>
  <c r="AS39" i="817" s="1"/>
  <c r="Z9" i="478"/>
  <c r="AA9" s="1"/>
  <c r="Y9"/>
  <c r="Y11" s="1"/>
  <c r="Y16" s="1"/>
  <c r="X9"/>
  <c r="X11" s="1"/>
  <c r="X16" s="1"/>
  <c r="W9"/>
  <c r="W11" s="1"/>
  <c r="W16" s="1"/>
  <c r="V9"/>
  <c r="V11" s="1"/>
  <c r="V16" s="1"/>
  <c r="U9"/>
  <c r="U11" s="1"/>
  <c r="U16" s="1"/>
  <c r="T9"/>
  <c r="T11" s="1"/>
  <c r="T16" s="1"/>
  <c r="AD9"/>
  <c r="AD11" s="1"/>
  <c r="AD16" s="1"/>
  <c r="AU39" i="817" s="1"/>
  <c r="AC9" i="478"/>
  <c r="AC11" s="1"/>
  <c r="AC16" s="1"/>
  <c r="AT39" i="817" s="1"/>
  <c r="X9" i="477"/>
  <c r="W9"/>
  <c r="U9"/>
  <c r="T9"/>
  <c r="S9"/>
  <c r="R9"/>
  <c r="Q9"/>
  <c r="Y9"/>
  <c r="V9"/>
  <c r="X8"/>
  <c r="W8"/>
  <c r="T8"/>
  <c r="T10" s="1"/>
  <c r="Q8"/>
  <c r="Q10" s="1"/>
  <c r="D8"/>
  <c r="N90" i="476"/>
  <c r="K90"/>
  <c r="J90"/>
  <c r="I90"/>
  <c r="G90"/>
  <c r="F90"/>
  <c r="C90"/>
  <c r="B90"/>
  <c r="A90"/>
  <c r="N89"/>
  <c r="K89"/>
  <c r="J89"/>
  <c r="I89"/>
  <c r="H91"/>
  <c r="G89"/>
  <c r="G91" s="1"/>
  <c r="F89"/>
  <c r="F91" s="1"/>
  <c r="C89"/>
  <c r="B89"/>
  <c r="A89"/>
  <c r="B36"/>
  <c r="B35"/>
  <c r="B22"/>
  <c r="BA10"/>
  <c r="BA41" s="1"/>
  <c r="AZ10"/>
  <c r="AY10"/>
  <c r="AY41" s="1"/>
  <c r="AX10"/>
  <c r="AW10"/>
  <c r="AW41" s="1"/>
  <c r="AV10"/>
  <c r="AU10"/>
  <c r="AU41" s="1"/>
  <c r="AT10"/>
  <c r="AS10"/>
  <c r="AS41" s="1"/>
  <c r="AR10"/>
  <c r="AO10"/>
  <c r="AO41" s="1"/>
  <c r="AN10"/>
  <c r="AM10"/>
  <c r="AM42" s="1"/>
  <c r="AL10"/>
  <c r="AK10"/>
  <c r="AK42" s="1"/>
  <c r="AJ10"/>
  <c r="AI10"/>
  <c r="AI42" s="1"/>
  <c r="AH10"/>
  <c r="AG10"/>
  <c r="AG42" s="1"/>
  <c r="AF10"/>
  <c r="P90"/>
  <c r="O90"/>
  <c r="P89"/>
  <c r="P91" s="1"/>
  <c r="AX38" i="817" s="1"/>
  <c r="O89" i="476"/>
  <c r="O91" s="1"/>
  <c r="AW38" i="817" s="1"/>
  <c r="B383" i="475"/>
  <c r="B382"/>
  <c r="B381"/>
  <c r="Z9" s="1"/>
  <c r="AA9" s="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AD14"/>
  <c r="AD15" s="1"/>
  <c r="AC14"/>
  <c r="AC15" s="1"/>
  <c r="AB10"/>
  <c r="Z10"/>
  <c r="AA10" s="1"/>
  <c r="Y10"/>
  <c r="X10"/>
  <c r="W10"/>
  <c r="V10"/>
  <c r="U10"/>
  <c r="T10"/>
  <c r="AD10"/>
  <c r="AC10"/>
  <c r="AB9"/>
  <c r="AB11" s="1"/>
  <c r="AB16" s="1"/>
  <c r="AS38" i="817" s="1"/>
  <c r="Y9" i="475"/>
  <c r="X9"/>
  <c r="W9"/>
  <c r="V9"/>
  <c r="U9"/>
  <c r="T9"/>
  <c r="AD9"/>
  <c r="AC9"/>
  <c r="X9" i="474"/>
  <c r="W9"/>
  <c r="U9"/>
  <c r="T9"/>
  <c r="S9"/>
  <c r="R9"/>
  <c r="Q9"/>
  <c r="Y9"/>
  <c r="V9"/>
  <c r="X8"/>
  <c r="W8"/>
  <c r="T8"/>
  <c r="T10" s="1"/>
  <c r="Q8"/>
  <c r="Q10" s="1"/>
  <c r="D8"/>
  <c r="N90" i="473"/>
  <c r="K90"/>
  <c r="J90"/>
  <c r="I90"/>
  <c r="G90"/>
  <c r="F90"/>
  <c r="C90"/>
  <c r="B90"/>
  <c r="A90"/>
  <c r="N89"/>
  <c r="K89"/>
  <c r="J89"/>
  <c r="I89"/>
  <c r="H91"/>
  <c r="G89"/>
  <c r="G91" s="1"/>
  <c r="F89"/>
  <c r="F91" s="1"/>
  <c r="C89"/>
  <c r="B89"/>
  <c r="A89"/>
  <c r="B36"/>
  <c r="B35"/>
  <c r="B22"/>
  <c r="BA10"/>
  <c r="AZ10"/>
  <c r="AZ41" s="1"/>
  <c r="AY10"/>
  <c r="AX10"/>
  <c r="AX41" s="1"/>
  <c r="AW10"/>
  <c r="AV10"/>
  <c r="AV41" s="1"/>
  <c r="AU10"/>
  <c r="AT10"/>
  <c r="AT41" s="1"/>
  <c r="AS10"/>
  <c r="AR10"/>
  <c r="AR41" s="1"/>
  <c r="AO10"/>
  <c r="AN10"/>
  <c r="AN41" s="1"/>
  <c r="AM10"/>
  <c r="AL10"/>
  <c r="AL42" s="1"/>
  <c r="AK10"/>
  <c r="AJ10"/>
  <c r="AJ42" s="1"/>
  <c r="AI10"/>
  <c r="AH10"/>
  <c r="AH42" s="1"/>
  <c r="AG10"/>
  <c r="AF10"/>
  <c r="AF42" s="1"/>
  <c r="P90"/>
  <c r="O90"/>
  <c r="P89"/>
  <c r="P91" s="1"/>
  <c r="AX37" i="817" s="1"/>
  <c r="O89" i="473"/>
  <c r="O91" s="1"/>
  <c r="AW37" i="817" s="1"/>
  <c r="B383" i="472"/>
  <c r="B382"/>
  <c r="B38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AD14"/>
  <c r="AD15" s="1"/>
  <c r="AC14"/>
  <c r="AC15" s="1"/>
  <c r="AB10"/>
  <c r="Z10"/>
  <c r="AA10" s="1"/>
  <c r="Y10"/>
  <c r="X10"/>
  <c r="W10"/>
  <c r="V10"/>
  <c r="U10"/>
  <c r="T10"/>
  <c r="AD10"/>
  <c r="AC10"/>
  <c r="AB9"/>
  <c r="AB11" s="1"/>
  <c r="AB16" s="1"/>
  <c r="AS37" i="817" s="1"/>
  <c r="Z9" i="472"/>
  <c r="AA9" s="1"/>
  <c r="AA11" s="1"/>
  <c r="Y9"/>
  <c r="Y11" s="1"/>
  <c r="Y16" s="1"/>
  <c r="X9"/>
  <c r="X11" s="1"/>
  <c r="X16" s="1"/>
  <c r="W9"/>
  <c r="W11" s="1"/>
  <c r="W16" s="1"/>
  <c r="V9"/>
  <c r="V11" s="1"/>
  <c r="V16" s="1"/>
  <c r="U9"/>
  <c r="U11" s="1"/>
  <c r="U16" s="1"/>
  <c r="T9"/>
  <c r="T11" s="1"/>
  <c r="T16" s="1"/>
  <c r="AD9"/>
  <c r="AD11" s="1"/>
  <c r="AD16" s="1"/>
  <c r="AU37" i="817" s="1"/>
  <c r="AC9" i="472"/>
  <c r="AC11" s="1"/>
  <c r="AC16" s="1"/>
  <c r="AT37" i="817" s="1"/>
  <c r="X14" i="471"/>
  <c r="W14"/>
  <c r="U14"/>
  <c r="T14"/>
  <c r="S14"/>
  <c r="R14"/>
  <c r="Q14"/>
  <c r="M14"/>
  <c r="Y14" s="1"/>
  <c r="J14"/>
  <c r="V14" s="1"/>
  <c r="X13"/>
  <c r="W13"/>
  <c r="U13"/>
  <c r="T13"/>
  <c r="S13"/>
  <c r="R13"/>
  <c r="Q13"/>
  <c r="Y13"/>
  <c r="V13"/>
  <c r="X9"/>
  <c r="W9"/>
  <c r="U9"/>
  <c r="T9"/>
  <c r="S9"/>
  <c r="R9"/>
  <c r="Q9"/>
  <c r="Y9"/>
  <c r="V9"/>
  <c r="X8"/>
  <c r="W8"/>
  <c r="T8"/>
  <c r="T10" s="1"/>
  <c r="Q8"/>
  <c r="Q10" s="1"/>
  <c r="D8"/>
  <c r="N90" i="470"/>
  <c r="K90"/>
  <c r="J90"/>
  <c r="I90"/>
  <c r="G90"/>
  <c r="F90"/>
  <c r="C90"/>
  <c r="B90"/>
  <c r="A90"/>
  <c r="N89"/>
  <c r="K89"/>
  <c r="J89"/>
  <c r="I89"/>
  <c r="H91"/>
  <c r="G89"/>
  <c r="G91" s="1"/>
  <c r="F89"/>
  <c r="F91" s="1"/>
  <c r="C89"/>
  <c r="B89"/>
  <c r="A89"/>
  <c r="B36"/>
  <c r="B35"/>
  <c r="B22"/>
  <c r="BA10"/>
  <c r="BA41" s="1"/>
  <c r="AZ10"/>
  <c r="AY10"/>
  <c r="AY41" s="1"/>
  <c r="AX10"/>
  <c r="AW10"/>
  <c r="AW41" s="1"/>
  <c r="AV10"/>
  <c r="AU10"/>
  <c r="AU41" s="1"/>
  <c r="AT10"/>
  <c r="AS10"/>
  <c r="AS41" s="1"/>
  <c r="AR10"/>
  <c r="AO10"/>
  <c r="AO41" s="1"/>
  <c r="AN10"/>
  <c r="AM10"/>
  <c r="AM41" s="1"/>
  <c r="AL10"/>
  <c r="AK10"/>
  <c r="AK42" s="1"/>
  <c r="AJ10"/>
  <c r="AI10"/>
  <c r="AI42" s="1"/>
  <c r="AH10"/>
  <c r="AG10"/>
  <c r="AG42" s="1"/>
  <c r="AF10"/>
  <c r="P90"/>
  <c r="O90"/>
  <c r="P89"/>
  <c r="P91" s="1"/>
  <c r="AX36" i="817" s="1"/>
  <c r="O89" i="470"/>
  <c r="O91" s="1"/>
  <c r="AW36" i="817" s="1"/>
  <c r="B383" i="469"/>
  <c r="B382"/>
  <c r="B381"/>
  <c r="AB14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AD14"/>
  <c r="AC14"/>
  <c r="AC15" s="1"/>
  <c r="AB10"/>
  <c r="Z10"/>
  <c r="AA10" s="1"/>
  <c r="Y10"/>
  <c r="X10"/>
  <c r="W10"/>
  <c r="V10"/>
  <c r="U10"/>
  <c r="T10"/>
  <c r="AD10"/>
  <c r="AC10"/>
  <c r="AB9"/>
  <c r="AB11" s="1"/>
  <c r="AB16" s="1"/>
  <c r="AS36" i="817" s="1"/>
  <c r="Z9" i="469"/>
  <c r="Z11" s="1"/>
  <c r="Z16" s="1"/>
  <c r="Y9"/>
  <c r="Y11" s="1"/>
  <c r="Y16" s="1"/>
  <c r="X9"/>
  <c r="X11" s="1"/>
  <c r="X16" s="1"/>
  <c r="W9"/>
  <c r="W11" s="1"/>
  <c r="W16" s="1"/>
  <c r="V9"/>
  <c r="V11" s="1"/>
  <c r="V16" s="1"/>
  <c r="U9"/>
  <c r="U11" s="1"/>
  <c r="U16" s="1"/>
  <c r="T9"/>
  <c r="T11" s="1"/>
  <c r="T16" s="1"/>
  <c r="AD9"/>
  <c r="AD11" s="1"/>
  <c r="AC9"/>
  <c r="AC11" s="1"/>
  <c r="AC16" s="1"/>
  <c r="AT36" i="817" s="1"/>
  <c r="X15" i="468"/>
  <c r="W15"/>
  <c r="U15"/>
  <c r="T15"/>
  <c r="S15"/>
  <c r="R15"/>
  <c r="Q15"/>
  <c r="M15"/>
  <c r="Y15" s="1"/>
  <c r="J15"/>
  <c r="V15" s="1"/>
  <c r="X14"/>
  <c r="W14"/>
  <c r="U14"/>
  <c r="T14"/>
  <c r="S14"/>
  <c r="R14"/>
  <c r="Q14"/>
  <c r="Y14"/>
  <c r="V14"/>
  <c r="X13"/>
  <c r="W13"/>
  <c r="T13"/>
  <c r="Q13"/>
  <c r="X9"/>
  <c r="W9"/>
  <c r="U9"/>
  <c r="T9"/>
  <c r="S9"/>
  <c r="R9"/>
  <c r="Q9"/>
  <c r="Y9"/>
  <c r="V9"/>
  <c r="X8"/>
  <c r="W8"/>
  <c r="T8"/>
  <c r="T10" s="1"/>
  <c r="Q8"/>
  <c r="Q10" s="1"/>
  <c r="D8"/>
  <c r="A88" i="413"/>
  <c r="AB10" i="421"/>
  <c r="Z10"/>
  <c r="Y10"/>
  <c r="X10"/>
  <c r="W10"/>
  <c r="V10"/>
  <c r="U10"/>
  <c r="T10"/>
  <c r="AD10"/>
  <c r="AC10"/>
  <c r="AB9"/>
  <c r="Z9"/>
  <c r="Y9"/>
  <c r="X9"/>
  <c r="W9"/>
  <c r="V9"/>
  <c r="U9"/>
  <c r="T9"/>
  <c r="AD9"/>
  <c r="AC9"/>
  <c r="X8" i="420"/>
  <c r="W8"/>
  <c r="T8"/>
  <c r="Q8"/>
  <c r="X9"/>
  <c r="W9"/>
  <c r="U9"/>
  <c r="T9"/>
  <c r="S9"/>
  <c r="R9"/>
  <c r="Q9"/>
  <c r="Y9"/>
  <c r="V9"/>
  <c r="X17"/>
  <c r="W17"/>
  <c r="U17"/>
  <c r="T17"/>
  <c r="S17"/>
  <c r="R17"/>
  <c r="Q17"/>
  <c r="Y17"/>
  <c r="V17"/>
  <c r="X16"/>
  <c r="W16"/>
  <c r="T16"/>
  <c r="Q16"/>
  <c r="X18"/>
  <c r="W18"/>
  <c r="T18"/>
  <c r="Q18"/>
  <c r="X15"/>
  <c r="W15"/>
  <c r="U15"/>
  <c r="T15"/>
  <c r="S15"/>
  <c r="R15"/>
  <c r="Q15"/>
  <c r="Y15"/>
  <c r="V15"/>
  <c r="X14"/>
  <c r="W14"/>
  <c r="U14"/>
  <c r="T14"/>
  <c r="S14"/>
  <c r="R14"/>
  <c r="Q14"/>
  <c r="Y14"/>
  <c r="V14"/>
  <c r="X13"/>
  <c r="W13"/>
  <c r="U13"/>
  <c r="T13"/>
  <c r="S13"/>
  <c r="R13"/>
  <c r="Q13"/>
  <c r="Y13"/>
  <c r="V13"/>
  <c r="X12"/>
  <c r="W12"/>
  <c r="T12"/>
  <c r="Q12"/>
  <c r="X11"/>
  <c r="W11"/>
  <c r="T11"/>
  <c r="Q11"/>
  <c r="X10"/>
  <c r="W10"/>
  <c r="T10"/>
  <c r="Q10"/>
  <c r="X19"/>
  <c r="W19"/>
  <c r="T19"/>
  <c r="Q19"/>
  <c r="B35" i="422"/>
  <c r="B34"/>
  <c r="B21"/>
  <c r="L88" s="1"/>
  <c r="BA9"/>
  <c r="AZ9"/>
  <c r="AZ40" s="1"/>
  <c r="AY9"/>
  <c r="AX9"/>
  <c r="AX40" s="1"/>
  <c r="AW9"/>
  <c r="AV9"/>
  <c r="AV41" s="1"/>
  <c r="AU9"/>
  <c r="AT9"/>
  <c r="AT40" s="1"/>
  <c r="AS9"/>
  <c r="AR9"/>
  <c r="AR41" s="1"/>
  <c r="AO9"/>
  <c r="AN9"/>
  <c r="AN40" s="1"/>
  <c r="AM9"/>
  <c r="AL9"/>
  <c r="AL41" s="1"/>
  <c r="AK9"/>
  <c r="AJ9"/>
  <c r="AJ40" s="1"/>
  <c r="AI9"/>
  <c r="AH9"/>
  <c r="AH41" s="1"/>
  <c r="AG9"/>
  <c r="AF9"/>
  <c r="AF41" s="1"/>
  <c r="P88"/>
  <c r="P89" s="1"/>
  <c r="AN42" i="817" s="1"/>
  <c r="AN43" s="1"/>
  <c r="AN44" s="1"/>
  <c r="AN45" s="1"/>
  <c r="AN46" s="1"/>
  <c r="AN47" s="1"/>
  <c r="AN48" s="1"/>
  <c r="AN49" s="1"/>
  <c r="AN50" s="1"/>
  <c r="AN51" s="1"/>
  <c r="AN52" s="1"/>
  <c r="AN53" s="1"/>
  <c r="AN54" s="1"/>
  <c r="AN55" s="1"/>
  <c r="AN56" s="1"/>
  <c r="AN57" s="1"/>
  <c r="AN58" s="1"/>
  <c r="AN59" s="1"/>
  <c r="AN60" s="1"/>
  <c r="AN61" s="1"/>
  <c r="O88" i="422"/>
  <c r="O89" s="1"/>
  <c r="AM42" i="817" s="1"/>
  <c r="AM43" s="1"/>
  <c r="AM44" s="1"/>
  <c r="AM45" s="1"/>
  <c r="AM46" s="1"/>
  <c r="AM47" s="1"/>
  <c r="AM48" s="1"/>
  <c r="AM49" s="1"/>
  <c r="AM50" s="1"/>
  <c r="AM51" s="1"/>
  <c r="AM52" s="1"/>
  <c r="AM53" s="1"/>
  <c r="AM54" s="1"/>
  <c r="AM55" s="1"/>
  <c r="AM56" s="1"/>
  <c r="AM57" s="1"/>
  <c r="AM58" s="1"/>
  <c r="AM59" s="1"/>
  <c r="AM60" s="1"/>
  <c r="AM61" s="1"/>
  <c r="B372" i="421"/>
  <c r="B371"/>
  <c r="B370"/>
  <c r="AB11" i="412"/>
  <c r="AN11" s="1"/>
  <c r="Z11"/>
  <c r="AL11" s="1"/>
  <c r="Y11"/>
  <c r="AK11" s="1"/>
  <c r="X11"/>
  <c r="AJ11" s="1"/>
  <c r="W11"/>
  <c r="AI11" s="1"/>
  <c r="V11"/>
  <c r="AH11" s="1"/>
  <c r="U11"/>
  <c r="AG11" s="1"/>
  <c r="T11"/>
  <c r="AF11" s="1"/>
  <c r="AD11"/>
  <c r="AP11" s="1"/>
  <c r="AC11"/>
  <c r="AO11" s="1"/>
  <c r="AB10"/>
  <c r="AN10" s="1"/>
  <c r="Z10"/>
  <c r="AL10" s="1"/>
  <c r="Y10"/>
  <c r="AK10" s="1"/>
  <c r="X10"/>
  <c r="AJ10" s="1"/>
  <c r="W10"/>
  <c r="AI10" s="1"/>
  <c r="V10"/>
  <c r="AH10" s="1"/>
  <c r="U10"/>
  <c r="AG10" s="1"/>
  <c r="T10"/>
  <c r="AF10" s="1"/>
  <c r="AD10"/>
  <c r="AP10" s="1"/>
  <c r="AC10"/>
  <c r="AO10" s="1"/>
  <c r="AB9"/>
  <c r="AB12" s="1"/>
  <c r="Y59" i="817" s="1"/>
  <c r="Z9" i="412"/>
  <c r="Y9"/>
  <c r="AK9" s="1"/>
  <c r="AK12" s="1"/>
  <c r="X9"/>
  <c r="X12" s="1"/>
  <c r="W9"/>
  <c r="AI9" s="1"/>
  <c r="AI12" s="1"/>
  <c r="V9"/>
  <c r="V12" s="1"/>
  <c r="U9"/>
  <c r="AG9" s="1"/>
  <c r="AG12" s="1"/>
  <c r="T9"/>
  <c r="T12" s="1"/>
  <c r="AD9"/>
  <c r="AC9"/>
  <c r="X13" i="411"/>
  <c r="W13"/>
  <c r="T13"/>
  <c r="Q13"/>
  <c r="X12"/>
  <c r="W12"/>
  <c r="U12"/>
  <c r="T12"/>
  <c r="S12"/>
  <c r="R12"/>
  <c r="Q12"/>
  <c r="Y12"/>
  <c r="V12"/>
  <c r="X11"/>
  <c r="W11"/>
  <c r="U11"/>
  <c r="T11"/>
  <c r="S11"/>
  <c r="R11"/>
  <c r="Q11"/>
  <c r="Y11"/>
  <c r="V11"/>
  <c r="X10"/>
  <c r="W10"/>
  <c r="U10"/>
  <c r="T10"/>
  <c r="S10"/>
  <c r="R10"/>
  <c r="Q10"/>
  <c r="Y10"/>
  <c r="V10"/>
  <c r="X9"/>
  <c r="W9"/>
  <c r="U9"/>
  <c r="T9"/>
  <c r="S9"/>
  <c r="R9"/>
  <c r="Q9"/>
  <c r="Y9"/>
  <c r="V9"/>
  <c r="X8"/>
  <c r="W8"/>
  <c r="T8"/>
  <c r="Q8"/>
  <c r="N88" i="413"/>
  <c r="N89" s="1"/>
  <c r="AB59" i="817" s="1"/>
  <c r="K88" i="413"/>
  <c r="K89" s="1"/>
  <c r="J88"/>
  <c r="J89" s="1"/>
  <c r="I88"/>
  <c r="I89" s="1"/>
  <c r="H89"/>
  <c r="G88"/>
  <c r="G89" s="1"/>
  <c r="F88"/>
  <c r="F89" s="1"/>
  <c r="B88"/>
  <c r="B35"/>
  <c r="B34"/>
  <c r="B21"/>
  <c r="L88" s="1"/>
  <c r="BA9"/>
  <c r="BA40" s="1"/>
  <c r="AZ9"/>
  <c r="AY9"/>
  <c r="AY40" s="1"/>
  <c r="AX9"/>
  <c r="AW9"/>
  <c r="AW40" s="1"/>
  <c r="AV9"/>
  <c r="AU9"/>
  <c r="AU40" s="1"/>
  <c r="AT9"/>
  <c r="AS9"/>
  <c r="AS40" s="1"/>
  <c r="AR9"/>
  <c r="AO9"/>
  <c r="AO40" s="1"/>
  <c r="AN9"/>
  <c r="AM9"/>
  <c r="AM41" s="1"/>
  <c r="AL9"/>
  <c r="AK9"/>
  <c r="AK40" s="1"/>
  <c r="AJ9"/>
  <c r="AI9"/>
  <c r="AI41" s="1"/>
  <c r="AH9"/>
  <c r="AG9"/>
  <c r="AG41" s="1"/>
  <c r="AF9"/>
  <c r="P88"/>
  <c r="P89" s="1"/>
  <c r="AD59" i="817" s="1"/>
  <c r="O88" i="413"/>
  <c r="O89" s="1"/>
  <c r="AC59" i="817" s="1"/>
  <c r="B375" i="412"/>
  <c r="B374"/>
  <c r="B373"/>
  <c r="N88" i="410"/>
  <c r="N89" s="1"/>
  <c r="AB55" i="817" s="1"/>
  <c r="K88" i="410"/>
  <c r="K89" s="1"/>
  <c r="J88"/>
  <c r="J89" s="1"/>
  <c r="I88"/>
  <c r="I89" s="1"/>
  <c r="H89"/>
  <c r="G88"/>
  <c r="G89" s="1"/>
  <c r="F88"/>
  <c r="F89" s="1"/>
  <c r="B88"/>
  <c r="B35"/>
  <c r="B34"/>
  <c r="B21"/>
  <c r="L88" s="1"/>
  <c r="BA9"/>
  <c r="BA40" s="1"/>
  <c r="AZ9"/>
  <c r="AY9"/>
  <c r="AY40" s="1"/>
  <c r="AX9"/>
  <c r="AW9"/>
  <c r="AW40" s="1"/>
  <c r="AV9"/>
  <c r="AU9"/>
  <c r="AU40" s="1"/>
  <c r="AT9"/>
  <c r="AS9"/>
  <c r="AS40" s="1"/>
  <c r="AR9"/>
  <c r="AO9"/>
  <c r="AO40" s="1"/>
  <c r="AN9"/>
  <c r="AM9"/>
  <c r="AM40" s="1"/>
  <c r="AL9"/>
  <c r="AK9"/>
  <c r="AK40" s="1"/>
  <c r="AJ9"/>
  <c r="AI9"/>
  <c r="AI40" s="1"/>
  <c r="AH9"/>
  <c r="AG9"/>
  <c r="AG41" s="1"/>
  <c r="AF9"/>
  <c r="P88"/>
  <c r="P89" s="1"/>
  <c r="AD55" i="817" s="1"/>
  <c r="O88" i="410"/>
  <c r="O89" s="1"/>
  <c r="AC55" i="817" s="1"/>
  <c r="B374" i="409"/>
  <c r="B373"/>
  <c r="B372"/>
  <c r="AB9"/>
  <c r="Z9"/>
  <c r="AA9" s="1"/>
  <c r="Y9"/>
  <c r="X9"/>
  <c r="AJ9" s="1"/>
  <c r="AJ10" s="1"/>
  <c r="W9"/>
  <c r="V9"/>
  <c r="AH9" s="1"/>
  <c r="AH10" s="1"/>
  <c r="U9"/>
  <c r="T9"/>
  <c r="AF9" s="1"/>
  <c r="AF10" s="1"/>
  <c r="AD9"/>
  <c r="AC9"/>
  <c r="AC10" s="1"/>
  <c r="Z55" i="817" s="1"/>
  <c r="X11" i="408"/>
  <c r="W11"/>
  <c r="T11"/>
  <c r="Q11"/>
  <c r="X9"/>
  <c r="W9"/>
  <c r="T9"/>
  <c r="Q9"/>
  <c r="X8"/>
  <c r="W8"/>
  <c r="U8"/>
  <c r="T8"/>
  <c r="S8"/>
  <c r="R8"/>
  <c r="Q8"/>
  <c r="Y8"/>
  <c r="V8"/>
  <c r="N88" i="407"/>
  <c r="N89" s="1"/>
  <c r="AB54" i="817" s="1"/>
  <c r="K88" i="407"/>
  <c r="K89" s="1"/>
  <c r="J88"/>
  <c r="J89" s="1"/>
  <c r="I88"/>
  <c r="I89" s="1"/>
  <c r="H89"/>
  <c r="G88"/>
  <c r="G89" s="1"/>
  <c r="F88"/>
  <c r="F89" s="1"/>
  <c r="B88"/>
  <c r="B35"/>
  <c r="B34"/>
  <c r="B21"/>
  <c r="L88" s="1"/>
  <c r="BA9"/>
  <c r="AZ9"/>
  <c r="AZ40" s="1"/>
  <c r="AY9"/>
  <c r="AX9"/>
  <c r="AX40" s="1"/>
  <c r="AW9"/>
  <c r="AV9"/>
  <c r="AV40" s="1"/>
  <c r="AU9"/>
  <c r="AT9"/>
  <c r="AT40" s="1"/>
  <c r="AS9"/>
  <c r="AR9"/>
  <c r="AR40" s="1"/>
  <c r="AO9"/>
  <c r="AN9"/>
  <c r="AN40" s="1"/>
  <c r="AM9"/>
  <c r="AL9"/>
  <c r="AL40" s="1"/>
  <c r="AK9"/>
  <c r="AJ9"/>
  <c r="AJ40" s="1"/>
  <c r="AI9"/>
  <c r="AH9"/>
  <c r="AH41" s="1"/>
  <c r="AG9"/>
  <c r="AF9"/>
  <c r="AF41" s="1"/>
  <c r="P88"/>
  <c r="P89" s="1"/>
  <c r="AD54" i="817" s="1"/>
  <c r="O88" i="407"/>
  <c r="O89" s="1"/>
  <c r="AC54" i="817" s="1"/>
  <c r="B375" i="406"/>
  <c r="B374"/>
  <c r="B373"/>
  <c r="AB10"/>
  <c r="AN10" s="1"/>
  <c r="Z10"/>
  <c r="AL10" s="1"/>
  <c r="Y10"/>
  <c r="AK10" s="1"/>
  <c r="X10"/>
  <c r="AJ10" s="1"/>
  <c r="W10"/>
  <c r="AI10" s="1"/>
  <c r="V10"/>
  <c r="AH10" s="1"/>
  <c r="U10"/>
  <c r="AG10" s="1"/>
  <c r="T10"/>
  <c r="AF10" s="1"/>
  <c r="AD10"/>
  <c r="AP10" s="1"/>
  <c r="AC10"/>
  <c r="AO10" s="1"/>
  <c r="AB9"/>
  <c r="AN9" s="1"/>
  <c r="AN11" s="1"/>
  <c r="Z9"/>
  <c r="AL9" s="1"/>
  <c r="AL11" s="1"/>
  <c r="Y9"/>
  <c r="Y11" s="1"/>
  <c r="X9"/>
  <c r="AJ9" s="1"/>
  <c r="AJ11" s="1"/>
  <c r="W9"/>
  <c r="W11" s="1"/>
  <c r="V9"/>
  <c r="AH9" s="1"/>
  <c r="AH11" s="1"/>
  <c r="U9"/>
  <c r="U11" s="1"/>
  <c r="T9"/>
  <c r="AF9" s="1"/>
  <c r="AF11" s="1"/>
  <c r="AD9"/>
  <c r="AC9"/>
  <c r="X10" i="405"/>
  <c r="W10"/>
  <c r="T10"/>
  <c r="Q10"/>
  <c r="X9"/>
  <c r="W9"/>
  <c r="T9"/>
  <c r="Q9"/>
  <c r="X8"/>
  <c r="W8"/>
  <c r="U8"/>
  <c r="T8"/>
  <c r="S8"/>
  <c r="R8"/>
  <c r="Q8"/>
  <c r="Y8"/>
  <c r="V8"/>
  <c r="AB10" i="403"/>
  <c r="AN10" s="1"/>
  <c r="Z10"/>
  <c r="AL10" s="1"/>
  <c r="Y10"/>
  <c r="AK10" s="1"/>
  <c r="X10"/>
  <c r="AJ10" s="1"/>
  <c r="W10"/>
  <c r="AI10" s="1"/>
  <c r="V10"/>
  <c r="AH10" s="1"/>
  <c r="U10"/>
  <c r="AG10" s="1"/>
  <c r="T10"/>
  <c r="AF10" s="1"/>
  <c r="AD10"/>
  <c r="AP10" s="1"/>
  <c r="AC10"/>
  <c r="AO10" s="1"/>
  <c r="AB9"/>
  <c r="AB11" s="1"/>
  <c r="Y53" i="817" s="1"/>
  <c r="Z9" i="403"/>
  <c r="Z11" s="1"/>
  <c r="Y9"/>
  <c r="AK9" s="1"/>
  <c r="X9"/>
  <c r="X11" s="1"/>
  <c r="W9"/>
  <c r="AI9" s="1"/>
  <c r="V9"/>
  <c r="V11" s="1"/>
  <c r="U9"/>
  <c r="AG9" s="1"/>
  <c r="T9"/>
  <c r="T11" s="1"/>
  <c r="AD9"/>
  <c r="AC9"/>
  <c r="X10" i="402"/>
  <c r="W10"/>
  <c r="T10"/>
  <c r="Q10"/>
  <c r="X9"/>
  <c r="W9"/>
  <c r="T9"/>
  <c r="Q9"/>
  <c r="X8"/>
  <c r="W8"/>
  <c r="U8"/>
  <c r="T8"/>
  <c r="S8"/>
  <c r="R8"/>
  <c r="Q8"/>
  <c r="Y8"/>
  <c r="V8"/>
  <c r="N88" i="404"/>
  <c r="N89" s="1"/>
  <c r="AB53" i="817" s="1"/>
  <c r="K88" i="404"/>
  <c r="K89" s="1"/>
  <c r="J88"/>
  <c r="J89" s="1"/>
  <c r="I88"/>
  <c r="I89" s="1"/>
  <c r="H89"/>
  <c r="G88"/>
  <c r="G89" s="1"/>
  <c r="F88"/>
  <c r="F89" s="1"/>
  <c r="B88"/>
  <c r="B35"/>
  <c r="B34"/>
  <c r="B21"/>
  <c r="L88" s="1"/>
  <c r="BA9"/>
  <c r="BA21" s="1"/>
  <c r="AZ9"/>
  <c r="AY9"/>
  <c r="AY21" s="1"/>
  <c r="AX9"/>
  <c r="AW9"/>
  <c r="AW21" s="1"/>
  <c r="AV9"/>
  <c r="AU9"/>
  <c r="AU22" s="1"/>
  <c r="AT9"/>
  <c r="AS9"/>
  <c r="AS22" s="1"/>
  <c r="AR9"/>
  <c r="AO9"/>
  <c r="AO22" s="1"/>
  <c r="AN9"/>
  <c r="AM9"/>
  <c r="AM22" s="1"/>
  <c r="AL9"/>
  <c r="AK9"/>
  <c r="AK22" s="1"/>
  <c r="AJ9"/>
  <c r="AI9"/>
  <c r="AI22" s="1"/>
  <c r="AH9"/>
  <c r="AG9"/>
  <c r="AG22" s="1"/>
  <c r="AF9"/>
  <c r="P88"/>
  <c r="P89" s="1"/>
  <c r="AD53" i="817" s="1"/>
  <c r="O88" i="404"/>
  <c r="O89" s="1"/>
  <c r="AC53" i="817" s="1"/>
  <c r="B375" i="403"/>
  <c r="B374"/>
  <c r="B373"/>
  <c r="AB11" i="192"/>
  <c r="AN11" s="1"/>
  <c r="Z11"/>
  <c r="AL11" s="1"/>
  <c r="Y11"/>
  <c r="AK11" s="1"/>
  <c r="X11"/>
  <c r="AJ11" s="1"/>
  <c r="W11"/>
  <c r="AI11" s="1"/>
  <c r="V11"/>
  <c r="AH11" s="1"/>
  <c r="U11"/>
  <c r="AG11" s="1"/>
  <c r="T11"/>
  <c r="AF11" s="1"/>
  <c r="AD11"/>
  <c r="AP11" s="1"/>
  <c r="AC11"/>
  <c r="AO11" s="1"/>
  <c r="AB10"/>
  <c r="AN10" s="1"/>
  <c r="Z10"/>
  <c r="AL10" s="1"/>
  <c r="Y10"/>
  <c r="AK10" s="1"/>
  <c r="X10"/>
  <c r="AJ10" s="1"/>
  <c r="W10"/>
  <c r="AI10" s="1"/>
  <c r="V10"/>
  <c r="AH10" s="1"/>
  <c r="U10"/>
  <c r="AG10" s="1"/>
  <c r="T10"/>
  <c r="AF10" s="1"/>
  <c r="AD10"/>
  <c r="AP10" s="1"/>
  <c r="AC10"/>
  <c r="AO10" s="1"/>
  <c r="AB9"/>
  <c r="AB12" s="1"/>
  <c r="Y36" i="817" s="1"/>
  <c r="Z9" i="192"/>
  <c r="Z12" s="1"/>
  <c r="Y9"/>
  <c r="AK9" s="1"/>
  <c r="AK12" s="1"/>
  <c r="X9"/>
  <c r="X12" s="1"/>
  <c r="W9"/>
  <c r="AI9" s="1"/>
  <c r="AI12" s="1"/>
  <c r="V9"/>
  <c r="V12" s="1"/>
  <c r="U9"/>
  <c r="AG9" s="1"/>
  <c r="AG12" s="1"/>
  <c r="T9"/>
  <c r="T12" s="1"/>
  <c r="AD9"/>
  <c r="AC9"/>
  <c r="X12" i="191"/>
  <c r="W12"/>
  <c r="T12"/>
  <c r="Q12"/>
  <c r="X11"/>
  <c r="W11"/>
  <c r="T11"/>
  <c r="Q11"/>
  <c r="X10"/>
  <c r="W10"/>
  <c r="U10"/>
  <c r="T10"/>
  <c r="S10"/>
  <c r="R10"/>
  <c r="Q10"/>
  <c r="Y10"/>
  <c r="V10"/>
  <c r="X9"/>
  <c r="W9"/>
  <c r="T9"/>
  <c r="Q9"/>
  <c r="X8"/>
  <c r="W8"/>
  <c r="T8"/>
  <c r="Q8"/>
  <c r="N88" i="398"/>
  <c r="N89" s="1"/>
  <c r="AB28" i="817" s="1"/>
  <c r="K88" i="398"/>
  <c r="K89" s="1"/>
  <c r="J88"/>
  <c r="J89" s="1"/>
  <c r="I88"/>
  <c r="I89" s="1"/>
  <c r="H89"/>
  <c r="G88"/>
  <c r="G89" s="1"/>
  <c r="F88"/>
  <c r="F89" s="1"/>
  <c r="C88"/>
  <c r="B88"/>
  <c r="A88"/>
  <c r="B35"/>
  <c r="B34"/>
  <c r="B21"/>
  <c r="L88" s="1"/>
  <c r="BA9"/>
  <c r="BA40" s="1"/>
  <c r="AZ9"/>
  <c r="AY9"/>
  <c r="AY40" s="1"/>
  <c r="AX9"/>
  <c r="AW9"/>
  <c r="AW40" s="1"/>
  <c r="AV9"/>
  <c r="AU9"/>
  <c r="AU40" s="1"/>
  <c r="AT9"/>
  <c r="AS9"/>
  <c r="AS40" s="1"/>
  <c r="AR9"/>
  <c r="AO9"/>
  <c r="AO40" s="1"/>
  <c r="AN9"/>
  <c r="AM9"/>
  <c r="AM40" s="1"/>
  <c r="AL9"/>
  <c r="AK9"/>
  <c r="AK40" s="1"/>
  <c r="AJ9"/>
  <c r="AI9"/>
  <c r="AI41" s="1"/>
  <c r="AH9"/>
  <c r="AG9"/>
  <c r="AG41" s="1"/>
  <c r="AF9"/>
  <c r="P88"/>
  <c r="P89" s="1"/>
  <c r="AD28" i="817" s="1"/>
  <c r="O88" i="398"/>
  <c r="O89" s="1"/>
  <c r="AC28" i="817" s="1"/>
  <c r="B378" i="397"/>
  <c r="B377"/>
  <c r="B376"/>
  <c r="Z9" s="1"/>
  <c r="AB11"/>
  <c r="Y11"/>
  <c r="X11"/>
  <c r="W11"/>
  <c r="V11"/>
  <c r="U11"/>
  <c r="T11"/>
  <c r="AD11"/>
  <c r="AC11"/>
  <c r="AB10"/>
  <c r="Y10"/>
  <c r="X10"/>
  <c r="W10"/>
  <c r="V10"/>
  <c r="U10"/>
  <c r="T10"/>
  <c r="AD10"/>
  <c r="AC10"/>
  <c r="AB9"/>
  <c r="Y9"/>
  <c r="X9"/>
  <c r="W9"/>
  <c r="V9"/>
  <c r="U9"/>
  <c r="T9"/>
  <c r="AD9"/>
  <c r="AC9"/>
  <c r="X10" i="396"/>
  <c r="W10"/>
  <c r="U10"/>
  <c r="T10"/>
  <c r="S10"/>
  <c r="R10"/>
  <c r="Q10"/>
  <c r="Y10"/>
  <c r="V10"/>
  <c r="X9"/>
  <c r="W9"/>
  <c r="T9"/>
  <c r="Q9"/>
  <c r="X8"/>
  <c r="W8"/>
  <c r="T8"/>
  <c r="T12" s="1"/>
  <c r="Q8"/>
  <c r="Q12" s="1"/>
  <c r="AB10" i="394"/>
  <c r="AN10" s="1"/>
  <c r="Z10"/>
  <c r="AL10" s="1"/>
  <c r="Y10"/>
  <c r="AK10" s="1"/>
  <c r="X10"/>
  <c r="AJ10" s="1"/>
  <c r="W10"/>
  <c r="AI10" s="1"/>
  <c r="V10"/>
  <c r="AH10" s="1"/>
  <c r="U10"/>
  <c r="AG10" s="1"/>
  <c r="T10"/>
  <c r="AF10" s="1"/>
  <c r="AD10"/>
  <c r="AP10" s="1"/>
  <c r="AC10"/>
  <c r="AO10" s="1"/>
  <c r="AB9"/>
  <c r="AB12" s="1"/>
  <c r="O61" i="817" s="1"/>
  <c r="Z9" i="394"/>
  <c r="Z12" s="1"/>
  <c r="Y9"/>
  <c r="Y12" s="1"/>
  <c r="X9"/>
  <c r="X12" s="1"/>
  <c r="W9"/>
  <c r="W12" s="1"/>
  <c r="V9"/>
  <c r="V12" s="1"/>
  <c r="U9"/>
  <c r="U12" s="1"/>
  <c r="T9"/>
  <c r="T12" s="1"/>
  <c r="AD9"/>
  <c r="AD12" s="1"/>
  <c r="AC9"/>
  <c r="AC12" s="1"/>
  <c r="X13" i="393"/>
  <c r="W13"/>
  <c r="T13"/>
  <c r="Q13"/>
  <c r="X12"/>
  <c r="W12"/>
  <c r="U12"/>
  <c r="T12"/>
  <c r="S12"/>
  <c r="R12"/>
  <c r="Q12"/>
  <c r="Y12"/>
  <c r="V12"/>
  <c r="X11"/>
  <c r="W11"/>
  <c r="U11"/>
  <c r="T11"/>
  <c r="S11"/>
  <c r="R11"/>
  <c r="Q11"/>
  <c r="Y11"/>
  <c r="V11"/>
  <c r="X10"/>
  <c r="W10"/>
  <c r="U10"/>
  <c r="T10"/>
  <c r="S10"/>
  <c r="R10"/>
  <c r="Q10"/>
  <c r="Y10"/>
  <c r="V10"/>
  <c r="X9"/>
  <c r="W9"/>
  <c r="U9"/>
  <c r="T9"/>
  <c r="S9"/>
  <c r="R9"/>
  <c r="Q9"/>
  <c r="Y9"/>
  <c r="V9"/>
  <c r="X8"/>
  <c r="W8"/>
  <c r="T8"/>
  <c r="Q8"/>
  <c r="N88" i="395"/>
  <c r="K88"/>
  <c r="K89" s="1"/>
  <c r="J88"/>
  <c r="J89" s="1"/>
  <c r="I88"/>
  <c r="I89" s="1"/>
  <c r="H89"/>
  <c r="G88"/>
  <c r="G89" s="1"/>
  <c r="F88"/>
  <c r="F89" s="1"/>
  <c r="B88"/>
  <c r="A88"/>
  <c r="B35"/>
  <c r="B34"/>
  <c r="B21"/>
  <c r="BA9"/>
  <c r="AZ9"/>
  <c r="AZ39" s="1"/>
  <c r="AY9"/>
  <c r="AX9"/>
  <c r="AX39" s="1"/>
  <c r="AW9"/>
  <c r="AV9"/>
  <c r="AV39" s="1"/>
  <c r="AU9"/>
  <c r="AT9"/>
  <c r="AT39" s="1"/>
  <c r="AS9"/>
  <c r="AR9"/>
  <c r="AR40" s="1"/>
  <c r="AO9"/>
  <c r="AN9"/>
  <c r="AN40" s="1"/>
  <c r="AM9"/>
  <c r="AL9"/>
  <c r="AL40" s="1"/>
  <c r="AK9"/>
  <c r="AJ9"/>
  <c r="AJ40" s="1"/>
  <c r="AI9"/>
  <c r="AH9"/>
  <c r="AH40" s="1"/>
  <c r="AG9"/>
  <c r="AF9"/>
  <c r="AF40" s="1"/>
  <c r="P88"/>
  <c r="O88"/>
  <c r="B348" i="394"/>
  <c r="B347"/>
  <c r="B346"/>
  <c r="N88" i="392"/>
  <c r="N89" s="1"/>
  <c r="R57" i="817" s="1"/>
  <c r="K88" i="392"/>
  <c r="K89" s="1"/>
  <c r="J88"/>
  <c r="J89" s="1"/>
  <c r="I88"/>
  <c r="I89" s="1"/>
  <c r="H89"/>
  <c r="G88"/>
  <c r="G89" s="1"/>
  <c r="F88"/>
  <c r="F89" s="1"/>
  <c r="C88"/>
  <c r="B88"/>
  <c r="A88"/>
  <c r="B35"/>
  <c r="B34"/>
  <c r="B21"/>
  <c r="L88" s="1"/>
  <c r="M88" s="1"/>
  <c r="M89" s="1"/>
  <c r="BA9"/>
  <c r="AZ9"/>
  <c r="AZ39" s="1"/>
  <c r="AY9"/>
  <c r="AX9"/>
  <c r="AX39" s="1"/>
  <c r="AW9"/>
  <c r="AV9"/>
  <c r="AV39" s="1"/>
  <c r="AU9"/>
  <c r="AT9"/>
  <c r="AT39" s="1"/>
  <c r="AS9"/>
  <c r="AR9"/>
  <c r="AR40" s="1"/>
  <c r="AO9"/>
  <c r="AN9"/>
  <c r="AN40" s="1"/>
  <c r="AM9"/>
  <c r="AL9"/>
  <c r="AL40" s="1"/>
  <c r="AK9"/>
  <c r="AJ9"/>
  <c r="AJ40" s="1"/>
  <c r="AI9"/>
  <c r="AH9"/>
  <c r="AH40" s="1"/>
  <c r="AG9"/>
  <c r="AF9"/>
  <c r="AF40" s="1"/>
  <c r="P88"/>
  <c r="P89" s="1"/>
  <c r="O88"/>
  <c r="O89" s="1"/>
  <c r="B348" i="391"/>
  <c r="B347"/>
  <c r="B346"/>
  <c r="AB9"/>
  <c r="O57" i="817" s="1"/>
  <c r="Z9" i="391"/>
  <c r="Y9"/>
  <c r="X9"/>
  <c r="W9"/>
  <c r="V9"/>
  <c r="U9"/>
  <c r="T9"/>
  <c r="AD9"/>
  <c r="AC9"/>
  <c r="X9" i="390"/>
  <c r="W9"/>
  <c r="T9"/>
  <c r="Q9"/>
  <c r="X8"/>
  <c r="W8"/>
  <c r="U8"/>
  <c r="T8"/>
  <c r="S8"/>
  <c r="R8"/>
  <c r="Q8"/>
  <c r="Y8"/>
  <c r="V8"/>
  <c r="N88" i="389"/>
  <c r="N89" s="1"/>
  <c r="K88"/>
  <c r="K89" s="1"/>
  <c r="J88"/>
  <c r="J89" s="1"/>
  <c r="I88"/>
  <c r="I89" s="1"/>
  <c r="H89"/>
  <c r="G88"/>
  <c r="G89" s="1"/>
  <c r="F88"/>
  <c r="F89" s="1"/>
  <c r="C88"/>
  <c r="B88"/>
  <c r="A88"/>
  <c r="B35"/>
  <c r="B34"/>
  <c r="B21"/>
  <c r="BA9"/>
  <c r="AZ9"/>
  <c r="AZ40" s="1"/>
  <c r="AY9"/>
  <c r="AX9"/>
  <c r="AX40" s="1"/>
  <c r="AW9"/>
  <c r="AV9"/>
  <c r="AV40" s="1"/>
  <c r="AU9"/>
  <c r="AT9"/>
  <c r="AT40" s="1"/>
  <c r="AS9"/>
  <c r="AR9"/>
  <c r="AR40" s="1"/>
  <c r="AO9"/>
  <c r="AN9"/>
  <c r="AN40" s="1"/>
  <c r="AM9"/>
  <c r="AL9"/>
  <c r="AL41" s="1"/>
  <c r="AK9"/>
  <c r="AJ9"/>
  <c r="AJ41" s="1"/>
  <c r="AI9"/>
  <c r="AH9"/>
  <c r="AH41" s="1"/>
  <c r="AG9"/>
  <c r="AF9"/>
  <c r="AF41" s="1"/>
  <c r="P88"/>
  <c r="P89" s="1"/>
  <c r="O88"/>
  <c r="O89" s="1"/>
  <c r="B348" i="388"/>
  <c r="B347"/>
  <c r="B346"/>
  <c r="AB9"/>
  <c r="Z9"/>
  <c r="AA9" s="1"/>
  <c r="Y9"/>
  <c r="X9"/>
  <c r="W9"/>
  <c r="V9"/>
  <c r="U9"/>
  <c r="T9"/>
  <c r="AD9"/>
  <c r="AC9"/>
  <c r="X9" i="387"/>
  <c r="W9"/>
  <c r="T9"/>
  <c r="Q9"/>
  <c r="X8"/>
  <c r="W8"/>
  <c r="U8"/>
  <c r="T8"/>
  <c r="S8"/>
  <c r="R8"/>
  <c r="Q8"/>
  <c r="Y8"/>
  <c r="V8"/>
  <c r="N88" i="386"/>
  <c r="N89" s="1"/>
  <c r="R56" i="817" s="1"/>
  <c r="K88" i="386"/>
  <c r="J88"/>
  <c r="J89" s="1"/>
  <c r="I88"/>
  <c r="I89" s="1"/>
  <c r="G88"/>
  <c r="G89" s="1"/>
  <c r="F88"/>
  <c r="C88"/>
  <c r="B88"/>
  <c r="A88"/>
  <c r="K89"/>
  <c r="H89"/>
  <c r="F89"/>
  <c r="B35"/>
  <c r="B34"/>
  <c r="B21"/>
  <c r="BA9"/>
  <c r="BA40" s="1"/>
  <c r="AZ9"/>
  <c r="AY9"/>
  <c r="AY40" s="1"/>
  <c r="AX9"/>
  <c r="AW9"/>
  <c r="AW40" s="1"/>
  <c r="AV9"/>
  <c r="AU9"/>
  <c r="AU40" s="1"/>
  <c r="AT9"/>
  <c r="AS9"/>
  <c r="AS40" s="1"/>
  <c r="AR9"/>
  <c r="AO9"/>
  <c r="AO40" s="1"/>
  <c r="AN9"/>
  <c r="AM9"/>
  <c r="AM41" s="1"/>
  <c r="AL9"/>
  <c r="AK9"/>
  <c r="AK41" s="1"/>
  <c r="AJ9"/>
  <c r="AI9"/>
  <c r="AI41" s="1"/>
  <c r="AH9"/>
  <c r="AG9"/>
  <c r="AG41" s="1"/>
  <c r="AF9"/>
  <c r="P88"/>
  <c r="P89" s="1"/>
  <c r="O88"/>
  <c r="O89" s="1"/>
  <c r="B348" i="385"/>
  <c r="B347"/>
  <c r="B346"/>
  <c r="AB9"/>
  <c r="AB12" s="1"/>
  <c r="O56" i="817" s="1"/>
  <c r="Z9" i="385"/>
  <c r="Y9"/>
  <c r="Y12" s="1"/>
  <c r="X9"/>
  <c r="X12" s="1"/>
  <c r="W9"/>
  <c r="W12" s="1"/>
  <c r="V9"/>
  <c r="V12" s="1"/>
  <c r="U9"/>
  <c r="U12" s="1"/>
  <c r="T9"/>
  <c r="T12" s="1"/>
  <c r="AD9"/>
  <c r="AD12" s="1"/>
  <c r="AC9"/>
  <c r="AC12" s="1"/>
  <c r="X10" i="384"/>
  <c r="W10"/>
  <c r="T10"/>
  <c r="Q10"/>
  <c r="X9"/>
  <c r="W9"/>
  <c r="T9"/>
  <c r="Q9"/>
  <c r="U9"/>
  <c r="X8"/>
  <c r="W8"/>
  <c r="U8"/>
  <c r="T8"/>
  <c r="S8"/>
  <c r="R8"/>
  <c r="Q8"/>
  <c r="Y8"/>
  <c r="V8"/>
  <c r="N88" i="383"/>
  <c r="N89" s="1"/>
  <c r="R55" i="817" s="1"/>
  <c r="K88" i="383"/>
  <c r="K89" s="1"/>
  <c r="J88"/>
  <c r="J89" s="1"/>
  <c r="I88"/>
  <c r="I89" s="1"/>
  <c r="H89"/>
  <c r="G88"/>
  <c r="G89" s="1"/>
  <c r="F88"/>
  <c r="F89" s="1"/>
  <c r="C88"/>
  <c r="B88"/>
  <c r="A88"/>
  <c r="P88"/>
  <c r="O88"/>
  <c r="AB9" i="382"/>
  <c r="AB12" s="1"/>
  <c r="O55" i="817" s="1"/>
  <c r="Z9" i="382"/>
  <c r="Y9"/>
  <c r="Y12" s="1"/>
  <c r="X9"/>
  <c r="X12" s="1"/>
  <c r="W9"/>
  <c r="W12" s="1"/>
  <c r="V9"/>
  <c r="V12" s="1"/>
  <c r="U9"/>
  <c r="U12" s="1"/>
  <c r="T9"/>
  <c r="T12" s="1"/>
  <c r="AD9"/>
  <c r="AD12" s="1"/>
  <c r="AC9"/>
  <c r="AC12" s="1"/>
  <c r="X10" i="381"/>
  <c r="W10"/>
  <c r="T10"/>
  <c r="Q10"/>
  <c r="X9"/>
  <c r="W9"/>
  <c r="T9"/>
  <c r="Q9"/>
  <c r="X8"/>
  <c r="W8"/>
  <c r="U8"/>
  <c r="T8"/>
  <c r="S8"/>
  <c r="R8"/>
  <c r="Q8"/>
  <c r="Y8"/>
  <c r="V8"/>
  <c r="B35" i="383"/>
  <c r="B34"/>
  <c r="B21"/>
  <c r="BA9"/>
  <c r="AZ9"/>
  <c r="AZ40" s="1"/>
  <c r="AY9"/>
  <c r="AX9"/>
  <c r="AX40" s="1"/>
  <c r="AW9"/>
  <c r="AV9"/>
  <c r="AV40" s="1"/>
  <c r="AU9"/>
  <c r="AT9"/>
  <c r="AT40" s="1"/>
  <c r="AS9"/>
  <c r="AR9"/>
  <c r="AR40" s="1"/>
  <c r="AO9"/>
  <c r="AN9"/>
  <c r="AN40" s="1"/>
  <c r="AM9"/>
  <c r="AL9"/>
  <c r="AL40" s="1"/>
  <c r="AK9"/>
  <c r="AJ9"/>
  <c r="AJ40" s="1"/>
  <c r="AI9"/>
  <c r="AH9"/>
  <c r="AH41" s="1"/>
  <c r="AG9"/>
  <c r="AF9"/>
  <c r="AF41" s="1"/>
  <c r="B348" i="382"/>
  <c r="B347"/>
  <c r="B346"/>
  <c r="N88" i="380"/>
  <c r="N89" s="1"/>
  <c r="R54" i="817" s="1"/>
  <c r="K88" i="380"/>
  <c r="K89" s="1"/>
  <c r="J88"/>
  <c r="J89" s="1"/>
  <c r="I88"/>
  <c r="I89" s="1"/>
  <c r="H89"/>
  <c r="G88"/>
  <c r="G89" s="1"/>
  <c r="F88"/>
  <c r="F89" s="1"/>
  <c r="C88"/>
  <c r="B88"/>
  <c r="A88"/>
  <c r="B35"/>
  <c r="B34"/>
  <c r="B21"/>
  <c r="L88" s="1"/>
  <c r="BA9"/>
  <c r="AZ9"/>
  <c r="AY9"/>
  <c r="AX9"/>
  <c r="AW9"/>
  <c r="AV9"/>
  <c r="AV21" s="1"/>
  <c r="AU9"/>
  <c r="AT9"/>
  <c r="AT21" s="1"/>
  <c r="AS9"/>
  <c r="AR9"/>
  <c r="AR21" s="1"/>
  <c r="AO9"/>
  <c r="AN9"/>
  <c r="AN21" s="1"/>
  <c r="AM9"/>
  <c r="AL9"/>
  <c r="AL21" s="1"/>
  <c r="AK9"/>
  <c r="AJ9"/>
  <c r="AJ21" s="1"/>
  <c r="AI9"/>
  <c r="AH9"/>
  <c r="AH21" s="1"/>
  <c r="AG9"/>
  <c r="AF9"/>
  <c r="AF21" s="1"/>
  <c r="P88"/>
  <c r="P89" s="1"/>
  <c r="O88"/>
  <c r="O89" s="1"/>
  <c r="B348" i="379"/>
  <c r="B347"/>
  <c r="B346"/>
  <c r="AB9"/>
  <c r="AB12" s="1"/>
  <c r="O54" i="817" s="1"/>
  <c r="Z9" i="379"/>
  <c r="Z12" s="1"/>
  <c r="Y9"/>
  <c r="Y12" s="1"/>
  <c r="X9"/>
  <c r="X12" s="1"/>
  <c r="W9"/>
  <c r="W12" s="1"/>
  <c r="V9"/>
  <c r="V12" s="1"/>
  <c r="U9"/>
  <c r="U12" s="1"/>
  <c r="T9"/>
  <c r="T12" s="1"/>
  <c r="AD9"/>
  <c r="AD12" s="1"/>
  <c r="AC9"/>
  <c r="AC12" s="1"/>
  <c r="X13" i="378"/>
  <c r="W13"/>
  <c r="T13"/>
  <c r="Q13"/>
  <c r="X12"/>
  <c r="W12"/>
  <c r="U12"/>
  <c r="T12"/>
  <c r="S12"/>
  <c r="R12"/>
  <c r="Q12"/>
  <c r="Y12"/>
  <c r="V12"/>
  <c r="X11"/>
  <c r="W11"/>
  <c r="U11"/>
  <c r="T11"/>
  <c r="S11"/>
  <c r="R11"/>
  <c r="Q11"/>
  <c r="Y11"/>
  <c r="V11"/>
  <c r="X10"/>
  <c r="W10"/>
  <c r="U10"/>
  <c r="T10"/>
  <c r="S10"/>
  <c r="R10"/>
  <c r="Q10"/>
  <c r="Y10"/>
  <c r="V10"/>
  <c r="X9"/>
  <c r="W9"/>
  <c r="U9"/>
  <c r="T9"/>
  <c r="S9"/>
  <c r="R9"/>
  <c r="Q9"/>
  <c r="Y9"/>
  <c r="V9"/>
  <c r="X8"/>
  <c r="W8"/>
  <c r="T8"/>
  <c r="Q8"/>
  <c r="N88" i="377"/>
  <c r="N89" s="1"/>
  <c r="R53" i="817" s="1"/>
  <c r="K88" i="377"/>
  <c r="K89" s="1"/>
  <c r="J88"/>
  <c r="J89" s="1"/>
  <c r="I88"/>
  <c r="I89" s="1"/>
  <c r="H89"/>
  <c r="G88"/>
  <c r="G89" s="1"/>
  <c r="F88"/>
  <c r="F89" s="1"/>
  <c r="C88"/>
  <c r="B88"/>
  <c r="A88"/>
  <c r="B35"/>
  <c r="B34"/>
  <c r="B21"/>
  <c r="L88" s="1"/>
  <c r="BA9"/>
  <c r="AZ9"/>
  <c r="AZ40" s="1"/>
  <c r="AY9"/>
  <c r="AX9"/>
  <c r="AX40" s="1"/>
  <c r="AW9"/>
  <c r="AV9"/>
  <c r="AV40" s="1"/>
  <c r="AU9"/>
  <c r="AT9"/>
  <c r="AT40" s="1"/>
  <c r="AS9"/>
  <c r="AR9"/>
  <c r="AR40" s="1"/>
  <c r="AO9"/>
  <c r="AN9"/>
  <c r="AN40" s="1"/>
  <c r="AM9"/>
  <c r="AL9"/>
  <c r="AL40" s="1"/>
  <c r="AK9"/>
  <c r="AJ9"/>
  <c r="AJ40" s="1"/>
  <c r="AI9"/>
  <c r="AH9"/>
  <c r="AH41" s="1"/>
  <c r="AG9"/>
  <c r="AF9"/>
  <c r="AF41" s="1"/>
  <c r="P88"/>
  <c r="P89" s="1"/>
  <c r="O88"/>
  <c r="O89" s="1"/>
  <c r="B348" i="376"/>
  <c r="B347"/>
  <c r="B346"/>
  <c r="AB9"/>
  <c r="AB12" s="1"/>
  <c r="O53" i="817" s="1"/>
  <c r="Z9" i="376"/>
  <c r="Z12" s="1"/>
  <c r="Y9"/>
  <c r="Y12" s="1"/>
  <c r="X9"/>
  <c r="X12" s="1"/>
  <c r="W9"/>
  <c r="W12" s="1"/>
  <c r="V9"/>
  <c r="V12" s="1"/>
  <c r="U9"/>
  <c r="U12" s="1"/>
  <c r="T9"/>
  <c r="T12" s="1"/>
  <c r="AD9"/>
  <c r="AD12" s="1"/>
  <c r="AC9"/>
  <c r="AC12" s="1"/>
  <c r="X13" i="375"/>
  <c r="W13"/>
  <c r="T13"/>
  <c r="Q13"/>
  <c r="X12"/>
  <c r="W12"/>
  <c r="U12"/>
  <c r="T12"/>
  <c r="S12"/>
  <c r="R12"/>
  <c r="Q12"/>
  <c r="Y12"/>
  <c r="V12"/>
  <c r="X11"/>
  <c r="W11"/>
  <c r="U11"/>
  <c r="T11"/>
  <c r="S11"/>
  <c r="R11"/>
  <c r="Q11"/>
  <c r="Y11"/>
  <c r="V11"/>
  <c r="X10"/>
  <c r="W10"/>
  <c r="U10"/>
  <c r="T10"/>
  <c r="S10"/>
  <c r="R10"/>
  <c r="Q10"/>
  <c r="Y10"/>
  <c r="V10"/>
  <c r="X9"/>
  <c r="W9"/>
  <c r="U9"/>
  <c r="T9"/>
  <c r="S9"/>
  <c r="R9"/>
  <c r="Q9"/>
  <c r="Y9"/>
  <c r="V9"/>
  <c r="X8"/>
  <c r="W8"/>
  <c r="T8"/>
  <c r="Q8"/>
  <c r="N88" i="374"/>
  <c r="N89" s="1"/>
  <c r="R52" i="817" s="1"/>
  <c r="K88" i="374"/>
  <c r="K89" s="1"/>
  <c r="J88"/>
  <c r="J89" s="1"/>
  <c r="I88"/>
  <c r="I89" s="1"/>
  <c r="H89"/>
  <c r="G88"/>
  <c r="G89" s="1"/>
  <c r="F88"/>
  <c r="F89" s="1"/>
  <c r="C88"/>
  <c r="B88"/>
  <c r="A88"/>
  <c r="B35"/>
  <c r="B34"/>
  <c r="B21"/>
  <c r="L88" s="1"/>
  <c r="BA9"/>
  <c r="AZ9"/>
  <c r="AZ40" s="1"/>
  <c r="AY9"/>
  <c r="AX9"/>
  <c r="AX40" s="1"/>
  <c r="AW9"/>
  <c r="AV9"/>
  <c r="AV40" s="1"/>
  <c r="AU9"/>
  <c r="AT9"/>
  <c r="AT40" s="1"/>
  <c r="AS9"/>
  <c r="AR9"/>
  <c r="AR40" s="1"/>
  <c r="AO9"/>
  <c r="AN9"/>
  <c r="AN40" s="1"/>
  <c r="AM9"/>
  <c r="AL9"/>
  <c r="AL40" s="1"/>
  <c r="AK9"/>
  <c r="AJ9"/>
  <c r="AJ40" s="1"/>
  <c r="AI9"/>
  <c r="AH9"/>
  <c r="AH41" s="1"/>
  <c r="AG9"/>
  <c r="AF9"/>
  <c r="AF41" s="1"/>
  <c r="P88"/>
  <c r="P89" s="1"/>
  <c r="O88"/>
  <c r="O89" s="1"/>
  <c r="B348" i="373"/>
  <c r="B347"/>
  <c r="B346"/>
  <c r="AB9"/>
  <c r="AB12" s="1"/>
  <c r="O52" i="817" s="1"/>
  <c r="Z9" i="373"/>
  <c r="Z12" s="1"/>
  <c r="Y9"/>
  <c r="Y12" s="1"/>
  <c r="X9"/>
  <c r="X12" s="1"/>
  <c r="W9"/>
  <c r="W12" s="1"/>
  <c r="V9"/>
  <c r="V12" s="1"/>
  <c r="U9"/>
  <c r="U12" s="1"/>
  <c r="T9"/>
  <c r="T12" s="1"/>
  <c r="AD9"/>
  <c r="AD12" s="1"/>
  <c r="AC9"/>
  <c r="AC12" s="1"/>
  <c r="X13" i="372"/>
  <c r="W13"/>
  <c r="T13"/>
  <c r="Q13"/>
  <c r="X12"/>
  <c r="W12"/>
  <c r="U12"/>
  <c r="T12"/>
  <c r="S12"/>
  <c r="R12"/>
  <c r="Q12"/>
  <c r="Y12"/>
  <c r="V12"/>
  <c r="X11"/>
  <c r="W11"/>
  <c r="U11"/>
  <c r="T11"/>
  <c r="S11"/>
  <c r="R11"/>
  <c r="Q11"/>
  <c r="Y11"/>
  <c r="V11"/>
  <c r="X10"/>
  <c r="W10"/>
  <c r="U10"/>
  <c r="T10"/>
  <c r="S10"/>
  <c r="R10"/>
  <c r="Q10"/>
  <c r="Y10"/>
  <c r="V10"/>
  <c r="X9"/>
  <c r="W9"/>
  <c r="U9"/>
  <c r="T9"/>
  <c r="S9"/>
  <c r="R9"/>
  <c r="Q9"/>
  <c r="Y9"/>
  <c r="V9"/>
  <c r="X8"/>
  <c r="W8"/>
  <c r="T8"/>
  <c r="Q8"/>
  <c r="X10" i="369"/>
  <c r="W10"/>
  <c r="U10"/>
  <c r="T10"/>
  <c r="S10"/>
  <c r="R10"/>
  <c r="Q10"/>
  <c r="M10"/>
  <c r="J10"/>
  <c r="V10" s="1"/>
  <c r="X13"/>
  <c r="W13"/>
  <c r="T13"/>
  <c r="Q13"/>
  <c r="X12"/>
  <c r="W12"/>
  <c r="U12"/>
  <c r="T12"/>
  <c r="S12"/>
  <c r="R12"/>
  <c r="Q12"/>
  <c r="Y12"/>
  <c r="V12"/>
  <c r="X11"/>
  <c r="W11"/>
  <c r="U11"/>
  <c r="T11"/>
  <c r="S11"/>
  <c r="R11"/>
  <c r="Q11"/>
  <c r="M11"/>
  <c r="Y11" s="1"/>
  <c r="J11"/>
  <c r="V11" s="1"/>
  <c r="X9"/>
  <c r="W9"/>
  <c r="U9"/>
  <c r="T9"/>
  <c r="S9"/>
  <c r="R9"/>
  <c r="Q9"/>
  <c r="Y9"/>
  <c r="V9"/>
  <c r="X8"/>
  <c r="W8"/>
  <c r="T8"/>
  <c r="Q8"/>
  <c r="N88" i="371"/>
  <c r="N89" s="1"/>
  <c r="R51" i="817" s="1"/>
  <c r="K88" i="371"/>
  <c r="K89" s="1"/>
  <c r="J88"/>
  <c r="J89" s="1"/>
  <c r="I88"/>
  <c r="I89" s="1"/>
  <c r="H89"/>
  <c r="G88"/>
  <c r="G89" s="1"/>
  <c r="F88"/>
  <c r="F89" s="1"/>
  <c r="C88"/>
  <c r="B88"/>
  <c r="A88"/>
  <c r="B35"/>
  <c r="B34"/>
  <c r="B21"/>
  <c r="L88" s="1"/>
  <c r="BA9"/>
  <c r="AZ9"/>
  <c r="AZ40" s="1"/>
  <c r="AY9"/>
  <c r="AX9"/>
  <c r="AX40" s="1"/>
  <c r="AW9"/>
  <c r="AV9"/>
  <c r="AV40" s="1"/>
  <c r="AU9"/>
  <c r="AT9"/>
  <c r="AT40" s="1"/>
  <c r="AS9"/>
  <c r="AR9"/>
  <c r="AR40" s="1"/>
  <c r="AO9"/>
  <c r="AN9"/>
  <c r="AN40" s="1"/>
  <c r="AM9"/>
  <c r="AL9"/>
  <c r="AL40" s="1"/>
  <c r="AK9"/>
  <c r="AJ9"/>
  <c r="AJ40" s="1"/>
  <c r="AI9"/>
  <c r="AH9"/>
  <c r="AH41" s="1"/>
  <c r="AG9"/>
  <c r="AF9"/>
  <c r="AF41" s="1"/>
  <c r="P88"/>
  <c r="P89" s="1"/>
  <c r="O88"/>
  <c r="O89" s="1"/>
  <c r="B348" i="370"/>
  <c r="B347"/>
  <c r="B346"/>
  <c r="AB9"/>
  <c r="AB12" s="1"/>
  <c r="O51" i="817" s="1"/>
  <c r="Z9" i="370"/>
  <c r="Z12" s="1"/>
  <c r="Y9"/>
  <c r="Y12" s="1"/>
  <c r="X9"/>
  <c r="X12" s="1"/>
  <c r="W9"/>
  <c r="W12" s="1"/>
  <c r="V9"/>
  <c r="V12" s="1"/>
  <c r="U9"/>
  <c r="U12" s="1"/>
  <c r="T9"/>
  <c r="T12" s="1"/>
  <c r="AD9"/>
  <c r="AD12" s="1"/>
  <c r="AC9"/>
  <c r="AC12" s="1"/>
  <c r="X8" i="366"/>
  <c r="W8"/>
  <c r="U8"/>
  <c r="T8"/>
  <c r="S8"/>
  <c r="R8"/>
  <c r="Q8"/>
  <c r="Y8"/>
  <c r="V8"/>
  <c r="N88" i="368"/>
  <c r="N89" s="1"/>
  <c r="R34" i="817" s="1"/>
  <c r="K88" i="368"/>
  <c r="K89" s="1"/>
  <c r="J88"/>
  <c r="J89" s="1"/>
  <c r="I88"/>
  <c r="I89" s="1"/>
  <c r="H89"/>
  <c r="G88"/>
  <c r="G89" s="1"/>
  <c r="F88"/>
  <c r="F89" s="1"/>
  <c r="C88"/>
  <c r="B88"/>
  <c r="A88"/>
  <c r="B35"/>
  <c r="B34"/>
  <c r="B21"/>
  <c r="L88" s="1"/>
  <c r="BA9"/>
  <c r="BA40" s="1"/>
  <c r="AZ9"/>
  <c r="AY9"/>
  <c r="AY40" s="1"/>
  <c r="AX9"/>
  <c r="AW9"/>
  <c r="AW40" s="1"/>
  <c r="AV9"/>
  <c r="AU9"/>
  <c r="AU40" s="1"/>
  <c r="AT9"/>
  <c r="AS9"/>
  <c r="AS40" s="1"/>
  <c r="AR9"/>
  <c r="AO9"/>
  <c r="AO40" s="1"/>
  <c r="AN9"/>
  <c r="AM9"/>
  <c r="AM40" s="1"/>
  <c r="AL9"/>
  <c r="AK9"/>
  <c r="AK40" s="1"/>
  <c r="AJ9"/>
  <c r="AI9"/>
  <c r="AI41" s="1"/>
  <c r="AH9"/>
  <c r="AG9"/>
  <c r="AG41" s="1"/>
  <c r="AF9"/>
  <c r="P88"/>
  <c r="P89" s="1"/>
  <c r="O88"/>
  <c r="O89" s="1"/>
  <c r="B348" i="367"/>
  <c r="B347"/>
  <c r="B346"/>
  <c r="AB9"/>
  <c r="AB12" s="1"/>
  <c r="O34" i="817" s="1"/>
  <c r="Z9" i="367"/>
  <c r="Z12" s="1"/>
  <c r="Y9"/>
  <c r="Y12" s="1"/>
  <c r="X9"/>
  <c r="X12" s="1"/>
  <c r="W9"/>
  <c r="W12" s="1"/>
  <c r="V9"/>
  <c r="V12" s="1"/>
  <c r="U9"/>
  <c r="U12" s="1"/>
  <c r="T9"/>
  <c r="T12" s="1"/>
  <c r="AD9"/>
  <c r="AD12" s="1"/>
  <c r="AC9"/>
  <c r="AC12" s="1"/>
  <c r="X10" i="366"/>
  <c r="W10"/>
  <c r="T10"/>
  <c r="Q10"/>
  <c r="X10" i="363"/>
  <c r="W10"/>
  <c r="U10"/>
  <c r="T10"/>
  <c r="S10"/>
  <c r="R10"/>
  <c r="Q10"/>
  <c r="Y10"/>
  <c r="V10"/>
  <c r="X9"/>
  <c r="W9"/>
  <c r="T9"/>
  <c r="Q9"/>
  <c r="X8"/>
  <c r="W8"/>
  <c r="T8"/>
  <c r="Q8"/>
  <c r="N88" i="365"/>
  <c r="N89" s="1"/>
  <c r="R33" i="817" s="1"/>
  <c r="K88" i="365"/>
  <c r="K89" s="1"/>
  <c r="J88"/>
  <c r="J89" s="1"/>
  <c r="I88"/>
  <c r="I89" s="1"/>
  <c r="H89"/>
  <c r="G88"/>
  <c r="G89" s="1"/>
  <c r="F88"/>
  <c r="F89" s="1"/>
  <c r="C88"/>
  <c r="B88"/>
  <c r="A88"/>
  <c r="B35"/>
  <c r="B34"/>
  <c r="B21"/>
  <c r="BA9"/>
  <c r="BA40" s="1"/>
  <c r="AZ9"/>
  <c r="AY9"/>
  <c r="AY40" s="1"/>
  <c r="AX9"/>
  <c r="AW9"/>
  <c r="AW40" s="1"/>
  <c r="AV9"/>
  <c r="AU9"/>
  <c r="AU40" s="1"/>
  <c r="AT9"/>
  <c r="AS9"/>
  <c r="AS41" s="1"/>
  <c r="AR9"/>
  <c r="AO9"/>
  <c r="AO40" s="1"/>
  <c r="AN9"/>
  <c r="AM9"/>
  <c r="AM41" s="1"/>
  <c r="AL9"/>
  <c r="AK9"/>
  <c r="AK41" s="1"/>
  <c r="AJ9"/>
  <c r="AI9"/>
  <c r="AI41" s="1"/>
  <c r="AH9"/>
  <c r="AG9"/>
  <c r="AG41" s="1"/>
  <c r="AF9"/>
  <c r="P88"/>
  <c r="P89" s="1"/>
  <c r="O88"/>
  <c r="O89" s="1"/>
  <c r="B348" i="364"/>
  <c r="B347"/>
  <c r="B346"/>
  <c r="AB9"/>
  <c r="AB12" s="1"/>
  <c r="O33" i="817" s="1"/>
  <c r="Z9" i="364"/>
  <c r="Z12" s="1"/>
  <c r="Y9"/>
  <c r="Y12" s="1"/>
  <c r="X9"/>
  <c r="X12" s="1"/>
  <c r="W9"/>
  <c r="W12" s="1"/>
  <c r="V9"/>
  <c r="V12" s="1"/>
  <c r="U9"/>
  <c r="U12" s="1"/>
  <c r="T9"/>
  <c r="T12" s="1"/>
  <c r="AD9"/>
  <c r="AD12" s="1"/>
  <c r="AC9"/>
  <c r="AC12" s="1"/>
  <c r="N88" i="362"/>
  <c r="N89" s="1"/>
  <c r="R19" i="817" s="1"/>
  <c r="K88" i="362"/>
  <c r="K89" s="1"/>
  <c r="J88"/>
  <c r="J89" s="1"/>
  <c r="I88"/>
  <c r="I89" s="1"/>
  <c r="G88"/>
  <c r="G89" s="1"/>
  <c r="F88"/>
  <c r="F89" s="1"/>
  <c r="C88"/>
  <c r="B88"/>
  <c r="A88"/>
  <c r="B35"/>
  <c r="B34"/>
  <c r="B21"/>
  <c r="BA9"/>
  <c r="AZ9"/>
  <c r="AZ40" s="1"/>
  <c r="AY9"/>
  <c r="AX9"/>
  <c r="AX40" s="1"/>
  <c r="AW9"/>
  <c r="AV9"/>
  <c r="AV40" s="1"/>
  <c r="AU9"/>
  <c r="AT9"/>
  <c r="AT40" s="1"/>
  <c r="AS9"/>
  <c r="AR9"/>
  <c r="AR40" s="1"/>
  <c r="AO9"/>
  <c r="AN9"/>
  <c r="AN40" s="1"/>
  <c r="AM9"/>
  <c r="AL9"/>
  <c r="AL41" s="1"/>
  <c r="AK9"/>
  <c r="AJ9"/>
  <c r="AJ41" s="1"/>
  <c r="AI9"/>
  <c r="AH9"/>
  <c r="AH41" s="1"/>
  <c r="AG9"/>
  <c r="AF9"/>
  <c r="AF41" s="1"/>
  <c r="P88"/>
  <c r="P89" s="1"/>
  <c r="O88"/>
  <c r="O89" s="1"/>
  <c r="B349" i="361"/>
  <c r="B348"/>
  <c r="B347"/>
  <c r="AB10"/>
  <c r="Z10"/>
  <c r="Z13" s="1"/>
  <c r="Y10"/>
  <c r="Y13" s="1"/>
  <c r="X10"/>
  <c r="X13" s="1"/>
  <c r="W10"/>
  <c r="W13" s="1"/>
  <c r="V10"/>
  <c r="V13" s="1"/>
  <c r="U10"/>
  <c r="T10"/>
  <c r="T13" s="1"/>
  <c r="AD10"/>
  <c r="AC10"/>
  <c r="X16" i="360"/>
  <c r="W16"/>
  <c r="T16"/>
  <c r="Q16"/>
  <c r="X15"/>
  <c r="W15"/>
  <c r="U15"/>
  <c r="T15"/>
  <c r="S15"/>
  <c r="R15"/>
  <c r="Q15"/>
  <c r="Y15"/>
  <c r="V15"/>
  <c r="X14"/>
  <c r="W14"/>
  <c r="U14"/>
  <c r="T14"/>
  <c r="S14"/>
  <c r="R14"/>
  <c r="Q14"/>
  <c r="Y14"/>
  <c r="V14"/>
  <c r="X13"/>
  <c r="W13"/>
  <c r="T13"/>
  <c r="Q13"/>
  <c r="X12"/>
  <c r="W12"/>
  <c r="T12"/>
  <c r="Q12"/>
  <c r="X11"/>
  <c r="W11"/>
  <c r="T11"/>
  <c r="Q11"/>
  <c r="X10"/>
  <c r="W10"/>
  <c r="T10"/>
  <c r="Q10"/>
  <c r="X9"/>
  <c r="W9"/>
  <c r="T9"/>
  <c r="Q9"/>
  <c r="X8"/>
  <c r="W8"/>
  <c r="T8"/>
  <c r="Q8"/>
  <c r="AC11" i="186"/>
  <c r="T11"/>
  <c r="U11"/>
  <c r="V11"/>
  <c r="W11"/>
  <c r="X11"/>
  <c r="Y11"/>
  <c r="AB11"/>
  <c r="AD11"/>
  <c r="AB10"/>
  <c r="Y10"/>
  <c r="X10"/>
  <c r="W10"/>
  <c r="V10"/>
  <c r="U10"/>
  <c r="T10"/>
  <c r="AD10"/>
  <c r="AC10"/>
  <c r="AB9"/>
  <c r="Y9"/>
  <c r="X9"/>
  <c r="W9"/>
  <c r="V9"/>
  <c r="U9"/>
  <c r="T9"/>
  <c r="AD9"/>
  <c r="AC9"/>
  <c r="X11" i="185"/>
  <c r="W11"/>
  <c r="T11"/>
  <c r="Q11"/>
  <c r="X10"/>
  <c r="W10"/>
  <c r="U10"/>
  <c r="T10"/>
  <c r="S10"/>
  <c r="R10"/>
  <c r="Q10"/>
  <c r="Y10"/>
  <c r="V10"/>
  <c r="X9"/>
  <c r="W9"/>
  <c r="T9"/>
  <c r="Q9"/>
  <c r="X8"/>
  <c r="W8"/>
  <c r="T8"/>
  <c r="Q8"/>
  <c r="AY47" i="817" l="1"/>
  <c r="AY48"/>
  <c r="AY50"/>
  <c r="AY51"/>
  <c r="AY71"/>
  <c r="AY75"/>
  <c r="BJ75" s="1"/>
  <c r="AY76"/>
  <c r="BJ76" s="1"/>
  <c r="H32" i="25"/>
  <c r="G33"/>
  <c r="G34" s="1"/>
  <c r="G35" s="1"/>
  <c r="G36" s="1"/>
  <c r="G37" s="1"/>
  <c r="O35" i="817"/>
  <c r="O36" s="1"/>
  <c r="O37" s="1"/>
  <c r="O38" s="1"/>
  <c r="H50" i="25"/>
  <c r="H51"/>
  <c r="H52"/>
  <c r="H53"/>
  <c r="G54"/>
  <c r="G55"/>
  <c r="H55"/>
  <c r="G56"/>
  <c r="H60"/>
  <c r="L27"/>
  <c r="K53"/>
  <c r="L54"/>
  <c r="L58"/>
  <c r="S35"/>
  <c r="T36"/>
  <c r="T37"/>
  <c r="S38"/>
  <c r="T41"/>
  <c r="T42"/>
  <c r="S43"/>
  <c r="T44"/>
  <c r="T45"/>
  <c r="S46"/>
  <c r="S47"/>
  <c r="S49"/>
  <c r="S50"/>
  <c r="T70"/>
  <c r="T71" s="1"/>
  <c r="T72" s="1"/>
  <c r="T73" s="1"/>
  <c r="AV72" i="817"/>
  <c r="AV73" s="1"/>
  <c r="AV74" s="1"/>
  <c r="R74" i="25"/>
  <c r="S74"/>
  <c r="AP77" i="817"/>
  <c r="S75" i="25"/>
  <c r="S76" s="1"/>
  <c r="S77" s="1"/>
  <c r="AS77" i="817"/>
  <c r="AS78" s="1"/>
  <c r="H18" i="25"/>
  <c r="H19" s="1"/>
  <c r="H20" s="1"/>
  <c r="H21" s="1"/>
  <c r="H22" s="1"/>
  <c r="R20" i="817"/>
  <c r="R21" s="1"/>
  <c r="R22" s="1"/>
  <c r="R23" s="1"/>
  <c r="G32" i="25"/>
  <c r="H33"/>
  <c r="H34" s="1"/>
  <c r="H35" s="1"/>
  <c r="H36" s="1"/>
  <c r="H37" s="1"/>
  <c r="R35" i="817"/>
  <c r="R36" s="1"/>
  <c r="R37" s="1"/>
  <c r="R38" s="1"/>
  <c r="G50" i="25"/>
  <c r="G51"/>
  <c r="G52"/>
  <c r="G53"/>
  <c r="H54"/>
  <c r="H56"/>
  <c r="G60"/>
  <c r="L52"/>
  <c r="L53"/>
  <c r="T35"/>
  <c r="S36"/>
  <c r="T38"/>
  <c r="T39"/>
  <c r="R44"/>
  <c r="S44"/>
  <c r="R45"/>
  <c r="T46"/>
  <c r="T47"/>
  <c r="T48"/>
  <c r="T49"/>
  <c r="T50"/>
  <c r="AP72" i="817"/>
  <c r="AY72" s="1"/>
  <c r="T74" i="25"/>
  <c r="T75"/>
  <c r="T76" s="1"/>
  <c r="T77" s="1"/>
  <c r="AV77" i="817"/>
  <c r="AV78" s="1"/>
  <c r="AD13" i="361"/>
  <c r="U13"/>
  <c r="AB13"/>
  <c r="O19" i="817" s="1"/>
  <c r="AC13" i="361"/>
  <c r="R75" i="25"/>
  <c r="R76" s="1"/>
  <c r="R70"/>
  <c r="R71" s="1"/>
  <c r="Q10" i="387"/>
  <c r="T10"/>
  <c r="T16" i="483"/>
  <c r="I93" i="491"/>
  <c r="K93"/>
  <c r="I91" i="497"/>
  <c r="K91"/>
  <c r="I91" i="500"/>
  <c r="K91"/>
  <c r="U46" i="25"/>
  <c r="U49"/>
  <c r="U50"/>
  <c r="I91" i="470"/>
  <c r="K91"/>
  <c r="J91" i="473"/>
  <c r="N91"/>
  <c r="AV37" i="817" s="1"/>
  <c r="J91" i="476"/>
  <c r="N91"/>
  <c r="AV38" i="817" s="1"/>
  <c r="I91" i="479"/>
  <c r="K91"/>
  <c r="T17" i="480"/>
  <c r="I91" i="482"/>
  <c r="T18" i="480"/>
  <c r="F91" i="485"/>
  <c r="T16" i="486"/>
  <c r="J91" i="488"/>
  <c r="N91"/>
  <c r="AV42" i="817" s="1"/>
  <c r="I91" i="485"/>
  <c r="U47" i="25"/>
  <c r="U52"/>
  <c r="U74"/>
  <c r="K91" i="485"/>
  <c r="AB12" i="397"/>
  <c r="AB13" s="1"/>
  <c r="Y28" i="817" s="1"/>
  <c r="J91" i="470"/>
  <c r="N91"/>
  <c r="AV36" i="817" s="1"/>
  <c r="I91" i="473"/>
  <c r="K91"/>
  <c r="I91" i="476"/>
  <c r="K91"/>
  <c r="J91" i="479"/>
  <c r="N91"/>
  <c r="AV39" i="817" s="1"/>
  <c r="J91" i="482"/>
  <c r="N91"/>
  <c r="AV40" i="817" s="1"/>
  <c r="G91" i="485"/>
  <c r="J91"/>
  <c r="N91"/>
  <c r="AV41" i="817" s="1"/>
  <c r="Q20" i="489"/>
  <c r="AD20" i="490"/>
  <c r="AU43" i="817" s="1"/>
  <c r="U20" i="490"/>
  <c r="W20"/>
  <c r="Y20"/>
  <c r="U44" i="25"/>
  <c r="U51"/>
  <c r="U54"/>
  <c r="T14" i="393"/>
  <c r="X14"/>
  <c r="Z10" i="397"/>
  <c r="AA10" s="1"/>
  <c r="Z11"/>
  <c r="AA11" s="1"/>
  <c r="J93" i="491"/>
  <c r="N93"/>
  <c r="AV43" i="817" s="1"/>
  <c r="J91" i="497"/>
  <c r="N91"/>
  <c r="AV45" i="817" s="1"/>
  <c r="J91" i="500"/>
  <c r="N91"/>
  <c r="AV46" i="817" s="1"/>
  <c r="K91" i="482"/>
  <c r="Q14" i="393"/>
  <c r="W14"/>
  <c r="L61" i="817" s="1"/>
  <c r="AA10" i="361"/>
  <c r="AA13" s="1"/>
  <c r="I91" i="488"/>
  <c r="K91"/>
  <c r="U88" i="25"/>
  <c r="Z88" s="1"/>
  <c r="U87"/>
  <c r="Z87" s="1"/>
  <c r="U86"/>
  <c r="Z86" s="1"/>
  <c r="U85"/>
  <c r="Z85" s="1"/>
  <c r="U84"/>
  <c r="U83"/>
  <c r="U82"/>
  <c r="U81"/>
  <c r="U80"/>
  <c r="U79"/>
  <c r="U78"/>
  <c r="U75"/>
  <c r="U70"/>
  <c r="AA11" i="478"/>
  <c r="T11" i="402"/>
  <c r="AC16" i="496"/>
  <c r="AT45" i="817" s="1"/>
  <c r="AD16" i="493"/>
  <c r="AU44" i="817" s="1"/>
  <c r="AB16" i="493"/>
  <c r="AS44" i="817" s="1"/>
  <c r="AC12" i="421"/>
  <c r="AJ42" i="817" s="1"/>
  <c r="AJ43" s="1"/>
  <c r="AJ44" s="1"/>
  <c r="AJ45" s="1"/>
  <c r="AJ46" s="1"/>
  <c r="AJ47" s="1"/>
  <c r="AJ48" s="1"/>
  <c r="AJ49" s="1"/>
  <c r="AJ50" s="1"/>
  <c r="AJ51" s="1"/>
  <c r="AJ52" s="1"/>
  <c r="AJ53" s="1"/>
  <c r="AJ54" s="1"/>
  <c r="AJ55" s="1"/>
  <c r="AJ56" s="1"/>
  <c r="AJ57" s="1"/>
  <c r="AJ58" s="1"/>
  <c r="AJ59" s="1"/>
  <c r="AJ60" s="1"/>
  <c r="AJ61" s="1"/>
  <c r="T12" i="421"/>
  <c r="V12"/>
  <c r="X12"/>
  <c r="AD12"/>
  <c r="AK42" i="817" s="1"/>
  <c r="AK43" s="1"/>
  <c r="AK44" s="1"/>
  <c r="AK45" s="1"/>
  <c r="AK46" s="1"/>
  <c r="AK47" s="1"/>
  <c r="AK48" s="1"/>
  <c r="AK49" s="1"/>
  <c r="AK50" s="1"/>
  <c r="AK51" s="1"/>
  <c r="AK52" s="1"/>
  <c r="AK53" s="1"/>
  <c r="AK54" s="1"/>
  <c r="AK55" s="1"/>
  <c r="AK56" s="1"/>
  <c r="AK57" s="1"/>
  <c r="AK58" s="1"/>
  <c r="AK59" s="1"/>
  <c r="AK60" s="1"/>
  <c r="AK61" s="1"/>
  <c r="U12" i="421"/>
  <c r="W12"/>
  <c r="Y12"/>
  <c r="AB12"/>
  <c r="AI42" i="817" s="1"/>
  <c r="AA10" i="421"/>
  <c r="Z12"/>
  <c r="M88" i="422"/>
  <c r="M89" s="1"/>
  <c r="L89"/>
  <c r="T12" i="408"/>
  <c r="Z12" i="412"/>
  <c r="Q11" i="402"/>
  <c r="T11" i="405"/>
  <c r="Q12" i="408"/>
  <c r="Q16" i="468"/>
  <c r="Q17" s="1"/>
  <c r="W16"/>
  <c r="AB20" i="490"/>
  <c r="AS43" i="817" s="1"/>
  <c r="Q11" i="405"/>
  <c r="W12" i="396"/>
  <c r="W13" s="1"/>
  <c r="V28" i="817" s="1"/>
  <c r="O89" i="395"/>
  <c r="L88"/>
  <c r="M88" s="1"/>
  <c r="AH9" i="394"/>
  <c r="AL9"/>
  <c r="AF9"/>
  <c r="AJ9"/>
  <c r="P89" i="395"/>
  <c r="N89"/>
  <c r="R61" i="817" s="1"/>
  <c r="AP9" i="394"/>
  <c r="AN9"/>
  <c r="Q11" i="381"/>
  <c r="Q12" s="1"/>
  <c r="AA9" i="385"/>
  <c r="AA12" s="1"/>
  <c r="Z12"/>
  <c r="AA9" i="382"/>
  <c r="AA12" s="1"/>
  <c r="Z12"/>
  <c r="T15" i="369"/>
  <c r="T15" i="471"/>
  <c r="X15"/>
  <c r="W15" i="369"/>
  <c r="L51" i="817" s="1"/>
  <c r="U51" s="1"/>
  <c r="W11" i="384"/>
  <c r="W12" s="1"/>
  <c r="L56" i="817" s="1"/>
  <c r="U56" s="1"/>
  <c r="X15" i="474"/>
  <c r="Q12" i="363"/>
  <c r="Q13" s="1"/>
  <c r="X12"/>
  <c r="X13" s="1"/>
  <c r="T12"/>
  <c r="T13" s="1"/>
  <c r="W12"/>
  <c r="X15" i="369"/>
  <c r="X12" i="396"/>
  <c r="X13" s="1"/>
  <c r="W28" i="817" s="1"/>
  <c r="X16" i="468"/>
  <c r="T11" i="481"/>
  <c r="T16" s="1"/>
  <c r="V11"/>
  <c r="V16" s="1"/>
  <c r="X11"/>
  <c r="X16" s="1"/>
  <c r="Y10" i="369"/>
  <c r="D34"/>
  <c r="D36" s="1"/>
  <c r="Q14" s="1"/>
  <c r="Q15" s="1"/>
  <c r="W14" i="372"/>
  <c r="L52" i="817" s="1"/>
  <c r="U52" s="1"/>
  <c r="Q14" i="375"/>
  <c r="Q13" i="396"/>
  <c r="U11" i="481"/>
  <c r="U16" s="1"/>
  <c r="W11"/>
  <c r="W16" s="1"/>
  <c r="Y11"/>
  <c r="Y16" s="1"/>
  <c r="W14" i="375"/>
  <c r="L53" i="817" s="1"/>
  <c r="U53" s="1"/>
  <c r="AD16" i="484"/>
  <c r="AU41" i="817" s="1"/>
  <c r="AB11" i="484"/>
  <c r="AB16" s="1"/>
  <c r="AS41" i="817" s="1"/>
  <c r="AC11" i="484"/>
  <c r="AC16" s="1"/>
  <c r="AT41" i="817" s="1"/>
  <c r="T11" i="484"/>
  <c r="T16" s="1"/>
  <c r="V11"/>
  <c r="X11"/>
  <c r="X16" s="1"/>
  <c r="AC11" i="499"/>
  <c r="T11"/>
  <c r="T16" s="1"/>
  <c r="V11"/>
  <c r="V16" s="1"/>
  <c r="W15" i="489"/>
  <c r="W11" i="402"/>
  <c r="V53" i="817" s="1"/>
  <c r="W11" i="405"/>
  <c r="V54" i="817" s="1"/>
  <c r="W12" i="408"/>
  <c r="V55" i="817" s="1"/>
  <c r="Q14" i="411"/>
  <c r="W14"/>
  <c r="V59" i="817" s="1"/>
  <c r="T19" i="477"/>
  <c r="T20" s="1"/>
  <c r="X19"/>
  <c r="O91" i="494"/>
  <c r="AW44" i="817" s="1"/>
  <c r="P89" i="383"/>
  <c r="X12" i="408"/>
  <c r="W55" i="817" s="1"/>
  <c r="AD11" i="475"/>
  <c r="AD16" s="1"/>
  <c r="AU38" i="817" s="1"/>
  <c r="U11" i="475"/>
  <c r="U16" s="1"/>
  <c r="W11"/>
  <c r="W16" s="1"/>
  <c r="Y11"/>
  <c r="Y16" s="1"/>
  <c r="AA11"/>
  <c r="X10" i="477"/>
  <c r="W10" i="480"/>
  <c r="Z14" i="481"/>
  <c r="Z15" s="1"/>
  <c r="Z10" i="484"/>
  <c r="AA10" s="1"/>
  <c r="W10" i="489"/>
  <c r="X11" i="499"/>
  <c r="X16" s="1"/>
  <c r="T17" i="360"/>
  <c r="T20" s="1"/>
  <c r="X17"/>
  <c r="R8" i="375"/>
  <c r="R8" i="411"/>
  <c r="T20" i="420"/>
  <c r="T21" s="1"/>
  <c r="X20"/>
  <c r="X21" s="1"/>
  <c r="AG42" i="817" s="1"/>
  <c r="AG43" s="1"/>
  <c r="AG44" s="1"/>
  <c r="AG45" s="1"/>
  <c r="AG46" s="1"/>
  <c r="AG47" s="1"/>
  <c r="AG48" s="1"/>
  <c r="AG49" s="1"/>
  <c r="AG50" s="1"/>
  <c r="AG51" s="1"/>
  <c r="AG52" s="1"/>
  <c r="AG53" s="1"/>
  <c r="AG54" s="1"/>
  <c r="AG55" s="1"/>
  <c r="AG56" s="1"/>
  <c r="AG57" s="1"/>
  <c r="AG58" s="1"/>
  <c r="AG59" s="1"/>
  <c r="AG60" s="1"/>
  <c r="AG61" s="1"/>
  <c r="AA9" i="421"/>
  <c r="Q15" i="474"/>
  <c r="Q16" s="1"/>
  <c r="V16" i="484"/>
  <c r="AA9" i="526"/>
  <c r="AA11" s="1"/>
  <c r="R8" i="372"/>
  <c r="AA9" i="376"/>
  <c r="AA12" s="1"/>
  <c r="T14" i="378"/>
  <c r="X14"/>
  <c r="W11" i="381"/>
  <c r="W12" s="1"/>
  <c r="L55" i="817" s="1"/>
  <c r="U55" s="1"/>
  <c r="W10" i="387"/>
  <c r="T10" i="390"/>
  <c r="X10"/>
  <c r="AI9" i="394"/>
  <c r="AD12" i="397"/>
  <c r="AD13" s="1"/>
  <c r="AA28" i="817" s="1"/>
  <c r="U12" i="397"/>
  <c r="U13" s="1"/>
  <c r="W12"/>
  <c r="W13" s="1"/>
  <c r="Y12"/>
  <c r="Y13" s="1"/>
  <c r="T13" i="191"/>
  <c r="X13"/>
  <c r="W36" i="817" s="1"/>
  <c r="R9" i="191"/>
  <c r="X11" i="402"/>
  <c r="W53" i="817" s="1"/>
  <c r="X11" i="405"/>
  <c r="W54" i="817" s="1"/>
  <c r="Q20" i="420"/>
  <c r="Q21" s="1"/>
  <c r="W20"/>
  <c r="W21" s="1"/>
  <c r="AF42" i="817" s="1"/>
  <c r="W10" i="471"/>
  <c r="Q15"/>
  <c r="Q16" s="1"/>
  <c r="W15"/>
  <c r="X10" i="474"/>
  <c r="AC11" i="475"/>
  <c r="AC16" s="1"/>
  <c r="AT38" i="817" s="1"/>
  <c r="T11" i="475"/>
  <c r="T16" s="1"/>
  <c r="V11"/>
  <c r="V16" s="1"/>
  <c r="X11"/>
  <c r="X16" s="1"/>
  <c r="W10" i="477"/>
  <c r="T15" i="474"/>
  <c r="T16" s="1"/>
  <c r="Q19" i="477"/>
  <c r="Q20" s="1"/>
  <c r="W19"/>
  <c r="X10" i="480"/>
  <c r="X15" i="486"/>
  <c r="AC20" i="490"/>
  <c r="AT43" i="817" s="1"/>
  <c r="T20" i="490"/>
  <c r="V20"/>
  <c r="X20"/>
  <c r="N91" i="494"/>
  <c r="AV44" i="817" s="1"/>
  <c r="S8" i="378"/>
  <c r="R8"/>
  <c r="AA9" i="397"/>
  <c r="Q14" i="372"/>
  <c r="U8" i="378"/>
  <c r="O89" i="383"/>
  <c r="Q11" i="384"/>
  <c r="Q12" s="1"/>
  <c r="T20" i="489"/>
  <c r="Z10" i="499"/>
  <c r="AA10" s="1"/>
  <c r="Z9"/>
  <c r="Q12" i="185"/>
  <c r="Q13" s="1"/>
  <c r="W12"/>
  <c r="W13" s="1"/>
  <c r="L39" i="817" s="1"/>
  <c r="U8" i="372"/>
  <c r="T14"/>
  <c r="X14"/>
  <c r="U8" i="375"/>
  <c r="T14"/>
  <c r="X14"/>
  <c r="Q14" i="378"/>
  <c r="W14"/>
  <c r="L54" i="817" s="1"/>
  <c r="U54" s="1"/>
  <c r="T11" i="381"/>
  <c r="T12" s="1"/>
  <c r="L88" i="383"/>
  <c r="M88" s="1"/>
  <c r="T11" i="384"/>
  <c r="T12" s="1"/>
  <c r="X11"/>
  <c r="X10" i="387"/>
  <c r="Q10" i="390"/>
  <c r="W10"/>
  <c r="L57" i="817" s="1"/>
  <c r="U57" s="1"/>
  <c r="R8" i="393"/>
  <c r="AG9" i="394"/>
  <c r="AK9"/>
  <c r="T13" i="396"/>
  <c r="T12" i="397"/>
  <c r="T13" s="1"/>
  <c r="V12"/>
  <c r="V13" s="1"/>
  <c r="X12"/>
  <c r="X13" s="1"/>
  <c r="Q13" i="191"/>
  <c r="W13"/>
  <c r="V36" i="817" s="1"/>
  <c r="U9" i="191"/>
  <c r="R11"/>
  <c r="T16" i="468"/>
  <c r="T17" s="1"/>
  <c r="W10" i="474"/>
  <c r="Z11" i="475"/>
  <c r="Z16" s="1"/>
  <c r="AD11" i="481"/>
  <c r="AD16" s="1"/>
  <c r="AU40" i="817" s="1"/>
  <c r="G91" i="494"/>
  <c r="I91"/>
  <c r="K91"/>
  <c r="P91"/>
  <c r="AX44" i="817" s="1"/>
  <c r="L89" i="392"/>
  <c r="U8" i="393"/>
  <c r="U11" i="191"/>
  <c r="U10" i="409"/>
  <c r="W10"/>
  <c r="Y10"/>
  <c r="U8" i="411"/>
  <c r="T14"/>
  <c r="X14"/>
  <c r="W59" i="817" s="1"/>
  <c r="X10" i="471"/>
  <c r="W15" i="474"/>
  <c r="R13" i="480"/>
  <c r="Z9" i="481"/>
  <c r="AB11"/>
  <c r="AB16" s="1"/>
  <c r="AS40" i="817" s="1"/>
  <c r="W10" i="483"/>
  <c r="W15"/>
  <c r="U11" i="487"/>
  <c r="U16" s="1"/>
  <c r="W11"/>
  <c r="W16" s="1"/>
  <c r="Y11"/>
  <c r="Y16" s="1"/>
  <c r="AA9"/>
  <c r="AA11" s="1"/>
  <c r="F91" i="494"/>
  <c r="H91"/>
  <c r="J91"/>
  <c r="AB11" i="496"/>
  <c r="AD11" i="499"/>
  <c r="U11"/>
  <c r="U16" s="1"/>
  <c r="W11"/>
  <c r="W16" s="1"/>
  <c r="Y11"/>
  <c r="Y16" s="1"/>
  <c r="AA9" i="505"/>
  <c r="AA11" s="1"/>
  <c r="AA13" s="1"/>
  <c r="U11" i="508"/>
  <c r="U13" s="1"/>
  <c r="W11"/>
  <c r="W13" s="1"/>
  <c r="Y11"/>
  <c r="Y13" s="1"/>
  <c r="AA9"/>
  <c r="AA11" s="1"/>
  <c r="AA13" s="1"/>
  <c r="AB11" i="499"/>
  <c r="L89" i="518"/>
  <c r="M88"/>
  <c r="M89" s="1"/>
  <c r="AF43" i="521"/>
  <c r="AF42"/>
  <c r="AF41"/>
  <c r="AF40"/>
  <c r="AF39"/>
  <c r="AF38"/>
  <c r="AH43"/>
  <c r="AH42"/>
  <c r="AH41"/>
  <c r="AH40"/>
  <c r="AH39"/>
  <c r="AH38"/>
  <c r="AJ43"/>
  <c r="AJ42"/>
  <c r="AJ41"/>
  <c r="AJ40"/>
  <c r="AJ39"/>
  <c r="AJ38"/>
  <c r="AL43"/>
  <c r="AL42"/>
  <c r="AL41"/>
  <c r="AL40"/>
  <c r="AL39"/>
  <c r="AL38"/>
  <c r="AN43"/>
  <c r="AN42"/>
  <c r="AN41"/>
  <c r="AN40"/>
  <c r="AN39"/>
  <c r="AN38"/>
  <c r="AR43"/>
  <c r="AR42"/>
  <c r="AR41"/>
  <c r="AR40"/>
  <c r="AR39"/>
  <c r="AR38"/>
  <c r="AR37"/>
  <c r="AT43"/>
  <c r="AT42"/>
  <c r="AT41"/>
  <c r="AT40"/>
  <c r="AT39"/>
  <c r="AT38"/>
  <c r="AT37"/>
  <c r="AV43"/>
  <c r="AV42"/>
  <c r="AV41"/>
  <c r="AV40"/>
  <c r="AV39"/>
  <c r="AV38"/>
  <c r="AV37"/>
  <c r="AX43"/>
  <c r="AX42"/>
  <c r="AX41"/>
  <c r="AX40"/>
  <c r="AX39"/>
  <c r="AX38"/>
  <c r="AX37"/>
  <c r="AZ43"/>
  <c r="AZ42"/>
  <c r="AZ41"/>
  <c r="AZ40"/>
  <c r="AZ39"/>
  <c r="AZ38"/>
  <c r="AZ37"/>
  <c r="L89"/>
  <c r="M88"/>
  <c r="M89" s="1"/>
  <c r="AF13" i="518"/>
  <c r="AH13"/>
  <c r="AJ13"/>
  <c r="AL13"/>
  <c r="AN13"/>
  <c r="AR13"/>
  <c r="AT13"/>
  <c r="AV13"/>
  <c r="AX13"/>
  <c r="AZ13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4"/>
  <c r="AI24"/>
  <c r="AK24"/>
  <c r="AM24"/>
  <c r="AO24"/>
  <c r="AS24"/>
  <c r="AU24"/>
  <c r="AW24"/>
  <c r="AY24"/>
  <c r="BA24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5"/>
  <c r="AI35"/>
  <c r="AK35"/>
  <c r="AM35"/>
  <c r="AO35"/>
  <c r="AS35"/>
  <c r="AU35"/>
  <c r="AW35"/>
  <c r="AY35"/>
  <c r="BA35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S43"/>
  <c r="AU43"/>
  <c r="AW43"/>
  <c r="AY43"/>
  <c r="BA43"/>
  <c r="AA9" i="520"/>
  <c r="AA11" s="1"/>
  <c r="AF13" i="521"/>
  <c r="AH13"/>
  <c r="AJ13"/>
  <c r="AL13"/>
  <c r="AN13"/>
  <c r="AR13"/>
  <c r="AT13"/>
  <c r="AV13"/>
  <c r="AX13"/>
  <c r="AZ13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4"/>
  <c r="AI24"/>
  <c r="AK24"/>
  <c r="AM24"/>
  <c r="AO24"/>
  <c r="AS24"/>
  <c r="AU24"/>
  <c r="AW24"/>
  <c r="AY24"/>
  <c r="BA24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5"/>
  <c r="AI35"/>
  <c r="AK35"/>
  <c r="AM35"/>
  <c r="AO35"/>
  <c r="AS35"/>
  <c r="AU35"/>
  <c r="AW35"/>
  <c r="AY35"/>
  <c r="BA35"/>
  <c r="AG36"/>
  <c r="AI36"/>
  <c r="AK36"/>
  <c r="AM36"/>
  <c r="AO36"/>
  <c r="AG43"/>
  <c r="AG42"/>
  <c r="AG41"/>
  <c r="AG40"/>
  <c r="AG39"/>
  <c r="AG38"/>
  <c r="AI43"/>
  <c r="AI42"/>
  <c r="AI41"/>
  <c r="AI40"/>
  <c r="AI39"/>
  <c r="AI38"/>
  <c r="AK43"/>
  <c r="AK42"/>
  <c r="AK41"/>
  <c r="AK40"/>
  <c r="AK39"/>
  <c r="AK38"/>
  <c r="AM43"/>
  <c r="AM42"/>
  <c r="AM41"/>
  <c r="AM40"/>
  <c r="AM39"/>
  <c r="AM38"/>
  <c r="AO43"/>
  <c r="AO42"/>
  <c r="AO41"/>
  <c r="AO40"/>
  <c r="AO39"/>
  <c r="AO38"/>
  <c r="AS43"/>
  <c r="AS42"/>
  <c r="AS41"/>
  <c r="AS40"/>
  <c r="AS39"/>
  <c r="AS38"/>
  <c r="AS37"/>
  <c r="AU43"/>
  <c r="AU42"/>
  <c r="AU41"/>
  <c r="AU40"/>
  <c r="AU39"/>
  <c r="AU38"/>
  <c r="AU37"/>
  <c r="AW43"/>
  <c r="AW42"/>
  <c r="AW41"/>
  <c r="AW40"/>
  <c r="AW39"/>
  <c r="AW38"/>
  <c r="AW37"/>
  <c r="AY43"/>
  <c r="AY42"/>
  <c r="AY41"/>
  <c r="AY40"/>
  <c r="AY39"/>
  <c r="AY38"/>
  <c r="AY37"/>
  <c r="BA43"/>
  <c r="BA42"/>
  <c r="BA41"/>
  <c r="BA40"/>
  <c r="BA39"/>
  <c r="BA38"/>
  <c r="BA37"/>
  <c r="AG13" i="518"/>
  <c r="AI13"/>
  <c r="AK13"/>
  <c r="AM13"/>
  <c r="AO13"/>
  <c r="AS13"/>
  <c r="AU13"/>
  <c r="AW13"/>
  <c r="AY13"/>
  <c r="BA13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F21"/>
  <c r="AH21"/>
  <c r="AJ21"/>
  <c r="AL21"/>
  <c r="AN21"/>
  <c r="AR21"/>
  <c r="AT21"/>
  <c r="AV21"/>
  <c r="AX21"/>
  <c r="AZ21"/>
  <c r="AF24"/>
  <c r="AH24"/>
  <c r="AJ24"/>
  <c r="AL24"/>
  <c r="AN24"/>
  <c r="AR24"/>
  <c r="AT24"/>
  <c r="AV24"/>
  <c r="AX24"/>
  <c r="AZ24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5"/>
  <c r="AH35"/>
  <c r="AJ35"/>
  <c r="AL35"/>
  <c r="AN35"/>
  <c r="AR35"/>
  <c r="AT35"/>
  <c r="AV35"/>
  <c r="AX35"/>
  <c r="AZ35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T42"/>
  <c r="AV42"/>
  <c r="AX42"/>
  <c r="AZ42"/>
  <c r="AG13" i="521"/>
  <c r="AI13"/>
  <c r="AK13"/>
  <c r="AM13"/>
  <c r="AO13"/>
  <c r="AS13"/>
  <c r="AU13"/>
  <c r="AW13"/>
  <c r="AY13"/>
  <c r="BA13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4"/>
  <c r="AH24"/>
  <c r="AJ24"/>
  <c r="AL24"/>
  <c r="AN24"/>
  <c r="AR24"/>
  <c r="AT24"/>
  <c r="AV24"/>
  <c r="AX24"/>
  <c r="AZ24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5"/>
  <c r="AH35"/>
  <c r="AJ35"/>
  <c r="AL35"/>
  <c r="AN35"/>
  <c r="AR35"/>
  <c r="AT35"/>
  <c r="AV35"/>
  <c r="AX35"/>
  <c r="AZ35"/>
  <c r="AF36"/>
  <c r="AH36"/>
  <c r="AJ36"/>
  <c r="AL36"/>
  <c r="AN36"/>
  <c r="AR36"/>
  <c r="AT36"/>
  <c r="AV36"/>
  <c r="AX36"/>
  <c r="AZ36"/>
  <c r="AF37"/>
  <c r="AH37"/>
  <c r="AJ37"/>
  <c r="AL37"/>
  <c r="AN37"/>
  <c r="AG43" i="527"/>
  <c r="AG42"/>
  <c r="AG41"/>
  <c r="AI43"/>
  <c r="AI42"/>
  <c r="AI41"/>
  <c r="AI40"/>
  <c r="AK43"/>
  <c r="AK42"/>
  <c r="AK41"/>
  <c r="AK40"/>
  <c r="AM43"/>
  <c r="AM42"/>
  <c r="AM41"/>
  <c r="AM40"/>
  <c r="AO43"/>
  <c r="AO42"/>
  <c r="AO41"/>
  <c r="AO40"/>
  <c r="AS43"/>
  <c r="AS42"/>
  <c r="AS41"/>
  <c r="AS40"/>
  <c r="AU43"/>
  <c r="AU42"/>
  <c r="AU41"/>
  <c r="AU40"/>
  <c r="AW43"/>
  <c r="AW42"/>
  <c r="AW41"/>
  <c r="AW40"/>
  <c r="AY43"/>
  <c r="AY42"/>
  <c r="AY41"/>
  <c r="AY40"/>
  <c r="BA43"/>
  <c r="BA42"/>
  <c r="BA41"/>
  <c r="BA40"/>
  <c r="AG13"/>
  <c r="AI13"/>
  <c r="AK13"/>
  <c r="AM13"/>
  <c r="AO13"/>
  <c r="AS13"/>
  <c r="AU13"/>
  <c r="AW13"/>
  <c r="AY13"/>
  <c r="BA13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4"/>
  <c r="AH24"/>
  <c r="AJ24"/>
  <c r="AL24"/>
  <c r="AN24"/>
  <c r="AR24"/>
  <c r="AT24"/>
  <c r="AV24"/>
  <c r="AX24"/>
  <c r="AZ24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5"/>
  <c r="AH35"/>
  <c r="AJ35"/>
  <c r="AL35"/>
  <c r="AN35"/>
  <c r="AR35"/>
  <c r="AT35"/>
  <c r="AV35"/>
  <c r="AX35"/>
  <c r="AZ35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F43"/>
  <c r="AF42"/>
  <c r="AF41"/>
  <c r="AH43"/>
  <c r="AH42"/>
  <c r="AH41"/>
  <c r="AJ43"/>
  <c r="AJ42"/>
  <c r="AJ41"/>
  <c r="AJ40"/>
  <c r="AL43"/>
  <c r="AL42"/>
  <c r="AL41"/>
  <c r="AL40"/>
  <c r="AN43"/>
  <c r="AN42"/>
  <c r="AN41"/>
  <c r="AN40"/>
  <c r="AR43"/>
  <c r="AR42"/>
  <c r="AR41"/>
  <c r="AR40"/>
  <c r="AT43"/>
  <c r="AT42"/>
  <c r="AT41"/>
  <c r="AT40"/>
  <c r="AV43"/>
  <c r="AV42"/>
  <c r="AV41"/>
  <c r="AV40"/>
  <c r="AX43"/>
  <c r="AX42"/>
  <c r="AX41"/>
  <c r="AX40"/>
  <c r="AZ43"/>
  <c r="AZ42"/>
  <c r="AZ41"/>
  <c r="AZ40"/>
  <c r="L89"/>
  <c r="M88"/>
  <c r="M89" s="1"/>
  <c r="AF13"/>
  <c r="AH13"/>
  <c r="AJ13"/>
  <c r="AL13"/>
  <c r="AN13"/>
  <c r="AR13"/>
  <c r="AT13"/>
  <c r="AV13"/>
  <c r="AX13"/>
  <c r="AZ13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4"/>
  <c r="AI24"/>
  <c r="AK24"/>
  <c r="AM24"/>
  <c r="AO24"/>
  <c r="AS24"/>
  <c r="AU24"/>
  <c r="AW24"/>
  <c r="AY24"/>
  <c r="BA24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5"/>
  <c r="AI35"/>
  <c r="AK35"/>
  <c r="AM35"/>
  <c r="AO35"/>
  <c r="AS35"/>
  <c r="AU35"/>
  <c r="AW35"/>
  <c r="AY35"/>
  <c r="BA35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G44" i="515"/>
  <c r="AG43"/>
  <c r="AG42"/>
  <c r="AI44"/>
  <c r="AI43"/>
  <c r="AI42"/>
  <c r="AI41"/>
  <c r="AK44"/>
  <c r="AK43"/>
  <c r="AK42"/>
  <c r="AK41"/>
  <c r="AM44"/>
  <c r="AM43"/>
  <c r="AM42"/>
  <c r="AM41"/>
  <c r="AO44"/>
  <c r="AO43"/>
  <c r="AO42"/>
  <c r="AO41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Z11" i="514"/>
  <c r="Z13" s="1"/>
  <c r="AG14" i="515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F44"/>
  <c r="AF43"/>
  <c r="AF42"/>
  <c r="AH44"/>
  <c r="AH43"/>
  <c r="AH42"/>
  <c r="AJ44"/>
  <c r="AJ43"/>
  <c r="AJ42"/>
  <c r="AJ41"/>
  <c r="AL44"/>
  <c r="AL43"/>
  <c r="AL42"/>
  <c r="AL41"/>
  <c r="AN44"/>
  <c r="AN43"/>
  <c r="AN42"/>
  <c r="AN41"/>
  <c r="AR44"/>
  <c r="AR43"/>
  <c r="AR42"/>
  <c r="AR41"/>
  <c r="AT44"/>
  <c r="AT43"/>
  <c r="AT42"/>
  <c r="AT41"/>
  <c r="AV44"/>
  <c r="AV43"/>
  <c r="AV42"/>
  <c r="AV41"/>
  <c r="AX44"/>
  <c r="AX43"/>
  <c r="AX42"/>
  <c r="AX41"/>
  <c r="AZ44"/>
  <c r="AZ43"/>
  <c r="AZ42"/>
  <c r="AZ41"/>
  <c r="L89"/>
  <c r="M88"/>
  <c r="M89" s="1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L89" i="512"/>
  <c r="M88"/>
  <c r="M89" s="1"/>
  <c r="Z11" i="511"/>
  <c r="Z13" s="1"/>
  <c r="AG14" i="512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T42"/>
  <c r="AV42"/>
  <c r="AX42"/>
  <c r="AZ42"/>
  <c r="AF43"/>
  <c r="AH43"/>
  <c r="AJ43"/>
  <c r="AL43"/>
  <c r="AN43"/>
  <c r="AR43"/>
  <c r="AT43"/>
  <c r="AV43"/>
  <c r="AX43"/>
  <c r="AZ43"/>
  <c r="AF44"/>
  <c r="AH44"/>
  <c r="AJ44"/>
  <c r="AL44"/>
  <c r="AN44"/>
  <c r="AR44"/>
  <c r="AT44"/>
  <c r="AV44"/>
  <c r="AX44"/>
  <c r="AZ44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S43"/>
  <c r="AU43"/>
  <c r="AW43"/>
  <c r="AY43"/>
  <c r="BA43"/>
  <c r="AD11" i="508"/>
  <c r="AD13" s="1"/>
  <c r="AU49" i="817" s="1"/>
  <c r="AY49" s="1"/>
  <c r="AG44" i="509"/>
  <c r="AG43"/>
  <c r="AG42"/>
  <c r="AI44"/>
  <c r="AI43"/>
  <c r="AI42"/>
  <c r="AI41"/>
  <c r="AK44"/>
  <c r="AK43"/>
  <c r="AK42"/>
  <c r="AK41"/>
  <c r="AM44"/>
  <c r="AM43"/>
  <c r="AM42"/>
  <c r="AM41"/>
  <c r="AO44"/>
  <c r="AO43"/>
  <c r="AO42"/>
  <c r="AO41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F44"/>
  <c r="AF43"/>
  <c r="AF42"/>
  <c r="AH44"/>
  <c r="AH43"/>
  <c r="AH42"/>
  <c r="AJ44"/>
  <c r="AJ43"/>
  <c r="AJ42"/>
  <c r="AJ41"/>
  <c r="AL44"/>
  <c r="AL43"/>
  <c r="AL42"/>
  <c r="AL41"/>
  <c r="AN44"/>
  <c r="AN43"/>
  <c r="AN42"/>
  <c r="AN41"/>
  <c r="AR44"/>
  <c r="AR43"/>
  <c r="AR42"/>
  <c r="AR41"/>
  <c r="AT44"/>
  <c r="AT43"/>
  <c r="AT42"/>
  <c r="AT41"/>
  <c r="AV44"/>
  <c r="AV43"/>
  <c r="AV42"/>
  <c r="AV41"/>
  <c r="AX44"/>
  <c r="AX43"/>
  <c r="AX42"/>
  <c r="AX41"/>
  <c r="AZ44"/>
  <c r="AZ43"/>
  <c r="AZ42"/>
  <c r="AZ41"/>
  <c r="L89"/>
  <c r="M88"/>
  <c r="M89" s="1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G44" i="506"/>
  <c r="AG43"/>
  <c r="AG42"/>
  <c r="AI44"/>
  <c r="AI43"/>
  <c r="AI42"/>
  <c r="AI41"/>
  <c r="AK44"/>
  <c r="AK43"/>
  <c r="AK42"/>
  <c r="AK41"/>
  <c r="AM44"/>
  <c r="AM43"/>
  <c r="AM42"/>
  <c r="AM41"/>
  <c r="AO44"/>
  <c r="AO43"/>
  <c r="AO42"/>
  <c r="AO41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F44"/>
  <c r="AF43"/>
  <c r="AF42"/>
  <c r="AH44"/>
  <c r="AH43"/>
  <c r="AH42"/>
  <c r="AJ44"/>
  <c r="AJ43"/>
  <c r="AJ42"/>
  <c r="AJ41"/>
  <c r="AL44"/>
  <c r="AL43"/>
  <c r="AL42"/>
  <c r="AL41"/>
  <c r="AN44"/>
  <c r="AN43"/>
  <c r="AN42"/>
  <c r="AN41"/>
  <c r="AR44"/>
  <c r="AR43"/>
  <c r="AR42"/>
  <c r="AR41"/>
  <c r="AT44"/>
  <c r="AT43"/>
  <c r="AT42"/>
  <c r="AT41"/>
  <c r="AV44"/>
  <c r="AV43"/>
  <c r="AV42"/>
  <c r="AV41"/>
  <c r="AX44"/>
  <c r="AX43"/>
  <c r="AX42"/>
  <c r="AX41"/>
  <c r="AZ44"/>
  <c r="AZ43"/>
  <c r="AZ42"/>
  <c r="AZ41"/>
  <c r="L89"/>
  <c r="M88"/>
  <c r="M89" s="1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G44" i="503"/>
  <c r="AG43"/>
  <c r="AG42"/>
  <c r="AG41"/>
  <c r="AG40"/>
  <c r="AG39"/>
  <c r="AG38"/>
  <c r="AG37"/>
  <c r="AG36"/>
  <c r="AG33"/>
  <c r="AG32"/>
  <c r="AG31"/>
  <c r="AG30"/>
  <c r="AG29"/>
  <c r="AG28"/>
  <c r="AG27"/>
  <c r="AG26"/>
  <c r="AG25"/>
  <c r="AG22"/>
  <c r="AI44"/>
  <c r="AI43"/>
  <c r="AI42"/>
  <c r="AI41"/>
  <c r="AI40"/>
  <c r="AI39"/>
  <c r="AI38"/>
  <c r="AI37"/>
  <c r="AI36"/>
  <c r="AI33"/>
  <c r="AI32"/>
  <c r="AI31"/>
  <c r="AI30"/>
  <c r="AI29"/>
  <c r="AI28"/>
  <c r="AI27"/>
  <c r="AI26"/>
  <c r="AI25"/>
  <c r="AI22"/>
  <c r="AK44"/>
  <c r="AK43"/>
  <c r="AK42"/>
  <c r="AK41"/>
  <c r="AK40"/>
  <c r="AK39"/>
  <c r="AK38"/>
  <c r="AK37"/>
  <c r="AK36"/>
  <c r="AK33"/>
  <c r="AK32"/>
  <c r="AK31"/>
  <c r="AK30"/>
  <c r="AK29"/>
  <c r="AK28"/>
  <c r="AK27"/>
  <c r="AK26"/>
  <c r="AK25"/>
  <c r="AK22"/>
  <c r="AM44"/>
  <c r="AM43"/>
  <c r="AM42"/>
  <c r="AM41"/>
  <c r="AM40"/>
  <c r="AM39"/>
  <c r="AM38"/>
  <c r="AM37"/>
  <c r="AM36"/>
  <c r="AM33"/>
  <c r="AM32"/>
  <c r="AM31"/>
  <c r="AM30"/>
  <c r="AM29"/>
  <c r="AM28"/>
  <c r="AM27"/>
  <c r="AM26"/>
  <c r="AM25"/>
  <c r="AM22"/>
  <c r="AO44"/>
  <c r="AO43"/>
  <c r="AO42"/>
  <c r="AO41"/>
  <c r="AO40"/>
  <c r="AO39"/>
  <c r="AO38"/>
  <c r="AO37"/>
  <c r="AO36"/>
  <c r="AO33"/>
  <c r="AO32"/>
  <c r="AO31"/>
  <c r="AO30"/>
  <c r="AO29"/>
  <c r="AO28"/>
  <c r="AO27"/>
  <c r="AO26"/>
  <c r="AO25"/>
  <c r="AO22"/>
  <c r="AS44"/>
  <c r="AS43"/>
  <c r="AS42"/>
  <c r="AS41"/>
  <c r="AS40"/>
  <c r="AS39"/>
  <c r="AS38"/>
  <c r="AS37"/>
  <c r="AS36"/>
  <c r="AS33"/>
  <c r="AS32"/>
  <c r="AS31"/>
  <c r="AS30"/>
  <c r="AS29"/>
  <c r="AS28"/>
  <c r="AS27"/>
  <c r="AS26"/>
  <c r="AS25"/>
  <c r="AS22"/>
  <c r="AU44"/>
  <c r="AU43"/>
  <c r="AU42"/>
  <c r="AU41"/>
  <c r="AU40"/>
  <c r="AU39"/>
  <c r="AU38"/>
  <c r="AU37"/>
  <c r="AU36"/>
  <c r="AU33"/>
  <c r="AU32"/>
  <c r="AU31"/>
  <c r="AU30"/>
  <c r="AU29"/>
  <c r="AU28"/>
  <c r="AU27"/>
  <c r="AU26"/>
  <c r="AU25"/>
  <c r="AU22"/>
  <c r="AW44"/>
  <c r="AW43"/>
  <c r="AW42"/>
  <c r="AW41"/>
  <c r="AW40"/>
  <c r="AW39"/>
  <c r="AW38"/>
  <c r="AW37"/>
  <c r="AW36"/>
  <c r="AW33"/>
  <c r="AW32"/>
  <c r="AW31"/>
  <c r="AW30"/>
  <c r="AW29"/>
  <c r="AW28"/>
  <c r="AW27"/>
  <c r="AW26"/>
  <c r="AW25"/>
  <c r="AW22"/>
  <c r="AY44"/>
  <c r="AY43"/>
  <c r="AY42"/>
  <c r="AY41"/>
  <c r="AY40"/>
  <c r="AY39"/>
  <c r="AY38"/>
  <c r="AY37"/>
  <c r="AY36"/>
  <c r="AY33"/>
  <c r="AY32"/>
  <c r="AY31"/>
  <c r="AY30"/>
  <c r="AY29"/>
  <c r="AY28"/>
  <c r="AY27"/>
  <c r="AY26"/>
  <c r="AY25"/>
  <c r="AY22"/>
  <c r="BA44"/>
  <c r="BA43"/>
  <c r="BA42"/>
  <c r="BA41"/>
  <c r="BA40"/>
  <c r="BA39"/>
  <c r="BA38"/>
  <c r="BA37"/>
  <c r="BA36"/>
  <c r="BA33"/>
  <c r="BA32"/>
  <c r="BA31"/>
  <c r="BA30"/>
  <c r="BA29"/>
  <c r="BA28"/>
  <c r="BA27"/>
  <c r="BA26"/>
  <c r="BA25"/>
  <c r="BA22"/>
  <c r="BA21"/>
  <c r="Z11" i="502"/>
  <c r="Z13" s="1"/>
  <c r="AG14" i="503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Y21"/>
  <c r="AF44"/>
  <c r="AF43"/>
  <c r="AF42"/>
  <c r="AF41"/>
  <c r="AF40"/>
  <c r="AF39"/>
  <c r="AF38"/>
  <c r="AF37"/>
  <c r="AF36"/>
  <c r="AF33"/>
  <c r="AF32"/>
  <c r="AF31"/>
  <c r="AF30"/>
  <c r="AF29"/>
  <c r="AF28"/>
  <c r="AF27"/>
  <c r="AF26"/>
  <c r="AF25"/>
  <c r="AF22"/>
  <c r="AH44"/>
  <c r="AH43"/>
  <c r="AH42"/>
  <c r="AH41"/>
  <c r="AH40"/>
  <c r="AH39"/>
  <c r="AH38"/>
  <c r="AH37"/>
  <c r="AH36"/>
  <c r="AH33"/>
  <c r="AH32"/>
  <c r="AH31"/>
  <c r="AH30"/>
  <c r="AH29"/>
  <c r="AH28"/>
  <c r="AH27"/>
  <c r="AH26"/>
  <c r="AH25"/>
  <c r="AH22"/>
  <c r="AJ44"/>
  <c r="AJ43"/>
  <c r="AJ42"/>
  <c r="AJ41"/>
  <c r="AJ40"/>
  <c r="AJ39"/>
  <c r="AJ38"/>
  <c r="AJ37"/>
  <c r="AJ36"/>
  <c r="AJ33"/>
  <c r="AJ32"/>
  <c r="AJ31"/>
  <c r="AJ30"/>
  <c r="AJ29"/>
  <c r="AJ28"/>
  <c r="AJ27"/>
  <c r="AJ26"/>
  <c r="AJ25"/>
  <c r="AJ22"/>
  <c r="AL44"/>
  <c r="AL43"/>
  <c r="AL42"/>
  <c r="AL41"/>
  <c r="AL40"/>
  <c r="AL39"/>
  <c r="AL38"/>
  <c r="AL37"/>
  <c r="AL36"/>
  <c r="AL33"/>
  <c r="AL32"/>
  <c r="AL31"/>
  <c r="AL30"/>
  <c r="AL29"/>
  <c r="AL28"/>
  <c r="AL27"/>
  <c r="AL26"/>
  <c r="AL25"/>
  <c r="AL22"/>
  <c r="AN44"/>
  <c r="AN43"/>
  <c r="AN42"/>
  <c r="AN41"/>
  <c r="AN40"/>
  <c r="AN39"/>
  <c r="AN38"/>
  <c r="AN37"/>
  <c r="AN36"/>
  <c r="AN33"/>
  <c r="AN32"/>
  <c r="AN31"/>
  <c r="AN30"/>
  <c r="AN29"/>
  <c r="AN28"/>
  <c r="AN27"/>
  <c r="AN26"/>
  <c r="AN25"/>
  <c r="AN22"/>
  <c r="AR44"/>
  <c r="AR43"/>
  <c r="AR42"/>
  <c r="AR41"/>
  <c r="AR40"/>
  <c r="AR39"/>
  <c r="AR38"/>
  <c r="AR37"/>
  <c r="AR36"/>
  <c r="AR33"/>
  <c r="AR32"/>
  <c r="AR31"/>
  <c r="AR30"/>
  <c r="AR29"/>
  <c r="AR28"/>
  <c r="AR27"/>
  <c r="AR26"/>
  <c r="AR25"/>
  <c r="AR22"/>
  <c r="AT44"/>
  <c r="AT43"/>
  <c r="AT42"/>
  <c r="AT41"/>
  <c r="AT40"/>
  <c r="AT39"/>
  <c r="AT38"/>
  <c r="AT37"/>
  <c r="AT36"/>
  <c r="AT33"/>
  <c r="AT32"/>
  <c r="AT31"/>
  <c r="AT30"/>
  <c r="AT29"/>
  <c r="AT28"/>
  <c r="AT27"/>
  <c r="AT26"/>
  <c r="AT25"/>
  <c r="AT22"/>
  <c r="AV44"/>
  <c r="AV43"/>
  <c r="AV42"/>
  <c r="AV41"/>
  <c r="AV40"/>
  <c r="AV39"/>
  <c r="AV38"/>
  <c r="AV37"/>
  <c r="AV36"/>
  <c r="AV33"/>
  <c r="AV32"/>
  <c r="AV31"/>
  <c r="AV30"/>
  <c r="AV29"/>
  <c r="AV28"/>
  <c r="AV27"/>
  <c r="AV26"/>
  <c r="AV25"/>
  <c r="AV22"/>
  <c r="AX44"/>
  <c r="AX43"/>
  <c r="AX42"/>
  <c r="AX41"/>
  <c r="AX40"/>
  <c r="AX39"/>
  <c r="AX38"/>
  <c r="AX37"/>
  <c r="AX36"/>
  <c r="AX33"/>
  <c r="AX32"/>
  <c r="AX31"/>
  <c r="AX30"/>
  <c r="AX29"/>
  <c r="AX28"/>
  <c r="AX27"/>
  <c r="AX26"/>
  <c r="AX25"/>
  <c r="AX22"/>
  <c r="AX21"/>
  <c r="AZ44"/>
  <c r="AZ43"/>
  <c r="AZ42"/>
  <c r="AZ41"/>
  <c r="AZ40"/>
  <c r="AZ39"/>
  <c r="AZ38"/>
  <c r="AZ37"/>
  <c r="AZ36"/>
  <c r="AZ33"/>
  <c r="AZ32"/>
  <c r="AZ31"/>
  <c r="AZ30"/>
  <c r="AZ29"/>
  <c r="AZ28"/>
  <c r="AZ27"/>
  <c r="AZ26"/>
  <c r="AZ25"/>
  <c r="AZ22"/>
  <c r="AZ21"/>
  <c r="L88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G45" i="500"/>
  <c r="AG44"/>
  <c r="AG43"/>
  <c r="AI45"/>
  <c r="AI44"/>
  <c r="AI43"/>
  <c r="AK45"/>
  <c r="AK44"/>
  <c r="AK43"/>
  <c r="AM45"/>
  <c r="AM44"/>
  <c r="AM43"/>
  <c r="AO45"/>
  <c r="AO44"/>
  <c r="AO43"/>
  <c r="AS45"/>
  <c r="AS44"/>
  <c r="AS43"/>
  <c r="AS42"/>
  <c r="AU45"/>
  <c r="AU44"/>
  <c r="AU43"/>
  <c r="AU42"/>
  <c r="AW45"/>
  <c r="AW44"/>
  <c r="AW43"/>
  <c r="AW42"/>
  <c r="AY45"/>
  <c r="AY44"/>
  <c r="AY43"/>
  <c r="AY42"/>
  <c r="BA45"/>
  <c r="BA44"/>
  <c r="BA43"/>
  <c r="BA42"/>
  <c r="AA14" i="499"/>
  <c r="AA15" s="1"/>
  <c r="AG15" i="500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F45"/>
  <c r="AF44"/>
  <c r="AF43"/>
  <c r="AH45"/>
  <c r="AH44"/>
  <c r="AH43"/>
  <c r="AJ45"/>
  <c r="AJ44"/>
  <c r="AJ43"/>
  <c r="AL45"/>
  <c r="AL44"/>
  <c r="AL43"/>
  <c r="AN45"/>
  <c r="AN44"/>
  <c r="AN43"/>
  <c r="AR45"/>
  <c r="AR44"/>
  <c r="AR43"/>
  <c r="AT45"/>
  <c r="AT44"/>
  <c r="AT43"/>
  <c r="AT42"/>
  <c r="AV45"/>
  <c r="AV44"/>
  <c r="AV43"/>
  <c r="AV42"/>
  <c r="AX45"/>
  <c r="AX44"/>
  <c r="AX43"/>
  <c r="AX42"/>
  <c r="AZ45"/>
  <c r="AZ44"/>
  <c r="AZ43"/>
  <c r="AZ42"/>
  <c r="L90"/>
  <c r="M90" s="1"/>
  <c r="L89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A9" i="496"/>
  <c r="AA11" s="1"/>
  <c r="AF45" i="497"/>
  <c r="AF44"/>
  <c r="AF43"/>
  <c r="AH45"/>
  <c r="AH44"/>
  <c r="AH43"/>
  <c r="AJ45"/>
  <c r="AJ44"/>
  <c r="AJ43"/>
  <c r="AL45"/>
  <c r="AL44"/>
  <c r="AL43"/>
  <c r="AN45"/>
  <c r="AN44"/>
  <c r="AN43"/>
  <c r="AR45"/>
  <c r="AR44"/>
  <c r="AR43"/>
  <c r="AT45"/>
  <c r="AT44"/>
  <c r="AT43"/>
  <c r="AT42"/>
  <c r="AV45"/>
  <c r="AV44"/>
  <c r="AV43"/>
  <c r="AV42"/>
  <c r="AX45"/>
  <c r="AX44"/>
  <c r="AX43"/>
  <c r="AX42"/>
  <c r="AZ45"/>
  <c r="AZ44"/>
  <c r="AZ43"/>
  <c r="AZ42"/>
  <c r="L90"/>
  <c r="M90" s="1"/>
  <c r="L89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G45"/>
  <c r="AG44"/>
  <c r="AG43"/>
  <c r="AI45"/>
  <c r="AI44"/>
  <c r="AI43"/>
  <c r="AK45"/>
  <c r="AK44"/>
  <c r="AK43"/>
  <c r="AM45"/>
  <c r="AM44"/>
  <c r="AM43"/>
  <c r="AO45"/>
  <c r="AO44"/>
  <c r="AO43"/>
  <c r="AS45"/>
  <c r="AS44"/>
  <c r="AS43"/>
  <c r="AU45"/>
  <c r="AU44"/>
  <c r="AU43"/>
  <c r="AU42"/>
  <c r="AW45"/>
  <c r="AW44"/>
  <c r="AW43"/>
  <c r="AW42"/>
  <c r="AY45"/>
  <c r="AY44"/>
  <c r="AY43"/>
  <c r="AY42"/>
  <c r="BA45"/>
  <c r="BA44"/>
  <c r="BA43"/>
  <c r="BA42"/>
  <c r="AA14" i="496"/>
  <c r="AA15" s="1"/>
  <c r="AG15" i="497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A18" i="490"/>
  <c r="AA19" s="1"/>
  <c r="M90" i="494"/>
  <c r="U11" i="492"/>
  <c r="U12" s="1"/>
  <c r="V11"/>
  <c r="V12" s="1"/>
  <c r="R11"/>
  <c r="R12" s="1"/>
  <c r="AG45" i="494"/>
  <c r="AG44"/>
  <c r="AG43"/>
  <c r="AI45"/>
  <c r="AI44"/>
  <c r="AI43"/>
  <c r="AK45"/>
  <c r="AK44"/>
  <c r="AK43"/>
  <c r="AM45"/>
  <c r="AM44"/>
  <c r="AM43"/>
  <c r="AM42"/>
  <c r="AO45"/>
  <c r="AO44"/>
  <c r="AO43"/>
  <c r="AO42"/>
  <c r="AS45"/>
  <c r="AS44"/>
  <c r="AS43"/>
  <c r="AS42"/>
  <c r="AU45"/>
  <c r="AU44"/>
  <c r="AU43"/>
  <c r="AU42"/>
  <c r="AW45"/>
  <c r="AW44"/>
  <c r="AW43"/>
  <c r="AW42"/>
  <c r="AY45"/>
  <c r="AY44"/>
  <c r="AY43"/>
  <c r="AY42"/>
  <c r="BA45"/>
  <c r="BA44"/>
  <c r="BA43"/>
  <c r="BA42"/>
  <c r="Z11" i="493"/>
  <c r="Z16" s="1"/>
  <c r="AA14"/>
  <c r="AA15" s="1"/>
  <c r="AA16" s="1"/>
  <c r="AG15" i="494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F45"/>
  <c r="AF44"/>
  <c r="AF43"/>
  <c r="AH45"/>
  <c r="AH44"/>
  <c r="AH43"/>
  <c r="AJ45"/>
  <c r="AJ44"/>
  <c r="AJ43"/>
  <c r="AL45"/>
  <c r="AL44"/>
  <c r="AL43"/>
  <c r="AN45"/>
  <c r="AN44"/>
  <c r="AN43"/>
  <c r="AN42"/>
  <c r="AR45"/>
  <c r="AR44"/>
  <c r="AR43"/>
  <c r="AR42"/>
  <c r="AT45"/>
  <c r="AT44"/>
  <c r="AT43"/>
  <c r="AT42"/>
  <c r="AV45"/>
  <c r="AV44"/>
  <c r="AV43"/>
  <c r="AV42"/>
  <c r="AX45"/>
  <c r="AX44"/>
  <c r="AX43"/>
  <c r="AX42"/>
  <c r="AZ45"/>
  <c r="AZ44"/>
  <c r="AZ43"/>
  <c r="AZ42"/>
  <c r="L89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X15" i="483"/>
  <c r="X10"/>
  <c r="X15" i="489"/>
  <c r="W10" i="486"/>
  <c r="X10"/>
  <c r="W15"/>
  <c r="W16" s="1"/>
  <c r="AP42" i="817" s="1"/>
  <c r="X10" i="489"/>
  <c r="X20" s="1"/>
  <c r="AQ43" i="817" s="1"/>
  <c r="U13" i="489"/>
  <c r="U15" s="1"/>
  <c r="J13"/>
  <c r="V13" s="1"/>
  <c r="V15" s="1"/>
  <c r="AG43" i="491"/>
  <c r="AG42"/>
  <c r="AG41"/>
  <c r="AG40"/>
  <c r="AG39"/>
  <c r="AG38"/>
  <c r="AG35"/>
  <c r="AG34"/>
  <c r="AG33"/>
  <c r="AG32"/>
  <c r="AG31"/>
  <c r="AG30"/>
  <c r="AG29"/>
  <c r="AG46"/>
  <c r="AG45"/>
  <c r="AG44"/>
  <c r="AI46"/>
  <c r="AI45"/>
  <c r="AI44"/>
  <c r="AI43"/>
  <c r="AI42"/>
  <c r="AI41"/>
  <c r="AI40"/>
  <c r="AI39"/>
  <c r="AI38"/>
  <c r="AI35"/>
  <c r="AI34"/>
  <c r="AI33"/>
  <c r="AI32"/>
  <c r="AI31"/>
  <c r="AI30"/>
  <c r="AI29"/>
  <c r="AK43"/>
  <c r="AK42"/>
  <c r="AK41"/>
  <c r="AK40"/>
  <c r="AK39"/>
  <c r="AK38"/>
  <c r="AK35"/>
  <c r="AK34"/>
  <c r="AK33"/>
  <c r="AK32"/>
  <c r="AK31"/>
  <c r="AK30"/>
  <c r="AK29"/>
  <c r="AK46"/>
  <c r="AK45"/>
  <c r="AK44"/>
  <c r="AM46"/>
  <c r="AM45"/>
  <c r="AM44"/>
  <c r="AM43"/>
  <c r="AM42"/>
  <c r="AM41"/>
  <c r="AM40"/>
  <c r="AM39"/>
  <c r="AM38"/>
  <c r="AM35"/>
  <c r="AM34"/>
  <c r="AM33"/>
  <c r="AM32"/>
  <c r="AM31"/>
  <c r="AM30"/>
  <c r="AM29"/>
  <c r="AO42"/>
  <c r="AO41"/>
  <c r="AO40"/>
  <c r="AO39"/>
  <c r="AO38"/>
  <c r="AO35"/>
  <c r="AO34"/>
  <c r="AO33"/>
  <c r="AO32"/>
  <c r="AO31"/>
  <c r="AO30"/>
  <c r="AO29"/>
  <c r="AO46"/>
  <c r="AO45"/>
  <c r="AO44"/>
  <c r="AO43"/>
  <c r="AS46"/>
  <c r="AS45"/>
  <c r="AS44"/>
  <c r="AS43"/>
  <c r="AS42"/>
  <c r="AS41"/>
  <c r="AS40"/>
  <c r="AS39"/>
  <c r="AS38"/>
  <c r="AS35"/>
  <c r="AS34"/>
  <c r="AS33"/>
  <c r="AS32"/>
  <c r="AS31"/>
  <c r="AS30"/>
  <c r="AS29"/>
  <c r="AU42"/>
  <c r="AU41"/>
  <c r="AU40"/>
  <c r="AU39"/>
  <c r="AU38"/>
  <c r="AU35"/>
  <c r="AU34"/>
  <c r="AU33"/>
  <c r="AU32"/>
  <c r="AU31"/>
  <c r="AU30"/>
  <c r="AU29"/>
  <c r="AU28"/>
  <c r="AU46"/>
  <c r="AU45"/>
  <c r="AU44"/>
  <c r="AU43"/>
  <c r="AW46"/>
  <c r="AW45"/>
  <c r="AW44"/>
  <c r="AW43"/>
  <c r="AW42"/>
  <c r="AW41"/>
  <c r="AW40"/>
  <c r="AW39"/>
  <c r="AW38"/>
  <c r="AW35"/>
  <c r="AW34"/>
  <c r="AW33"/>
  <c r="AW32"/>
  <c r="AW31"/>
  <c r="AW30"/>
  <c r="AW29"/>
  <c r="AW28"/>
  <c r="AY42"/>
  <c r="AY41"/>
  <c r="AY40"/>
  <c r="AY39"/>
  <c r="AY38"/>
  <c r="AY35"/>
  <c r="AY34"/>
  <c r="AY33"/>
  <c r="AY32"/>
  <c r="AY31"/>
  <c r="AY30"/>
  <c r="AY29"/>
  <c r="AY28"/>
  <c r="AY46"/>
  <c r="AY45"/>
  <c r="AY44"/>
  <c r="AY43"/>
  <c r="BA46"/>
  <c r="BA45"/>
  <c r="BA44"/>
  <c r="BA43"/>
  <c r="BA42"/>
  <c r="BA41"/>
  <c r="BA40"/>
  <c r="BA39"/>
  <c r="BA38"/>
  <c r="BA35"/>
  <c r="BA34"/>
  <c r="BA33"/>
  <c r="BA32"/>
  <c r="BA31"/>
  <c r="BA30"/>
  <c r="BA29"/>
  <c r="BA28"/>
  <c r="Z11" i="490"/>
  <c r="Z20" s="1"/>
  <c r="AA14"/>
  <c r="AA15" s="1"/>
  <c r="AG16" i="491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K23"/>
  <c r="AO23"/>
  <c r="AU23"/>
  <c r="AY23"/>
  <c r="AG24"/>
  <c r="AK24"/>
  <c r="AO24"/>
  <c r="AU24"/>
  <c r="AY24"/>
  <c r="AG27"/>
  <c r="AK27"/>
  <c r="AO27"/>
  <c r="AU27"/>
  <c r="AY27"/>
  <c r="AG28"/>
  <c r="AK28"/>
  <c r="AO28"/>
  <c r="AF46"/>
  <c r="AF45"/>
  <c r="AF44"/>
  <c r="AF43"/>
  <c r="AF42"/>
  <c r="AF41"/>
  <c r="AF40"/>
  <c r="AF39"/>
  <c r="AF38"/>
  <c r="AF35"/>
  <c r="AF34"/>
  <c r="AF33"/>
  <c r="AF32"/>
  <c r="AF31"/>
  <c r="AF30"/>
  <c r="AF29"/>
  <c r="AF28"/>
  <c r="AF27"/>
  <c r="AF24"/>
  <c r="AH46"/>
  <c r="AH45"/>
  <c r="AH44"/>
  <c r="AH43"/>
  <c r="AH42"/>
  <c r="AH41"/>
  <c r="AH40"/>
  <c r="AH39"/>
  <c r="AH38"/>
  <c r="AH35"/>
  <c r="AH34"/>
  <c r="AH33"/>
  <c r="AH32"/>
  <c r="AH31"/>
  <c r="AH30"/>
  <c r="AH29"/>
  <c r="AH28"/>
  <c r="AH27"/>
  <c r="AH24"/>
  <c r="AJ46"/>
  <c r="AJ45"/>
  <c r="AJ44"/>
  <c r="AJ43"/>
  <c r="AJ42"/>
  <c r="AJ41"/>
  <c r="AJ40"/>
  <c r="AJ39"/>
  <c r="AJ38"/>
  <c r="AJ35"/>
  <c r="AJ34"/>
  <c r="AJ33"/>
  <c r="AJ32"/>
  <c r="AJ31"/>
  <c r="AJ30"/>
  <c r="AJ29"/>
  <c r="AJ28"/>
  <c r="AJ27"/>
  <c r="AJ24"/>
  <c r="AJ23"/>
  <c r="AL46"/>
  <c r="AL45"/>
  <c r="AL44"/>
  <c r="AL43"/>
  <c r="AL42"/>
  <c r="AL41"/>
  <c r="AL40"/>
  <c r="AL39"/>
  <c r="AL38"/>
  <c r="AL35"/>
  <c r="AL34"/>
  <c r="AL33"/>
  <c r="AL32"/>
  <c r="AL31"/>
  <c r="AL30"/>
  <c r="AL29"/>
  <c r="AL28"/>
  <c r="AL27"/>
  <c r="AL24"/>
  <c r="AL23"/>
  <c r="AN46"/>
  <c r="AN45"/>
  <c r="AN44"/>
  <c r="AN43"/>
  <c r="AN42"/>
  <c r="AN41"/>
  <c r="AN40"/>
  <c r="AN39"/>
  <c r="AN38"/>
  <c r="AN35"/>
  <c r="AN34"/>
  <c r="AN33"/>
  <c r="AN32"/>
  <c r="AN31"/>
  <c r="AN30"/>
  <c r="AN29"/>
  <c r="AN28"/>
  <c r="AN27"/>
  <c r="AN24"/>
  <c r="AN23"/>
  <c r="AR46"/>
  <c r="AR45"/>
  <c r="AR44"/>
  <c r="AR43"/>
  <c r="AR42"/>
  <c r="AR41"/>
  <c r="AR40"/>
  <c r="AR39"/>
  <c r="AR38"/>
  <c r="AR35"/>
  <c r="AR34"/>
  <c r="AR33"/>
  <c r="AR32"/>
  <c r="AR31"/>
  <c r="AR30"/>
  <c r="AR29"/>
  <c r="AR28"/>
  <c r="AR27"/>
  <c r="AR24"/>
  <c r="AR23"/>
  <c r="AT46"/>
  <c r="AT45"/>
  <c r="AT44"/>
  <c r="AT43"/>
  <c r="AT42"/>
  <c r="AT41"/>
  <c r="AT40"/>
  <c r="AT39"/>
  <c r="AT38"/>
  <c r="AT35"/>
  <c r="AT34"/>
  <c r="AT33"/>
  <c r="AT32"/>
  <c r="AT31"/>
  <c r="AT30"/>
  <c r="AT29"/>
  <c r="AT28"/>
  <c r="AT27"/>
  <c r="AT24"/>
  <c r="AT23"/>
  <c r="AV46"/>
  <c r="AV45"/>
  <c r="AV44"/>
  <c r="AV43"/>
  <c r="AV42"/>
  <c r="AV41"/>
  <c r="AV40"/>
  <c r="AV39"/>
  <c r="AV38"/>
  <c r="AV35"/>
  <c r="AV34"/>
  <c r="AV33"/>
  <c r="AV32"/>
  <c r="AV31"/>
  <c r="AV30"/>
  <c r="AV29"/>
  <c r="AV28"/>
  <c r="AV27"/>
  <c r="AV24"/>
  <c r="AV23"/>
  <c r="AX46"/>
  <c r="AX45"/>
  <c r="AX44"/>
  <c r="AX43"/>
  <c r="AX42"/>
  <c r="AX41"/>
  <c r="AX40"/>
  <c r="AX39"/>
  <c r="AX38"/>
  <c r="AX35"/>
  <c r="AX34"/>
  <c r="AX33"/>
  <c r="AX32"/>
  <c r="AX31"/>
  <c r="AX30"/>
  <c r="AX29"/>
  <c r="AX28"/>
  <c r="AX27"/>
  <c r="AX24"/>
  <c r="AX23"/>
  <c r="AZ46"/>
  <c r="AZ45"/>
  <c r="AZ44"/>
  <c r="AZ43"/>
  <c r="AZ42"/>
  <c r="AZ41"/>
  <c r="AZ40"/>
  <c r="AZ39"/>
  <c r="AZ38"/>
  <c r="AZ35"/>
  <c r="AZ34"/>
  <c r="AZ33"/>
  <c r="AZ32"/>
  <c r="AZ31"/>
  <c r="AZ30"/>
  <c r="AZ29"/>
  <c r="AZ28"/>
  <c r="AZ27"/>
  <c r="AZ24"/>
  <c r="AZ23"/>
  <c r="L91"/>
  <c r="M91" s="1"/>
  <c r="L90"/>
  <c r="R13" i="489"/>
  <c r="R15" s="1"/>
  <c r="AF16" i="491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M23"/>
  <c r="AS23"/>
  <c r="AW23"/>
  <c r="BA23"/>
  <c r="AI24"/>
  <c r="AM24"/>
  <c r="AS24"/>
  <c r="AW24"/>
  <c r="BA24"/>
  <c r="AI27"/>
  <c r="AM27"/>
  <c r="AS27"/>
  <c r="AW27"/>
  <c r="BA27"/>
  <c r="AI28"/>
  <c r="AM28"/>
  <c r="AS28"/>
  <c r="U13" i="486"/>
  <c r="J13"/>
  <c r="V13" s="1"/>
  <c r="V15" s="1"/>
  <c r="Q16"/>
  <c r="AD11" i="487"/>
  <c r="AD16" s="1"/>
  <c r="AU42" i="817" s="1"/>
  <c r="AG45" i="488"/>
  <c r="AG44"/>
  <c r="AG43"/>
  <c r="AI45"/>
  <c r="AI44"/>
  <c r="AI43"/>
  <c r="AK45"/>
  <c r="AK44"/>
  <c r="AK43"/>
  <c r="AM45"/>
  <c r="AM44"/>
  <c r="AM43"/>
  <c r="AM42"/>
  <c r="AO45"/>
  <c r="AO44"/>
  <c r="AO43"/>
  <c r="AO42"/>
  <c r="AS45"/>
  <c r="AS44"/>
  <c r="AS43"/>
  <c r="AS42"/>
  <c r="AU45"/>
  <c r="AU44"/>
  <c r="AU43"/>
  <c r="AU42"/>
  <c r="AW45"/>
  <c r="AW44"/>
  <c r="AW43"/>
  <c r="AW42"/>
  <c r="AY45"/>
  <c r="AY44"/>
  <c r="AY43"/>
  <c r="AY42"/>
  <c r="BA45"/>
  <c r="BA44"/>
  <c r="BA43"/>
  <c r="BA42"/>
  <c r="AA14" i="487"/>
  <c r="AA15" s="1"/>
  <c r="AA16" s="1"/>
  <c r="AG15" i="488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F45"/>
  <c r="AF44"/>
  <c r="AF43"/>
  <c r="AH45"/>
  <c r="AH44"/>
  <c r="AH43"/>
  <c r="AJ45"/>
  <c r="AJ44"/>
  <c r="AJ43"/>
  <c r="AL45"/>
  <c r="AL44"/>
  <c r="AL43"/>
  <c r="AN45"/>
  <c r="AN44"/>
  <c r="AN43"/>
  <c r="AN42"/>
  <c r="AR45"/>
  <c r="AR44"/>
  <c r="AR43"/>
  <c r="AR42"/>
  <c r="AT45"/>
  <c r="AT44"/>
  <c r="AT43"/>
  <c r="AT42"/>
  <c r="AV45"/>
  <c r="AV44"/>
  <c r="AV43"/>
  <c r="AV42"/>
  <c r="AX45"/>
  <c r="AX44"/>
  <c r="AX43"/>
  <c r="AX42"/>
  <c r="AZ45"/>
  <c r="AZ44"/>
  <c r="AZ43"/>
  <c r="AZ42"/>
  <c r="L90"/>
  <c r="M90" s="1"/>
  <c r="L89"/>
  <c r="R13" i="486"/>
  <c r="AF15" i="488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S13" i="483"/>
  <c r="M13"/>
  <c r="Y13" s="1"/>
  <c r="Q16"/>
  <c r="R13"/>
  <c r="U11" i="484"/>
  <c r="U16" s="1"/>
  <c r="W11"/>
  <c r="W16" s="1"/>
  <c r="Y11"/>
  <c r="Y16" s="1"/>
  <c r="AA9"/>
  <c r="AA11" s="1"/>
  <c r="AA14"/>
  <c r="AA15" s="1"/>
  <c r="AF45" i="485"/>
  <c r="AF44"/>
  <c r="AH45"/>
  <c r="AH44"/>
  <c r="AH43"/>
  <c r="AJ45"/>
  <c r="AJ44"/>
  <c r="AJ43"/>
  <c r="AL45"/>
  <c r="AL44"/>
  <c r="AL43"/>
  <c r="AN45"/>
  <c r="AN44"/>
  <c r="AN43"/>
  <c r="AR45"/>
  <c r="AR44"/>
  <c r="AR43"/>
  <c r="AT45"/>
  <c r="AT44"/>
  <c r="AT43"/>
  <c r="AV45"/>
  <c r="AV44"/>
  <c r="AV43"/>
  <c r="AX45"/>
  <c r="AX44"/>
  <c r="AX43"/>
  <c r="AZ45"/>
  <c r="AZ44"/>
  <c r="AZ43"/>
  <c r="L90"/>
  <c r="M90" s="1"/>
  <c r="L89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N42"/>
  <c r="AT42"/>
  <c r="AX42"/>
  <c r="AF43"/>
  <c r="AG45"/>
  <c r="AG44"/>
  <c r="AG43"/>
  <c r="AI45"/>
  <c r="AI44"/>
  <c r="AI43"/>
  <c r="AK45"/>
  <c r="AK44"/>
  <c r="AK43"/>
  <c r="AM45"/>
  <c r="AM44"/>
  <c r="AM43"/>
  <c r="AM42"/>
  <c r="AO45"/>
  <c r="AO44"/>
  <c r="AO43"/>
  <c r="AO42"/>
  <c r="AS45"/>
  <c r="AS44"/>
  <c r="AS43"/>
  <c r="AS42"/>
  <c r="AU45"/>
  <c r="AU44"/>
  <c r="AU43"/>
  <c r="AU42"/>
  <c r="AW45"/>
  <c r="AW44"/>
  <c r="AW43"/>
  <c r="AW42"/>
  <c r="AY45"/>
  <c r="AY44"/>
  <c r="AY43"/>
  <c r="AY42"/>
  <c r="BA45"/>
  <c r="BA44"/>
  <c r="BA43"/>
  <c r="BA42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R42"/>
  <c r="AV42"/>
  <c r="AZ42"/>
  <c r="U15" i="480"/>
  <c r="U13"/>
  <c r="X17"/>
  <c r="X18" s="1"/>
  <c r="AQ40" i="817" s="1"/>
  <c r="R15" i="480"/>
  <c r="M15"/>
  <c r="Y15" s="1"/>
  <c r="S15"/>
  <c r="M13"/>
  <c r="Y13" s="1"/>
  <c r="S13"/>
  <c r="S17" s="1"/>
  <c r="Q17"/>
  <c r="Q18" s="1"/>
  <c r="W17"/>
  <c r="AC11" i="481"/>
  <c r="AC16" s="1"/>
  <c r="AT40" i="817" s="1"/>
  <c r="AG45" i="482"/>
  <c r="AG44"/>
  <c r="AG43"/>
  <c r="AI45"/>
  <c r="AI44"/>
  <c r="AI43"/>
  <c r="AK45"/>
  <c r="AK44"/>
  <c r="AK43"/>
  <c r="AM45"/>
  <c r="AM44"/>
  <c r="AM43"/>
  <c r="AO45"/>
  <c r="AO44"/>
  <c r="AO43"/>
  <c r="AS45"/>
  <c r="AS44"/>
  <c r="AS43"/>
  <c r="AS42"/>
  <c r="AU45"/>
  <c r="AU44"/>
  <c r="AU43"/>
  <c r="AU42"/>
  <c r="AW45"/>
  <c r="AW44"/>
  <c r="AW43"/>
  <c r="AW42"/>
  <c r="AY45"/>
  <c r="AY44"/>
  <c r="AY43"/>
  <c r="AY42"/>
  <c r="BA45"/>
  <c r="BA44"/>
  <c r="BA43"/>
  <c r="BA42"/>
  <c r="AA14" i="481"/>
  <c r="AA15" s="1"/>
  <c r="AG15" i="482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O42"/>
  <c r="AF45"/>
  <c r="AF44"/>
  <c r="AF43"/>
  <c r="AH45"/>
  <c r="AH44"/>
  <c r="AH43"/>
  <c r="AJ45"/>
  <c r="AJ44"/>
  <c r="AJ43"/>
  <c r="AL45"/>
  <c r="AL44"/>
  <c r="AL43"/>
  <c r="AN45"/>
  <c r="AN44"/>
  <c r="AN43"/>
  <c r="AN42"/>
  <c r="AR45"/>
  <c r="AR44"/>
  <c r="AR43"/>
  <c r="AR42"/>
  <c r="AT45"/>
  <c r="AT44"/>
  <c r="AT43"/>
  <c r="AT42"/>
  <c r="AV45"/>
  <c r="AV44"/>
  <c r="AV43"/>
  <c r="AV42"/>
  <c r="AX45"/>
  <c r="AX44"/>
  <c r="AX43"/>
  <c r="AX42"/>
  <c r="AZ45"/>
  <c r="AZ44"/>
  <c r="AZ43"/>
  <c r="AZ42"/>
  <c r="L90"/>
  <c r="M90" s="1"/>
  <c r="L89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S16" i="477"/>
  <c r="Y16"/>
  <c r="R16"/>
  <c r="AG45" i="479"/>
  <c r="AG44"/>
  <c r="AG43"/>
  <c r="AI45"/>
  <c r="AI44"/>
  <c r="AI43"/>
  <c r="AK45"/>
  <c r="AK44"/>
  <c r="AK43"/>
  <c r="AM45"/>
  <c r="AM44"/>
  <c r="AM43"/>
  <c r="AM42"/>
  <c r="AO45"/>
  <c r="AO44"/>
  <c r="AO43"/>
  <c r="AO42"/>
  <c r="AS45"/>
  <c r="AS44"/>
  <c r="AS43"/>
  <c r="AS42"/>
  <c r="AU45"/>
  <c r="AU44"/>
  <c r="AU43"/>
  <c r="AU42"/>
  <c r="AW45"/>
  <c r="AW44"/>
  <c r="AW43"/>
  <c r="AW42"/>
  <c r="AY45"/>
  <c r="AY44"/>
  <c r="AY43"/>
  <c r="AY42"/>
  <c r="BA45"/>
  <c r="BA44"/>
  <c r="BA43"/>
  <c r="BA42"/>
  <c r="Z11" i="478"/>
  <c r="Z16" s="1"/>
  <c r="AA14"/>
  <c r="AA15" s="1"/>
  <c r="AG15" i="479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F45"/>
  <c r="AF44"/>
  <c r="AF43"/>
  <c r="AH45"/>
  <c r="AH44"/>
  <c r="AH43"/>
  <c r="AJ45"/>
  <c r="AJ44"/>
  <c r="AJ43"/>
  <c r="AL45"/>
  <c r="AL44"/>
  <c r="AL43"/>
  <c r="AN45"/>
  <c r="AN44"/>
  <c r="AN43"/>
  <c r="AN42"/>
  <c r="AR45"/>
  <c r="AR44"/>
  <c r="AR43"/>
  <c r="AR42"/>
  <c r="AT45"/>
  <c r="AT44"/>
  <c r="AT43"/>
  <c r="AT42"/>
  <c r="AV45"/>
  <c r="AV44"/>
  <c r="AV43"/>
  <c r="AV42"/>
  <c r="AX45"/>
  <c r="AX44"/>
  <c r="AX43"/>
  <c r="AX42"/>
  <c r="AZ45"/>
  <c r="AZ44"/>
  <c r="AZ43"/>
  <c r="AZ42"/>
  <c r="L90"/>
  <c r="M90" s="1"/>
  <c r="L89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F45" i="476"/>
  <c r="AF44"/>
  <c r="AF43"/>
  <c r="AH45"/>
  <c r="AH44"/>
  <c r="AH43"/>
  <c r="AJ45"/>
  <c r="AJ44"/>
  <c r="AJ43"/>
  <c r="AL45"/>
  <c r="AL44"/>
  <c r="AL43"/>
  <c r="AN45"/>
  <c r="AN44"/>
  <c r="AN43"/>
  <c r="AN42"/>
  <c r="AR45"/>
  <c r="AR44"/>
  <c r="AR43"/>
  <c r="AR42"/>
  <c r="AT45"/>
  <c r="AT44"/>
  <c r="AT43"/>
  <c r="AT42"/>
  <c r="AV45"/>
  <c r="AV44"/>
  <c r="AV43"/>
  <c r="AV42"/>
  <c r="AX45"/>
  <c r="AX44"/>
  <c r="AX43"/>
  <c r="AX42"/>
  <c r="AZ45"/>
  <c r="AZ44"/>
  <c r="AZ43"/>
  <c r="AZ42"/>
  <c r="L90"/>
  <c r="M90" s="1"/>
  <c r="L89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G45"/>
  <c r="AG44"/>
  <c r="AG43"/>
  <c r="AI45"/>
  <c r="AI44"/>
  <c r="AI43"/>
  <c r="AK45"/>
  <c r="AK44"/>
  <c r="AK43"/>
  <c r="AM45"/>
  <c r="AM44"/>
  <c r="AM43"/>
  <c r="AO45"/>
  <c r="AO44"/>
  <c r="AO43"/>
  <c r="AO42"/>
  <c r="AS45"/>
  <c r="AS44"/>
  <c r="AS43"/>
  <c r="AS42"/>
  <c r="AU45"/>
  <c r="AU44"/>
  <c r="AU43"/>
  <c r="AU42"/>
  <c r="AW45"/>
  <c r="AW44"/>
  <c r="AW43"/>
  <c r="AW42"/>
  <c r="AY45"/>
  <c r="AY44"/>
  <c r="AY43"/>
  <c r="AY42"/>
  <c r="BA45"/>
  <c r="BA44"/>
  <c r="BA43"/>
  <c r="BA42"/>
  <c r="AA14" i="475"/>
  <c r="AA15" s="1"/>
  <c r="AG15" i="476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T16" i="471"/>
  <c r="AG45" i="473"/>
  <c r="AG44"/>
  <c r="AG43"/>
  <c r="AI45"/>
  <c r="AI44"/>
  <c r="AI43"/>
  <c r="AK45"/>
  <c r="AK44"/>
  <c r="AK43"/>
  <c r="AM45"/>
  <c r="AM44"/>
  <c r="AM43"/>
  <c r="AM42"/>
  <c r="AO45"/>
  <c r="AO44"/>
  <c r="AO43"/>
  <c r="AO42"/>
  <c r="AS45"/>
  <c r="AS44"/>
  <c r="AS43"/>
  <c r="AS42"/>
  <c r="AU45"/>
  <c r="AU44"/>
  <c r="AU43"/>
  <c r="AU42"/>
  <c r="AW45"/>
  <c r="AW44"/>
  <c r="AW43"/>
  <c r="AW42"/>
  <c r="AY45"/>
  <c r="AY44"/>
  <c r="AY43"/>
  <c r="AY42"/>
  <c r="BA45"/>
  <c r="BA44"/>
  <c r="BA43"/>
  <c r="BA42"/>
  <c r="Z11" i="472"/>
  <c r="Z16" s="1"/>
  <c r="AA14"/>
  <c r="AA15" s="1"/>
  <c r="AA16" s="1"/>
  <c r="AG15" i="473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F45"/>
  <c r="AF44"/>
  <c r="AF43"/>
  <c r="AH45"/>
  <c r="AH44"/>
  <c r="AH43"/>
  <c r="AJ45"/>
  <c r="AJ44"/>
  <c r="AJ43"/>
  <c r="AL45"/>
  <c r="AL44"/>
  <c r="AL43"/>
  <c r="AN45"/>
  <c r="AN44"/>
  <c r="AN43"/>
  <c r="AN42"/>
  <c r="AR45"/>
  <c r="AR44"/>
  <c r="AR43"/>
  <c r="AR42"/>
  <c r="AT45"/>
  <c r="AT44"/>
  <c r="AT43"/>
  <c r="AT42"/>
  <c r="AV45"/>
  <c r="AV44"/>
  <c r="AV43"/>
  <c r="AV42"/>
  <c r="AX45"/>
  <c r="AX44"/>
  <c r="AX43"/>
  <c r="AX42"/>
  <c r="AZ45"/>
  <c r="AZ44"/>
  <c r="AZ43"/>
  <c r="AZ42"/>
  <c r="L90"/>
  <c r="M90" s="1"/>
  <c r="L89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A14" i="469"/>
  <c r="AA15" s="1"/>
  <c r="X10" i="468"/>
  <c r="X17" s="1"/>
  <c r="AQ36" i="817" s="1"/>
  <c r="W10" i="468"/>
  <c r="AA9" i="469"/>
  <c r="AA11" s="1"/>
  <c r="AD15"/>
  <c r="AD16" s="1"/>
  <c r="AU36" i="817" s="1"/>
  <c r="AF45" i="470"/>
  <c r="AF44"/>
  <c r="AF43"/>
  <c r="AH45"/>
  <c r="AH44"/>
  <c r="AH43"/>
  <c r="AJ45"/>
  <c r="AJ44"/>
  <c r="AJ43"/>
  <c r="AL45"/>
  <c r="AL44"/>
  <c r="AL43"/>
  <c r="AN45"/>
  <c r="AN44"/>
  <c r="AN43"/>
  <c r="AR45"/>
  <c r="AR44"/>
  <c r="AR43"/>
  <c r="AR42"/>
  <c r="AT45"/>
  <c r="AT44"/>
  <c r="AT43"/>
  <c r="AT42"/>
  <c r="AV45"/>
  <c r="AV44"/>
  <c r="AV43"/>
  <c r="AV42"/>
  <c r="AX45"/>
  <c r="AX44"/>
  <c r="AX43"/>
  <c r="AX42"/>
  <c r="AZ45"/>
  <c r="AZ44"/>
  <c r="AZ43"/>
  <c r="AZ42"/>
  <c r="L90"/>
  <c r="M90" s="1"/>
  <c r="L89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G22"/>
  <c r="AI22"/>
  <c r="AK22"/>
  <c r="AM22"/>
  <c r="AO22"/>
  <c r="AS22"/>
  <c r="AU22"/>
  <c r="AW22"/>
  <c r="AY22"/>
  <c r="BA22"/>
  <c r="AG23"/>
  <c r="AI23"/>
  <c r="AK23"/>
  <c r="AM23"/>
  <c r="AO23"/>
  <c r="AS23"/>
  <c r="AU23"/>
  <c r="AW23"/>
  <c r="AY23"/>
  <c r="BA23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N42"/>
  <c r="AG45"/>
  <c r="AG44"/>
  <c r="AG43"/>
  <c r="AI45"/>
  <c r="AI44"/>
  <c r="AI43"/>
  <c r="AK45"/>
  <c r="AK44"/>
  <c r="AK43"/>
  <c r="AM45"/>
  <c r="AM44"/>
  <c r="AM43"/>
  <c r="AM42"/>
  <c r="AO45"/>
  <c r="AO44"/>
  <c r="AO43"/>
  <c r="AO42"/>
  <c r="AS45"/>
  <c r="AS44"/>
  <c r="AS43"/>
  <c r="AS42"/>
  <c r="AU45"/>
  <c r="AU44"/>
  <c r="AU43"/>
  <c r="AU42"/>
  <c r="AW45"/>
  <c r="AW44"/>
  <c r="AW43"/>
  <c r="AW42"/>
  <c r="AY45"/>
  <c r="AY44"/>
  <c r="AY43"/>
  <c r="AY42"/>
  <c r="BA45"/>
  <c r="BA44"/>
  <c r="BA43"/>
  <c r="BA42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F22"/>
  <c r="AH22"/>
  <c r="AJ22"/>
  <c r="AL22"/>
  <c r="AN22"/>
  <c r="AR22"/>
  <c r="AT22"/>
  <c r="AV22"/>
  <c r="AX22"/>
  <c r="AZ22"/>
  <c r="AF23"/>
  <c r="AH23"/>
  <c r="AJ23"/>
  <c r="AL23"/>
  <c r="AN23"/>
  <c r="AR23"/>
  <c r="AT23"/>
  <c r="AV23"/>
  <c r="AX23"/>
  <c r="AZ23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U8" i="420"/>
  <c r="J8"/>
  <c r="V8" s="1"/>
  <c r="R8"/>
  <c r="U12"/>
  <c r="J12"/>
  <c r="V12" s="1"/>
  <c r="R12"/>
  <c r="U11"/>
  <c r="J11"/>
  <c r="V11" s="1"/>
  <c r="R11"/>
  <c r="U10"/>
  <c r="J10"/>
  <c r="V10" s="1"/>
  <c r="R10"/>
  <c r="U19"/>
  <c r="J19"/>
  <c r="V19" s="1"/>
  <c r="R19"/>
  <c r="AG44" i="422"/>
  <c r="AG43"/>
  <c r="AG42"/>
  <c r="AI44"/>
  <c r="AI43"/>
  <c r="AI42"/>
  <c r="AI41"/>
  <c r="AK44"/>
  <c r="AK43"/>
  <c r="AK42"/>
  <c r="AK41"/>
  <c r="AM44"/>
  <c r="AM43"/>
  <c r="AM42"/>
  <c r="AM41"/>
  <c r="AO44"/>
  <c r="AO43"/>
  <c r="AO42"/>
  <c r="AO41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L40"/>
  <c r="AR40"/>
  <c r="AV40"/>
  <c r="AF44"/>
  <c r="AF43"/>
  <c r="AF42"/>
  <c r="AH44"/>
  <c r="AH43"/>
  <c r="AH42"/>
  <c r="AJ44"/>
  <c r="AJ43"/>
  <c r="AJ42"/>
  <c r="AL44"/>
  <c r="AL43"/>
  <c r="AL42"/>
  <c r="AN44"/>
  <c r="AN43"/>
  <c r="AN42"/>
  <c r="AR44"/>
  <c r="AR43"/>
  <c r="AR42"/>
  <c r="AT44"/>
  <c r="AT43"/>
  <c r="AT42"/>
  <c r="AV44"/>
  <c r="AV43"/>
  <c r="AV42"/>
  <c r="AX44"/>
  <c r="AX43"/>
  <c r="AX42"/>
  <c r="AX41"/>
  <c r="AZ44"/>
  <c r="AZ43"/>
  <c r="AZ42"/>
  <c r="AZ41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J41"/>
  <c r="AN41"/>
  <c r="AT41"/>
  <c r="AD12" i="412"/>
  <c r="AA59" i="817" s="1"/>
  <c r="AP9" i="412"/>
  <c r="AP12" s="1"/>
  <c r="AO9"/>
  <c r="AO12" s="1"/>
  <c r="AC12"/>
  <c r="Z59" i="817" s="1"/>
  <c r="AA9" i="412"/>
  <c r="AF9"/>
  <c r="AF12" s="1"/>
  <c r="AH9"/>
  <c r="AH12" s="1"/>
  <c r="AJ9"/>
  <c r="AJ12" s="1"/>
  <c r="AL9"/>
  <c r="AL12" s="1"/>
  <c r="AN9"/>
  <c r="AN12" s="1"/>
  <c r="AA10"/>
  <c r="AM10" s="1"/>
  <c r="AA11"/>
  <c r="AM11" s="1"/>
  <c r="U12"/>
  <c r="W12"/>
  <c r="Y12"/>
  <c r="S13" i="411"/>
  <c r="M13"/>
  <c r="Y13" s="1"/>
  <c r="M8"/>
  <c r="Y8" s="1"/>
  <c r="S8"/>
  <c r="R13"/>
  <c r="AF44" i="413"/>
  <c r="AF43"/>
  <c r="AF42"/>
  <c r="AH44"/>
  <c r="AH43"/>
  <c r="AH42"/>
  <c r="AJ44"/>
  <c r="AJ43"/>
  <c r="AJ42"/>
  <c r="AJ41"/>
  <c r="AL44"/>
  <c r="AL43"/>
  <c r="AL42"/>
  <c r="AL41"/>
  <c r="AN44"/>
  <c r="AN43"/>
  <c r="AN42"/>
  <c r="AN41"/>
  <c r="AR44"/>
  <c r="AR43"/>
  <c r="AR42"/>
  <c r="AR41"/>
  <c r="AT44"/>
  <c r="AT43"/>
  <c r="AT42"/>
  <c r="AT41"/>
  <c r="AV44"/>
  <c r="AV43"/>
  <c r="AV42"/>
  <c r="AV41"/>
  <c r="AX44"/>
  <c r="AX43"/>
  <c r="AX42"/>
  <c r="AX41"/>
  <c r="AZ44"/>
  <c r="AZ43"/>
  <c r="AZ42"/>
  <c r="AZ41"/>
  <c r="L89"/>
  <c r="M88"/>
  <c r="M89" s="1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M40"/>
  <c r="AG44"/>
  <c r="AG43"/>
  <c r="AG42"/>
  <c r="AI44"/>
  <c r="AI43"/>
  <c r="AI42"/>
  <c r="AK44"/>
  <c r="AK43"/>
  <c r="AK42"/>
  <c r="AM44"/>
  <c r="AM43"/>
  <c r="AM42"/>
  <c r="AO44"/>
  <c r="AO43"/>
  <c r="AO42"/>
  <c r="AO41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K41"/>
  <c r="U9" i="408"/>
  <c r="J9"/>
  <c r="V9" s="1"/>
  <c r="U11"/>
  <c r="J11"/>
  <c r="V11" s="1"/>
  <c r="AD10" i="409"/>
  <c r="AA55" i="817" s="1"/>
  <c r="AP9" i="409"/>
  <c r="AP10" s="1"/>
  <c r="Z10"/>
  <c r="AL9"/>
  <c r="AB10"/>
  <c r="Y55" i="817" s="1"/>
  <c r="AN9" i="409"/>
  <c r="AN10" s="1"/>
  <c r="T10"/>
  <c r="V10"/>
  <c r="X10"/>
  <c r="AG9"/>
  <c r="AG10" s="1"/>
  <c r="AI9"/>
  <c r="AI10" s="1"/>
  <c r="AK9"/>
  <c r="AK10" s="1"/>
  <c r="AO9"/>
  <c r="AO10" s="1"/>
  <c r="R9" i="408"/>
  <c r="R11"/>
  <c r="AM9" i="409"/>
  <c r="AF44" i="410"/>
  <c r="AF43"/>
  <c r="AF42"/>
  <c r="AH44"/>
  <c r="AH43"/>
  <c r="AH42"/>
  <c r="AJ44"/>
  <c r="AJ43"/>
  <c r="AJ42"/>
  <c r="AL44"/>
  <c r="AL43"/>
  <c r="AL42"/>
  <c r="AN44"/>
  <c r="AN43"/>
  <c r="AN42"/>
  <c r="AR44"/>
  <c r="AR43"/>
  <c r="AR42"/>
  <c r="AT44"/>
  <c r="AT43"/>
  <c r="AT42"/>
  <c r="AV44"/>
  <c r="AV43"/>
  <c r="AV42"/>
  <c r="AV41"/>
  <c r="AX44"/>
  <c r="AX43"/>
  <c r="AX42"/>
  <c r="AX41"/>
  <c r="AZ44"/>
  <c r="AZ43"/>
  <c r="AZ42"/>
  <c r="AZ41"/>
  <c r="L89"/>
  <c r="M88"/>
  <c r="M89" s="1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J41"/>
  <c r="AN41"/>
  <c r="AT41"/>
  <c r="AG44"/>
  <c r="AG43"/>
  <c r="AG42"/>
  <c r="AI44"/>
  <c r="AI43"/>
  <c r="AI42"/>
  <c r="AI41"/>
  <c r="AK44"/>
  <c r="AK43"/>
  <c r="AK42"/>
  <c r="AK41"/>
  <c r="AM44"/>
  <c r="AM43"/>
  <c r="AM42"/>
  <c r="AM41"/>
  <c r="AO44"/>
  <c r="AO43"/>
  <c r="AO42"/>
  <c r="AO41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L41"/>
  <c r="AR41"/>
  <c r="U10" i="405"/>
  <c r="J10"/>
  <c r="V10" s="1"/>
  <c r="AP9" i="406"/>
  <c r="AP11" s="1"/>
  <c r="AD11"/>
  <c r="AA54" i="817" s="1"/>
  <c r="U9" i="405"/>
  <c r="J9"/>
  <c r="V9" s="1"/>
  <c r="V11" s="1"/>
  <c r="AC11" i="406"/>
  <c r="Z54" i="817" s="1"/>
  <c r="AO9" i="406"/>
  <c r="AO11" s="1"/>
  <c r="U11" i="405"/>
  <c r="AG44" i="407"/>
  <c r="AG43"/>
  <c r="AG42"/>
  <c r="AI44"/>
  <c r="AI43"/>
  <c r="AI42"/>
  <c r="AI41"/>
  <c r="AK44"/>
  <c r="AK43"/>
  <c r="AK42"/>
  <c r="AK41"/>
  <c r="AM44"/>
  <c r="AM43"/>
  <c r="AM42"/>
  <c r="AM41"/>
  <c r="AO44"/>
  <c r="AO43"/>
  <c r="AO42"/>
  <c r="AO41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AG9" i="406"/>
  <c r="AG11" s="1"/>
  <c r="AI9"/>
  <c r="AI11" s="1"/>
  <c r="AK9"/>
  <c r="AK11" s="1"/>
  <c r="T11"/>
  <c r="V11"/>
  <c r="X11"/>
  <c r="Z11"/>
  <c r="AB11"/>
  <c r="Y54" i="817" s="1"/>
  <c r="AG14" i="407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F44"/>
  <c r="AF43"/>
  <c r="AF42"/>
  <c r="AH44"/>
  <c r="AH43"/>
  <c r="AH42"/>
  <c r="AJ44"/>
  <c r="AJ43"/>
  <c r="AJ42"/>
  <c r="AJ41"/>
  <c r="AL44"/>
  <c r="AL43"/>
  <c r="AL42"/>
  <c r="AL41"/>
  <c r="AN44"/>
  <c r="AN43"/>
  <c r="AN42"/>
  <c r="AN41"/>
  <c r="AR44"/>
  <c r="AR43"/>
  <c r="AR42"/>
  <c r="AR41"/>
  <c r="AT44"/>
  <c r="AT43"/>
  <c r="AT42"/>
  <c r="AT41"/>
  <c r="AV44"/>
  <c r="AV43"/>
  <c r="AV42"/>
  <c r="AV41"/>
  <c r="AX44"/>
  <c r="AX43"/>
  <c r="AX42"/>
  <c r="AX41"/>
  <c r="AZ44"/>
  <c r="AZ43"/>
  <c r="AZ42"/>
  <c r="AZ41"/>
  <c r="L89"/>
  <c r="M88"/>
  <c r="M89" s="1"/>
  <c r="R9" i="405"/>
  <c r="R10"/>
  <c r="AA9" i="406"/>
  <c r="AA10"/>
  <c r="AM10" s="1"/>
  <c r="AF14" i="407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D11" i="403"/>
  <c r="AA53" i="817" s="1"/>
  <c r="AP9" i="403"/>
  <c r="AP11" s="1"/>
  <c r="AG11"/>
  <c r="AI11"/>
  <c r="AK11"/>
  <c r="AO9"/>
  <c r="AO11" s="1"/>
  <c r="AC11"/>
  <c r="Z53" i="817" s="1"/>
  <c r="AA9" i="403"/>
  <c r="AF9"/>
  <c r="AF11" s="1"/>
  <c r="AH9"/>
  <c r="AH11" s="1"/>
  <c r="AJ9"/>
  <c r="AJ11" s="1"/>
  <c r="AL9"/>
  <c r="AL11" s="1"/>
  <c r="AN9"/>
  <c r="AN11" s="1"/>
  <c r="AA10"/>
  <c r="AM10" s="1"/>
  <c r="U11"/>
  <c r="W11"/>
  <c r="Y11"/>
  <c r="S10" i="402"/>
  <c r="M10"/>
  <c r="Y10" s="1"/>
  <c r="S9"/>
  <c r="M9"/>
  <c r="Y9" s="1"/>
  <c r="Y11" s="1"/>
  <c r="X53" i="817" s="1"/>
  <c r="S11" i="402"/>
  <c r="R9"/>
  <c r="R10"/>
  <c r="AF44" i="404"/>
  <c r="AF43"/>
  <c r="AF42"/>
  <c r="AF41"/>
  <c r="AF40"/>
  <c r="AF39"/>
  <c r="AF38"/>
  <c r="AF37"/>
  <c r="AF36"/>
  <c r="AF33"/>
  <c r="AF32"/>
  <c r="AF31"/>
  <c r="AF30"/>
  <c r="AF29"/>
  <c r="AF28"/>
  <c r="AF27"/>
  <c r="AF26"/>
  <c r="AH44"/>
  <c r="AH43"/>
  <c r="AH42"/>
  <c r="AH41"/>
  <c r="AH40"/>
  <c r="AH39"/>
  <c r="AH38"/>
  <c r="AH37"/>
  <c r="AH36"/>
  <c r="AH33"/>
  <c r="AH32"/>
  <c r="AH31"/>
  <c r="AH30"/>
  <c r="AH29"/>
  <c r="AH28"/>
  <c r="AH27"/>
  <c r="AH26"/>
  <c r="AJ44"/>
  <c r="AJ43"/>
  <c r="AJ42"/>
  <c r="AJ41"/>
  <c r="AJ40"/>
  <c r="AJ39"/>
  <c r="AJ38"/>
  <c r="AJ37"/>
  <c r="AJ36"/>
  <c r="AJ33"/>
  <c r="AJ32"/>
  <c r="AJ31"/>
  <c r="AJ30"/>
  <c r="AJ29"/>
  <c r="AJ28"/>
  <c r="AJ27"/>
  <c r="AJ26"/>
  <c r="AL44"/>
  <c r="AL43"/>
  <c r="AL42"/>
  <c r="AL41"/>
  <c r="AL40"/>
  <c r="AL39"/>
  <c r="AL38"/>
  <c r="AL37"/>
  <c r="AL36"/>
  <c r="AL33"/>
  <c r="AL32"/>
  <c r="AL31"/>
  <c r="AL30"/>
  <c r="AL29"/>
  <c r="AL28"/>
  <c r="AL27"/>
  <c r="AL26"/>
  <c r="AN44"/>
  <c r="AN43"/>
  <c r="AN42"/>
  <c r="AN41"/>
  <c r="AN40"/>
  <c r="AN39"/>
  <c r="AN38"/>
  <c r="AN37"/>
  <c r="AN36"/>
  <c r="AN33"/>
  <c r="AN32"/>
  <c r="AN31"/>
  <c r="AN30"/>
  <c r="AN29"/>
  <c r="AN28"/>
  <c r="AN27"/>
  <c r="AN26"/>
  <c r="AR44"/>
  <c r="AR43"/>
  <c r="AR42"/>
  <c r="AR41"/>
  <c r="AR40"/>
  <c r="AR39"/>
  <c r="AR38"/>
  <c r="AR37"/>
  <c r="AR36"/>
  <c r="AR33"/>
  <c r="AR32"/>
  <c r="AR31"/>
  <c r="AR30"/>
  <c r="AR29"/>
  <c r="AR28"/>
  <c r="AR27"/>
  <c r="AR26"/>
  <c r="AT44"/>
  <c r="AT43"/>
  <c r="AT42"/>
  <c r="AT41"/>
  <c r="AT40"/>
  <c r="AT39"/>
  <c r="AT38"/>
  <c r="AT37"/>
  <c r="AT36"/>
  <c r="AT33"/>
  <c r="AT32"/>
  <c r="AT31"/>
  <c r="AT30"/>
  <c r="AT29"/>
  <c r="AT28"/>
  <c r="AT27"/>
  <c r="AT26"/>
  <c r="AV44"/>
  <c r="AV43"/>
  <c r="AV42"/>
  <c r="AV41"/>
  <c r="AV40"/>
  <c r="AV39"/>
  <c r="AV38"/>
  <c r="AV37"/>
  <c r="AV36"/>
  <c r="AV33"/>
  <c r="AV32"/>
  <c r="AV31"/>
  <c r="AV30"/>
  <c r="AV29"/>
  <c r="AV28"/>
  <c r="AV27"/>
  <c r="AV26"/>
  <c r="AV25"/>
  <c r="AX44"/>
  <c r="AX43"/>
  <c r="AX42"/>
  <c r="AX41"/>
  <c r="AX40"/>
  <c r="AX39"/>
  <c r="AX38"/>
  <c r="AX37"/>
  <c r="AX36"/>
  <c r="AX33"/>
  <c r="AX32"/>
  <c r="AX31"/>
  <c r="AX30"/>
  <c r="AX29"/>
  <c r="AX28"/>
  <c r="AX27"/>
  <c r="AX26"/>
  <c r="AX25"/>
  <c r="AZ44"/>
  <c r="AZ43"/>
  <c r="AZ42"/>
  <c r="AZ41"/>
  <c r="AZ40"/>
  <c r="AZ39"/>
  <c r="AZ38"/>
  <c r="AZ37"/>
  <c r="AZ36"/>
  <c r="AZ33"/>
  <c r="AZ32"/>
  <c r="AZ31"/>
  <c r="AZ30"/>
  <c r="AZ29"/>
  <c r="AZ28"/>
  <c r="AZ27"/>
  <c r="AZ26"/>
  <c r="AZ25"/>
  <c r="L89"/>
  <c r="M88"/>
  <c r="M89" s="1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X22"/>
  <c r="AF25"/>
  <c r="AJ25"/>
  <c r="AN25"/>
  <c r="AT25"/>
  <c r="AG44"/>
  <c r="AG43"/>
  <c r="AG42"/>
  <c r="AG41"/>
  <c r="AG40"/>
  <c r="AG39"/>
  <c r="AG38"/>
  <c r="AG37"/>
  <c r="AG36"/>
  <c r="AG33"/>
  <c r="AG32"/>
  <c r="AG31"/>
  <c r="AG30"/>
  <c r="AG29"/>
  <c r="AG28"/>
  <c r="AG27"/>
  <c r="AG26"/>
  <c r="AG25"/>
  <c r="AI44"/>
  <c r="AI43"/>
  <c r="AI42"/>
  <c r="AI41"/>
  <c r="AI40"/>
  <c r="AI39"/>
  <c r="AI38"/>
  <c r="AI37"/>
  <c r="AI36"/>
  <c r="AI33"/>
  <c r="AI32"/>
  <c r="AI31"/>
  <c r="AI30"/>
  <c r="AI29"/>
  <c r="AI28"/>
  <c r="AI27"/>
  <c r="AI26"/>
  <c r="AI25"/>
  <c r="AK44"/>
  <c r="AK43"/>
  <c r="AK42"/>
  <c r="AK41"/>
  <c r="AK40"/>
  <c r="AK39"/>
  <c r="AK38"/>
  <c r="AK37"/>
  <c r="AK36"/>
  <c r="AK33"/>
  <c r="AK32"/>
  <c r="AK31"/>
  <c r="AK30"/>
  <c r="AK29"/>
  <c r="AK28"/>
  <c r="AK27"/>
  <c r="AK26"/>
  <c r="AK25"/>
  <c r="AM44"/>
  <c r="AM43"/>
  <c r="AM42"/>
  <c r="AM41"/>
  <c r="AM40"/>
  <c r="AM39"/>
  <c r="AM38"/>
  <c r="AM37"/>
  <c r="AM36"/>
  <c r="AM33"/>
  <c r="AM32"/>
  <c r="AM31"/>
  <c r="AM30"/>
  <c r="AM29"/>
  <c r="AM28"/>
  <c r="AM27"/>
  <c r="AM26"/>
  <c r="AM25"/>
  <c r="AO44"/>
  <c r="AO43"/>
  <c r="AO42"/>
  <c r="AO41"/>
  <c r="AO40"/>
  <c r="AO39"/>
  <c r="AO38"/>
  <c r="AO37"/>
  <c r="AO36"/>
  <c r="AO33"/>
  <c r="AO32"/>
  <c r="AO31"/>
  <c r="AO30"/>
  <c r="AO29"/>
  <c r="AO28"/>
  <c r="AO27"/>
  <c r="AO26"/>
  <c r="AO25"/>
  <c r="AS44"/>
  <c r="AS43"/>
  <c r="AS42"/>
  <c r="AS41"/>
  <c r="AS40"/>
  <c r="AS39"/>
  <c r="AS38"/>
  <c r="AS37"/>
  <c r="AS36"/>
  <c r="AS33"/>
  <c r="AS32"/>
  <c r="AS31"/>
  <c r="AS30"/>
  <c r="AS29"/>
  <c r="AS28"/>
  <c r="AS27"/>
  <c r="AS26"/>
  <c r="AS25"/>
  <c r="AU44"/>
  <c r="AU43"/>
  <c r="AU42"/>
  <c r="AU41"/>
  <c r="AU40"/>
  <c r="AU39"/>
  <c r="AU38"/>
  <c r="AU37"/>
  <c r="AU36"/>
  <c r="AU33"/>
  <c r="AU32"/>
  <c r="AU31"/>
  <c r="AU30"/>
  <c r="AU29"/>
  <c r="AU28"/>
  <c r="AU27"/>
  <c r="AU26"/>
  <c r="AU25"/>
  <c r="AW44"/>
  <c r="AW43"/>
  <c r="AW42"/>
  <c r="AW41"/>
  <c r="AW40"/>
  <c r="AW39"/>
  <c r="AW38"/>
  <c r="AW37"/>
  <c r="AW36"/>
  <c r="AW33"/>
  <c r="AW32"/>
  <c r="AW31"/>
  <c r="AW30"/>
  <c r="AW29"/>
  <c r="AW28"/>
  <c r="AW27"/>
  <c r="AW26"/>
  <c r="AW25"/>
  <c r="AW22"/>
  <c r="AY44"/>
  <c r="AY43"/>
  <c r="AY42"/>
  <c r="AY41"/>
  <c r="AY40"/>
  <c r="AY39"/>
  <c r="AY38"/>
  <c r="AY37"/>
  <c r="AY36"/>
  <c r="AY33"/>
  <c r="AY32"/>
  <c r="AY31"/>
  <c r="AY30"/>
  <c r="AY29"/>
  <c r="AY28"/>
  <c r="AY27"/>
  <c r="AY26"/>
  <c r="AY25"/>
  <c r="AY22"/>
  <c r="BA44"/>
  <c r="BA43"/>
  <c r="BA42"/>
  <c r="BA41"/>
  <c r="BA40"/>
  <c r="BA39"/>
  <c r="BA38"/>
  <c r="BA37"/>
  <c r="BA36"/>
  <c r="BA33"/>
  <c r="BA32"/>
  <c r="BA31"/>
  <c r="BA30"/>
  <c r="BA29"/>
  <c r="BA28"/>
  <c r="BA27"/>
  <c r="BA26"/>
  <c r="BA25"/>
  <c r="BA22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Z22"/>
  <c r="AH25"/>
  <c r="AL25"/>
  <c r="AR25"/>
  <c r="AD12" i="192"/>
  <c r="AA36" i="817" s="1"/>
  <c r="AP9" i="192"/>
  <c r="AP12" s="1"/>
  <c r="AO9"/>
  <c r="AO12" s="1"/>
  <c r="AC12"/>
  <c r="Z36" i="817" s="1"/>
  <c r="AA9" i="192"/>
  <c r="AF9"/>
  <c r="AF12" s="1"/>
  <c r="AH9"/>
  <c r="AH12" s="1"/>
  <c r="AJ9"/>
  <c r="AJ12" s="1"/>
  <c r="AL9"/>
  <c r="AL12" s="1"/>
  <c r="AN9"/>
  <c r="AN12" s="1"/>
  <c r="AA10"/>
  <c r="AM10" s="1"/>
  <c r="AA11"/>
  <c r="AM11" s="1"/>
  <c r="U12"/>
  <c r="W12"/>
  <c r="Y12"/>
  <c r="M9" i="191"/>
  <c r="Y9" s="1"/>
  <c r="S9"/>
  <c r="S12"/>
  <c r="M12"/>
  <c r="Y12" s="1"/>
  <c r="S8"/>
  <c r="M8"/>
  <c r="Y8" s="1"/>
  <c r="M11"/>
  <c r="Y11" s="1"/>
  <c r="S11"/>
  <c r="R8"/>
  <c r="J11"/>
  <c r="V11" s="1"/>
  <c r="R12"/>
  <c r="AC12" i="397"/>
  <c r="AC13" s="1"/>
  <c r="Z28" i="817" s="1"/>
  <c r="AF44" i="398"/>
  <c r="AF43"/>
  <c r="AF42"/>
  <c r="AH44"/>
  <c r="AH43"/>
  <c r="AH42"/>
  <c r="AJ44"/>
  <c r="AJ43"/>
  <c r="AJ42"/>
  <c r="AJ41"/>
  <c r="AL44"/>
  <c r="AL43"/>
  <c r="AL42"/>
  <c r="AL41"/>
  <c r="AN44"/>
  <c r="AN43"/>
  <c r="AN42"/>
  <c r="AN41"/>
  <c r="AR44"/>
  <c r="AR43"/>
  <c r="AR42"/>
  <c r="AR41"/>
  <c r="AT44"/>
  <c r="AT43"/>
  <c r="AT42"/>
  <c r="AT41"/>
  <c r="AV44"/>
  <c r="AV43"/>
  <c r="AV42"/>
  <c r="AV41"/>
  <c r="AX44"/>
  <c r="AX43"/>
  <c r="AX42"/>
  <c r="AX41"/>
  <c r="AZ44"/>
  <c r="AZ43"/>
  <c r="AZ42"/>
  <c r="AZ41"/>
  <c r="L89"/>
  <c r="M88"/>
  <c r="M89" s="1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G44"/>
  <c r="AG43"/>
  <c r="AG42"/>
  <c r="AI44"/>
  <c r="AI43"/>
  <c r="AI42"/>
  <c r="AK44"/>
  <c r="AK43"/>
  <c r="AK42"/>
  <c r="AK41"/>
  <c r="AM44"/>
  <c r="AM43"/>
  <c r="AM42"/>
  <c r="AM41"/>
  <c r="AO44"/>
  <c r="AO43"/>
  <c r="AO42"/>
  <c r="AO41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O9" i="394"/>
  <c r="AA9"/>
  <c r="AA10"/>
  <c r="AM10" s="1"/>
  <c r="S13" i="393"/>
  <c r="M13"/>
  <c r="Y13" s="1"/>
  <c r="M8"/>
  <c r="Y8" s="1"/>
  <c r="S8"/>
  <c r="R13"/>
  <c r="AG44" i="395"/>
  <c r="AG43"/>
  <c r="AG42"/>
  <c r="AG41"/>
  <c r="AI44"/>
  <c r="AI43"/>
  <c r="AI42"/>
  <c r="AI41"/>
  <c r="AK44"/>
  <c r="AK43"/>
  <c r="AK42"/>
  <c r="AK41"/>
  <c r="AM44"/>
  <c r="AM43"/>
  <c r="AM42"/>
  <c r="AM41"/>
  <c r="AO44"/>
  <c r="AO43"/>
  <c r="AO42"/>
  <c r="AO41"/>
  <c r="AS44"/>
  <c r="AS43"/>
  <c r="AS42"/>
  <c r="AS41"/>
  <c r="AU44"/>
  <c r="AU43"/>
  <c r="AU42"/>
  <c r="AU41"/>
  <c r="AW44"/>
  <c r="AW43"/>
  <c r="AW42"/>
  <c r="AW41"/>
  <c r="AY44"/>
  <c r="AY43"/>
  <c r="AY42"/>
  <c r="AY41"/>
  <c r="AY40"/>
  <c r="BA44"/>
  <c r="BA43"/>
  <c r="BA42"/>
  <c r="BA41"/>
  <c r="BA40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U40"/>
  <c r="AF44"/>
  <c r="AF43"/>
  <c r="AF42"/>
  <c r="AF41"/>
  <c r="AH44"/>
  <c r="AH43"/>
  <c r="AH42"/>
  <c r="AH41"/>
  <c r="AJ44"/>
  <c r="AJ43"/>
  <c r="AJ42"/>
  <c r="AJ41"/>
  <c r="AL44"/>
  <c r="AL43"/>
  <c r="AL42"/>
  <c r="AL41"/>
  <c r="AN44"/>
  <c r="AN43"/>
  <c r="AN42"/>
  <c r="AN41"/>
  <c r="AR44"/>
  <c r="AR43"/>
  <c r="AR42"/>
  <c r="AR41"/>
  <c r="AT44"/>
  <c r="AT43"/>
  <c r="AT42"/>
  <c r="AT41"/>
  <c r="AT40"/>
  <c r="AV44"/>
  <c r="AV43"/>
  <c r="AV42"/>
  <c r="AV41"/>
  <c r="AV40"/>
  <c r="AX44"/>
  <c r="AX43"/>
  <c r="AX42"/>
  <c r="AX41"/>
  <c r="AX40"/>
  <c r="AZ44"/>
  <c r="AZ43"/>
  <c r="AZ42"/>
  <c r="AZ41"/>
  <c r="AZ40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W40"/>
  <c r="U9" i="390"/>
  <c r="J9"/>
  <c r="V9" s="1"/>
  <c r="AG44" i="392"/>
  <c r="AG43"/>
  <c r="AG42"/>
  <c r="AG41"/>
  <c r="AI44"/>
  <c r="AI43"/>
  <c r="AI42"/>
  <c r="AI41"/>
  <c r="AK44"/>
  <c r="AK43"/>
  <c r="AK42"/>
  <c r="AK41"/>
  <c r="AM44"/>
  <c r="AM43"/>
  <c r="AM42"/>
  <c r="AM41"/>
  <c r="AO44"/>
  <c r="AO43"/>
  <c r="AO42"/>
  <c r="AO41"/>
  <c r="AS44"/>
  <c r="AS43"/>
  <c r="AS42"/>
  <c r="AS41"/>
  <c r="AU44"/>
  <c r="AU43"/>
  <c r="AU42"/>
  <c r="AU41"/>
  <c r="AU40"/>
  <c r="AW44"/>
  <c r="AW43"/>
  <c r="AW42"/>
  <c r="AW41"/>
  <c r="AW40"/>
  <c r="AY44"/>
  <c r="AY43"/>
  <c r="AY42"/>
  <c r="AY41"/>
  <c r="AY40"/>
  <c r="BA44"/>
  <c r="BA43"/>
  <c r="BA42"/>
  <c r="BA41"/>
  <c r="BA40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F44"/>
  <c r="AF43"/>
  <c r="AF42"/>
  <c r="AF41"/>
  <c r="AH44"/>
  <c r="AH43"/>
  <c r="AH42"/>
  <c r="AH41"/>
  <c r="AJ44"/>
  <c r="AJ43"/>
  <c r="AJ42"/>
  <c r="AJ41"/>
  <c r="AL44"/>
  <c r="AL43"/>
  <c r="AL42"/>
  <c r="AL41"/>
  <c r="AN44"/>
  <c r="AN43"/>
  <c r="AN42"/>
  <c r="AN41"/>
  <c r="AR44"/>
  <c r="AR43"/>
  <c r="AR42"/>
  <c r="AR41"/>
  <c r="AT44"/>
  <c r="AT43"/>
  <c r="AT42"/>
  <c r="AT41"/>
  <c r="AT40"/>
  <c r="AV44"/>
  <c r="AV43"/>
  <c r="AV42"/>
  <c r="AV41"/>
  <c r="AV40"/>
  <c r="AX44"/>
  <c r="AX43"/>
  <c r="AX42"/>
  <c r="AX41"/>
  <c r="AX40"/>
  <c r="AZ44"/>
  <c r="AZ43"/>
  <c r="AZ42"/>
  <c r="AZ41"/>
  <c r="AZ40"/>
  <c r="R9" i="390"/>
  <c r="AA9" i="391"/>
  <c r="AF14" i="392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S9" i="387"/>
  <c r="S10" s="1"/>
  <c r="M9"/>
  <c r="Y9" s="1"/>
  <c r="Y10" s="1"/>
  <c r="AG44" i="389"/>
  <c r="AG43"/>
  <c r="AG42"/>
  <c r="AI44"/>
  <c r="AI43"/>
  <c r="AI42"/>
  <c r="AK44"/>
  <c r="AK43"/>
  <c r="AK42"/>
  <c r="AM44"/>
  <c r="AM43"/>
  <c r="AM42"/>
  <c r="AM41"/>
  <c r="AO44"/>
  <c r="AO43"/>
  <c r="AO42"/>
  <c r="AO41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R9" i="387"/>
  <c r="AG14" i="389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F44"/>
  <c r="AF43"/>
  <c r="AF42"/>
  <c r="AH44"/>
  <c r="AH43"/>
  <c r="AH42"/>
  <c r="AJ44"/>
  <c r="AJ43"/>
  <c r="AJ42"/>
  <c r="AL44"/>
  <c r="AL43"/>
  <c r="AL42"/>
  <c r="AN44"/>
  <c r="AN43"/>
  <c r="AN42"/>
  <c r="AN41"/>
  <c r="AR44"/>
  <c r="AR43"/>
  <c r="AR42"/>
  <c r="AR41"/>
  <c r="AT44"/>
  <c r="AT43"/>
  <c r="AT42"/>
  <c r="AT41"/>
  <c r="AV44"/>
  <c r="AV43"/>
  <c r="AV42"/>
  <c r="AV41"/>
  <c r="AX44"/>
  <c r="AX43"/>
  <c r="AX42"/>
  <c r="AX41"/>
  <c r="AZ44"/>
  <c r="AZ43"/>
  <c r="AZ42"/>
  <c r="AZ41"/>
  <c r="L88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U10" i="384"/>
  <c r="U11" s="1"/>
  <c r="U12" s="1"/>
  <c r="J10"/>
  <c r="V10" s="1"/>
  <c r="R9"/>
  <c r="J9"/>
  <c r="V9" s="1"/>
  <c r="AF44" i="386"/>
  <c r="AF43"/>
  <c r="AF42"/>
  <c r="AH44"/>
  <c r="AH43"/>
  <c r="AH42"/>
  <c r="AJ44"/>
  <c r="AJ43"/>
  <c r="AJ42"/>
  <c r="AL44"/>
  <c r="AL43"/>
  <c r="AL42"/>
  <c r="AN44"/>
  <c r="AN43"/>
  <c r="AN42"/>
  <c r="AN41"/>
  <c r="AR44"/>
  <c r="AR43"/>
  <c r="AR42"/>
  <c r="AR41"/>
  <c r="AT44"/>
  <c r="AT43"/>
  <c r="AT42"/>
  <c r="AT41"/>
  <c r="AV44"/>
  <c r="AV43"/>
  <c r="AV42"/>
  <c r="AV41"/>
  <c r="AX44"/>
  <c r="AX43"/>
  <c r="AX42"/>
  <c r="AX41"/>
  <c r="AZ44"/>
  <c r="AZ43"/>
  <c r="AZ42"/>
  <c r="AZ41"/>
  <c r="L88"/>
  <c r="M88" s="1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G44"/>
  <c r="AG43"/>
  <c r="AG42"/>
  <c r="AI44"/>
  <c r="AI43"/>
  <c r="AI42"/>
  <c r="AK44"/>
  <c r="AK43"/>
  <c r="AK42"/>
  <c r="AM44"/>
  <c r="AM43"/>
  <c r="AM42"/>
  <c r="AO44"/>
  <c r="AO43"/>
  <c r="AO42"/>
  <c r="AO41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R10" i="384"/>
  <c r="AG14" i="386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X11" i="381"/>
  <c r="X12" s="1"/>
  <c r="S10"/>
  <c r="M10"/>
  <c r="Y10" s="1"/>
  <c r="S9"/>
  <c r="M9"/>
  <c r="Y9" s="1"/>
  <c r="Y11" s="1"/>
  <c r="Y12" s="1"/>
  <c r="S11"/>
  <c r="S12" s="1"/>
  <c r="R9"/>
  <c r="R10"/>
  <c r="AG44" i="383"/>
  <c r="AG43"/>
  <c r="AG42"/>
  <c r="AI44"/>
  <c r="AI43"/>
  <c r="AI42"/>
  <c r="AI41"/>
  <c r="AK44"/>
  <c r="AK43"/>
  <c r="AK42"/>
  <c r="AK41"/>
  <c r="AM44"/>
  <c r="AM43"/>
  <c r="AM42"/>
  <c r="AM41"/>
  <c r="AO44"/>
  <c r="AO43"/>
  <c r="AO42"/>
  <c r="AO41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F44"/>
  <c r="AF43"/>
  <c r="AF42"/>
  <c r="AH44"/>
  <c r="AH43"/>
  <c r="AH42"/>
  <c r="AJ44"/>
  <c r="AJ43"/>
  <c r="AJ42"/>
  <c r="AJ41"/>
  <c r="AL44"/>
  <c r="AL43"/>
  <c r="AL42"/>
  <c r="AL41"/>
  <c r="AN44"/>
  <c r="AN43"/>
  <c r="AN42"/>
  <c r="AN41"/>
  <c r="AR44"/>
  <c r="AR43"/>
  <c r="AR42"/>
  <c r="AR41"/>
  <c r="AT44"/>
  <c r="AT43"/>
  <c r="AT42"/>
  <c r="AT41"/>
  <c r="AV44"/>
  <c r="AV43"/>
  <c r="AV42"/>
  <c r="AV41"/>
  <c r="AX44"/>
  <c r="AX43"/>
  <c r="AX42"/>
  <c r="AX41"/>
  <c r="AZ44"/>
  <c r="AZ43"/>
  <c r="AZ42"/>
  <c r="AZ41"/>
  <c r="M89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U13" i="378"/>
  <c r="J13"/>
  <c r="V13" s="1"/>
  <c r="M8"/>
  <c r="Y8" s="1"/>
  <c r="AG41" i="380"/>
  <c r="AG40"/>
  <c r="AG39"/>
  <c r="AG38"/>
  <c r="AG37"/>
  <c r="AG36"/>
  <c r="AG33"/>
  <c r="AG32"/>
  <c r="AG31"/>
  <c r="AG30"/>
  <c r="AG29"/>
  <c r="AG28"/>
  <c r="AG27"/>
  <c r="AG44"/>
  <c r="AG43"/>
  <c r="AG42"/>
  <c r="AI44"/>
  <c r="AI43"/>
  <c r="AI42"/>
  <c r="AI41"/>
  <c r="AI40"/>
  <c r="AI39"/>
  <c r="AI38"/>
  <c r="AI37"/>
  <c r="AI36"/>
  <c r="AI33"/>
  <c r="AI32"/>
  <c r="AI31"/>
  <c r="AI30"/>
  <c r="AI29"/>
  <c r="AI28"/>
  <c r="AI27"/>
  <c r="AI26"/>
  <c r="AK40"/>
  <c r="AK39"/>
  <c r="AK38"/>
  <c r="AK37"/>
  <c r="AK36"/>
  <c r="AK33"/>
  <c r="AK32"/>
  <c r="AK31"/>
  <c r="AK30"/>
  <c r="AK29"/>
  <c r="AK28"/>
  <c r="AK27"/>
  <c r="AK26"/>
  <c r="AK44"/>
  <c r="AK43"/>
  <c r="AK42"/>
  <c r="AK41"/>
  <c r="AM44"/>
  <c r="AM43"/>
  <c r="AM42"/>
  <c r="AM41"/>
  <c r="AM40"/>
  <c r="AM39"/>
  <c r="AM38"/>
  <c r="AM37"/>
  <c r="AM36"/>
  <c r="AM33"/>
  <c r="AM32"/>
  <c r="AM31"/>
  <c r="AM30"/>
  <c r="AM29"/>
  <c r="AM28"/>
  <c r="AM27"/>
  <c r="AM26"/>
  <c r="AO40"/>
  <c r="AO39"/>
  <c r="AO38"/>
  <c r="AO37"/>
  <c r="AO36"/>
  <c r="AO33"/>
  <c r="AO32"/>
  <c r="AO31"/>
  <c r="AO30"/>
  <c r="AO29"/>
  <c r="AO28"/>
  <c r="AO27"/>
  <c r="AO26"/>
  <c r="AO44"/>
  <c r="AO43"/>
  <c r="AO42"/>
  <c r="AO41"/>
  <c r="AS44"/>
  <c r="AS43"/>
  <c r="AS42"/>
  <c r="AS41"/>
  <c r="AS40"/>
  <c r="AS39"/>
  <c r="AS38"/>
  <c r="AS37"/>
  <c r="AS36"/>
  <c r="AS33"/>
  <c r="AS32"/>
  <c r="AS31"/>
  <c r="AS30"/>
  <c r="AS29"/>
  <c r="AS28"/>
  <c r="AS27"/>
  <c r="AS26"/>
  <c r="AU40"/>
  <c r="AU39"/>
  <c r="AU38"/>
  <c r="AU37"/>
  <c r="AU36"/>
  <c r="AU33"/>
  <c r="AU32"/>
  <c r="AU31"/>
  <c r="AU30"/>
  <c r="AU29"/>
  <c r="AU28"/>
  <c r="AU27"/>
  <c r="AU26"/>
  <c r="AU44"/>
  <c r="AU43"/>
  <c r="AU42"/>
  <c r="AU41"/>
  <c r="AW44"/>
  <c r="AW43"/>
  <c r="AW42"/>
  <c r="AW41"/>
  <c r="AW40"/>
  <c r="AW39"/>
  <c r="AW38"/>
  <c r="AW37"/>
  <c r="AW36"/>
  <c r="AW33"/>
  <c r="AW32"/>
  <c r="AW31"/>
  <c r="AW30"/>
  <c r="AW29"/>
  <c r="AW28"/>
  <c r="AW27"/>
  <c r="AW26"/>
  <c r="AY40"/>
  <c r="AY39"/>
  <c r="AY38"/>
  <c r="AY37"/>
  <c r="AY36"/>
  <c r="AY33"/>
  <c r="AY32"/>
  <c r="AY31"/>
  <c r="AY30"/>
  <c r="AY29"/>
  <c r="AY28"/>
  <c r="AY27"/>
  <c r="AY26"/>
  <c r="AY44"/>
  <c r="AY43"/>
  <c r="AY42"/>
  <c r="AY41"/>
  <c r="BA44"/>
  <c r="BA43"/>
  <c r="BA42"/>
  <c r="BA41"/>
  <c r="BA40"/>
  <c r="BA39"/>
  <c r="BA38"/>
  <c r="BA37"/>
  <c r="BA36"/>
  <c r="BA33"/>
  <c r="BA32"/>
  <c r="BA31"/>
  <c r="BA30"/>
  <c r="BA29"/>
  <c r="BA28"/>
  <c r="BA27"/>
  <c r="BA26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Y21"/>
  <c r="AG22"/>
  <c r="AK22"/>
  <c r="AO22"/>
  <c r="AU22"/>
  <c r="AY22"/>
  <c r="AG25"/>
  <c r="AK25"/>
  <c r="AO25"/>
  <c r="AU25"/>
  <c r="AY25"/>
  <c r="AG26"/>
  <c r="AF44"/>
  <c r="AF43"/>
  <c r="AF42"/>
  <c r="AF41"/>
  <c r="AF40"/>
  <c r="AF39"/>
  <c r="AF38"/>
  <c r="AF37"/>
  <c r="AF36"/>
  <c r="AF33"/>
  <c r="AF32"/>
  <c r="AF31"/>
  <c r="AF30"/>
  <c r="AF29"/>
  <c r="AF28"/>
  <c r="AF27"/>
  <c r="AF26"/>
  <c r="AF25"/>
  <c r="AF22"/>
  <c r="AH44"/>
  <c r="AH43"/>
  <c r="AH42"/>
  <c r="AH41"/>
  <c r="AH40"/>
  <c r="AH39"/>
  <c r="AH38"/>
  <c r="AH37"/>
  <c r="AH36"/>
  <c r="AH33"/>
  <c r="AH32"/>
  <c r="AH31"/>
  <c r="AH30"/>
  <c r="AH29"/>
  <c r="AH28"/>
  <c r="AH27"/>
  <c r="AH26"/>
  <c r="AH25"/>
  <c r="AH22"/>
  <c r="AJ44"/>
  <c r="AJ43"/>
  <c r="AJ42"/>
  <c r="AJ41"/>
  <c r="AJ40"/>
  <c r="AJ39"/>
  <c r="AJ38"/>
  <c r="AJ37"/>
  <c r="AJ36"/>
  <c r="AJ33"/>
  <c r="AJ32"/>
  <c r="AJ31"/>
  <c r="AJ30"/>
  <c r="AJ29"/>
  <c r="AJ28"/>
  <c r="AJ27"/>
  <c r="AJ26"/>
  <c r="AJ25"/>
  <c r="AJ22"/>
  <c r="AL44"/>
  <c r="AL43"/>
  <c r="AL42"/>
  <c r="AL41"/>
  <c r="AL40"/>
  <c r="AL39"/>
  <c r="AL38"/>
  <c r="AL37"/>
  <c r="AL36"/>
  <c r="AL33"/>
  <c r="AL32"/>
  <c r="AL31"/>
  <c r="AL30"/>
  <c r="AL29"/>
  <c r="AL28"/>
  <c r="AL27"/>
  <c r="AL26"/>
  <c r="AL25"/>
  <c r="AL22"/>
  <c r="AN44"/>
  <c r="AN43"/>
  <c r="AN42"/>
  <c r="AN41"/>
  <c r="AN40"/>
  <c r="AN39"/>
  <c r="AN38"/>
  <c r="AN37"/>
  <c r="AN36"/>
  <c r="AN33"/>
  <c r="AN32"/>
  <c r="AN31"/>
  <c r="AN30"/>
  <c r="AN29"/>
  <c r="AN28"/>
  <c r="AN27"/>
  <c r="AN26"/>
  <c r="AN25"/>
  <c r="AN22"/>
  <c r="AR44"/>
  <c r="AR43"/>
  <c r="AR42"/>
  <c r="AR41"/>
  <c r="AR40"/>
  <c r="AR39"/>
  <c r="AR38"/>
  <c r="AR37"/>
  <c r="AR36"/>
  <c r="AR33"/>
  <c r="AR32"/>
  <c r="AR31"/>
  <c r="AR30"/>
  <c r="AR29"/>
  <c r="AR28"/>
  <c r="AR27"/>
  <c r="AR26"/>
  <c r="AR25"/>
  <c r="AR22"/>
  <c r="AT44"/>
  <c r="AT43"/>
  <c r="AT42"/>
  <c r="AT41"/>
  <c r="AT40"/>
  <c r="AT39"/>
  <c r="AT38"/>
  <c r="AT37"/>
  <c r="AT36"/>
  <c r="AT33"/>
  <c r="AT32"/>
  <c r="AT31"/>
  <c r="AT30"/>
  <c r="AT29"/>
  <c r="AT28"/>
  <c r="AT27"/>
  <c r="AT26"/>
  <c r="AT25"/>
  <c r="AT22"/>
  <c r="AV44"/>
  <c r="AV43"/>
  <c r="AV42"/>
  <c r="AV41"/>
  <c r="AV40"/>
  <c r="AV39"/>
  <c r="AV38"/>
  <c r="AV37"/>
  <c r="AV36"/>
  <c r="AV33"/>
  <c r="AV32"/>
  <c r="AV31"/>
  <c r="AV30"/>
  <c r="AV29"/>
  <c r="AV28"/>
  <c r="AV27"/>
  <c r="AV26"/>
  <c r="AV25"/>
  <c r="AV22"/>
  <c r="AX44"/>
  <c r="AX43"/>
  <c r="AX42"/>
  <c r="AX41"/>
  <c r="AX40"/>
  <c r="AX39"/>
  <c r="AX38"/>
  <c r="AX37"/>
  <c r="AX36"/>
  <c r="AX33"/>
  <c r="AX32"/>
  <c r="AX31"/>
  <c r="AX30"/>
  <c r="AX29"/>
  <c r="AX28"/>
  <c r="AX27"/>
  <c r="AX26"/>
  <c r="AX25"/>
  <c r="AX22"/>
  <c r="AX21"/>
  <c r="AZ44"/>
  <c r="AZ43"/>
  <c r="AZ42"/>
  <c r="AZ41"/>
  <c r="AZ40"/>
  <c r="AZ39"/>
  <c r="AZ38"/>
  <c r="AZ37"/>
  <c r="AZ36"/>
  <c r="AZ33"/>
  <c r="AZ32"/>
  <c r="AZ31"/>
  <c r="AZ30"/>
  <c r="AZ29"/>
  <c r="AZ28"/>
  <c r="AZ27"/>
  <c r="AZ26"/>
  <c r="AZ25"/>
  <c r="AZ22"/>
  <c r="AZ21"/>
  <c r="L89"/>
  <c r="M88"/>
  <c r="M89" s="1"/>
  <c r="R13" i="378"/>
  <c r="AA9" i="379"/>
  <c r="AA12" s="1"/>
  <c r="AF14" i="380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BA21"/>
  <c r="AI22"/>
  <c r="AM22"/>
  <c r="AS22"/>
  <c r="AW22"/>
  <c r="BA22"/>
  <c r="AI25"/>
  <c r="AM25"/>
  <c r="AS25"/>
  <c r="AW25"/>
  <c r="BA25"/>
  <c r="S8" i="375"/>
  <c r="M8"/>
  <c r="Y8" s="1"/>
  <c r="U13"/>
  <c r="J13"/>
  <c r="V13" s="1"/>
  <c r="AG44" i="377"/>
  <c r="AG43"/>
  <c r="AG42"/>
  <c r="AI44"/>
  <c r="AI43"/>
  <c r="AI42"/>
  <c r="AI41"/>
  <c r="AK44"/>
  <c r="AK43"/>
  <c r="AK42"/>
  <c r="AK41"/>
  <c r="AM44"/>
  <c r="AM43"/>
  <c r="AM42"/>
  <c r="AM41"/>
  <c r="AO44"/>
  <c r="AO43"/>
  <c r="AO42"/>
  <c r="AO41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F44"/>
  <c r="AF43"/>
  <c r="AF42"/>
  <c r="AH44"/>
  <c r="AH43"/>
  <c r="AH42"/>
  <c r="AJ44"/>
  <c r="AJ43"/>
  <c r="AJ42"/>
  <c r="AJ41"/>
  <c r="AL44"/>
  <c r="AL43"/>
  <c r="AL42"/>
  <c r="AL41"/>
  <c r="AN44"/>
  <c r="AN43"/>
  <c r="AN42"/>
  <c r="AN41"/>
  <c r="AR44"/>
  <c r="AR43"/>
  <c r="AR42"/>
  <c r="AR41"/>
  <c r="AT44"/>
  <c r="AT43"/>
  <c r="AT42"/>
  <c r="AT41"/>
  <c r="AV44"/>
  <c r="AV43"/>
  <c r="AV42"/>
  <c r="AV41"/>
  <c r="AX44"/>
  <c r="AX43"/>
  <c r="AX42"/>
  <c r="AX41"/>
  <c r="AZ44"/>
  <c r="AZ43"/>
  <c r="AZ42"/>
  <c r="AZ41"/>
  <c r="L89"/>
  <c r="M88"/>
  <c r="M89" s="1"/>
  <c r="J8" i="375"/>
  <c r="V8" s="1"/>
  <c r="R13"/>
  <c r="AF14" i="377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U13" i="372"/>
  <c r="J13"/>
  <c r="V13" s="1"/>
  <c r="S8"/>
  <c r="M8"/>
  <c r="Y8" s="1"/>
  <c r="AG44" i="374"/>
  <c r="AG43"/>
  <c r="AG42"/>
  <c r="AI44"/>
  <c r="AI43"/>
  <c r="AI42"/>
  <c r="AI41"/>
  <c r="AK44"/>
  <c r="AK43"/>
  <c r="AK42"/>
  <c r="AK41"/>
  <c r="AM44"/>
  <c r="AM43"/>
  <c r="AM42"/>
  <c r="AM41"/>
  <c r="AO44"/>
  <c r="AO43"/>
  <c r="AO42"/>
  <c r="AO41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F44"/>
  <c r="AF43"/>
  <c r="AF42"/>
  <c r="AH44"/>
  <c r="AH43"/>
  <c r="AH42"/>
  <c r="AJ44"/>
  <c r="AJ43"/>
  <c r="AJ42"/>
  <c r="AJ41"/>
  <c r="AL44"/>
  <c r="AL43"/>
  <c r="AL42"/>
  <c r="AL41"/>
  <c r="AN44"/>
  <c r="AN43"/>
  <c r="AN42"/>
  <c r="AN41"/>
  <c r="AR44"/>
  <c r="AR43"/>
  <c r="AR42"/>
  <c r="AR41"/>
  <c r="AT44"/>
  <c r="AT43"/>
  <c r="AT42"/>
  <c r="AT41"/>
  <c r="AV44"/>
  <c r="AV43"/>
  <c r="AV42"/>
  <c r="AV41"/>
  <c r="AX44"/>
  <c r="AX43"/>
  <c r="AX42"/>
  <c r="AX41"/>
  <c r="AZ44"/>
  <c r="AZ43"/>
  <c r="AZ42"/>
  <c r="AZ41"/>
  <c r="L89"/>
  <c r="M88"/>
  <c r="M89" s="1"/>
  <c r="J8" i="372"/>
  <c r="V8" s="1"/>
  <c r="R13"/>
  <c r="AA9" i="373"/>
  <c r="AA12" s="1"/>
  <c r="AF14" i="37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S13" i="369"/>
  <c r="M13"/>
  <c r="Y13" s="1"/>
  <c r="S8"/>
  <c r="S15" s="1"/>
  <c r="M8"/>
  <c r="Y8" s="1"/>
  <c r="Y15" s="1"/>
  <c r="R13"/>
  <c r="AG44" i="371"/>
  <c r="AG43"/>
  <c r="AG42"/>
  <c r="AI44"/>
  <c r="AI43"/>
  <c r="AI42"/>
  <c r="AI41"/>
  <c r="AK44"/>
  <c r="AK43"/>
  <c r="AK42"/>
  <c r="AK41"/>
  <c r="AM44"/>
  <c r="AM43"/>
  <c r="AM42"/>
  <c r="AM41"/>
  <c r="AO44"/>
  <c r="AO43"/>
  <c r="AO42"/>
  <c r="AO41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F44"/>
  <c r="AF43"/>
  <c r="AF42"/>
  <c r="AH44"/>
  <c r="AH43"/>
  <c r="AH42"/>
  <c r="AJ44"/>
  <c r="AJ43"/>
  <c r="AJ42"/>
  <c r="AJ41"/>
  <c r="AL44"/>
  <c r="AL43"/>
  <c r="AL42"/>
  <c r="AL41"/>
  <c r="AN44"/>
  <c r="AN43"/>
  <c r="AN42"/>
  <c r="AN41"/>
  <c r="AR44"/>
  <c r="AR43"/>
  <c r="AR42"/>
  <c r="AR41"/>
  <c r="AT44"/>
  <c r="AT43"/>
  <c r="AT42"/>
  <c r="AT41"/>
  <c r="AV44"/>
  <c r="AV43"/>
  <c r="AV42"/>
  <c r="AV41"/>
  <c r="AX44"/>
  <c r="AX43"/>
  <c r="AX42"/>
  <c r="AX41"/>
  <c r="AZ44"/>
  <c r="AZ43"/>
  <c r="AZ42"/>
  <c r="AZ41"/>
  <c r="L89"/>
  <c r="M88"/>
  <c r="M89" s="1"/>
  <c r="AA9" i="370"/>
  <c r="AA12" s="1"/>
  <c r="AF14" i="371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S10" i="366"/>
  <c r="M10"/>
  <c r="Y10" s="1"/>
  <c r="AF44" i="368"/>
  <c r="AF43"/>
  <c r="AF42"/>
  <c r="AH44"/>
  <c r="AH43"/>
  <c r="AH42"/>
  <c r="AJ44"/>
  <c r="AJ43"/>
  <c r="AJ42"/>
  <c r="AJ41"/>
  <c r="AL44"/>
  <c r="AL43"/>
  <c r="AL42"/>
  <c r="AL41"/>
  <c r="AN44"/>
  <c r="AN43"/>
  <c r="AN42"/>
  <c r="AN41"/>
  <c r="AR44"/>
  <c r="AR43"/>
  <c r="AR42"/>
  <c r="AR41"/>
  <c r="AT44"/>
  <c r="AT43"/>
  <c r="AT42"/>
  <c r="AT41"/>
  <c r="AV44"/>
  <c r="AV43"/>
  <c r="AV42"/>
  <c r="AV41"/>
  <c r="AX44"/>
  <c r="AX43"/>
  <c r="AX42"/>
  <c r="AX41"/>
  <c r="AZ44"/>
  <c r="AZ43"/>
  <c r="AZ42"/>
  <c r="AZ41"/>
  <c r="L89"/>
  <c r="M88"/>
  <c r="M89" s="1"/>
  <c r="R10" i="366"/>
  <c r="AA9" i="367"/>
  <c r="AA12" s="1"/>
  <c r="AF14" i="368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G44"/>
  <c r="AG43"/>
  <c r="AG42"/>
  <c r="AI44"/>
  <c r="AI43"/>
  <c r="AI42"/>
  <c r="AK44"/>
  <c r="AK43"/>
  <c r="AK42"/>
  <c r="AK41"/>
  <c r="AM44"/>
  <c r="AM43"/>
  <c r="AM42"/>
  <c r="AM41"/>
  <c r="AO44"/>
  <c r="AO43"/>
  <c r="AO42"/>
  <c r="AO41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U8" i="363"/>
  <c r="W13"/>
  <c r="L33" i="817" s="1"/>
  <c r="U33" s="1"/>
  <c r="R8" i="363"/>
  <c r="U9"/>
  <c r="J9"/>
  <c r="V9" s="1"/>
  <c r="S8"/>
  <c r="M8"/>
  <c r="Y8" s="1"/>
  <c r="R9"/>
  <c r="AF44" i="365"/>
  <c r="AF43"/>
  <c r="AF42"/>
  <c r="AH44"/>
  <c r="AH43"/>
  <c r="AH42"/>
  <c r="AJ44"/>
  <c r="AJ43"/>
  <c r="AJ42"/>
  <c r="AL44"/>
  <c r="AL43"/>
  <c r="AL42"/>
  <c r="AN44"/>
  <c r="AN43"/>
  <c r="AN42"/>
  <c r="AN41"/>
  <c r="AR44"/>
  <c r="AR43"/>
  <c r="AR42"/>
  <c r="AR41"/>
  <c r="AT44"/>
  <c r="AT43"/>
  <c r="AT42"/>
  <c r="AT41"/>
  <c r="AV44"/>
  <c r="AV43"/>
  <c r="AV42"/>
  <c r="AV41"/>
  <c r="AX44"/>
  <c r="AX43"/>
  <c r="AX42"/>
  <c r="AX41"/>
  <c r="AZ44"/>
  <c r="AZ43"/>
  <c r="AZ42"/>
  <c r="AZ41"/>
  <c r="L88"/>
  <c r="AA9" i="364"/>
  <c r="AA12" s="1"/>
  <c r="AF14" i="365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S40"/>
  <c r="AG44"/>
  <c r="AG43"/>
  <c r="AG42"/>
  <c r="AI44"/>
  <c r="AI43"/>
  <c r="AI42"/>
  <c r="AK44"/>
  <c r="AK43"/>
  <c r="AK42"/>
  <c r="AM44"/>
  <c r="AM43"/>
  <c r="AM42"/>
  <c r="AO44"/>
  <c r="AO43"/>
  <c r="AO42"/>
  <c r="AS44"/>
  <c r="AS43"/>
  <c r="AS42"/>
  <c r="AU44"/>
  <c r="AU43"/>
  <c r="AU42"/>
  <c r="AU41"/>
  <c r="AW44"/>
  <c r="AW43"/>
  <c r="AW42"/>
  <c r="AW41"/>
  <c r="AY44"/>
  <c r="AY43"/>
  <c r="AY42"/>
  <c r="AY41"/>
  <c r="BA44"/>
  <c r="BA43"/>
  <c r="BA42"/>
  <c r="BA41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O41"/>
  <c r="Q17" i="360"/>
  <c r="Q20" s="1"/>
  <c r="W17"/>
  <c r="AG44" i="362"/>
  <c r="AG43"/>
  <c r="AG42"/>
  <c r="AI44"/>
  <c r="AI43"/>
  <c r="AI42"/>
  <c r="AK44"/>
  <c r="AK43"/>
  <c r="AK42"/>
  <c r="AM44"/>
  <c r="AM43"/>
  <c r="AM42"/>
  <c r="AM41"/>
  <c r="AO44"/>
  <c r="AO43"/>
  <c r="AO42"/>
  <c r="AO41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F44"/>
  <c r="AF43"/>
  <c r="AF42"/>
  <c r="AH44"/>
  <c r="AH43"/>
  <c r="AH42"/>
  <c r="AJ44"/>
  <c r="AJ43"/>
  <c r="AJ42"/>
  <c r="AL44"/>
  <c r="AL43"/>
  <c r="AL42"/>
  <c r="AN44"/>
  <c r="AN43"/>
  <c r="AN42"/>
  <c r="AN41"/>
  <c r="AR44"/>
  <c r="AR43"/>
  <c r="AR42"/>
  <c r="AR41"/>
  <c r="AT44"/>
  <c r="AT43"/>
  <c r="AT42"/>
  <c r="AT41"/>
  <c r="AV44"/>
  <c r="AV43"/>
  <c r="AV42"/>
  <c r="AV41"/>
  <c r="AX44"/>
  <c r="AX43"/>
  <c r="AX42"/>
  <c r="AX41"/>
  <c r="AZ44"/>
  <c r="AZ43"/>
  <c r="AZ42"/>
  <c r="AZ41"/>
  <c r="L88"/>
  <c r="L89" s="1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T12" i="185"/>
  <c r="T13" s="1"/>
  <c r="X12"/>
  <c r="X13" s="1"/>
  <c r="AE53" i="817" l="1"/>
  <c r="AY77"/>
  <c r="BJ77" s="1"/>
  <c r="U61"/>
  <c r="F50" i="25"/>
  <c r="F54"/>
  <c r="K35"/>
  <c r="K52"/>
  <c r="S41"/>
  <c r="T43"/>
  <c r="K27"/>
  <c r="S37"/>
  <c r="S39"/>
  <c r="T40"/>
  <c r="G18"/>
  <c r="G19" s="1"/>
  <c r="G20" s="1"/>
  <c r="G21" s="1"/>
  <c r="G22" s="1"/>
  <c r="O20" i="817"/>
  <c r="O21" s="1"/>
  <c r="O22" s="1"/>
  <c r="O23" s="1"/>
  <c r="AP73"/>
  <c r="AY73" s="1"/>
  <c r="BJ73" s="1"/>
  <c r="AP78"/>
  <c r="AY78" s="1"/>
  <c r="BJ78" s="1"/>
  <c r="J52" i="25"/>
  <c r="K58"/>
  <c r="S40"/>
  <c r="S48"/>
  <c r="U48" s="1"/>
  <c r="S45"/>
  <c r="U45" s="1"/>
  <c r="K54"/>
  <c r="O41"/>
  <c r="O42" s="1"/>
  <c r="O43" s="1"/>
  <c r="O44" s="1"/>
  <c r="O45" s="1"/>
  <c r="O46" s="1"/>
  <c r="O47" s="1"/>
  <c r="O48" s="1"/>
  <c r="O49" s="1"/>
  <c r="O50" s="1"/>
  <c r="O51" s="1"/>
  <c r="O52" s="1"/>
  <c r="O53" s="1"/>
  <c r="O54" s="1"/>
  <c r="O55" s="1"/>
  <c r="O56" s="1"/>
  <c r="O57" s="1"/>
  <c r="O58" s="1"/>
  <c r="O59" s="1"/>
  <c r="O60" s="1"/>
  <c r="AI43" i="817"/>
  <c r="AI44" s="1"/>
  <c r="AI45" s="1"/>
  <c r="AI46" s="1"/>
  <c r="AI47" s="1"/>
  <c r="AI48" s="1"/>
  <c r="AI49" s="1"/>
  <c r="AI50" s="1"/>
  <c r="AI51" s="1"/>
  <c r="AI52" s="1"/>
  <c r="AI53" s="1"/>
  <c r="AI54" s="1"/>
  <c r="AI55" s="1"/>
  <c r="AI56" s="1"/>
  <c r="AI57" s="1"/>
  <c r="AI58" s="1"/>
  <c r="AI59" s="1"/>
  <c r="AI60" s="1"/>
  <c r="AI61" s="1"/>
  <c r="S42" i="25"/>
  <c r="X16" i="486"/>
  <c r="AQ42" i="817" s="1"/>
  <c r="X16" i="471"/>
  <c r="AQ37" i="817" s="1"/>
  <c r="X16" i="474"/>
  <c r="AQ38" i="817" s="1"/>
  <c r="W20" i="360"/>
  <c r="L19" i="817" s="1"/>
  <c r="U19" s="1"/>
  <c r="X20" i="360"/>
  <c r="R77" i="25"/>
  <c r="U77" s="1"/>
  <c r="U76"/>
  <c r="R72"/>
  <c r="U71"/>
  <c r="Z12" i="397"/>
  <c r="Z13" s="1"/>
  <c r="W16" i="483"/>
  <c r="AP41" i="817" s="1"/>
  <c r="U14" i="375"/>
  <c r="W17" i="468"/>
  <c r="AP36" i="817" s="1"/>
  <c r="AA16" i="478"/>
  <c r="AA12" i="397"/>
  <c r="AA13" s="1"/>
  <c r="W16" i="474"/>
  <c r="AP38" i="817" s="1"/>
  <c r="Q24" i="25"/>
  <c r="Y14" i="393"/>
  <c r="AA12" i="394"/>
  <c r="S14" i="393"/>
  <c r="R14"/>
  <c r="R14" i="372"/>
  <c r="J8" i="378"/>
  <c r="V8" s="1"/>
  <c r="V14" s="1"/>
  <c r="J8" i="393"/>
  <c r="V8" s="1"/>
  <c r="J9" i="191"/>
  <c r="V9" s="1"/>
  <c r="R14" i="411"/>
  <c r="AA16" i="475"/>
  <c r="W18" i="480"/>
  <c r="AP40" i="817" s="1"/>
  <c r="W20" i="489"/>
  <c r="AP43" i="817" s="1"/>
  <c r="AB16" i="499"/>
  <c r="AS46" i="817" s="1"/>
  <c r="AD16" i="499"/>
  <c r="AU46" i="817" s="1"/>
  <c r="AC16" i="499"/>
  <c r="AT46" i="817" s="1"/>
  <c r="AA16" i="496"/>
  <c r="AB16"/>
  <c r="AS45" i="817" s="1"/>
  <c r="AY45" s="1"/>
  <c r="AA12" i="421"/>
  <c r="AA20" i="490"/>
  <c r="L89" i="395"/>
  <c r="M89"/>
  <c r="X12" i="384"/>
  <c r="J8" i="363"/>
  <c r="V8" s="1"/>
  <c r="V12" s="1"/>
  <c r="V13" s="1"/>
  <c r="R12"/>
  <c r="R13" s="1"/>
  <c r="U12"/>
  <c r="U13" s="1"/>
  <c r="R8" i="369"/>
  <c r="R15" s="1"/>
  <c r="V10" i="390"/>
  <c r="V14" i="372"/>
  <c r="AM10" i="409"/>
  <c r="U69" i="25"/>
  <c r="U67"/>
  <c r="V14" i="375"/>
  <c r="AA10" i="409"/>
  <c r="J13" i="480"/>
  <c r="V13" s="1"/>
  <c r="U66" i="25"/>
  <c r="U68"/>
  <c r="U14" i="372"/>
  <c r="U14" i="378"/>
  <c r="R14" i="375"/>
  <c r="R14" i="378"/>
  <c r="V11" i="384"/>
  <c r="V12" s="1"/>
  <c r="R10" i="390"/>
  <c r="R11" i="405"/>
  <c r="J8" i="411"/>
  <c r="V8" s="1"/>
  <c r="J15" i="480"/>
  <c r="V15" s="1"/>
  <c r="R17"/>
  <c r="X20" i="477"/>
  <c r="AQ39" i="817" s="1"/>
  <c r="V12" i="408"/>
  <c r="Z11" i="484"/>
  <c r="Z16" s="1"/>
  <c r="X16" i="483"/>
  <c r="AQ41" i="817" s="1"/>
  <c r="L91" i="494"/>
  <c r="W20" i="477"/>
  <c r="AP39" i="817" s="1"/>
  <c r="Y13" i="191"/>
  <c r="X36" i="817" s="1"/>
  <c r="R12" i="408"/>
  <c r="S14" i="411"/>
  <c r="W16" i="471"/>
  <c r="AP37" i="817" s="1"/>
  <c r="M88" i="389"/>
  <c r="M89" s="1"/>
  <c r="L89"/>
  <c r="Q40" i="25"/>
  <c r="Q38"/>
  <c r="Q36"/>
  <c r="Q39"/>
  <c r="Q37"/>
  <c r="R11" i="384"/>
  <c r="R12" s="1"/>
  <c r="U10" i="390"/>
  <c r="U12" i="408"/>
  <c r="L89" i="383"/>
  <c r="Z11" i="481"/>
  <c r="Z16" s="1"/>
  <c r="AA9"/>
  <c r="AA11" s="1"/>
  <c r="AA16" s="1"/>
  <c r="Z11" i="499"/>
  <c r="Z16" s="1"/>
  <c r="AA9"/>
  <c r="AA11" s="1"/>
  <c r="AA16" s="1"/>
  <c r="R11" i="381"/>
  <c r="R12" s="1"/>
  <c r="L89" i="386"/>
  <c r="Y14" i="411"/>
  <c r="X59" i="817" s="1"/>
  <c r="AE59" s="1"/>
  <c r="AY74" i="527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AX72"/>
  <c r="AX68"/>
  <c r="AX64"/>
  <c r="AX60"/>
  <c r="AX56"/>
  <c r="AX52"/>
  <c r="AX48"/>
  <c r="AT72"/>
  <c r="AT68"/>
  <c r="AT64"/>
  <c r="AT60"/>
  <c r="AT56"/>
  <c r="AT52"/>
  <c r="AT48"/>
  <c r="AN72"/>
  <c r="AN68"/>
  <c r="AN64"/>
  <c r="AN60"/>
  <c r="AN56"/>
  <c r="AN52"/>
  <c r="AN48"/>
  <c r="AJ72"/>
  <c r="AJ68"/>
  <c r="AJ64"/>
  <c r="AJ60"/>
  <c r="AJ56"/>
  <c r="AJ52"/>
  <c r="AJ48"/>
  <c r="AF72"/>
  <c r="AF68"/>
  <c r="AF64"/>
  <c r="AF60"/>
  <c r="AF56"/>
  <c r="AF52"/>
  <c r="AF48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Y72"/>
  <c r="AY68"/>
  <c r="AY64"/>
  <c r="AY60"/>
  <c r="AY56"/>
  <c r="AY52"/>
  <c r="AY48"/>
  <c r="AU72"/>
  <c r="AU68"/>
  <c r="AU64"/>
  <c r="AU60"/>
  <c r="AU56"/>
  <c r="AU52"/>
  <c r="AU48"/>
  <c r="AO72"/>
  <c r="AO68"/>
  <c r="AO64"/>
  <c r="AO60"/>
  <c r="AO56"/>
  <c r="AO52"/>
  <c r="AO48"/>
  <c r="AK72"/>
  <c r="AK68"/>
  <c r="AK64"/>
  <c r="AK60"/>
  <c r="AK56"/>
  <c r="AK52"/>
  <c r="AK48"/>
  <c r="AG72"/>
  <c r="AG68"/>
  <c r="AG64"/>
  <c r="AG60"/>
  <c r="AG56"/>
  <c r="AG52"/>
  <c r="AG48"/>
  <c r="AX74" i="521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Y72"/>
  <c r="AY68"/>
  <c r="AY64"/>
  <c r="AY60"/>
  <c r="AY56"/>
  <c r="AY52"/>
  <c r="AY48"/>
  <c r="AU72"/>
  <c r="AU68"/>
  <c r="AU64"/>
  <c r="AU60"/>
  <c r="AU56"/>
  <c r="AU52"/>
  <c r="AU48"/>
  <c r="AO72"/>
  <c r="AO68"/>
  <c r="AO64"/>
  <c r="AO60"/>
  <c r="AO56"/>
  <c r="AO52"/>
  <c r="AO48"/>
  <c r="AK72"/>
  <c r="AK68"/>
  <c r="AK64"/>
  <c r="AK60"/>
  <c r="AK56"/>
  <c r="AK52"/>
  <c r="AK48"/>
  <c r="AG72"/>
  <c r="AG68"/>
  <c r="AG64"/>
  <c r="AG60"/>
  <c r="AG56"/>
  <c r="AG52"/>
  <c r="AG48"/>
  <c r="AX74" i="518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Y72"/>
  <c r="AY68"/>
  <c r="AY64"/>
  <c r="AY60"/>
  <c r="AY56"/>
  <c r="AY52"/>
  <c r="AY48"/>
  <c r="AU72"/>
  <c r="AU68"/>
  <c r="AU64"/>
  <c r="AU60"/>
  <c r="AU56"/>
  <c r="AU52"/>
  <c r="AU48"/>
  <c r="AO72"/>
  <c r="AO68"/>
  <c r="AO64"/>
  <c r="AO60"/>
  <c r="AO56"/>
  <c r="AO52"/>
  <c r="AO48"/>
  <c r="AK72"/>
  <c r="AK68"/>
  <c r="AK64"/>
  <c r="AK60"/>
  <c r="AK56"/>
  <c r="AK52"/>
  <c r="AK48"/>
  <c r="AG72"/>
  <c r="AG68"/>
  <c r="AG64"/>
  <c r="AG60"/>
  <c r="AG56"/>
  <c r="AG52"/>
  <c r="AG48"/>
  <c r="AY74" i="521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AX72"/>
  <c r="AX68"/>
  <c r="AX64"/>
  <c r="AX60"/>
  <c r="AX56"/>
  <c r="AX52"/>
  <c r="AX48"/>
  <c r="AT72"/>
  <c r="AT68"/>
  <c r="AT64"/>
  <c r="AT60"/>
  <c r="AT56"/>
  <c r="AT52"/>
  <c r="AT48"/>
  <c r="AN72"/>
  <c r="AN68"/>
  <c r="AN64"/>
  <c r="AN60"/>
  <c r="AN56"/>
  <c r="AN52"/>
  <c r="AN48"/>
  <c r="AJ72"/>
  <c r="AJ68"/>
  <c r="AJ64"/>
  <c r="AJ60"/>
  <c r="AJ56"/>
  <c r="AJ52"/>
  <c r="AJ48"/>
  <c r="AF72"/>
  <c r="AF68"/>
  <c r="AF64"/>
  <c r="AF60"/>
  <c r="AF56"/>
  <c r="AF52"/>
  <c r="AF48"/>
  <c r="BA74" i="518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AZ72"/>
  <c r="AZ68"/>
  <c r="AZ64"/>
  <c r="AZ60"/>
  <c r="AZ56"/>
  <c r="AZ52"/>
  <c r="AZ48"/>
  <c r="AV72"/>
  <c r="AV68"/>
  <c r="AV64"/>
  <c r="AV60"/>
  <c r="AV56"/>
  <c r="AV52"/>
  <c r="AV48"/>
  <c r="AR72"/>
  <c r="AR68"/>
  <c r="AR64"/>
  <c r="AR60"/>
  <c r="AR56"/>
  <c r="AR52"/>
  <c r="AR48"/>
  <c r="AL72"/>
  <c r="AL68"/>
  <c r="AL64"/>
  <c r="AL60"/>
  <c r="AL56"/>
  <c r="AL52"/>
  <c r="AL48"/>
  <c r="AH72"/>
  <c r="AH68"/>
  <c r="AH64"/>
  <c r="AH60"/>
  <c r="AH56"/>
  <c r="AH52"/>
  <c r="AH48"/>
  <c r="BA74" i="527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AZ72"/>
  <c r="AZ68"/>
  <c r="AZ64"/>
  <c r="AZ60"/>
  <c r="AZ56"/>
  <c r="AZ52"/>
  <c r="AZ48"/>
  <c r="AV72"/>
  <c r="AV68"/>
  <c r="AV64"/>
  <c r="AV60"/>
  <c r="AV56"/>
  <c r="AV52"/>
  <c r="AV48"/>
  <c r="AR72"/>
  <c r="AR68"/>
  <c r="AR64"/>
  <c r="AR60"/>
  <c r="AR56"/>
  <c r="AR52"/>
  <c r="AR48"/>
  <c r="AL72"/>
  <c r="AL68"/>
  <c r="AL64"/>
  <c r="AL60"/>
  <c r="AL56"/>
  <c r="AL52"/>
  <c r="AL48"/>
  <c r="AH72"/>
  <c r="AH68"/>
  <c r="AH64"/>
  <c r="AH60"/>
  <c r="AH56"/>
  <c r="AH52"/>
  <c r="AH48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BA72"/>
  <c r="BA68"/>
  <c r="BA64"/>
  <c r="BA60"/>
  <c r="BA56"/>
  <c r="BA52"/>
  <c r="BA48"/>
  <c r="AW72"/>
  <c r="AW68"/>
  <c r="AW64"/>
  <c r="AW60"/>
  <c r="AW56"/>
  <c r="AW52"/>
  <c r="AW48"/>
  <c r="AS72"/>
  <c r="AS68"/>
  <c r="AS64"/>
  <c r="AS60"/>
  <c r="AS56"/>
  <c r="AS52"/>
  <c r="AS48"/>
  <c r="AM72"/>
  <c r="AM68"/>
  <c r="AM64"/>
  <c r="AM60"/>
  <c r="AM56"/>
  <c r="AM52"/>
  <c r="AM48"/>
  <c r="AI72"/>
  <c r="AI68"/>
  <c r="AI64"/>
  <c r="AI60"/>
  <c r="AI56"/>
  <c r="AI52"/>
  <c r="AI48"/>
  <c r="AZ74" i="521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BA72"/>
  <c r="BA68"/>
  <c r="BA64"/>
  <c r="BA60"/>
  <c r="BA56"/>
  <c r="BA52"/>
  <c r="BA48"/>
  <c r="AW72"/>
  <c r="AW68"/>
  <c r="AW64"/>
  <c r="AW60"/>
  <c r="AW56"/>
  <c r="AW52"/>
  <c r="AW48"/>
  <c r="AS72"/>
  <c r="AS68"/>
  <c r="AS64"/>
  <c r="AS60"/>
  <c r="AS56"/>
  <c r="AS52"/>
  <c r="AS48"/>
  <c r="AM72"/>
  <c r="AM68"/>
  <c r="AM64"/>
  <c r="AM60"/>
  <c r="AM56"/>
  <c r="AM52"/>
  <c r="AM48"/>
  <c r="AI72"/>
  <c r="AI68"/>
  <c r="AI64"/>
  <c r="AI60"/>
  <c r="AI56"/>
  <c r="AI52"/>
  <c r="AI48"/>
  <c r="AZ74" i="518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BA72"/>
  <c r="BA68"/>
  <c r="BA64"/>
  <c r="BA60"/>
  <c r="BA56"/>
  <c r="BA52"/>
  <c r="BA48"/>
  <c r="AW72"/>
  <c r="AW68"/>
  <c r="AW64"/>
  <c r="AW60"/>
  <c r="AW56"/>
  <c r="AW52"/>
  <c r="AW48"/>
  <c r="AS72"/>
  <c r="AS68"/>
  <c r="AS64"/>
  <c r="AS60"/>
  <c r="AS56"/>
  <c r="AS52"/>
  <c r="AS48"/>
  <c r="AM72"/>
  <c r="AM68"/>
  <c r="AM64"/>
  <c r="AM60"/>
  <c r="AM56"/>
  <c r="AM52"/>
  <c r="AM48"/>
  <c r="AI72"/>
  <c r="AI68"/>
  <c r="AI64"/>
  <c r="AI60"/>
  <c r="AI56"/>
  <c r="AI52"/>
  <c r="AI48"/>
  <c r="BA74" i="521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AZ72"/>
  <c r="AZ68"/>
  <c r="AZ64"/>
  <c r="AZ60"/>
  <c r="AZ56"/>
  <c r="AZ52"/>
  <c r="AZ48"/>
  <c r="AV72"/>
  <c r="AV68"/>
  <c r="AV64"/>
  <c r="AV60"/>
  <c r="AV56"/>
  <c r="AV52"/>
  <c r="AV48"/>
  <c r="AR72"/>
  <c r="AR68"/>
  <c r="AR64"/>
  <c r="AR60"/>
  <c r="AR56"/>
  <c r="AR52"/>
  <c r="AR48"/>
  <c r="AL72"/>
  <c r="AL68"/>
  <c r="AL64"/>
  <c r="AL60"/>
  <c r="AL56"/>
  <c r="AL52"/>
  <c r="AL48"/>
  <c r="AH72"/>
  <c r="AH68"/>
  <c r="AH64"/>
  <c r="AH60"/>
  <c r="AH56"/>
  <c r="AH52"/>
  <c r="AH48"/>
  <c r="AY74" i="518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AX72"/>
  <c r="AX68"/>
  <c r="AX64"/>
  <c r="AX60"/>
  <c r="AX56"/>
  <c r="AX52"/>
  <c r="AX48"/>
  <c r="AT72"/>
  <c r="AT68"/>
  <c r="AT64"/>
  <c r="AT60"/>
  <c r="AT56"/>
  <c r="AT52"/>
  <c r="AT48"/>
  <c r="AN72"/>
  <c r="AN68"/>
  <c r="AN64"/>
  <c r="AN60"/>
  <c r="AN56"/>
  <c r="AN52"/>
  <c r="AN48"/>
  <c r="AJ72"/>
  <c r="AJ68"/>
  <c r="AJ64"/>
  <c r="AJ60"/>
  <c r="AJ56"/>
  <c r="AJ52"/>
  <c r="AJ48"/>
  <c r="AF72"/>
  <c r="AF68"/>
  <c r="AF64"/>
  <c r="AF60"/>
  <c r="AF56"/>
  <c r="AF52"/>
  <c r="AF48"/>
  <c r="AY75" i="51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BA75" i="512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AY75" i="509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BA75" i="506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AZ73" i="50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AZ74"/>
  <c r="AZ70"/>
  <c r="AZ66"/>
  <c r="AZ62"/>
  <c r="AZ58"/>
  <c r="AZ54"/>
  <c r="AZ50"/>
  <c r="AX74"/>
  <c r="AX70"/>
  <c r="AX66"/>
  <c r="AX62"/>
  <c r="AX58"/>
  <c r="AX54"/>
  <c r="AX50"/>
  <c r="AV75"/>
  <c r="AV71"/>
  <c r="AV67"/>
  <c r="AV63"/>
  <c r="AV59"/>
  <c r="AV55"/>
  <c r="AV51"/>
  <c r="AT74"/>
  <c r="AT70"/>
  <c r="AT66"/>
  <c r="AT62"/>
  <c r="AT58"/>
  <c r="AT54"/>
  <c r="AT50"/>
  <c r="AR75"/>
  <c r="AR71"/>
  <c r="AR67"/>
  <c r="AR63"/>
  <c r="AR59"/>
  <c r="AR55"/>
  <c r="AR51"/>
  <c r="AN74"/>
  <c r="AN70"/>
  <c r="AN66"/>
  <c r="AN62"/>
  <c r="AN58"/>
  <c r="AN54"/>
  <c r="AN50"/>
  <c r="AL75"/>
  <c r="AL71"/>
  <c r="AL67"/>
  <c r="AL63"/>
  <c r="AL59"/>
  <c r="AL55"/>
  <c r="AL51"/>
  <c r="AJ74"/>
  <c r="AJ70"/>
  <c r="AJ66"/>
  <c r="AJ62"/>
  <c r="AJ58"/>
  <c r="AJ54"/>
  <c r="AJ50"/>
  <c r="AH75"/>
  <c r="AH71"/>
  <c r="AH67"/>
  <c r="AH63"/>
  <c r="AH59"/>
  <c r="AH55"/>
  <c r="AH51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BA74"/>
  <c r="BA70"/>
  <c r="BA66"/>
  <c r="BA62"/>
  <c r="BA58"/>
  <c r="BA54"/>
  <c r="BA50"/>
  <c r="AY75"/>
  <c r="AY71"/>
  <c r="AY67"/>
  <c r="AY63"/>
  <c r="AY59"/>
  <c r="AY55"/>
  <c r="AY51"/>
  <c r="AW74"/>
  <c r="AW70"/>
  <c r="AW66"/>
  <c r="AW62"/>
  <c r="AW58"/>
  <c r="AW54"/>
  <c r="AW50"/>
  <c r="AU75"/>
  <c r="AU71"/>
  <c r="AU67"/>
  <c r="AU63"/>
  <c r="AU59"/>
  <c r="AU55"/>
  <c r="AU51"/>
  <c r="AS74"/>
  <c r="AS70"/>
  <c r="AS66"/>
  <c r="AS62"/>
  <c r="AS58"/>
  <c r="AS54"/>
  <c r="AS50"/>
  <c r="AO75"/>
  <c r="AO71"/>
  <c r="AO67"/>
  <c r="AO63"/>
  <c r="AO59"/>
  <c r="AO55"/>
  <c r="AO51"/>
  <c r="AM74"/>
  <c r="AM70"/>
  <c r="AM66"/>
  <c r="AM62"/>
  <c r="AM58"/>
  <c r="AM54"/>
  <c r="AM50"/>
  <c r="AK75"/>
  <c r="AK71"/>
  <c r="AK67"/>
  <c r="AK63"/>
  <c r="AK59"/>
  <c r="AK55"/>
  <c r="AK51"/>
  <c r="AI74"/>
  <c r="AI70"/>
  <c r="AI66"/>
  <c r="AI62"/>
  <c r="AI58"/>
  <c r="AI54"/>
  <c r="AI50"/>
  <c r="AG75"/>
  <c r="AG71"/>
  <c r="AG67"/>
  <c r="AG63"/>
  <c r="AG59"/>
  <c r="AG55"/>
  <c r="AG51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L89"/>
  <c r="M88"/>
  <c r="M89" s="1"/>
  <c r="AZ75"/>
  <c r="AZ71"/>
  <c r="AZ67"/>
  <c r="AZ63"/>
  <c r="AZ59"/>
  <c r="AZ55"/>
  <c r="AZ51"/>
  <c r="AX75"/>
  <c r="AX71"/>
  <c r="AX67"/>
  <c r="AX63"/>
  <c r="AX59"/>
  <c r="AX55"/>
  <c r="AX51"/>
  <c r="AV74"/>
  <c r="AV70"/>
  <c r="AV66"/>
  <c r="AV62"/>
  <c r="AV58"/>
  <c r="AV54"/>
  <c r="AV50"/>
  <c r="AT75"/>
  <c r="AT71"/>
  <c r="AT67"/>
  <c r="AT63"/>
  <c r="AT59"/>
  <c r="AT55"/>
  <c r="AT51"/>
  <c r="AR74"/>
  <c r="AR70"/>
  <c r="AR66"/>
  <c r="AR62"/>
  <c r="AR58"/>
  <c r="AR54"/>
  <c r="AR50"/>
  <c r="AN75"/>
  <c r="AN71"/>
  <c r="AN67"/>
  <c r="AN63"/>
  <c r="AN59"/>
  <c r="AN55"/>
  <c r="AN51"/>
  <c r="AL74"/>
  <c r="AL70"/>
  <c r="AL66"/>
  <c r="AL62"/>
  <c r="AL58"/>
  <c r="AL54"/>
  <c r="AL50"/>
  <c r="AJ75"/>
  <c r="AJ71"/>
  <c r="AJ67"/>
  <c r="AJ63"/>
  <c r="AJ59"/>
  <c r="AJ55"/>
  <c r="AJ51"/>
  <c r="AH74"/>
  <c r="AH70"/>
  <c r="AH66"/>
  <c r="AH62"/>
  <c r="AH58"/>
  <c r="AH54"/>
  <c r="AH50"/>
  <c r="AF75"/>
  <c r="AF71"/>
  <c r="AF67"/>
  <c r="AF63"/>
  <c r="AF59"/>
  <c r="AF55"/>
  <c r="AF51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BA75"/>
  <c r="BA71"/>
  <c r="BA67"/>
  <c r="BA63"/>
  <c r="BA59"/>
  <c r="BA55"/>
  <c r="BA51"/>
  <c r="AY74"/>
  <c r="AY70"/>
  <c r="AY66"/>
  <c r="AY62"/>
  <c r="AY58"/>
  <c r="AY54"/>
  <c r="AY50"/>
  <c r="AW75"/>
  <c r="AW71"/>
  <c r="AW67"/>
  <c r="AW63"/>
  <c r="AW59"/>
  <c r="AW55"/>
  <c r="AW51"/>
  <c r="AU74"/>
  <c r="AU70"/>
  <c r="AU66"/>
  <c r="AU62"/>
  <c r="AU58"/>
  <c r="AU54"/>
  <c r="AU50"/>
  <c r="AS75"/>
  <c r="AS71"/>
  <c r="AS67"/>
  <c r="AS63"/>
  <c r="AS59"/>
  <c r="AS55"/>
  <c r="AS51"/>
  <c r="AO74"/>
  <c r="AO70"/>
  <c r="AO66"/>
  <c r="AO62"/>
  <c r="AO58"/>
  <c r="AO54"/>
  <c r="AO50"/>
  <c r="AM75"/>
  <c r="AM71"/>
  <c r="AM67"/>
  <c r="AM63"/>
  <c r="AM59"/>
  <c r="AM55"/>
  <c r="AM51"/>
  <c r="AK74"/>
  <c r="AK70"/>
  <c r="AK66"/>
  <c r="AK62"/>
  <c r="AK58"/>
  <c r="AK54"/>
  <c r="AK50"/>
  <c r="AI75"/>
  <c r="AI71"/>
  <c r="AI67"/>
  <c r="AI63"/>
  <c r="AI59"/>
  <c r="AI55"/>
  <c r="AI51"/>
  <c r="AG74"/>
  <c r="AG70"/>
  <c r="AG66"/>
  <c r="AG62"/>
  <c r="AG58"/>
  <c r="AG54"/>
  <c r="AG50"/>
  <c r="BA76" i="500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L91"/>
  <c r="M89"/>
  <c r="M91" s="1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6" i="497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L91"/>
  <c r="M89"/>
  <c r="M91" s="1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Y11" i="492"/>
  <c r="Y12" s="1"/>
  <c r="AR44" i="817" s="1"/>
  <c r="AY44" s="1"/>
  <c r="S11" i="492"/>
  <c r="S12" s="1"/>
  <c r="BA76" i="494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M89"/>
  <c r="M91" s="1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BA76" i="491"/>
  <c r="BA72"/>
  <c r="BA68"/>
  <c r="BA64"/>
  <c r="BA60"/>
  <c r="BA56"/>
  <c r="BA52"/>
  <c r="AS76"/>
  <c r="AS72"/>
  <c r="AS68"/>
  <c r="AS64"/>
  <c r="AS60"/>
  <c r="AS56"/>
  <c r="AS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7"/>
  <c r="AZ73"/>
  <c r="AZ69"/>
  <c r="AZ65"/>
  <c r="AZ61"/>
  <c r="AZ57"/>
  <c r="AZ53"/>
  <c r="AX77"/>
  <c r="AX73"/>
  <c r="AX69"/>
  <c r="AX65"/>
  <c r="AX61"/>
  <c r="AX57"/>
  <c r="AX53"/>
  <c r="AV77"/>
  <c r="AV73"/>
  <c r="AV69"/>
  <c r="AV65"/>
  <c r="AV61"/>
  <c r="AV57"/>
  <c r="AV53"/>
  <c r="AT77"/>
  <c r="AT73"/>
  <c r="AT69"/>
  <c r="AT65"/>
  <c r="AT61"/>
  <c r="AT57"/>
  <c r="AT53"/>
  <c r="AR77"/>
  <c r="AR73"/>
  <c r="AR69"/>
  <c r="AR65"/>
  <c r="AR61"/>
  <c r="AR57"/>
  <c r="AR53"/>
  <c r="AN77"/>
  <c r="AN73"/>
  <c r="AN69"/>
  <c r="AN65"/>
  <c r="AN61"/>
  <c r="AN57"/>
  <c r="AN53"/>
  <c r="AL77"/>
  <c r="AL73"/>
  <c r="AL69"/>
  <c r="AL65"/>
  <c r="AL61"/>
  <c r="AL57"/>
  <c r="AL53"/>
  <c r="AJ77"/>
  <c r="AJ73"/>
  <c r="AJ69"/>
  <c r="AJ65"/>
  <c r="AJ61"/>
  <c r="AJ57"/>
  <c r="AJ53"/>
  <c r="AH76"/>
  <c r="AH72"/>
  <c r="AH68"/>
  <c r="AH64"/>
  <c r="AH60"/>
  <c r="AH56"/>
  <c r="AH52"/>
  <c r="AF77"/>
  <c r="AF73"/>
  <c r="AF69"/>
  <c r="AF65"/>
  <c r="AF61"/>
  <c r="AF57"/>
  <c r="AF53"/>
  <c r="AY76"/>
  <c r="AY72"/>
  <c r="AY68"/>
  <c r="AY64"/>
  <c r="AY60"/>
  <c r="AY56"/>
  <c r="AY52"/>
  <c r="AO76"/>
  <c r="AO72"/>
  <c r="AO68"/>
  <c r="AO64"/>
  <c r="AO60"/>
  <c r="AO56"/>
  <c r="AO52"/>
  <c r="AG76"/>
  <c r="AG72"/>
  <c r="AG68"/>
  <c r="AG64"/>
  <c r="AG60"/>
  <c r="AG56"/>
  <c r="AG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7"/>
  <c r="BA73"/>
  <c r="BA69"/>
  <c r="BA65"/>
  <c r="BA61"/>
  <c r="BA57"/>
  <c r="BA53"/>
  <c r="AW77"/>
  <c r="AW73"/>
  <c r="AW69"/>
  <c r="AW65"/>
  <c r="AW61"/>
  <c r="AW57"/>
  <c r="AW53"/>
  <c r="AK77"/>
  <c r="AK73"/>
  <c r="AK69"/>
  <c r="AK65"/>
  <c r="AK61"/>
  <c r="AK57"/>
  <c r="AK53"/>
  <c r="AG77"/>
  <c r="AG73"/>
  <c r="AG69"/>
  <c r="AG65"/>
  <c r="AG61"/>
  <c r="AG57"/>
  <c r="AG53"/>
  <c r="AW76"/>
  <c r="AW72"/>
  <c r="AW68"/>
  <c r="AW64"/>
  <c r="AW60"/>
  <c r="AW56"/>
  <c r="AW52"/>
  <c r="AM76"/>
  <c r="AM72"/>
  <c r="AM68"/>
  <c r="AM64"/>
  <c r="AM60"/>
  <c r="AM56"/>
  <c r="AM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L93"/>
  <c r="M90"/>
  <c r="M93" s="1"/>
  <c r="AZ76"/>
  <c r="AZ72"/>
  <c r="AZ68"/>
  <c r="AZ64"/>
  <c r="AZ60"/>
  <c r="AZ56"/>
  <c r="AZ52"/>
  <c r="AX76"/>
  <c r="AX72"/>
  <c r="AX68"/>
  <c r="AX64"/>
  <c r="AX60"/>
  <c r="AX56"/>
  <c r="AX52"/>
  <c r="AV76"/>
  <c r="AV72"/>
  <c r="AV68"/>
  <c r="AV64"/>
  <c r="AV60"/>
  <c r="AV56"/>
  <c r="AV52"/>
  <c r="AT76"/>
  <c r="AT72"/>
  <c r="AT68"/>
  <c r="AT64"/>
  <c r="AT60"/>
  <c r="AT56"/>
  <c r="AT52"/>
  <c r="AR76"/>
  <c r="AR72"/>
  <c r="AR68"/>
  <c r="AR64"/>
  <c r="AR60"/>
  <c r="AR56"/>
  <c r="AR52"/>
  <c r="AN76"/>
  <c r="AN72"/>
  <c r="AN68"/>
  <c r="AN64"/>
  <c r="AN60"/>
  <c r="AN56"/>
  <c r="AN52"/>
  <c r="AL76"/>
  <c r="AL72"/>
  <c r="AL68"/>
  <c r="AL64"/>
  <c r="AL60"/>
  <c r="AL56"/>
  <c r="AL52"/>
  <c r="AJ76"/>
  <c r="AJ72"/>
  <c r="AJ68"/>
  <c r="AJ64"/>
  <c r="AJ60"/>
  <c r="AJ56"/>
  <c r="AJ52"/>
  <c r="AH77"/>
  <c r="AH73"/>
  <c r="AH69"/>
  <c r="AH65"/>
  <c r="AH61"/>
  <c r="AH57"/>
  <c r="AH53"/>
  <c r="AF76"/>
  <c r="AF72"/>
  <c r="AF68"/>
  <c r="AF64"/>
  <c r="AF60"/>
  <c r="AF56"/>
  <c r="AF52"/>
  <c r="AU76"/>
  <c r="AU72"/>
  <c r="AU68"/>
  <c r="AU64"/>
  <c r="AU60"/>
  <c r="AU56"/>
  <c r="AU52"/>
  <c r="AK76"/>
  <c r="AK72"/>
  <c r="AK68"/>
  <c r="AK64"/>
  <c r="AK60"/>
  <c r="AK56"/>
  <c r="AK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M13" i="489"/>
  <c r="Y13" s="1"/>
  <c r="Y15" s="1"/>
  <c r="S13"/>
  <c r="S15" s="1"/>
  <c r="AY77" i="491"/>
  <c r="AY73"/>
  <c r="AY69"/>
  <c r="AY65"/>
  <c r="AY61"/>
  <c r="AY57"/>
  <c r="AY53"/>
  <c r="AU77"/>
  <c r="AU73"/>
  <c r="AU69"/>
  <c r="AU65"/>
  <c r="AU61"/>
  <c r="AU57"/>
  <c r="AU53"/>
  <c r="AS77"/>
  <c r="AS73"/>
  <c r="AS69"/>
  <c r="AS65"/>
  <c r="AS61"/>
  <c r="AS57"/>
  <c r="AS53"/>
  <c r="AO77"/>
  <c r="AO73"/>
  <c r="AO69"/>
  <c r="AO65"/>
  <c r="AO61"/>
  <c r="AO57"/>
  <c r="AO53"/>
  <c r="AM77"/>
  <c r="AM73"/>
  <c r="AM69"/>
  <c r="AM65"/>
  <c r="AM61"/>
  <c r="AM57"/>
  <c r="AM53"/>
  <c r="AI77"/>
  <c r="AI73"/>
  <c r="AI69"/>
  <c r="AI65"/>
  <c r="AI61"/>
  <c r="AI57"/>
  <c r="AI53"/>
  <c r="AY76" i="488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L91"/>
  <c r="M89"/>
  <c r="M91" s="1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M13" i="486"/>
  <c r="Y13" s="1"/>
  <c r="S13"/>
  <c r="R15"/>
  <c r="BA76" i="488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U15" i="486"/>
  <c r="AX76" i="485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R15" i="483"/>
  <c r="S15"/>
  <c r="AZ76" i="485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L91"/>
  <c r="M89"/>
  <c r="M91" s="1"/>
  <c r="U13" i="483"/>
  <c r="U15" s="1"/>
  <c r="J13"/>
  <c r="V13" s="1"/>
  <c r="V15" s="1"/>
  <c r="AA16" i="484"/>
  <c r="Y15" i="483"/>
  <c r="BA76" i="482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L91"/>
  <c r="M89"/>
  <c r="M91" s="1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U17" i="480"/>
  <c r="Y17"/>
  <c r="U16" i="477"/>
  <c r="V16"/>
  <c r="BA76" i="479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L91"/>
  <c r="M89"/>
  <c r="M91" s="1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Z76" i="4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L91"/>
  <c r="M89"/>
  <c r="M91" s="1"/>
  <c r="BA76" i="473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L91"/>
  <c r="M89"/>
  <c r="M91" s="1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Z76" i="470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A16" i="469"/>
  <c r="AX76" i="470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L91"/>
  <c r="M89"/>
  <c r="M91" s="1"/>
  <c r="M8" i="420"/>
  <c r="Y8" s="1"/>
  <c r="S8"/>
  <c r="M12"/>
  <c r="Y12" s="1"/>
  <c r="S12"/>
  <c r="M11"/>
  <c r="Y11" s="1"/>
  <c r="S11"/>
  <c r="M10"/>
  <c r="Y10" s="1"/>
  <c r="S10"/>
  <c r="M19"/>
  <c r="Y19" s="1"/>
  <c r="S19"/>
  <c r="BA75" i="422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AM9" i="412"/>
  <c r="AM12" s="1"/>
  <c r="AA12"/>
  <c r="U13" i="411"/>
  <c r="U14" s="1"/>
  <c r="J13"/>
  <c r="V13" s="1"/>
  <c r="AZ75" i="413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AX75" i="410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M11" i="408"/>
  <c r="Y11" s="1"/>
  <c r="S11"/>
  <c r="AL10" i="409"/>
  <c r="AZ75" i="410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M9" i="408"/>
  <c r="Y9" s="1"/>
  <c r="S9"/>
  <c r="AY75" i="407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A11" i="406"/>
  <c r="AM9"/>
  <c r="AM11" s="1"/>
  <c r="AX75" i="407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M9" i="405"/>
  <c r="Y9" s="1"/>
  <c r="S9"/>
  <c r="BA75" i="407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M10" i="405"/>
  <c r="Y10" s="1"/>
  <c r="S10"/>
  <c r="AM9" i="403"/>
  <c r="AM11" s="1"/>
  <c r="AA11"/>
  <c r="R11" i="402"/>
  <c r="U10"/>
  <c r="J10"/>
  <c r="V10" s="1"/>
  <c r="U9"/>
  <c r="U11" s="1"/>
  <c r="J9"/>
  <c r="V9" s="1"/>
  <c r="V11" s="1"/>
  <c r="AR74" i="404"/>
  <c r="AR70"/>
  <c r="AR66"/>
  <c r="AR62"/>
  <c r="AR58"/>
  <c r="AR54"/>
  <c r="AR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BA75"/>
  <c r="BA71"/>
  <c r="BA67"/>
  <c r="BA63"/>
  <c r="BA59"/>
  <c r="BA55"/>
  <c r="BA51"/>
  <c r="AY74"/>
  <c r="AY70"/>
  <c r="AY66"/>
  <c r="AY62"/>
  <c r="AY58"/>
  <c r="AY54"/>
  <c r="AY50"/>
  <c r="AW75"/>
  <c r="AW71"/>
  <c r="AW67"/>
  <c r="AW63"/>
  <c r="AW59"/>
  <c r="AW55"/>
  <c r="AW51"/>
  <c r="AU75"/>
  <c r="AU71"/>
  <c r="AU67"/>
  <c r="AU63"/>
  <c r="AU59"/>
  <c r="AU55"/>
  <c r="AU51"/>
  <c r="AS75"/>
  <c r="AS71"/>
  <c r="AS67"/>
  <c r="AS63"/>
  <c r="AS59"/>
  <c r="AS55"/>
  <c r="AS51"/>
  <c r="AO75"/>
  <c r="AO71"/>
  <c r="AO67"/>
  <c r="AO63"/>
  <c r="AO59"/>
  <c r="AO55"/>
  <c r="AO51"/>
  <c r="AM75"/>
  <c r="AM71"/>
  <c r="AM67"/>
  <c r="AM63"/>
  <c r="AM59"/>
  <c r="AM55"/>
  <c r="AM51"/>
  <c r="AK75"/>
  <c r="AK71"/>
  <c r="AK67"/>
  <c r="AK63"/>
  <c r="AK59"/>
  <c r="AK55"/>
  <c r="AK51"/>
  <c r="AI75"/>
  <c r="AI71"/>
  <c r="AI67"/>
  <c r="AI63"/>
  <c r="AI59"/>
  <c r="AI55"/>
  <c r="AI51"/>
  <c r="AG75"/>
  <c r="AG71"/>
  <c r="AG67"/>
  <c r="AG63"/>
  <c r="AG59"/>
  <c r="AG55"/>
  <c r="AG51"/>
  <c r="AN74"/>
  <c r="AN70"/>
  <c r="AN66"/>
  <c r="AN62"/>
  <c r="AN58"/>
  <c r="AN54"/>
  <c r="AN50"/>
  <c r="AF74"/>
  <c r="AF70"/>
  <c r="AF66"/>
  <c r="AF62"/>
  <c r="AF58"/>
  <c r="AF54"/>
  <c r="AF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Z74"/>
  <c r="AZ70"/>
  <c r="AZ66"/>
  <c r="AZ62"/>
  <c r="AZ58"/>
  <c r="AZ54"/>
  <c r="AZ50"/>
  <c r="AX74"/>
  <c r="AX70"/>
  <c r="AX66"/>
  <c r="AX62"/>
  <c r="AX58"/>
  <c r="AX54"/>
  <c r="AX50"/>
  <c r="AV74"/>
  <c r="AV70"/>
  <c r="AV66"/>
  <c r="AV62"/>
  <c r="AV58"/>
  <c r="AV54"/>
  <c r="AV50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L74"/>
  <c r="AL70"/>
  <c r="AL66"/>
  <c r="AL62"/>
  <c r="AL58"/>
  <c r="AL54"/>
  <c r="AL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BA74"/>
  <c r="BA70"/>
  <c r="BA66"/>
  <c r="BA62"/>
  <c r="BA58"/>
  <c r="BA54"/>
  <c r="BA50"/>
  <c r="AY75"/>
  <c r="AY71"/>
  <c r="AY67"/>
  <c r="AY63"/>
  <c r="AY59"/>
  <c r="AY55"/>
  <c r="AY51"/>
  <c r="AW74"/>
  <c r="AW70"/>
  <c r="AW66"/>
  <c r="AW62"/>
  <c r="AW58"/>
  <c r="AW54"/>
  <c r="AW50"/>
  <c r="AU74"/>
  <c r="AU70"/>
  <c r="AU66"/>
  <c r="AU62"/>
  <c r="AU58"/>
  <c r="AU54"/>
  <c r="AU50"/>
  <c r="AS74"/>
  <c r="AS70"/>
  <c r="AS66"/>
  <c r="AS62"/>
  <c r="AS58"/>
  <c r="AS54"/>
  <c r="AS50"/>
  <c r="AO74"/>
  <c r="AO70"/>
  <c r="AO66"/>
  <c r="AO62"/>
  <c r="AO58"/>
  <c r="AO54"/>
  <c r="AO50"/>
  <c r="AM74"/>
  <c r="AM70"/>
  <c r="AM66"/>
  <c r="AM62"/>
  <c r="AM58"/>
  <c r="AM54"/>
  <c r="AM50"/>
  <c r="AK74"/>
  <c r="AK70"/>
  <c r="AK66"/>
  <c r="AK62"/>
  <c r="AK58"/>
  <c r="AK54"/>
  <c r="AK50"/>
  <c r="AI74"/>
  <c r="AI70"/>
  <c r="AI66"/>
  <c r="AI62"/>
  <c r="AI58"/>
  <c r="AI54"/>
  <c r="AI50"/>
  <c r="AG74"/>
  <c r="AG70"/>
  <c r="AG66"/>
  <c r="AG62"/>
  <c r="AG58"/>
  <c r="AG54"/>
  <c r="AG50"/>
  <c r="AT74"/>
  <c r="AT70"/>
  <c r="AT66"/>
  <c r="AT62"/>
  <c r="AT58"/>
  <c r="AT54"/>
  <c r="AT50"/>
  <c r="AJ74"/>
  <c r="AJ70"/>
  <c r="AJ66"/>
  <c r="AJ62"/>
  <c r="AJ58"/>
  <c r="AJ54"/>
  <c r="AJ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AZ75"/>
  <c r="AZ71"/>
  <c r="AZ67"/>
  <c r="AZ63"/>
  <c r="AZ59"/>
  <c r="AZ55"/>
  <c r="AZ51"/>
  <c r="AX75"/>
  <c r="AX71"/>
  <c r="AX67"/>
  <c r="AX63"/>
  <c r="AX59"/>
  <c r="AX55"/>
  <c r="AX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M9" i="192"/>
  <c r="AM12" s="1"/>
  <c r="AA12"/>
  <c r="R13" i="191"/>
  <c r="S13"/>
  <c r="U12"/>
  <c r="J12"/>
  <c r="V12" s="1"/>
  <c r="U8"/>
  <c r="U13" s="1"/>
  <c r="J8"/>
  <c r="V8" s="1"/>
  <c r="AX75" i="398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AM9" i="394"/>
  <c r="U13" i="393"/>
  <c r="U14" s="1"/>
  <c r="J13"/>
  <c r="V13" s="1"/>
  <c r="AY75" i="39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AY75" i="392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M9" i="390"/>
  <c r="Y9" s="1"/>
  <c r="Y10" s="1"/>
  <c r="S9"/>
  <c r="S10" s="1"/>
  <c r="R10" i="387"/>
  <c r="AY75" i="389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U9" i="387"/>
  <c r="U10" s="1"/>
  <c r="J9"/>
  <c r="V9" s="1"/>
  <c r="V10" s="1"/>
  <c r="BA75" i="389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AX75" i="386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M10" i="384"/>
  <c r="Y10" s="1"/>
  <c r="S10"/>
  <c r="M9"/>
  <c r="Y9" s="1"/>
  <c r="Y11" s="1"/>
  <c r="Y12" s="1"/>
  <c r="S9"/>
  <c r="S11" s="1"/>
  <c r="S12" s="1"/>
  <c r="AZ75" i="386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M89"/>
  <c r="U10" i="381"/>
  <c r="J10"/>
  <c r="V10" s="1"/>
  <c r="U9"/>
  <c r="U11" s="1"/>
  <c r="U12" s="1"/>
  <c r="J9"/>
  <c r="V9" s="1"/>
  <c r="V11" s="1"/>
  <c r="V12" s="1"/>
  <c r="AY75" i="383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AW74" i="380"/>
  <c r="AW70"/>
  <c r="AW66"/>
  <c r="AW62"/>
  <c r="AW58"/>
  <c r="AW54"/>
  <c r="AW50"/>
  <c r="AM74"/>
  <c r="AM70"/>
  <c r="AM66"/>
  <c r="AM62"/>
  <c r="AM58"/>
  <c r="AM54"/>
  <c r="AM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AZ75"/>
  <c r="AZ71"/>
  <c r="AZ67"/>
  <c r="AZ63"/>
  <c r="AZ59"/>
  <c r="AZ55"/>
  <c r="AZ51"/>
  <c r="AX75"/>
  <c r="AX71"/>
  <c r="AX67"/>
  <c r="AX63"/>
  <c r="AX59"/>
  <c r="AX55"/>
  <c r="AX51"/>
  <c r="AV74"/>
  <c r="AV70"/>
  <c r="AV66"/>
  <c r="AV62"/>
  <c r="AV58"/>
  <c r="AV54"/>
  <c r="AV50"/>
  <c r="AT75"/>
  <c r="AT71"/>
  <c r="AT67"/>
  <c r="AT63"/>
  <c r="AT59"/>
  <c r="AT55"/>
  <c r="AT51"/>
  <c r="AR74"/>
  <c r="AR70"/>
  <c r="AR66"/>
  <c r="AR62"/>
  <c r="AR58"/>
  <c r="AR54"/>
  <c r="AR50"/>
  <c r="AN75"/>
  <c r="AN71"/>
  <c r="AN67"/>
  <c r="AN63"/>
  <c r="AN59"/>
  <c r="AN55"/>
  <c r="AN51"/>
  <c r="AL74"/>
  <c r="AL70"/>
  <c r="AL66"/>
  <c r="AL62"/>
  <c r="AL58"/>
  <c r="AL54"/>
  <c r="AL50"/>
  <c r="AJ75"/>
  <c r="AJ71"/>
  <c r="AJ67"/>
  <c r="AJ63"/>
  <c r="AJ59"/>
  <c r="AJ55"/>
  <c r="AJ51"/>
  <c r="AH74"/>
  <c r="AH70"/>
  <c r="AH66"/>
  <c r="AH62"/>
  <c r="AH58"/>
  <c r="AH54"/>
  <c r="AH50"/>
  <c r="AF75"/>
  <c r="AF71"/>
  <c r="AF67"/>
  <c r="AF63"/>
  <c r="AF59"/>
  <c r="AF55"/>
  <c r="AF51"/>
  <c r="AY74"/>
  <c r="AY70"/>
  <c r="AY66"/>
  <c r="AY62"/>
  <c r="AY58"/>
  <c r="AY54"/>
  <c r="AY50"/>
  <c r="AO74"/>
  <c r="AO70"/>
  <c r="AO66"/>
  <c r="AO62"/>
  <c r="AO58"/>
  <c r="AO54"/>
  <c r="AO50"/>
  <c r="AG74"/>
  <c r="AG70"/>
  <c r="AG66"/>
  <c r="AG62"/>
  <c r="AG58"/>
  <c r="AG54"/>
  <c r="AG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S74"/>
  <c r="AS70"/>
  <c r="AS66"/>
  <c r="AS62"/>
  <c r="AS58"/>
  <c r="AS54"/>
  <c r="AS50"/>
  <c r="AI74"/>
  <c r="AI70"/>
  <c r="AI66"/>
  <c r="AI62"/>
  <c r="AI58"/>
  <c r="AI54"/>
  <c r="AI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Z74"/>
  <c r="AZ70"/>
  <c r="AZ66"/>
  <c r="AZ62"/>
  <c r="AZ58"/>
  <c r="AZ54"/>
  <c r="AZ50"/>
  <c r="AX74"/>
  <c r="AX70"/>
  <c r="AX66"/>
  <c r="AX62"/>
  <c r="AX58"/>
  <c r="AX54"/>
  <c r="AX50"/>
  <c r="AV75"/>
  <c r="AV71"/>
  <c r="AV67"/>
  <c r="AV63"/>
  <c r="AV59"/>
  <c r="AV55"/>
  <c r="AV51"/>
  <c r="AT74"/>
  <c r="AT70"/>
  <c r="AT66"/>
  <c r="AT62"/>
  <c r="AT58"/>
  <c r="AT54"/>
  <c r="AT50"/>
  <c r="AR75"/>
  <c r="AR71"/>
  <c r="AR67"/>
  <c r="AR63"/>
  <c r="AR59"/>
  <c r="AR55"/>
  <c r="AR51"/>
  <c r="AN74"/>
  <c r="AN70"/>
  <c r="AN66"/>
  <c r="AN62"/>
  <c r="AN58"/>
  <c r="AN54"/>
  <c r="AN50"/>
  <c r="AL75"/>
  <c r="AL71"/>
  <c r="AL67"/>
  <c r="AL63"/>
  <c r="AL59"/>
  <c r="AL55"/>
  <c r="AL51"/>
  <c r="AJ74"/>
  <c r="AJ70"/>
  <c r="AJ66"/>
  <c r="AJ62"/>
  <c r="AJ58"/>
  <c r="AJ54"/>
  <c r="AJ50"/>
  <c r="AH75"/>
  <c r="AH71"/>
  <c r="AH67"/>
  <c r="AH63"/>
  <c r="AH59"/>
  <c r="AH55"/>
  <c r="AH51"/>
  <c r="AF74"/>
  <c r="AF70"/>
  <c r="AF66"/>
  <c r="AF62"/>
  <c r="AF58"/>
  <c r="AF54"/>
  <c r="AF50"/>
  <c r="AU74"/>
  <c r="AU70"/>
  <c r="AU66"/>
  <c r="AU62"/>
  <c r="AU58"/>
  <c r="AU54"/>
  <c r="AU50"/>
  <c r="AK74"/>
  <c r="AK70"/>
  <c r="AK66"/>
  <c r="AK62"/>
  <c r="AK58"/>
  <c r="AK54"/>
  <c r="AK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M13" i="378"/>
  <c r="Y13" s="1"/>
  <c r="Y14" s="1"/>
  <c r="S13"/>
  <c r="AY75" i="380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S14" i="378"/>
  <c r="AY75" i="377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M13" i="375"/>
  <c r="Y13" s="1"/>
  <c r="S13"/>
  <c r="S14" s="1"/>
  <c r="Y14"/>
  <c r="BA75" i="374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M13" i="372"/>
  <c r="Y13" s="1"/>
  <c r="Y14" s="1"/>
  <c r="S13"/>
  <c r="S14" s="1"/>
  <c r="U13" i="369"/>
  <c r="J13"/>
  <c r="V13" s="1"/>
  <c r="U8"/>
  <c r="U15" s="1"/>
  <c r="J8"/>
  <c r="V8" s="1"/>
  <c r="V15" s="1"/>
  <c r="BA75" i="371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AX75" i="368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U10" i="366"/>
  <c r="J10"/>
  <c r="V10" s="1"/>
  <c r="AZ75" i="368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M9" i="363"/>
  <c r="Y9" s="1"/>
  <c r="S9"/>
  <c r="S12" s="1"/>
  <c r="AZ75" i="36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L89"/>
  <c r="M88"/>
  <c r="M89" s="1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BA75" i="362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M88"/>
  <c r="M89" s="1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AY46" i="817" l="1"/>
  <c r="F53" i="25"/>
  <c r="J35"/>
  <c r="AP74" i="817"/>
  <c r="AY74" s="1"/>
  <c r="BJ74" s="1"/>
  <c r="F52" i="25"/>
  <c r="I52" s="1"/>
  <c r="F55"/>
  <c r="I55" s="1"/>
  <c r="F60"/>
  <c r="I60" s="1"/>
  <c r="R73"/>
  <c r="U73" s="1"/>
  <c r="U72"/>
  <c r="F51"/>
  <c r="I51" s="1"/>
  <c r="F56"/>
  <c r="I56" s="1"/>
  <c r="R43"/>
  <c r="U43" s="1"/>
  <c r="J58"/>
  <c r="M58" s="1"/>
  <c r="V13" i="191"/>
  <c r="Q25" i="25"/>
  <c r="V14" i="393"/>
  <c r="V14" i="411"/>
  <c r="V17" i="480"/>
  <c r="I53" i="25"/>
  <c r="I54"/>
  <c r="S13" i="363"/>
  <c r="Y12"/>
  <c r="Y13" s="1"/>
  <c r="M52" i="25"/>
  <c r="M31"/>
  <c r="M46"/>
  <c r="Y12" i="408"/>
  <c r="X55" i="817" s="1"/>
  <c r="AE55" s="1"/>
  <c r="I50" i="25"/>
  <c r="S12" i="408"/>
  <c r="Y15" i="486"/>
  <c r="S15"/>
  <c r="Y11" i="405"/>
  <c r="X54" i="817" s="1"/>
  <c r="AE54" s="1"/>
  <c r="S11" i="405"/>
  <c r="F32" i="25" l="1"/>
  <c r="J53"/>
  <c r="M53" s="1"/>
  <c r="J54"/>
  <c r="M54" s="1"/>
  <c r="L61" i="369"/>
  <c r="L64" s="1"/>
  <c r="M48" i="25"/>
  <c r="M47"/>
  <c r="C91" i="79"/>
  <c r="B91"/>
  <c r="A91"/>
  <c r="AB14" i="78"/>
  <c r="AB15" s="1"/>
  <c r="Z14"/>
  <c r="Z15" s="1"/>
  <c r="Y14"/>
  <c r="Y15" s="1"/>
  <c r="X14"/>
  <c r="X15" s="1"/>
  <c r="W14"/>
  <c r="W15" s="1"/>
  <c r="V14"/>
  <c r="V15" s="1"/>
  <c r="U14"/>
  <c r="U15" s="1"/>
  <c r="T14"/>
  <c r="T15" s="1"/>
  <c r="AD14"/>
  <c r="AD15" s="1"/>
  <c r="AC14"/>
  <c r="X20" i="77"/>
  <c r="W20"/>
  <c r="U20"/>
  <c r="T20"/>
  <c r="S20"/>
  <c r="R20"/>
  <c r="Q20"/>
  <c r="Y20"/>
  <c r="V20"/>
  <c r="X19"/>
  <c r="W19"/>
  <c r="T19"/>
  <c r="Q19"/>
  <c r="X18"/>
  <c r="W18"/>
  <c r="T18"/>
  <c r="Q18"/>
  <c r="X17"/>
  <c r="W17"/>
  <c r="T17"/>
  <c r="Q17"/>
  <c r="X16"/>
  <c r="W16"/>
  <c r="T16"/>
  <c r="Q16"/>
  <c r="X15"/>
  <c r="W15"/>
  <c r="T15"/>
  <c r="Q15"/>
  <c r="X14"/>
  <c r="W14"/>
  <c r="T14"/>
  <c r="Q14"/>
  <c r="Q21" l="1"/>
  <c r="W21"/>
  <c r="AA14" i="78"/>
  <c r="AA15" s="1"/>
  <c r="T21" i="77"/>
  <c r="X21"/>
  <c r="AC15" i="78"/>
  <c r="V19" i="77"/>
  <c r="Y19" l="1"/>
  <c r="N90" i="196" l="1"/>
  <c r="K90"/>
  <c r="J90"/>
  <c r="I90"/>
  <c r="G90"/>
  <c r="F90"/>
  <c r="C90"/>
  <c r="B90"/>
  <c r="A90"/>
  <c r="N89"/>
  <c r="K89"/>
  <c r="J89"/>
  <c r="I89"/>
  <c r="H91"/>
  <c r="G89"/>
  <c r="F89"/>
  <c r="F91" s="1"/>
  <c r="C89"/>
  <c r="B89"/>
  <c r="A89"/>
  <c r="B36"/>
  <c r="B35"/>
  <c r="B22"/>
  <c r="BA10"/>
  <c r="BA45" s="1"/>
  <c r="AZ10"/>
  <c r="AZ15" s="1"/>
  <c r="AY10"/>
  <c r="AY45" s="1"/>
  <c r="AX10"/>
  <c r="AW10"/>
  <c r="AV10"/>
  <c r="AV16" s="1"/>
  <c r="AU10"/>
  <c r="AT10"/>
  <c r="AS10"/>
  <c r="AR10"/>
  <c r="AR15" s="1"/>
  <c r="AO10"/>
  <c r="AN10"/>
  <c r="AM10"/>
  <c r="AL10"/>
  <c r="AL16" s="1"/>
  <c r="AK10"/>
  <c r="AJ10"/>
  <c r="AI10"/>
  <c r="AH10"/>
  <c r="AH17" s="1"/>
  <c r="AG10"/>
  <c r="AF10"/>
  <c r="P90"/>
  <c r="O90"/>
  <c r="P89"/>
  <c r="P91" s="1"/>
  <c r="AX35" i="817" s="1"/>
  <c r="O89" i="196"/>
  <c r="O91" s="1"/>
  <c r="AW35" i="817" s="1"/>
  <c r="B386" i="195"/>
  <c r="B385"/>
  <c r="B384"/>
  <c r="AB17"/>
  <c r="Z17"/>
  <c r="Y17"/>
  <c r="X17"/>
  <c r="W17"/>
  <c r="V17"/>
  <c r="U17"/>
  <c r="T17"/>
  <c r="AD17"/>
  <c r="AC17"/>
  <c r="AB16"/>
  <c r="Z16"/>
  <c r="Y16"/>
  <c r="X16"/>
  <c r="W16"/>
  <c r="V16"/>
  <c r="U16"/>
  <c r="T16"/>
  <c r="AD16"/>
  <c r="AC16"/>
  <c r="AB15"/>
  <c r="Z15"/>
  <c r="Y15"/>
  <c r="X15"/>
  <c r="W15"/>
  <c r="V15"/>
  <c r="U15"/>
  <c r="T15"/>
  <c r="AD15"/>
  <c r="AC15"/>
  <c r="AB14"/>
  <c r="AB18" s="1"/>
  <c r="Z14"/>
  <c r="Z18" s="1"/>
  <c r="Y14"/>
  <c r="Y18" s="1"/>
  <c r="X14"/>
  <c r="X18" s="1"/>
  <c r="W14"/>
  <c r="W18" s="1"/>
  <c r="V14"/>
  <c r="V18" s="1"/>
  <c r="U14"/>
  <c r="U18" s="1"/>
  <c r="T14"/>
  <c r="T18" s="1"/>
  <c r="AD14"/>
  <c r="AD18" s="1"/>
  <c r="AC14"/>
  <c r="AB10"/>
  <c r="Z10"/>
  <c r="Y10"/>
  <c r="X10"/>
  <c r="W10"/>
  <c r="V10"/>
  <c r="U10"/>
  <c r="T10"/>
  <c r="AD10"/>
  <c r="AC10"/>
  <c r="AB9"/>
  <c r="AB11" s="1"/>
  <c r="AB19" s="1"/>
  <c r="AS35" i="817" s="1"/>
  <c r="Z9" i="195"/>
  <c r="Z11" s="1"/>
  <c r="Z19" s="1"/>
  <c r="Y9"/>
  <c r="Y11" s="1"/>
  <c r="Y19" s="1"/>
  <c r="X9"/>
  <c r="X11" s="1"/>
  <c r="X19" s="1"/>
  <c r="W9"/>
  <c r="W11" s="1"/>
  <c r="W19" s="1"/>
  <c r="V9"/>
  <c r="V11" s="1"/>
  <c r="V19" s="1"/>
  <c r="U9"/>
  <c r="U11" s="1"/>
  <c r="U19" s="1"/>
  <c r="T9"/>
  <c r="T11" s="1"/>
  <c r="T19" s="1"/>
  <c r="AD9"/>
  <c r="AD11" s="1"/>
  <c r="AD19" s="1"/>
  <c r="AU35" i="817" s="1"/>
  <c r="AC9" i="195"/>
  <c r="X20" i="194"/>
  <c r="W20"/>
  <c r="U20"/>
  <c r="T20"/>
  <c r="S20"/>
  <c r="R20"/>
  <c r="Q20"/>
  <c r="Y20"/>
  <c r="V20"/>
  <c r="X19"/>
  <c r="W19"/>
  <c r="U19"/>
  <c r="T19"/>
  <c r="S19"/>
  <c r="R19"/>
  <c r="Q19"/>
  <c r="M19"/>
  <c r="Y19" s="1"/>
  <c r="J19"/>
  <c r="V19" s="1"/>
  <c r="X18"/>
  <c r="W18"/>
  <c r="U18"/>
  <c r="T18"/>
  <c r="S18"/>
  <c r="R18"/>
  <c r="Q18"/>
  <c r="Y18"/>
  <c r="V18"/>
  <c r="X17"/>
  <c r="W17"/>
  <c r="T17"/>
  <c r="Q17"/>
  <c r="X16"/>
  <c r="W16"/>
  <c r="T16"/>
  <c r="Q16"/>
  <c r="X15"/>
  <c r="W15"/>
  <c r="T15"/>
  <c r="Q15"/>
  <c r="X14"/>
  <c r="W14"/>
  <c r="T14"/>
  <c r="Q14"/>
  <c r="X13"/>
  <c r="W13"/>
  <c r="U13"/>
  <c r="T13"/>
  <c r="S13"/>
  <c r="R13"/>
  <c r="Q13"/>
  <c r="Y13"/>
  <c r="V13"/>
  <c r="X9"/>
  <c r="W9"/>
  <c r="U9"/>
  <c r="T9"/>
  <c r="S9"/>
  <c r="R9"/>
  <c r="Q9"/>
  <c r="Y9"/>
  <c r="V9"/>
  <c r="X8"/>
  <c r="W8"/>
  <c r="T8"/>
  <c r="Q8"/>
  <c r="D8"/>
  <c r="N88" i="193"/>
  <c r="N89" s="1"/>
  <c r="AB36" i="817" s="1"/>
  <c r="K88" i="193"/>
  <c r="K89" s="1"/>
  <c r="J88"/>
  <c r="J89" s="1"/>
  <c r="I88"/>
  <c r="I89" s="1"/>
  <c r="H89"/>
  <c r="G88"/>
  <c r="G89" s="1"/>
  <c r="F88"/>
  <c r="F89" s="1"/>
  <c r="B88"/>
  <c r="B35"/>
  <c r="B34"/>
  <c r="B21"/>
  <c r="BA9"/>
  <c r="AZ9"/>
  <c r="AZ41" s="1"/>
  <c r="AY9"/>
  <c r="AX9"/>
  <c r="AX40" s="1"/>
  <c r="AW9"/>
  <c r="AV9"/>
  <c r="AV41" s="1"/>
  <c r="AU9"/>
  <c r="AT9"/>
  <c r="AT40" s="1"/>
  <c r="AS9"/>
  <c r="AR9"/>
  <c r="AR42" s="1"/>
  <c r="AO9"/>
  <c r="AN9"/>
  <c r="AN40" s="1"/>
  <c r="AM9"/>
  <c r="AL9"/>
  <c r="AL42" s="1"/>
  <c r="AK9"/>
  <c r="AJ9"/>
  <c r="AJ41" s="1"/>
  <c r="AI9"/>
  <c r="AH9"/>
  <c r="AH42" s="1"/>
  <c r="AG9"/>
  <c r="AF9"/>
  <c r="AF41" s="1"/>
  <c r="P88"/>
  <c r="P89" s="1"/>
  <c r="AD36" i="817" s="1"/>
  <c r="O88" i="193"/>
  <c r="O89" s="1"/>
  <c r="AC36" i="817" s="1"/>
  <c r="B376" i="192"/>
  <c r="B375"/>
  <c r="B374"/>
  <c r="N88" i="190"/>
  <c r="N89" s="1"/>
  <c r="AB27" i="817" s="1"/>
  <c r="K88" i="190"/>
  <c r="K89" s="1"/>
  <c r="J88"/>
  <c r="J89" s="1"/>
  <c r="I88"/>
  <c r="I89" s="1"/>
  <c r="H89"/>
  <c r="G88"/>
  <c r="G89" s="1"/>
  <c r="F88"/>
  <c r="F89" s="1"/>
  <c r="C88"/>
  <c r="B88"/>
  <c r="A88"/>
  <c r="B35"/>
  <c r="B34"/>
  <c r="B21"/>
  <c r="BA9"/>
  <c r="BA44" s="1"/>
  <c r="AZ9"/>
  <c r="AZ44" s="1"/>
  <c r="AY9"/>
  <c r="AY44" s="1"/>
  <c r="AX9"/>
  <c r="AX44" s="1"/>
  <c r="AW9"/>
  <c r="AW44" s="1"/>
  <c r="AV9"/>
  <c r="AV44" s="1"/>
  <c r="AU9"/>
  <c r="AU44" s="1"/>
  <c r="AT9"/>
  <c r="AT44" s="1"/>
  <c r="AS9"/>
  <c r="AS44" s="1"/>
  <c r="AR9"/>
  <c r="AR44" s="1"/>
  <c r="AO9"/>
  <c r="AO44" s="1"/>
  <c r="AN9"/>
  <c r="AN44" s="1"/>
  <c r="AM9"/>
  <c r="AM44" s="1"/>
  <c r="AL9"/>
  <c r="AL44" s="1"/>
  <c r="AK9"/>
  <c r="AK44" s="1"/>
  <c r="AJ9"/>
  <c r="AJ44" s="1"/>
  <c r="AI9"/>
  <c r="AI44" s="1"/>
  <c r="AH9"/>
  <c r="AH20" s="1"/>
  <c r="AG9"/>
  <c r="AG44" s="1"/>
  <c r="AF9"/>
  <c r="AF20" s="1"/>
  <c r="P88"/>
  <c r="P89" s="1"/>
  <c r="AD27" i="817" s="1"/>
  <c r="O88" i="190"/>
  <c r="O89" s="1"/>
  <c r="AC27" i="817" s="1"/>
  <c r="B378" i="189"/>
  <c r="B377"/>
  <c r="B376"/>
  <c r="Z11" s="1"/>
  <c r="AB11"/>
  <c r="Y11"/>
  <c r="X11"/>
  <c r="W11"/>
  <c r="V11"/>
  <c r="U11"/>
  <c r="T11"/>
  <c r="AD11"/>
  <c r="AC11"/>
  <c r="AB10"/>
  <c r="Z10"/>
  <c r="Y10"/>
  <c r="X10"/>
  <c r="W10"/>
  <c r="V10"/>
  <c r="U10"/>
  <c r="T10"/>
  <c r="AD10"/>
  <c r="AC10"/>
  <c r="AB9"/>
  <c r="Z9"/>
  <c r="Y9"/>
  <c r="Y12" s="1"/>
  <c r="Y13" s="1"/>
  <c r="X9"/>
  <c r="W9"/>
  <c r="W12" s="1"/>
  <c r="W13" s="1"/>
  <c r="V9"/>
  <c r="U9"/>
  <c r="U12" s="1"/>
  <c r="U13" s="1"/>
  <c r="T9"/>
  <c r="AD9"/>
  <c r="AC9"/>
  <c r="X10" i="188"/>
  <c r="W10"/>
  <c r="U10"/>
  <c r="T10"/>
  <c r="S10"/>
  <c r="R10"/>
  <c r="Q10"/>
  <c r="Y10"/>
  <c r="V10"/>
  <c r="X9"/>
  <c r="W9"/>
  <c r="T9"/>
  <c r="Q9"/>
  <c r="X8"/>
  <c r="W8"/>
  <c r="T8"/>
  <c r="Q8"/>
  <c r="N88" i="187"/>
  <c r="R39" i="817" s="1"/>
  <c r="K88" i="187"/>
  <c r="J88"/>
  <c r="I88"/>
  <c r="G88"/>
  <c r="F88"/>
  <c r="C88"/>
  <c r="B88"/>
  <c r="A88"/>
  <c r="B35"/>
  <c r="B34"/>
  <c r="B21"/>
  <c r="BA9"/>
  <c r="AZ9"/>
  <c r="AY9"/>
  <c r="AX9"/>
  <c r="AX16" s="1"/>
  <c r="AW9"/>
  <c r="AV9"/>
  <c r="AU9"/>
  <c r="AT9"/>
  <c r="AT17" s="1"/>
  <c r="AS9"/>
  <c r="AR9"/>
  <c r="AO9"/>
  <c r="AN9"/>
  <c r="AN16" s="1"/>
  <c r="AM9"/>
  <c r="AL9"/>
  <c r="AK9"/>
  <c r="AJ9"/>
  <c r="AJ17" s="1"/>
  <c r="AI9"/>
  <c r="AH9"/>
  <c r="AG9"/>
  <c r="AF9"/>
  <c r="AF16" s="1"/>
  <c r="P88"/>
  <c r="O88"/>
  <c r="B350" i="186"/>
  <c r="B349"/>
  <c r="B348"/>
  <c r="Z11" s="1"/>
  <c r="AA11" s="1"/>
  <c r="AB12"/>
  <c r="Z12"/>
  <c r="Y12"/>
  <c r="X12"/>
  <c r="W12"/>
  <c r="V12"/>
  <c r="U12"/>
  <c r="T12"/>
  <c r="AD12"/>
  <c r="AC12"/>
  <c r="AB13"/>
  <c r="O39" i="817" s="1"/>
  <c r="U39" s="1"/>
  <c r="Z13" i="186"/>
  <c r="Y13"/>
  <c r="X13"/>
  <c r="W13"/>
  <c r="V13"/>
  <c r="U13"/>
  <c r="T13"/>
  <c r="AD13"/>
  <c r="C92" i="79"/>
  <c r="B92"/>
  <c r="A92"/>
  <c r="N93"/>
  <c r="H5" i="817" s="1"/>
  <c r="K93" i="79"/>
  <c r="J93"/>
  <c r="I93"/>
  <c r="H93"/>
  <c r="G93"/>
  <c r="F93"/>
  <c r="C90"/>
  <c r="B90"/>
  <c r="A90"/>
  <c r="B37"/>
  <c r="B36"/>
  <c r="B23"/>
  <c r="BA11"/>
  <c r="AZ11"/>
  <c r="AZ43" s="1"/>
  <c r="AY11"/>
  <c r="AX11"/>
  <c r="AX42" s="1"/>
  <c r="AW11"/>
  <c r="AV11"/>
  <c r="AV43" s="1"/>
  <c r="AU11"/>
  <c r="AT11"/>
  <c r="AT42" s="1"/>
  <c r="AS11"/>
  <c r="AR11"/>
  <c r="AR43" s="1"/>
  <c r="AO11"/>
  <c r="AN11"/>
  <c r="AN43" s="1"/>
  <c r="AM11"/>
  <c r="AL11"/>
  <c r="AL43" s="1"/>
  <c r="AK11"/>
  <c r="AJ11"/>
  <c r="AJ43" s="1"/>
  <c r="AI11"/>
  <c r="AH11"/>
  <c r="AH44" s="1"/>
  <c r="AG11"/>
  <c r="AF11"/>
  <c r="AF43" s="1"/>
  <c r="P93"/>
  <c r="J5" i="817" s="1"/>
  <c r="O93" i="79"/>
  <c r="I5" i="817" s="1"/>
  <c r="B385" i="78"/>
  <c r="B384"/>
  <c r="B383"/>
  <c r="AB18"/>
  <c r="AB19" s="1"/>
  <c r="Y18"/>
  <c r="Y19" s="1"/>
  <c r="X18"/>
  <c r="X19" s="1"/>
  <c r="W18"/>
  <c r="W19" s="1"/>
  <c r="V18"/>
  <c r="V19" s="1"/>
  <c r="U18"/>
  <c r="U19" s="1"/>
  <c r="T18"/>
  <c r="T19" s="1"/>
  <c r="AD18"/>
  <c r="AD19" s="1"/>
  <c r="AC18"/>
  <c r="AC19" s="1"/>
  <c r="AB10"/>
  <c r="Y10"/>
  <c r="X10"/>
  <c r="W10"/>
  <c r="V10"/>
  <c r="U10"/>
  <c r="T10"/>
  <c r="AD10"/>
  <c r="AC10"/>
  <c r="AB9"/>
  <c r="Y9"/>
  <c r="X9"/>
  <c r="W9"/>
  <c r="V9"/>
  <c r="U9"/>
  <c r="T9"/>
  <c r="AD9"/>
  <c r="AC9"/>
  <c r="X28" i="77"/>
  <c r="W28"/>
  <c r="U28"/>
  <c r="T28"/>
  <c r="S28"/>
  <c r="R28"/>
  <c r="Q28"/>
  <c r="Y28"/>
  <c r="V28"/>
  <c r="X27"/>
  <c r="W27"/>
  <c r="T27"/>
  <c r="Q27"/>
  <c r="X26"/>
  <c r="W26"/>
  <c r="T26"/>
  <c r="Q26"/>
  <c r="X25"/>
  <c r="W25"/>
  <c r="T25"/>
  <c r="Q25"/>
  <c r="X24"/>
  <c r="W24"/>
  <c r="T24"/>
  <c r="Q24"/>
  <c r="X9"/>
  <c r="W9"/>
  <c r="U9"/>
  <c r="T9"/>
  <c r="S9"/>
  <c r="R9"/>
  <c r="Q9"/>
  <c r="Y9"/>
  <c r="V9"/>
  <c r="X8"/>
  <c r="W8"/>
  <c r="T8"/>
  <c r="T11" s="1"/>
  <c r="Q8"/>
  <c r="Q11" s="1"/>
  <c r="D8"/>
  <c r="D12" i="25"/>
  <c r="B37" i="76"/>
  <c r="B36"/>
  <c r="B23"/>
  <c r="BA8"/>
  <c r="AZ8"/>
  <c r="AZ39" s="1"/>
  <c r="AY8"/>
  <c r="AX8"/>
  <c r="AX39" s="1"/>
  <c r="AW8"/>
  <c r="AV8"/>
  <c r="AV39" s="1"/>
  <c r="AU8"/>
  <c r="AT8"/>
  <c r="AT39" s="1"/>
  <c r="AS8"/>
  <c r="AR8"/>
  <c r="AR40" s="1"/>
  <c r="AO8"/>
  <c r="AN8"/>
  <c r="AN40" s="1"/>
  <c r="AM8"/>
  <c r="AL8"/>
  <c r="AL40" s="1"/>
  <c r="AK8"/>
  <c r="AJ8"/>
  <c r="AJ40" s="1"/>
  <c r="AI8"/>
  <c r="AH8"/>
  <c r="AH40" s="1"/>
  <c r="AG8"/>
  <c r="AF8"/>
  <c r="AF40" s="1"/>
  <c r="B386" i="75"/>
  <c r="B385"/>
  <c r="B384"/>
  <c r="AE36" i="817" l="1"/>
  <c r="D4" i="25"/>
  <c r="L26"/>
  <c r="H38"/>
  <c r="H39" s="1"/>
  <c r="H40" s="1"/>
  <c r="H41" s="1"/>
  <c r="H42" s="1"/>
  <c r="H43" s="1"/>
  <c r="H44" s="1"/>
  <c r="H45" s="1"/>
  <c r="H46" s="1"/>
  <c r="H47" s="1"/>
  <c r="H48" s="1"/>
  <c r="H49" s="1"/>
  <c r="R40" i="817"/>
  <c r="R41" s="1"/>
  <c r="R42" s="1"/>
  <c r="R43" s="1"/>
  <c r="R44" s="1"/>
  <c r="R45" s="1"/>
  <c r="R46" s="1"/>
  <c r="R47" s="1"/>
  <c r="R48" s="1"/>
  <c r="R49" s="1"/>
  <c r="R50" s="1"/>
  <c r="L35" i="25"/>
  <c r="M35" s="1"/>
  <c r="G38"/>
  <c r="G39" s="1"/>
  <c r="G40" s="1"/>
  <c r="G41" s="1"/>
  <c r="G42" s="1"/>
  <c r="G43" s="1"/>
  <c r="G44" s="1"/>
  <c r="G45" s="1"/>
  <c r="G46" s="1"/>
  <c r="G47" s="1"/>
  <c r="G48" s="1"/>
  <c r="G49" s="1"/>
  <c r="O40" i="817"/>
  <c r="O41" s="1"/>
  <c r="O42" s="1"/>
  <c r="O43" s="1"/>
  <c r="O44" s="1"/>
  <c r="O45" s="1"/>
  <c r="O46" s="1"/>
  <c r="O47" s="1"/>
  <c r="O48" s="1"/>
  <c r="O49" s="1"/>
  <c r="O50" s="1"/>
  <c r="K26" i="25"/>
  <c r="S34"/>
  <c r="L92" i="76"/>
  <c r="M92" s="1"/>
  <c r="L90"/>
  <c r="L91"/>
  <c r="M91" s="1"/>
  <c r="J91" i="196"/>
  <c r="N91"/>
  <c r="AV35" i="817" s="1"/>
  <c r="L92" i="79"/>
  <c r="M92" s="1"/>
  <c r="L91"/>
  <c r="M91" s="1"/>
  <c r="L90"/>
  <c r="M90" s="1"/>
  <c r="X11" i="77"/>
  <c r="C12" i="25"/>
  <c r="W11" i="77"/>
  <c r="AB11" i="78"/>
  <c r="AB21" s="1"/>
  <c r="E5" i="817" s="1"/>
  <c r="Q29" i="77"/>
  <c r="Q31" s="1"/>
  <c r="W29"/>
  <c r="Z9" i="78"/>
  <c r="AA9" s="1"/>
  <c r="Z10"/>
  <c r="AA10" s="1"/>
  <c r="Z18"/>
  <c r="Z19" s="1"/>
  <c r="AD11"/>
  <c r="AD21" s="1"/>
  <c r="G5" i="817" s="1"/>
  <c r="U11" i="78"/>
  <c r="U21" s="1"/>
  <c r="W11"/>
  <c r="W21" s="1"/>
  <c r="Y11"/>
  <c r="Y21" s="1"/>
  <c r="AC11"/>
  <c r="AC21" s="1"/>
  <c r="F5" i="817" s="1"/>
  <c r="T11" i="78"/>
  <c r="T21" s="1"/>
  <c r="V11"/>
  <c r="V21" s="1"/>
  <c r="X11"/>
  <c r="X21" s="1"/>
  <c r="M29" i="25"/>
  <c r="G91" i="196"/>
  <c r="I91"/>
  <c r="K91"/>
  <c r="Z10" i="186"/>
  <c r="AA10" s="1"/>
  <c r="Z9"/>
  <c r="AA9" s="1"/>
  <c r="AL15" i="196"/>
  <c r="AH16"/>
  <c r="AZ16"/>
  <c r="AV15"/>
  <c r="AR16"/>
  <c r="AL17"/>
  <c r="AH15"/>
  <c r="AC11" i="195"/>
  <c r="AC18"/>
  <c r="AF21" i="196"/>
  <c r="AF20"/>
  <c r="AF19"/>
  <c r="AF18"/>
  <c r="AF45"/>
  <c r="AF44"/>
  <c r="AF43"/>
  <c r="AF42"/>
  <c r="AF41"/>
  <c r="AF40"/>
  <c r="AF39"/>
  <c r="AF38"/>
  <c r="AF37"/>
  <c r="AF34"/>
  <c r="AF33"/>
  <c r="AF32"/>
  <c r="AF31"/>
  <c r="AF30"/>
  <c r="AF29"/>
  <c r="AF28"/>
  <c r="AF27"/>
  <c r="AF26"/>
  <c r="AF23"/>
  <c r="AF22"/>
  <c r="AH21"/>
  <c r="AH20"/>
  <c r="AH19"/>
  <c r="AH18"/>
  <c r="AH50" s="1"/>
  <c r="AH45"/>
  <c r="AH44"/>
  <c r="AH43"/>
  <c r="AH42"/>
  <c r="AH41"/>
  <c r="AH40"/>
  <c r="AH39"/>
  <c r="AH38"/>
  <c r="AH37"/>
  <c r="AH34"/>
  <c r="AH33"/>
  <c r="AH32"/>
  <c r="AH31"/>
  <c r="AH30"/>
  <c r="AH29"/>
  <c r="AH28"/>
  <c r="AH27"/>
  <c r="AH26"/>
  <c r="AH23"/>
  <c r="AH22"/>
  <c r="AJ21"/>
  <c r="AJ20"/>
  <c r="AJ19"/>
  <c r="AJ18"/>
  <c r="AJ45"/>
  <c r="AJ44"/>
  <c r="AJ43"/>
  <c r="AJ42"/>
  <c r="AJ41"/>
  <c r="AJ40"/>
  <c r="AJ39"/>
  <c r="AJ38"/>
  <c r="AJ37"/>
  <c r="AJ34"/>
  <c r="AJ33"/>
  <c r="AJ32"/>
  <c r="AJ31"/>
  <c r="AJ30"/>
  <c r="AJ29"/>
  <c r="AJ28"/>
  <c r="AJ27"/>
  <c r="AJ26"/>
  <c r="AJ23"/>
  <c r="AJ22"/>
  <c r="AL21"/>
  <c r="AL20"/>
  <c r="AL19"/>
  <c r="AL18"/>
  <c r="AL45"/>
  <c r="AL44"/>
  <c r="AL43"/>
  <c r="AL42"/>
  <c r="AL41"/>
  <c r="AL40"/>
  <c r="AL39"/>
  <c r="AL38"/>
  <c r="AL37"/>
  <c r="AL34"/>
  <c r="AL33"/>
  <c r="AL32"/>
  <c r="AL31"/>
  <c r="AL30"/>
  <c r="AL29"/>
  <c r="AL28"/>
  <c r="AL27"/>
  <c r="AL26"/>
  <c r="AL23"/>
  <c r="AL22"/>
  <c r="AN21"/>
  <c r="AN20"/>
  <c r="AN19"/>
  <c r="AN18"/>
  <c r="AN17"/>
  <c r="AN45"/>
  <c r="AN44"/>
  <c r="AN43"/>
  <c r="AN42"/>
  <c r="AN41"/>
  <c r="AN40"/>
  <c r="AN39"/>
  <c r="AN38"/>
  <c r="AN37"/>
  <c r="AN34"/>
  <c r="AN33"/>
  <c r="AN32"/>
  <c r="AN31"/>
  <c r="AN30"/>
  <c r="AN29"/>
  <c r="AN28"/>
  <c r="AN27"/>
  <c r="AN26"/>
  <c r="AN23"/>
  <c r="AN22"/>
  <c r="AR21"/>
  <c r="AR66" s="1"/>
  <c r="AR20"/>
  <c r="AR19"/>
  <c r="AR18"/>
  <c r="AR17"/>
  <c r="AR54" s="1"/>
  <c r="AR45"/>
  <c r="AR44"/>
  <c r="AR43"/>
  <c r="AR42"/>
  <c r="AR41"/>
  <c r="AR40"/>
  <c r="AR39"/>
  <c r="AR38"/>
  <c r="AR37"/>
  <c r="AR34"/>
  <c r="AR33"/>
  <c r="AR32"/>
  <c r="AR31"/>
  <c r="AR30"/>
  <c r="AR29"/>
  <c r="AR28"/>
  <c r="AR27"/>
  <c r="AR26"/>
  <c r="AR23"/>
  <c r="AR22"/>
  <c r="AT21"/>
  <c r="AT20"/>
  <c r="AT19"/>
  <c r="AT18"/>
  <c r="AT17"/>
  <c r="AT45"/>
  <c r="AT44"/>
  <c r="AT43"/>
  <c r="AT42"/>
  <c r="AT41"/>
  <c r="AT40"/>
  <c r="AT39"/>
  <c r="AT38"/>
  <c r="AT37"/>
  <c r="AT34"/>
  <c r="AT33"/>
  <c r="AT32"/>
  <c r="AT31"/>
  <c r="AT30"/>
  <c r="AT29"/>
  <c r="AT28"/>
  <c r="AT27"/>
  <c r="AT26"/>
  <c r="AT23"/>
  <c r="AT22"/>
  <c r="AV21"/>
  <c r="AV20"/>
  <c r="AV19"/>
  <c r="AV18"/>
  <c r="AV17"/>
  <c r="AV45"/>
  <c r="AV44"/>
  <c r="AV43"/>
  <c r="AV42"/>
  <c r="AV41"/>
  <c r="AV40"/>
  <c r="AV39"/>
  <c r="AV38"/>
  <c r="AV37"/>
  <c r="AV34"/>
  <c r="AV33"/>
  <c r="AV32"/>
  <c r="AV31"/>
  <c r="AV30"/>
  <c r="AV29"/>
  <c r="AV28"/>
  <c r="AV27"/>
  <c r="AV26"/>
  <c r="AV23"/>
  <c r="AV22"/>
  <c r="AX21"/>
  <c r="AX20"/>
  <c r="AX19"/>
  <c r="AX18"/>
  <c r="AX17"/>
  <c r="AX45"/>
  <c r="AX44"/>
  <c r="AX43"/>
  <c r="AX42"/>
  <c r="AX41"/>
  <c r="AX40"/>
  <c r="AX39"/>
  <c r="AX38"/>
  <c r="AX37"/>
  <c r="AX34"/>
  <c r="AX33"/>
  <c r="AX32"/>
  <c r="AX31"/>
  <c r="AX30"/>
  <c r="AX29"/>
  <c r="AX28"/>
  <c r="AX27"/>
  <c r="AX26"/>
  <c r="AX23"/>
  <c r="AX22"/>
  <c r="AZ21"/>
  <c r="AZ66" s="1"/>
  <c r="AZ20"/>
  <c r="AZ19"/>
  <c r="AZ18"/>
  <c r="AZ17"/>
  <c r="AZ54" s="1"/>
  <c r="AZ45"/>
  <c r="AZ44"/>
  <c r="AZ43"/>
  <c r="AZ42"/>
  <c r="AZ41"/>
  <c r="AZ40"/>
  <c r="AZ39"/>
  <c r="AZ38"/>
  <c r="AZ37"/>
  <c r="AZ34"/>
  <c r="AZ33"/>
  <c r="AZ32"/>
  <c r="AZ31"/>
  <c r="AZ30"/>
  <c r="AZ29"/>
  <c r="AZ28"/>
  <c r="AZ27"/>
  <c r="AZ26"/>
  <c r="AZ23"/>
  <c r="AZ22"/>
  <c r="T10" i="194"/>
  <c r="X10"/>
  <c r="Q21"/>
  <c r="W21"/>
  <c r="AA9" i="195"/>
  <c r="AA10"/>
  <c r="AA14"/>
  <c r="AA15"/>
  <c r="AA16"/>
  <c r="AA17"/>
  <c r="AF15" i="196"/>
  <c r="AJ15"/>
  <c r="AN15"/>
  <c r="AT15"/>
  <c r="AX15"/>
  <c r="AF16"/>
  <c r="AJ16"/>
  <c r="AN16"/>
  <c r="AT16"/>
  <c r="AX16"/>
  <c r="AF17"/>
  <c r="AJ17"/>
  <c r="AG45"/>
  <c r="AG44"/>
  <c r="AG43"/>
  <c r="AG42"/>
  <c r="AG41"/>
  <c r="AG40"/>
  <c r="AG39"/>
  <c r="AG38"/>
  <c r="AG37"/>
  <c r="AG34"/>
  <c r="AG33"/>
  <c r="AG32"/>
  <c r="AG31"/>
  <c r="AG30"/>
  <c r="AG29"/>
  <c r="AG28"/>
  <c r="AG27"/>
  <c r="AG26"/>
  <c r="AG23"/>
  <c r="AG22"/>
  <c r="AG21"/>
  <c r="AG20"/>
  <c r="AG19"/>
  <c r="AG18"/>
  <c r="AG17"/>
  <c r="AG16"/>
  <c r="AG15"/>
  <c r="AI45"/>
  <c r="AI44"/>
  <c r="AI43"/>
  <c r="AI42"/>
  <c r="AI41"/>
  <c r="AI40"/>
  <c r="AI39"/>
  <c r="AI38"/>
  <c r="AI37"/>
  <c r="AI34"/>
  <c r="AI33"/>
  <c r="AI32"/>
  <c r="AI31"/>
  <c r="AI30"/>
  <c r="AI29"/>
  <c r="AI28"/>
  <c r="AI27"/>
  <c r="AI26"/>
  <c r="AI23"/>
  <c r="AI22"/>
  <c r="AI21"/>
  <c r="AI20"/>
  <c r="AI19"/>
  <c r="AI18"/>
  <c r="AI17"/>
  <c r="AI16"/>
  <c r="AI15"/>
  <c r="AK45"/>
  <c r="AK44"/>
  <c r="AK43"/>
  <c r="AK42"/>
  <c r="AK41"/>
  <c r="AK40"/>
  <c r="AK39"/>
  <c r="AK38"/>
  <c r="AK37"/>
  <c r="AK34"/>
  <c r="AK33"/>
  <c r="AK32"/>
  <c r="AK31"/>
  <c r="AK30"/>
  <c r="AK29"/>
  <c r="AK28"/>
  <c r="AK27"/>
  <c r="AK26"/>
  <c r="AK23"/>
  <c r="AK22"/>
  <c r="AK21"/>
  <c r="AK20"/>
  <c r="AK19"/>
  <c r="AK18"/>
  <c r="AK17"/>
  <c r="AK16"/>
  <c r="AK15"/>
  <c r="AM45"/>
  <c r="AM44"/>
  <c r="AM43"/>
  <c r="AM42"/>
  <c r="AM41"/>
  <c r="AM40"/>
  <c r="AM39"/>
  <c r="AM38"/>
  <c r="AM37"/>
  <c r="AM34"/>
  <c r="AM33"/>
  <c r="AM32"/>
  <c r="AM31"/>
  <c r="AM30"/>
  <c r="AM29"/>
  <c r="AM28"/>
  <c r="AM27"/>
  <c r="AM26"/>
  <c r="AM23"/>
  <c r="AM22"/>
  <c r="AM21"/>
  <c r="AM20"/>
  <c r="AM19"/>
  <c r="AM18"/>
  <c r="AM17"/>
  <c r="AM16"/>
  <c r="AM15"/>
  <c r="AO45"/>
  <c r="AO44"/>
  <c r="AO43"/>
  <c r="AO42"/>
  <c r="AO41"/>
  <c r="AO40"/>
  <c r="AO39"/>
  <c r="AO38"/>
  <c r="AO37"/>
  <c r="AO34"/>
  <c r="AO33"/>
  <c r="AO32"/>
  <c r="AO31"/>
  <c r="AO30"/>
  <c r="AO29"/>
  <c r="AO28"/>
  <c r="AO27"/>
  <c r="AO26"/>
  <c r="AO23"/>
  <c r="AO22"/>
  <c r="AO21"/>
  <c r="AO20"/>
  <c r="AO19"/>
  <c r="AO18"/>
  <c r="AO17"/>
  <c r="AO16"/>
  <c r="AO15"/>
  <c r="AS45"/>
  <c r="AS44"/>
  <c r="AS43"/>
  <c r="AS42"/>
  <c r="AS41"/>
  <c r="AS40"/>
  <c r="AS39"/>
  <c r="AS38"/>
  <c r="AS37"/>
  <c r="AS34"/>
  <c r="AS33"/>
  <c r="AS32"/>
  <c r="AS31"/>
  <c r="AS30"/>
  <c r="AS29"/>
  <c r="AS28"/>
  <c r="AS27"/>
  <c r="AS26"/>
  <c r="AS23"/>
  <c r="AS22"/>
  <c r="AS21"/>
  <c r="AS20"/>
  <c r="AS19"/>
  <c r="AS18"/>
  <c r="AS17"/>
  <c r="AS16"/>
  <c r="AS15"/>
  <c r="AU45"/>
  <c r="AU44"/>
  <c r="AU43"/>
  <c r="AU42"/>
  <c r="AU41"/>
  <c r="AU40"/>
  <c r="AU39"/>
  <c r="AU38"/>
  <c r="AU37"/>
  <c r="AU34"/>
  <c r="AU33"/>
  <c r="AU32"/>
  <c r="AU31"/>
  <c r="AU30"/>
  <c r="AU29"/>
  <c r="AU28"/>
  <c r="AU27"/>
  <c r="AU26"/>
  <c r="AU23"/>
  <c r="AU22"/>
  <c r="AU21"/>
  <c r="AU20"/>
  <c r="AU19"/>
  <c r="AU18"/>
  <c r="AU17"/>
  <c r="AU16"/>
  <c r="AU15"/>
  <c r="AW45"/>
  <c r="AW44"/>
  <c r="AW43"/>
  <c r="AW42"/>
  <c r="AW41"/>
  <c r="AW40"/>
  <c r="AW39"/>
  <c r="AW38"/>
  <c r="AW37"/>
  <c r="AW34"/>
  <c r="AW33"/>
  <c r="AW32"/>
  <c r="AW31"/>
  <c r="AW30"/>
  <c r="AW29"/>
  <c r="AW28"/>
  <c r="AW27"/>
  <c r="AW26"/>
  <c r="AW23"/>
  <c r="AW22"/>
  <c r="AW21"/>
  <c r="AW20"/>
  <c r="AW19"/>
  <c r="AW18"/>
  <c r="AW17"/>
  <c r="AW16"/>
  <c r="AW15"/>
  <c r="Q10" i="194"/>
  <c r="W10"/>
  <c r="T21"/>
  <c r="X21"/>
  <c r="AY15" i="196"/>
  <c r="BA15"/>
  <c r="AY16"/>
  <c r="BA16"/>
  <c r="AY17"/>
  <c r="BA17"/>
  <c r="AY18"/>
  <c r="BA18"/>
  <c r="AY19"/>
  <c r="BA19"/>
  <c r="AY20"/>
  <c r="BA20"/>
  <c r="AY21"/>
  <c r="BA21"/>
  <c r="L89"/>
  <c r="L90"/>
  <c r="AY22"/>
  <c r="BA22"/>
  <c r="AY23"/>
  <c r="BA23"/>
  <c r="AY26"/>
  <c r="BA26"/>
  <c r="AY27"/>
  <c r="BA27"/>
  <c r="AY28"/>
  <c r="BA28"/>
  <c r="AY29"/>
  <c r="BA29"/>
  <c r="AY30"/>
  <c r="BA30"/>
  <c r="AY31"/>
  <c r="BA31"/>
  <c r="AY32"/>
  <c r="BA32"/>
  <c r="AY33"/>
  <c r="BA33"/>
  <c r="AY34"/>
  <c r="BA34"/>
  <c r="AY37"/>
  <c r="BA37"/>
  <c r="AY38"/>
  <c r="BA38"/>
  <c r="AY39"/>
  <c r="BA39"/>
  <c r="AY40"/>
  <c r="BA40"/>
  <c r="AY41"/>
  <c r="BA41"/>
  <c r="AY42"/>
  <c r="BA42"/>
  <c r="AY43"/>
  <c r="BA43"/>
  <c r="AY44"/>
  <c r="BA44"/>
  <c r="AG44" i="193"/>
  <c r="AG43"/>
  <c r="AG42"/>
  <c r="AI44"/>
  <c r="AI43"/>
  <c r="AI42"/>
  <c r="AK44"/>
  <c r="AK43"/>
  <c r="AK42"/>
  <c r="AM44"/>
  <c r="AM43"/>
  <c r="AM42"/>
  <c r="AM41"/>
  <c r="AO44"/>
  <c r="AO43"/>
  <c r="AO42"/>
  <c r="AO41"/>
  <c r="AS44"/>
  <c r="AS43"/>
  <c r="AS42"/>
  <c r="AS41"/>
  <c r="AU44"/>
  <c r="AU43"/>
  <c r="AU42"/>
  <c r="AU41"/>
  <c r="AW44"/>
  <c r="AW43"/>
  <c r="AW42"/>
  <c r="AW41"/>
  <c r="AY44"/>
  <c r="AY43"/>
  <c r="AY42"/>
  <c r="AY41"/>
  <c r="BA44"/>
  <c r="BA43"/>
  <c r="BA42"/>
  <c r="BA41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R40"/>
  <c r="AV40"/>
  <c r="AZ40"/>
  <c r="AH41"/>
  <c r="AL41"/>
  <c r="AR41"/>
  <c r="AF44"/>
  <c r="AF43"/>
  <c r="AH44"/>
  <c r="AH43"/>
  <c r="AJ44"/>
  <c r="AJ43"/>
  <c r="AL44"/>
  <c r="AL43"/>
  <c r="AN44"/>
  <c r="AN43"/>
  <c r="AR44"/>
  <c r="AR43"/>
  <c r="AT44"/>
  <c r="AT43"/>
  <c r="AT42"/>
  <c r="AV44"/>
  <c r="AV43"/>
  <c r="AV42"/>
  <c r="AX44"/>
  <c r="AX43"/>
  <c r="AX42"/>
  <c r="AZ44"/>
  <c r="AZ43"/>
  <c r="AZ42"/>
  <c r="L88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N41"/>
  <c r="AT41"/>
  <c r="AX41"/>
  <c r="AF42"/>
  <c r="AJ42"/>
  <c r="AN42"/>
  <c r="AC12" i="189"/>
  <c r="AC13" s="1"/>
  <c r="Z27" i="817" s="1"/>
  <c r="T12" i="188"/>
  <c r="T13" s="1"/>
  <c r="X12"/>
  <c r="X13" s="1"/>
  <c r="W27" i="817" s="1"/>
  <c r="Q12" i="188"/>
  <c r="Q13" s="1"/>
  <c r="W12"/>
  <c r="W13" s="1"/>
  <c r="V27" i="817" s="1"/>
  <c r="T12" i="189"/>
  <c r="T13" s="1"/>
  <c r="V12"/>
  <c r="V13" s="1"/>
  <c r="X12"/>
  <c r="X13" s="1"/>
  <c r="Z12"/>
  <c r="Z13" s="1"/>
  <c r="AB12"/>
  <c r="AB13" s="1"/>
  <c r="Y27" i="817" s="1"/>
  <c r="AD12" i="189"/>
  <c r="AD13" s="1"/>
  <c r="AA27" i="817" s="1"/>
  <c r="AG14" i="190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T42"/>
  <c r="AV42"/>
  <c r="AX42"/>
  <c r="AZ42"/>
  <c r="AF43"/>
  <c r="AH43"/>
  <c r="AJ43"/>
  <c r="AL43"/>
  <c r="AN43"/>
  <c r="AR43"/>
  <c r="AT43"/>
  <c r="AV43"/>
  <c r="AX43"/>
  <c r="AZ43"/>
  <c r="AF44"/>
  <c r="AH44"/>
  <c r="L88"/>
  <c r="L89" s="1"/>
  <c r="AA9" i="189"/>
  <c r="AA10"/>
  <c r="AA11"/>
  <c r="AF14" i="190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J20"/>
  <c r="AL20"/>
  <c r="AN20"/>
  <c r="AR20"/>
  <c r="AT20"/>
  <c r="AV20"/>
  <c r="AX20"/>
  <c r="AZ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S43"/>
  <c r="AU43"/>
  <c r="AW43"/>
  <c r="AY43"/>
  <c r="BA43"/>
  <c r="AX15" i="187"/>
  <c r="AJ16"/>
  <c r="AT16"/>
  <c r="AF17"/>
  <c r="AN17"/>
  <c r="AX17"/>
  <c r="AT15"/>
  <c r="AC13" i="186"/>
  <c r="AF20" i="187"/>
  <c r="AF19"/>
  <c r="AF44"/>
  <c r="AF43"/>
  <c r="AF42"/>
  <c r="AF41"/>
  <c r="AF40"/>
  <c r="AF39"/>
  <c r="AF38"/>
  <c r="AF37"/>
  <c r="AF36"/>
  <c r="AF33"/>
  <c r="AF32"/>
  <c r="AF31"/>
  <c r="AF30"/>
  <c r="AF29"/>
  <c r="AF28"/>
  <c r="AF27"/>
  <c r="AF26"/>
  <c r="AF25"/>
  <c r="AF22"/>
  <c r="AF21"/>
  <c r="AH20"/>
  <c r="AH19"/>
  <c r="AH44"/>
  <c r="AH43"/>
  <c r="AH42"/>
  <c r="AH41"/>
  <c r="AH40"/>
  <c r="AH39"/>
  <c r="AH38"/>
  <c r="AH37"/>
  <c r="AH36"/>
  <c r="AH33"/>
  <c r="AH32"/>
  <c r="AH31"/>
  <c r="AH30"/>
  <c r="AH29"/>
  <c r="AH28"/>
  <c r="AH27"/>
  <c r="AH26"/>
  <c r="AH25"/>
  <c r="AH22"/>
  <c r="AH21"/>
  <c r="AJ20"/>
  <c r="AJ19"/>
  <c r="AJ44"/>
  <c r="AJ43"/>
  <c r="AJ42"/>
  <c r="AJ41"/>
  <c r="AJ40"/>
  <c r="AJ39"/>
  <c r="AJ38"/>
  <c r="AJ37"/>
  <c r="AJ36"/>
  <c r="AJ33"/>
  <c r="AJ32"/>
  <c r="AJ31"/>
  <c r="AJ30"/>
  <c r="AJ29"/>
  <c r="AJ28"/>
  <c r="AJ27"/>
  <c r="AJ26"/>
  <c r="AJ25"/>
  <c r="AJ22"/>
  <c r="AJ21"/>
  <c r="AL20"/>
  <c r="AL19"/>
  <c r="AL44"/>
  <c r="AL43"/>
  <c r="AL42"/>
  <c r="AL41"/>
  <c r="AL40"/>
  <c r="AL39"/>
  <c r="AL38"/>
  <c r="AL37"/>
  <c r="AL36"/>
  <c r="AL33"/>
  <c r="AL32"/>
  <c r="AL31"/>
  <c r="AL30"/>
  <c r="AL29"/>
  <c r="AL28"/>
  <c r="AL27"/>
  <c r="AL26"/>
  <c r="AL25"/>
  <c r="AL22"/>
  <c r="AL21"/>
  <c r="AN20"/>
  <c r="AN19"/>
  <c r="AN44"/>
  <c r="AN43"/>
  <c r="AN42"/>
  <c r="AN41"/>
  <c r="AN40"/>
  <c r="AN39"/>
  <c r="AN38"/>
  <c r="AN37"/>
  <c r="AN36"/>
  <c r="AN33"/>
  <c r="AN32"/>
  <c r="AN31"/>
  <c r="AN30"/>
  <c r="AN29"/>
  <c r="AN28"/>
  <c r="AN27"/>
  <c r="AN26"/>
  <c r="AN25"/>
  <c r="AN22"/>
  <c r="AN21"/>
  <c r="AR20"/>
  <c r="AR19"/>
  <c r="AR18"/>
  <c r="AR44"/>
  <c r="AR43"/>
  <c r="AR42"/>
  <c r="AR41"/>
  <c r="AR40"/>
  <c r="AR39"/>
  <c r="AR38"/>
  <c r="AR37"/>
  <c r="AR36"/>
  <c r="AR33"/>
  <c r="AR32"/>
  <c r="AR31"/>
  <c r="AR30"/>
  <c r="AR29"/>
  <c r="AR28"/>
  <c r="AR27"/>
  <c r="AR26"/>
  <c r="AR25"/>
  <c r="AR22"/>
  <c r="AR21"/>
  <c r="AT20"/>
  <c r="AT19"/>
  <c r="AT18"/>
  <c r="AT44"/>
  <c r="AT43"/>
  <c r="AT42"/>
  <c r="AT41"/>
  <c r="AT40"/>
  <c r="AT39"/>
  <c r="AT38"/>
  <c r="AT37"/>
  <c r="AT36"/>
  <c r="AT33"/>
  <c r="AT32"/>
  <c r="AT31"/>
  <c r="AT30"/>
  <c r="AT29"/>
  <c r="AT28"/>
  <c r="AT27"/>
  <c r="AT26"/>
  <c r="AT25"/>
  <c r="AT22"/>
  <c r="AT21"/>
  <c r="AV20"/>
  <c r="AV19"/>
  <c r="AV18"/>
  <c r="AV44"/>
  <c r="AV43"/>
  <c r="AV42"/>
  <c r="AV41"/>
  <c r="AV40"/>
  <c r="AV39"/>
  <c r="AV38"/>
  <c r="AV37"/>
  <c r="AV36"/>
  <c r="AV33"/>
  <c r="AV32"/>
  <c r="AV31"/>
  <c r="AV30"/>
  <c r="AV29"/>
  <c r="AV28"/>
  <c r="AV27"/>
  <c r="AV26"/>
  <c r="AV25"/>
  <c r="AV22"/>
  <c r="AV21"/>
  <c r="AX20"/>
  <c r="AX19"/>
  <c r="AX18"/>
  <c r="AX44"/>
  <c r="AX43"/>
  <c r="AX42"/>
  <c r="AX41"/>
  <c r="AX40"/>
  <c r="AX39"/>
  <c r="AX38"/>
  <c r="AX37"/>
  <c r="AX36"/>
  <c r="AX33"/>
  <c r="AX32"/>
  <c r="AX31"/>
  <c r="AX30"/>
  <c r="AX29"/>
  <c r="AX28"/>
  <c r="AX27"/>
  <c r="AX26"/>
  <c r="AX25"/>
  <c r="AX22"/>
  <c r="AX21"/>
  <c r="AZ44"/>
  <c r="AZ20"/>
  <c r="AZ19"/>
  <c r="AZ18"/>
  <c r="AZ43"/>
  <c r="AZ42"/>
  <c r="AZ41"/>
  <c r="AZ40"/>
  <c r="AZ39"/>
  <c r="AZ38"/>
  <c r="AZ37"/>
  <c r="AZ36"/>
  <c r="AZ33"/>
  <c r="AZ32"/>
  <c r="AZ31"/>
  <c r="AZ30"/>
  <c r="AZ29"/>
  <c r="AZ28"/>
  <c r="AZ27"/>
  <c r="AZ26"/>
  <c r="AZ25"/>
  <c r="AZ22"/>
  <c r="AZ21"/>
  <c r="AA12" i="186"/>
  <c r="AF14" i="187"/>
  <c r="AH14"/>
  <c r="AJ14"/>
  <c r="AL14"/>
  <c r="AN14"/>
  <c r="AR14"/>
  <c r="AT14"/>
  <c r="AV14"/>
  <c r="AX14"/>
  <c r="AZ14"/>
  <c r="AF15"/>
  <c r="AH15"/>
  <c r="AJ15"/>
  <c r="AL15"/>
  <c r="AN15"/>
  <c r="AR15"/>
  <c r="AV15"/>
  <c r="AZ15"/>
  <c r="AH16"/>
  <c r="AL16"/>
  <c r="AR16"/>
  <c r="AV16"/>
  <c r="AZ16"/>
  <c r="AH17"/>
  <c r="AL17"/>
  <c r="AR17"/>
  <c r="AV17"/>
  <c r="AZ17"/>
  <c r="AH18"/>
  <c r="AL18"/>
  <c r="AG44"/>
  <c r="AG43"/>
  <c r="AG42"/>
  <c r="AG41"/>
  <c r="AG40"/>
  <c r="AG39"/>
  <c r="AG38"/>
  <c r="AG37"/>
  <c r="AG36"/>
  <c r="AG33"/>
  <c r="AG32"/>
  <c r="AG31"/>
  <c r="AG30"/>
  <c r="AG29"/>
  <c r="AG28"/>
  <c r="AG27"/>
  <c r="AG26"/>
  <c r="AG25"/>
  <c r="AG22"/>
  <c r="AG21"/>
  <c r="AG20"/>
  <c r="AG19"/>
  <c r="AG18"/>
  <c r="AG17"/>
  <c r="AG16"/>
  <c r="AI44"/>
  <c r="AI43"/>
  <c r="AI42"/>
  <c r="AI41"/>
  <c r="AI40"/>
  <c r="AI39"/>
  <c r="AI38"/>
  <c r="AI37"/>
  <c r="AI36"/>
  <c r="AI33"/>
  <c r="AI32"/>
  <c r="AI31"/>
  <c r="AI30"/>
  <c r="AI29"/>
  <c r="AI28"/>
  <c r="AI27"/>
  <c r="AI26"/>
  <c r="AI25"/>
  <c r="AI22"/>
  <c r="AI21"/>
  <c r="AI20"/>
  <c r="AI19"/>
  <c r="AI18"/>
  <c r="AI17"/>
  <c r="AI16"/>
  <c r="AK44"/>
  <c r="AK43"/>
  <c r="AK42"/>
  <c r="AK41"/>
  <c r="AK40"/>
  <c r="AK39"/>
  <c r="AK38"/>
  <c r="AK37"/>
  <c r="AK36"/>
  <c r="AK33"/>
  <c r="AK32"/>
  <c r="AK31"/>
  <c r="AK30"/>
  <c r="AK29"/>
  <c r="AK28"/>
  <c r="AK27"/>
  <c r="AK26"/>
  <c r="AK25"/>
  <c r="AK22"/>
  <c r="AK21"/>
  <c r="AK20"/>
  <c r="AK19"/>
  <c r="AK18"/>
  <c r="AK17"/>
  <c r="AK16"/>
  <c r="AM44"/>
  <c r="AM43"/>
  <c r="AM42"/>
  <c r="AM41"/>
  <c r="AM40"/>
  <c r="AM39"/>
  <c r="AM38"/>
  <c r="AM37"/>
  <c r="AM36"/>
  <c r="AM33"/>
  <c r="AM32"/>
  <c r="AM31"/>
  <c r="AM30"/>
  <c r="AM29"/>
  <c r="AM28"/>
  <c r="AM27"/>
  <c r="AM26"/>
  <c r="AM25"/>
  <c r="AM22"/>
  <c r="AM21"/>
  <c r="AM20"/>
  <c r="AM19"/>
  <c r="AM18"/>
  <c r="AM17"/>
  <c r="AM16"/>
  <c r="AO44"/>
  <c r="AO43"/>
  <c r="AO42"/>
  <c r="AO41"/>
  <c r="AO40"/>
  <c r="AO39"/>
  <c r="AO38"/>
  <c r="AO37"/>
  <c r="AO36"/>
  <c r="AO33"/>
  <c r="AO32"/>
  <c r="AO31"/>
  <c r="AO30"/>
  <c r="AO29"/>
  <c r="AO28"/>
  <c r="AO27"/>
  <c r="AO26"/>
  <c r="AO25"/>
  <c r="AO22"/>
  <c r="AO21"/>
  <c r="AO20"/>
  <c r="AO19"/>
  <c r="AO18"/>
  <c r="AO17"/>
  <c r="AO16"/>
  <c r="AS44"/>
  <c r="AS43"/>
  <c r="AS42"/>
  <c r="AS41"/>
  <c r="AS40"/>
  <c r="AS39"/>
  <c r="AS38"/>
  <c r="AS37"/>
  <c r="AS36"/>
  <c r="AS33"/>
  <c r="AS32"/>
  <c r="AS31"/>
  <c r="AS30"/>
  <c r="AS29"/>
  <c r="AS28"/>
  <c r="AS27"/>
  <c r="AS26"/>
  <c r="AS25"/>
  <c r="AS22"/>
  <c r="AS21"/>
  <c r="AS20"/>
  <c r="AS19"/>
  <c r="AS18"/>
  <c r="AS17"/>
  <c r="AS16"/>
  <c r="AS15"/>
  <c r="AU44"/>
  <c r="AU43"/>
  <c r="AU42"/>
  <c r="AU41"/>
  <c r="AU40"/>
  <c r="AU39"/>
  <c r="AU38"/>
  <c r="AU37"/>
  <c r="AU36"/>
  <c r="AU33"/>
  <c r="AU32"/>
  <c r="AU31"/>
  <c r="AU30"/>
  <c r="AU29"/>
  <c r="AU28"/>
  <c r="AU27"/>
  <c r="AU26"/>
  <c r="AU25"/>
  <c r="AU22"/>
  <c r="AU21"/>
  <c r="AU20"/>
  <c r="AU19"/>
  <c r="AU18"/>
  <c r="AU17"/>
  <c r="AU16"/>
  <c r="AU15"/>
  <c r="AW44"/>
  <c r="AW43"/>
  <c r="AW42"/>
  <c r="AW41"/>
  <c r="AW40"/>
  <c r="AW39"/>
  <c r="AW38"/>
  <c r="AW37"/>
  <c r="AW36"/>
  <c r="AW33"/>
  <c r="AW32"/>
  <c r="AW31"/>
  <c r="AW30"/>
  <c r="AW29"/>
  <c r="AW28"/>
  <c r="AW27"/>
  <c r="AW26"/>
  <c r="AW25"/>
  <c r="AW22"/>
  <c r="AW21"/>
  <c r="AW20"/>
  <c r="AW19"/>
  <c r="AW18"/>
  <c r="AW17"/>
  <c r="AW16"/>
  <c r="AW15"/>
  <c r="AY44"/>
  <c r="AY43"/>
  <c r="AY42"/>
  <c r="AY41"/>
  <c r="AY40"/>
  <c r="AY39"/>
  <c r="AY38"/>
  <c r="AY37"/>
  <c r="AY36"/>
  <c r="AY33"/>
  <c r="AY32"/>
  <c r="AY31"/>
  <c r="AY30"/>
  <c r="AY29"/>
  <c r="AY28"/>
  <c r="AY27"/>
  <c r="AY26"/>
  <c r="AY25"/>
  <c r="AY22"/>
  <c r="AY21"/>
  <c r="AY20"/>
  <c r="AY19"/>
  <c r="AY18"/>
  <c r="AY17"/>
  <c r="AY16"/>
  <c r="AY15"/>
  <c r="BA43"/>
  <c r="BA42"/>
  <c r="BA41"/>
  <c r="BA40"/>
  <c r="BA39"/>
  <c r="BA38"/>
  <c r="BA37"/>
  <c r="BA36"/>
  <c r="BA33"/>
  <c r="BA32"/>
  <c r="BA31"/>
  <c r="BA30"/>
  <c r="BA29"/>
  <c r="BA28"/>
  <c r="BA27"/>
  <c r="BA26"/>
  <c r="BA25"/>
  <c r="BA22"/>
  <c r="BA21"/>
  <c r="BA44"/>
  <c r="BA20"/>
  <c r="BA19"/>
  <c r="BA18"/>
  <c r="BA17"/>
  <c r="BA16"/>
  <c r="BA15"/>
  <c r="AG14"/>
  <c r="AI14"/>
  <c r="AK14"/>
  <c r="AM14"/>
  <c r="AO14"/>
  <c r="AS14"/>
  <c r="AU14"/>
  <c r="AW14"/>
  <c r="AY14"/>
  <c r="BA14"/>
  <c r="AG15"/>
  <c r="AI15"/>
  <c r="AK15"/>
  <c r="AM15"/>
  <c r="AO15"/>
  <c r="AF18"/>
  <c r="AJ18"/>
  <c r="AN18"/>
  <c r="L88"/>
  <c r="T29" i="77"/>
  <c r="T31" s="1"/>
  <c r="X29"/>
  <c r="AG46" i="79"/>
  <c r="AG45"/>
  <c r="AG44"/>
  <c r="AI46"/>
  <c r="AI45"/>
  <c r="AI44"/>
  <c r="AK46"/>
  <c r="AK45"/>
  <c r="AK44"/>
  <c r="AM46"/>
  <c r="AM45"/>
  <c r="AM44"/>
  <c r="AO46"/>
  <c r="AO45"/>
  <c r="AO44"/>
  <c r="AS46"/>
  <c r="AS45"/>
  <c r="AS44"/>
  <c r="AS43"/>
  <c r="AU46"/>
  <c r="AU45"/>
  <c r="AU44"/>
  <c r="AU43"/>
  <c r="AW46"/>
  <c r="AW45"/>
  <c r="AW44"/>
  <c r="AW43"/>
  <c r="AY46"/>
  <c r="AY45"/>
  <c r="AY44"/>
  <c r="AY43"/>
  <c r="BA46"/>
  <c r="BA45"/>
  <c r="BA44"/>
  <c r="BA43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2"/>
  <c r="AI22"/>
  <c r="AK22"/>
  <c r="AM22"/>
  <c r="AO22"/>
  <c r="AS22"/>
  <c r="AU22"/>
  <c r="AW22"/>
  <c r="AY22"/>
  <c r="BA22"/>
  <c r="AF23"/>
  <c r="AH23"/>
  <c r="AJ23"/>
  <c r="AL23"/>
  <c r="AN23"/>
  <c r="AR23"/>
  <c r="AT23"/>
  <c r="AV23"/>
  <c r="AX23"/>
  <c r="AZ23"/>
  <c r="AF24"/>
  <c r="AH24"/>
  <c r="AJ24"/>
  <c r="AL24"/>
  <c r="AN24"/>
  <c r="AR24"/>
  <c r="AT24"/>
  <c r="AV24"/>
  <c r="AX24"/>
  <c r="AZ24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3"/>
  <c r="AH33"/>
  <c r="AJ33"/>
  <c r="AL33"/>
  <c r="AN33"/>
  <c r="AR33"/>
  <c r="AT33"/>
  <c r="AV33"/>
  <c r="AX33"/>
  <c r="AZ33"/>
  <c r="AF34"/>
  <c r="AH34"/>
  <c r="AJ34"/>
  <c r="AL34"/>
  <c r="AN34"/>
  <c r="AR34"/>
  <c r="AT34"/>
  <c r="AV34"/>
  <c r="AX34"/>
  <c r="AZ34"/>
  <c r="AF35"/>
  <c r="AH35"/>
  <c r="AJ35"/>
  <c r="AL35"/>
  <c r="AN35"/>
  <c r="AR35"/>
  <c r="AT35"/>
  <c r="AV35"/>
  <c r="AX35"/>
  <c r="AZ35"/>
  <c r="AF38"/>
  <c r="AH38"/>
  <c r="AJ38"/>
  <c r="AL38"/>
  <c r="AN38"/>
  <c r="AR38"/>
  <c r="AT38"/>
  <c r="AV38"/>
  <c r="AX38"/>
  <c r="AZ38"/>
  <c r="AF39"/>
  <c r="AH39"/>
  <c r="AJ39"/>
  <c r="AL39"/>
  <c r="AN39"/>
  <c r="AR39"/>
  <c r="AT39"/>
  <c r="AV39"/>
  <c r="AX39"/>
  <c r="AZ39"/>
  <c r="AF40"/>
  <c r="AH40"/>
  <c r="AJ40"/>
  <c r="AL40"/>
  <c r="AN40"/>
  <c r="AR40"/>
  <c r="AT40"/>
  <c r="AV40"/>
  <c r="AX40"/>
  <c r="AZ40"/>
  <c r="AF41"/>
  <c r="AH41"/>
  <c r="AJ41"/>
  <c r="AL41"/>
  <c r="AN41"/>
  <c r="AR41"/>
  <c r="AT41"/>
  <c r="AV41"/>
  <c r="AX41"/>
  <c r="AZ41"/>
  <c r="AF42"/>
  <c r="AH42"/>
  <c r="AJ42"/>
  <c r="AL42"/>
  <c r="AN42"/>
  <c r="AR42"/>
  <c r="AV42"/>
  <c r="AZ42"/>
  <c r="AH43"/>
  <c r="AF46"/>
  <c r="AF45"/>
  <c r="AH46"/>
  <c r="AH45"/>
  <c r="AJ46"/>
  <c r="AJ45"/>
  <c r="AJ44"/>
  <c r="AL46"/>
  <c r="AL45"/>
  <c r="AL44"/>
  <c r="AN46"/>
  <c r="AN45"/>
  <c r="AN44"/>
  <c r="AR46"/>
  <c r="AR45"/>
  <c r="AR44"/>
  <c r="AT46"/>
  <c r="AT45"/>
  <c r="AT44"/>
  <c r="AV46"/>
  <c r="AV45"/>
  <c r="AV44"/>
  <c r="AX46"/>
  <c r="AX45"/>
  <c r="AX44"/>
  <c r="AZ46"/>
  <c r="AZ45"/>
  <c r="AZ44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2"/>
  <c r="AH22"/>
  <c r="AJ22"/>
  <c r="AL22"/>
  <c r="AN22"/>
  <c r="AR22"/>
  <c r="AT22"/>
  <c r="AV22"/>
  <c r="AX22"/>
  <c r="AZ22"/>
  <c r="AG23"/>
  <c r="AI23"/>
  <c r="AK23"/>
  <c r="AM23"/>
  <c r="AO23"/>
  <c r="AS23"/>
  <c r="AU23"/>
  <c r="AW23"/>
  <c r="AY23"/>
  <c r="BA23"/>
  <c r="AG24"/>
  <c r="AI24"/>
  <c r="AK24"/>
  <c r="AM24"/>
  <c r="AO24"/>
  <c r="AS24"/>
  <c r="AU24"/>
  <c r="AW24"/>
  <c r="AY24"/>
  <c r="BA24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3"/>
  <c r="AI33"/>
  <c r="AK33"/>
  <c r="AM33"/>
  <c r="AO33"/>
  <c r="AS33"/>
  <c r="AU33"/>
  <c r="AW33"/>
  <c r="AY33"/>
  <c r="BA33"/>
  <c r="AG34"/>
  <c r="AI34"/>
  <c r="AK34"/>
  <c r="AM34"/>
  <c r="AO34"/>
  <c r="AS34"/>
  <c r="AU34"/>
  <c r="AW34"/>
  <c r="AY34"/>
  <c r="BA34"/>
  <c r="AG35"/>
  <c r="AI35"/>
  <c r="AK35"/>
  <c r="AM35"/>
  <c r="AO35"/>
  <c r="AS35"/>
  <c r="AU35"/>
  <c r="AW35"/>
  <c r="AY35"/>
  <c r="BA35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U40"/>
  <c r="AW40"/>
  <c r="AY40"/>
  <c r="BA40"/>
  <c r="AG41"/>
  <c r="AI41"/>
  <c r="AK41"/>
  <c r="AM41"/>
  <c r="AO41"/>
  <c r="AS41"/>
  <c r="AU41"/>
  <c r="AW41"/>
  <c r="AY41"/>
  <c r="BA41"/>
  <c r="AG42"/>
  <c r="AI42"/>
  <c r="AK42"/>
  <c r="AM42"/>
  <c r="AO42"/>
  <c r="AS42"/>
  <c r="AU42"/>
  <c r="AW42"/>
  <c r="AY42"/>
  <c r="BA42"/>
  <c r="AG43"/>
  <c r="AI43"/>
  <c r="AK43"/>
  <c r="AM43"/>
  <c r="AO43"/>
  <c r="AT43"/>
  <c r="AX43"/>
  <c r="AF44"/>
  <c r="AG43" i="76"/>
  <c r="AG42"/>
  <c r="AI43"/>
  <c r="AI42"/>
  <c r="AK43"/>
  <c r="AK42"/>
  <c r="AM43"/>
  <c r="AM42"/>
  <c r="AO43"/>
  <c r="AO42"/>
  <c r="AS43"/>
  <c r="AS42"/>
  <c r="AU43"/>
  <c r="AU42"/>
  <c r="AW43"/>
  <c r="AW42"/>
  <c r="AY43"/>
  <c r="AY42"/>
  <c r="BA43"/>
  <c r="BA42"/>
  <c r="BA41"/>
  <c r="AG13"/>
  <c r="AI13"/>
  <c r="AK13"/>
  <c r="AM13"/>
  <c r="AO13"/>
  <c r="AS13"/>
  <c r="AU13"/>
  <c r="AW13"/>
  <c r="AY13"/>
  <c r="BA13"/>
  <c r="AG14"/>
  <c r="AI14"/>
  <c r="AK14"/>
  <c r="AM14"/>
  <c r="AO14"/>
  <c r="AS14"/>
  <c r="AU14"/>
  <c r="AW14"/>
  <c r="AY14"/>
  <c r="BA14"/>
  <c r="AG15"/>
  <c r="AI15"/>
  <c r="AK15"/>
  <c r="AM15"/>
  <c r="AO15"/>
  <c r="AS15"/>
  <c r="AU15"/>
  <c r="AW15"/>
  <c r="AY15"/>
  <c r="BA15"/>
  <c r="AG16"/>
  <c r="AI16"/>
  <c r="AK16"/>
  <c r="AM16"/>
  <c r="AO16"/>
  <c r="AS16"/>
  <c r="AU16"/>
  <c r="AW16"/>
  <c r="AY16"/>
  <c r="BA16"/>
  <c r="AG17"/>
  <c r="AI17"/>
  <c r="AK17"/>
  <c r="AM17"/>
  <c r="AO17"/>
  <c r="AS17"/>
  <c r="AU17"/>
  <c r="AW17"/>
  <c r="AY17"/>
  <c r="BA17"/>
  <c r="AG18"/>
  <c r="AI18"/>
  <c r="AK18"/>
  <c r="AM18"/>
  <c r="AO18"/>
  <c r="AS18"/>
  <c r="AU18"/>
  <c r="AW18"/>
  <c r="AY18"/>
  <c r="BA18"/>
  <c r="AG19"/>
  <c r="AI19"/>
  <c r="AK19"/>
  <c r="AM19"/>
  <c r="AO19"/>
  <c r="AS19"/>
  <c r="AU19"/>
  <c r="AW19"/>
  <c r="AY19"/>
  <c r="BA19"/>
  <c r="AF20"/>
  <c r="AH20"/>
  <c r="AJ20"/>
  <c r="AL20"/>
  <c r="AN20"/>
  <c r="AR20"/>
  <c r="AT20"/>
  <c r="AV20"/>
  <c r="AX20"/>
  <c r="AZ20"/>
  <c r="AF21"/>
  <c r="AH21"/>
  <c r="AJ21"/>
  <c r="AL21"/>
  <c r="AN21"/>
  <c r="AR21"/>
  <c r="AT21"/>
  <c r="AV21"/>
  <c r="AX21"/>
  <c r="AZ21"/>
  <c r="AF24"/>
  <c r="AH24"/>
  <c r="AJ24"/>
  <c r="AL24"/>
  <c r="AN24"/>
  <c r="AR24"/>
  <c r="AT24"/>
  <c r="AV24"/>
  <c r="AX24"/>
  <c r="AZ24"/>
  <c r="AF25"/>
  <c r="AH25"/>
  <c r="AJ25"/>
  <c r="AL25"/>
  <c r="AN25"/>
  <c r="AR25"/>
  <c r="AT25"/>
  <c r="AV25"/>
  <c r="AX25"/>
  <c r="AZ25"/>
  <c r="AF26"/>
  <c r="AH26"/>
  <c r="AJ26"/>
  <c r="AL26"/>
  <c r="AN26"/>
  <c r="AR26"/>
  <c r="AT26"/>
  <c r="AV26"/>
  <c r="AX26"/>
  <c r="AZ26"/>
  <c r="AF27"/>
  <c r="AH27"/>
  <c r="AJ27"/>
  <c r="AL27"/>
  <c r="AN27"/>
  <c r="AR27"/>
  <c r="AT27"/>
  <c r="AV27"/>
  <c r="AX27"/>
  <c r="AZ27"/>
  <c r="AF28"/>
  <c r="AH28"/>
  <c r="AJ28"/>
  <c r="AL28"/>
  <c r="AN28"/>
  <c r="AR28"/>
  <c r="AT28"/>
  <c r="AV28"/>
  <c r="AX28"/>
  <c r="AZ28"/>
  <c r="AF29"/>
  <c r="AH29"/>
  <c r="AJ29"/>
  <c r="AL29"/>
  <c r="AN29"/>
  <c r="AR29"/>
  <c r="AT29"/>
  <c r="AV29"/>
  <c r="AX29"/>
  <c r="AZ29"/>
  <c r="AF30"/>
  <c r="AH30"/>
  <c r="AJ30"/>
  <c r="AL30"/>
  <c r="AN30"/>
  <c r="AR30"/>
  <c r="AT30"/>
  <c r="AV30"/>
  <c r="AX30"/>
  <c r="AZ30"/>
  <c r="AF31"/>
  <c r="AH31"/>
  <c r="AJ31"/>
  <c r="AL31"/>
  <c r="AN31"/>
  <c r="AR31"/>
  <c r="AT31"/>
  <c r="AV31"/>
  <c r="AX31"/>
  <c r="AZ31"/>
  <c r="AF32"/>
  <c r="AH32"/>
  <c r="AJ32"/>
  <c r="AL32"/>
  <c r="AN32"/>
  <c r="AR32"/>
  <c r="AT32"/>
  <c r="AV32"/>
  <c r="AX32"/>
  <c r="AZ32"/>
  <c r="AF35"/>
  <c r="AH35"/>
  <c r="AJ35"/>
  <c r="AL35"/>
  <c r="AN35"/>
  <c r="AR35"/>
  <c r="AT35"/>
  <c r="AV35"/>
  <c r="AX35"/>
  <c r="AZ35"/>
  <c r="AF36"/>
  <c r="AH36"/>
  <c r="AJ36"/>
  <c r="AL36"/>
  <c r="AN36"/>
  <c r="AR36"/>
  <c r="AT36"/>
  <c r="AV36"/>
  <c r="AX36"/>
  <c r="AZ36"/>
  <c r="AF37"/>
  <c r="AH37"/>
  <c r="AJ37"/>
  <c r="AL37"/>
  <c r="AN37"/>
  <c r="AR37"/>
  <c r="AT37"/>
  <c r="AV37"/>
  <c r="AX37"/>
  <c r="AZ37"/>
  <c r="AF38"/>
  <c r="AH38"/>
  <c r="AJ38"/>
  <c r="AL38"/>
  <c r="AN38"/>
  <c r="AR38"/>
  <c r="AT38"/>
  <c r="AV38"/>
  <c r="AX38"/>
  <c r="AZ38"/>
  <c r="AF39"/>
  <c r="AH39"/>
  <c r="AJ39"/>
  <c r="AL39"/>
  <c r="AN39"/>
  <c r="AR39"/>
  <c r="AU40"/>
  <c r="AY40"/>
  <c r="AG41"/>
  <c r="AK41"/>
  <c r="AO41"/>
  <c r="AU41"/>
  <c r="AY41"/>
  <c r="AF43"/>
  <c r="AF42"/>
  <c r="AF41"/>
  <c r="AH43"/>
  <c r="AH42"/>
  <c r="AH41"/>
  <c r="AJ43"/>
  <c r="AJ42"/>
  <c r="AJ41"/>
  <c r="AL43"/>
  <c r="AL42"/>
  <c r="AL41"/>
  <c r="AN43"/>
  <c r="AN42"/>
  <c r="AN41"/>
  <c r="AR43"/>
  <c r="AR42"/>
  <c r="AR41"/>
  <c r="AT43"/>
  <c r="AT42"/>
  <c r="AT41"/>
  <c r="AT40"/>
  <c r="AV43"/>
  <c r="AV42"/>
  <c r="AV41"/>
  <c r="AV40"/>
  <c r="AX43"/>
  <c r="AX42"/>
  <c r="AX41"/>
  <c r="AX40"/>
  <c r="AZ43"/>
  <c r="AZ42"/>
  <c r="AZ41"/>
  <c r="AZ40"/>
  <c r="AF13"/>
  <c r="AH13"/>
  <c r="AJ13"/>
  <c r="AL13"/>
  <c r="AN13"/>
  <c r="AR13"/>
  <c r="AT13"/>
  <c r="AV13"/>
  <c r="AX13"/>
  <c r="AZ13"/>
  <c r="AF14"/>
  <c r="AH14"/>
  <c r="AJ14"/>
  <c r="AL14"/>
  <c r="AN14"/>
  <c r="AR14"/>
  <c r="AT14"/>
  <c r="AV14"/>
  <c r="AX14"/>
  <c r="AZ14"/>
  <c r="AF15"/>
  <c r="AH15"/>
  <c r="AJ15"/>
  <c r="AL15"/>
  <c r="AN15"/>
  <c r="AR15"/>
  <c r="AT15"/>
  <c r="AV15"/>
  <c r="AX15"/>
  <c r="AZ15"/>
  <c r="AF16"/>
  <c r="AH16"/>
  <c r="AJ16"/>
  <c r="AL16"/>
  <c r="AN16"/>
  <c r="AR16"/>
  <c r="AT16"/>
  <c r="AV16"/>
  <c r="AX16"/>
  <c r="AZ16"/>
  <c r="AF17"/>
  <c r="AH17"/>
  <c r="AJ17"/>
  <c r="AL17"/>
  <c r="AN17"/>
  <c r="AR17"/>
  <c r="AT17"/>
  <c r="AV17"/>
  <c r="AX17"/>
  <c r="AZ17"/>
  <c r="AF18"/>
  <c r="AH18"/>
  <c r="AJ18"/>
  <c r="AL18"/>
  <c r="AN18"/>
  <c r="AR18"/>
  <c r="AT18"/>
  <c r="AV18"/>
  <c r="AX18"/>
  <c r="AZ18"/>
  <c r="AF19"/>
  <c r="AH19"/>
  <c r="AJ19"/>
  <c r="AL19"/>
  <c r="AN19"/>
  <c r="AR19"/>
  <c r="AT19"/>
  <c r="AV19"/>
  <c r="AX19"/>
  <c r="AZ19"/>
  <c r="AG20"/>
  <c r="AI20"/>
  <c r="AK20"/>
  <c r="AM20"/>
  <c r="AO20"/>
  <c r="AS20"/>
  <c r="AU20"/>
  <c r="AW20"/>
  <c r="AY20"/>
  <c r="BA20"/>
  <c r="AG21"/>
  <c r="AI21"/>
  <c r="AK21"/>
  <c r="AM21"/>
  <c r="AO21"/>
  <c r="AS21"/>
  <c r="AU21"/>
  <c r="AW21"/>
  <c r="AY21"/>
  <c r="BA21"/>
  <c r="AG24"/>
  <c r="AI24"/>
  <c r="AK24"/>
  <c r="AM24"/>
  <c r="AO24"/>
  <c r="AS24"/>
  <c r="AU24"/>
  <c r="AW24"/>
  <c r="AY24"/>
  <c r="BA24"/>
  <c r="AG25"/>
  <c r="AI25"/>
  <c r="AK25"/>
  <c r="AM25"/>
  <c r="AO25"/>
  <c r="AS25"/>
  <c r="AU25"/>
  <c r="AW25"/>
  <c r="AY25"/>
  <c r="BA25"/>
  <c r="AG26"/>
  <c r="AI26"/>
  <c r="AK26"/>
  <c r="AM26"/>
  <c r="AO26"/>
  <c r="AS26"/>
  <c r="AU26"/>
  <c r="AW26"/>
  <c r="AY26"/>
  <c r="BA26"/>
  <c r="AG27"/>
  <c r="AI27"/>
  <c r="AK27"/>
  <c r="AM27"/>
  <c r="AO27"/>
  <c r="AS27"/>
  <c r="AU27"/>
  <c r="AW27"/>
  <c r="AY27"/>
  <c r="BA27"/>
  <c r="AG28"/>
  <c r="AI28"/>
  <c r="AK28"/>
  <c r="AM28"/>
  <c r="AO28"/>
  <c r="AS28"/>
  <c r="AU28"/>
  <c r="AW28"/>
  <c r="AY28"/>
  <c r="BA28"/>
  <c r="AG29"/>
  <c r="AI29"/>
  <c r="AK29"/>
  <c r="AM29"/>
  <c r="AO29"/>
  <c r="AS29"/>
  <c r="AU29"/>
  <c r="AW29"/>
  <c r="AY29"/>
  <c r="BA29"/>
  <c r="AG30"/>
  <c r="AI30"/>
  <c r="AK30"/>
  <c r="AM30"/>
  <c r="AO30"/>
  <c r="AS30"/>
  <c r="AU30"/>
  <c r="AW30"/>
  <c r="AY30"/>
  <c r="BA30"/>
  <c r="AG31"/>
  <c r="AI31"/>
  <c r="AK31"/>
  <c r="AM31"/>
  <c r="AO31"/>
  <c r="AS31"/>
  <c r="AU31"/>
  <c r="AW31"/>
  <c r="AY31"/>
  <c r="BA31"/>
  <c r="AG32"/>
  <c r="AI32"/>
  <c r="AK32"/>
  <c r="AM32"/>
  <c r="AO32"/>
  <c r="AS32"/>
  <c r="AU32"/>
  <c r="AW32"/>
  <c r="AY32"/>
  <c r="BA32"/>
  <c r="AG35"/>
  <c r="AI35"/>
  <c r="AK35"/>
  <c r="AM35"/>
  <c r="AO35"/>
  <c r="AS35"/>
  <c r="AU35"/>
  <c r="AW35"/>
  <c r="AY35"/>
  <c r="BA35"/>
  <c r="AG36"/>
  <c r="AI36"/>
  <c r="AK36"/>
  <c r="AM36"/>
  <c r="AO36"/>
  <c r="AS36"/>
  <c r="AU36"/>
  <c r="AW36"/>
  <c r="AY36"/>
  <c r="BA36"/>
  <c r="AG37"/>
  <c r="AI37"/>
  <c r="AK37"/>
  <c r="AM37"/>
  <c r="AO37"/>
  <c r="AS37"/>
  <c r="AU37"/>
  <c r="AW37"/>
  <c r="AY37"/>
  <c r="BA37"/>
  <c r="AG38"/>
  <c r="AI38"/>
  <c r="AK38"/>
  <c r="AM38"/>
  <c r="AO38"/>
  <c r="AS38"/>
  <c r="AU38"/>
  <c r="AW38"/>
  <c r="AY38"/>
  <c r="BA38"/>
  <c r="AG39"/>
  <c r="AI39"/>
  <c r="AK39"/>
  <c r="AM39"/>
  <c r="AO39"/>
  <c r="AS39"/>
  <c r="AU39"/>
  <c r="AW39"/>
  <c r="AY39"/>
  <c r="BA39"/>
  <c r="AG40"/>
  <c r="AI40"/>
  <c r="AK40"/>
  <c r="AM40"/>
  <c r="AO40"/>
  <c r="AS40"/>
  <c r="AW40"/>
  <c r="BA40"/>
  <c r="AI41"/>
  <c r="AM41"/>
  <c r="AS41"/>
  <c r="AW41"/>
  <c r="AF12" i="50"/>
  <c r="AF11"/>
  <c r="AF10"/>
  <c r="AF9"/>
  <c r="AF8"/>
  <c r="AF16"/>
  <c r="AF15"/>
  <c r="AF14"/>
  <c r="AF13"/>
  <c r="AF7"/>
  <c r="AF6"/>
  <c r="AF5"/>
  <c r="AF4"/>
  <c r="T34" i="25" l="1"/>
  <c r="C4"/>
  <c r="M90" i="76"/>
  <c r="M93" s="1"/>
  <c r="L93"/>
  <c r="X31" i="77"/>
  <c r="C5" i="817" s="1"/>
  <c r="W31" i="77"/>
  <c r="B5" i="817" s="1"/>
  <c r="AV66" i="196"/>
  <c r="AV50"/>
  <c r="AL58"/>
  <c r="AH62"/>
  <c r="AR70"/>
  <c r="AZ70"/>
  <c r="AH70"/>
  <c r="AL74"/>
  <c r="AA18" i="78"/>
  <c r="AA19" s="1"/>
  <c r="W22" i="194"/>
  <c r="AP35" i="817" s="1"/>
  <c r="AL50" i="196"/>
  <c r="AL66"/>
  <c r="Z11" i="78"/>
  <c r="Z21" s="1"/>
  <c r="AH54" i="196"/>
  <c r="AZ74"/>
  <c r="AR74"/>
  <c r="AL54"/>
  <c r="AV74"/>
  <c r="AH66"/>
  <c r="Q22" i="194"/>
  <c r="AZ62" i="196"/>
  <c r="AV58"/>
  <c r="AR62"/>
  <c r="AV70"/>
  <c r="AA11" i="78"/>
  <c r="AA21" s="1"/>
  <c r="T22" i="194"/>
  <c r="AC19" i="195"/>
  <c r="AT35" i="817" s="1"/>
  <c r="X22" i="194"/>
  <c r="AQ35" i="817" s="1"/>
  <c r="L91" i="196"/>
  <c r="AV62"/>
  <c r="AH74"/>
  <c r="AZ58"/>
  <c r="AR58"/>
  <c r="AL70"/>
  <c r="AZ50"/>
  <c r="AV54"/>
  <c r="AR50"/>
  <c r="AL62"/>
  <c r="AH58"/>
  <c r="BA76"/>
  <c r="BA72"/>
  <c r="BA68"/>
  <c r="BA64"/>
  <c r="BA60"/>
  <c r="BA56"/>
  <c r="BA52"/>
  <c r="BA75"/>
  <c r="BA71"/>
  <c r="BA67"/>
  <c r="BA63"/>
  <c r="BA59"/>
  <c r="BA55"/>
  <c r="BA51"/>
  <c r="M90"/>
  <c r="AY74"/>
  <c r="AY70"/>
  <c r="AY66"/>
  <c r="AY62"/>
  <c r="AY58"/>
  <c r="AY54"/>
  <c r="AY50"/>
  <c r="AW74"/>
  <c r="AW70"/>
  <c r="AW66"/>
  <c r="AW62"/>
  <c r="AW58"/>
  <c r="AW54"/>
  <c r="AW50"/>
  <c r="AW76"/>
  <c r="AW72"/>
  <c r="AW68"/>
  <c r="AW64"/>
  <c r="AW60"/>
  <c r="AW56"/>
  <c r="AW52"/>
  <c r="AU75"/>
  <c r="AU71"/>
  <c r="AU67"/>
  <c r="AU63"/>
  <c r="AU59"/>
  <c r="AU55"/>
  <c r="AU51"/>
  <c r="AS74"/>
  <c r="AS70"/>
  <c r="AS66"/>
  <c r="AS62"/>
  <c r="AS58"/>
  <c r="AS54"/>
  <c r="AS50"/>
  <c r="AS76"/>
  <c r="AS72"/>
  <c r="AS68"/>
  <c r="AS64"/>
  <c r="AS60"/>
  <c r="AS56"/>
  <c r="AS52"/>
  <c r="AO75"/>
  <c r="AO71"/>
  <c r="AO67"/>
  <c r="AO63"/>
  <c r="AO59"/>
  <c r="AO55"/>
  <c r="AO51"/>
  <c r="AM74"/>
  <c r="AM70"/>
  <c r="AM66"/>
  <c r="AM62"/>
  <c r="AM58"/>
  <c r="AM54"/>
  <c r="AM50"/>
  <c r="AM76"/>
  <c r="AM72"/>
  <c r="AM68"/>
  <c r="AM64"/>
  <c r="AM60"/>
  <c r="AM56"/>
  <c r="AM52"/>
  <c r="AK75"/>
  <c r="AK71"/>
  <c r="AK67"/>
  <c r="AK63"/>
  <c r="AK59"/>
  <c r="AK55"/>
  <c r="AK51"/>
  <c r="AI74"/>
  <c r="AI70"/>
  <c r="AI66"/>
  <c r="AI62"/>
  <c r="AI58"/>
  <c r="AI54"/>
  <c r="AI50"/>
  <c r="AI76"/>
  <c r="AI72"/>
  <c r="AI68"/>
  <c r="AI64"/>
  <c r="AI60"/>
  <c r="AI56"/>
  <c r="AI52"/>
  <c r="AG75"/>
  <c r="AG71"/>
  <c r="AG67"/>
  <c r="AG63"/>
  <c r="AG59"/>
  <c r="AG55"/>
  <c r="AG51"/>
  <c r="AT74"/>
  <c r="AT70"/>
  <c r="AT66"/>
  <c r="AT62"/>
  <c r="AT58"/>
  <c r="AT54"/>
  <c r="AT50"/>
  <c r="AJ74"/>
  <c r="AJ70"/>
  <c r="AJ66"/>
  <c r="AJ62"/>
  <c r="AJ58"/>
  <c r="AJ54"/>
  <c r="AJ50"/>
  <c r="AZ76"/>
  <c r="AZ72"/>
  <c r="AZ68"/>
  <c r="AZ64"/>
  <c r="AZ60"/>
  <c r="AZ56"/>
  <c r="AZ52"/>
  <c r="AX75"/>
  <c r="AX71"/>
  <c r="AX67"/>
  <c r="AX63"/>
  <c r="AX59"/>
  <c r="AX55"/>
  <c r="AX51"/>
  <c r="AV76"/>
  <c r="AV72"/>
  <c r="AV68"/>
  <c r="AV64"/>
  <c r="AV60"/>
  <c r="AV56"/>
  <c r="AV52"/>
  <c r="AT75"/>
  <c r="AT71"/>
  <c r="AT67"/>
  <c r="AT63"/>
  <c r="AT59"/>
  <c r="AT55"/>
  <c r="AT51"/>
  <c r="AR76"/>
  <c r="AR72"/>
  <c r="AR68"/>
  <c r="AR64"/>
  <c r="AR60"/>
  <c r="AR56"/>
  <c r="AR52"/>
  <c r="AN75"/>
  <c r="AN71"/>
  <c r="AN67"/>
  <c r="AN63"/>
  <c r="AN59"/>
  <c r="AN55"/>
  <c r="AN51"/>
  <c r="AL76"/>
  <c r="AL72"/>
  <c r="AL68"/>
  <c r="AL64"/>
  <c r="AL60"/>
  <c r="AL56"/>
  <c r="AL52"/>
  <c r="AJ76"/>
  <c r="AJ72"/>
  <c r="AJ68"/>
  <c r="AJ64"/>
  <c r="AJ60"/>
  <c r="AJ56"/>
  <c r="AJ52"/>
  <c r="AH76"/>
  <c r="AH72"/>
  <c r="AH68"/>
  <c r="AH64"/>
  <c r="AH60"/>
  <c r="AH56"/>
  <c r="AH52"/>
  <c r="AF76"/>
  <c r="AF72"/>
  <c r="AF68"/>
  <c r="AF64"/>
  <c r="AF60"/>
  <c r="AF56"/>
  <c r="AF52"/>
  <c r="AY76"/>
  <c r="AY72"/>
  <c r="AY68"/>
  <c r="AY64"/>
  <c r="AY60"/>
  <c r="AY56"/>
  <c r="AY52"/>
  <c r="AY75"/>
  <c r="AY71"/>
  <c r="AY67"/>
  <c r="AY63"/>
  <c r="AY59"/>
  <c r="AY55"/>
  <c r="AY51"/>
  <c r="M89"/>
  <c r="M91" s="1"/>
  <c r="BA74"/>
  <c r="BA70"/>
  <c r="BA66"/>
  <c r="BA62"/>
  <c r="BA58"/>
  <c r="BA54"/>
  <c r="BA50"/>
  <c r="AW75"/>
  <c r="AW71"/>
  <c r="AW67"/>
  <c r="AW63"/>
  <c r="AW59"/>
  <c r="AW55"/>
  <c r="AW51"/>
  <c r="AU74"/>
  <c r="AU70"/>
  <c r="AU66"/>
  <c r="AU62"/>
  <c r="AU58"/>
  <c r="AU54"/>
  <c r="AU50"/>
  <c r="AU76"/>
  <c r="AU72"/>
  <c r="AU68"/>
  <c r="AU64"/>
  <c r="AU60"/>
  <c r="AU56"/>
  <c r="AU52"/>
  <c r="AS75"/>
  <c r="AS71"/>
  <c r="AS67"/>
  <c r="AS63"/>
  <c r="AS59"/>
  <c r="AS55"/>
  <c r="AS51"/>
  <c r="AO74"/>
  <c r="AO70"/>
  <c r="AO66"/>
  <c r="AO62"/>
  <c r="AO58"/>
  <c r="AO54"/>
  <c r="AO50"/>
  <c r="AO76"/>
  <c r="AO72"/>
  <c r="AO68"/>
  <c r="AO64"/>
  <c r="AO60"/>
  <c r="AO56"/>
  <c r="AO52"/>
  <c r="AM75"/>
  <c r="AM71"/>
  <c r="AM67"/>
  <c r="AM63"/>
  <c r="AM59"/>
  <c r="AM55"/>
  <c r="AM51"/>
  <c r="AK74"/>
  <c r="AK70"/>
  <c r="AK66"/>
  <c r="AK62"/>
  <c r="AK58"/>
  <c r="AK54"/>
  <c r="AK50"/>
  <c r="AK76"/>
  <c r="AK72"/>
  <c r="AK68"/>
  <c r="AK64"/>
  <c r="AK60"/>
  <c r="AK56"/>
  <c r="AK52"/>
  <c r="AI75"/>
  <c r="AI71"/>
  <c r="AI67"/>
  <c r="AI63"/>
  <c r="AI59"/>
  <c r="AI55"/>
  <c r="AI51"/>
  <c r="AG74"/>
  <c r="AG70"/>
  <c r="AG66"/>
  <c r="AG62"/>
  <c r="AG58"/>
  <c r="AG54"/>
  <c r="AG50"/>
  <c r="AG76"/>
  <c r="AG72"/>
  <c r="AG68"/>
  <c r="AG64"/>
  <c r="AG60"/>
  <c r="AG56"/>
  <c r="AG52"/>
  <c r="AX74"/>
  <c r="AX70"/>
  <c r="AX66"/>
  <c r="AX62"/>
  <c r="AX58"/>
  <c r="AX54"/>
  <c r="AX50"/>
  <c r="AN74"/>
  <c r="AN70"/>
  <c r="AN66"/>
  <c r="AN62"/>
  <c r="AN58"/>
  <c r="AN54"/>
  <c r="AN50"/>
  <c r="AF74"/>
  <c r="AF70"/>
  <c r="AF66"/>
  <c r="AF62"/>
  <c r="AF58"/>
  <c r="AF54"/>
  <c r="AF50"/>
  <c r="AA18" i="195"/>
  <c r="AA11"/>
  <c r="AZ75" i="196"/>
  <c r="AZ71"/>
  <c r="AZ67"/>
  <c r="AZ63"/>
  <c r="AZ59"/>
  <c r="AZ55"/>
  <c r="AZ51"/>
  <c r="AX76"/>
  <c r="AX72"/>
  <c r="AX68"/>
  <c r="AX64"/>
  <c r="AX60"/>
  <c r="AX56"/>
  <c r="AX52"/>
  <c r="AV75"/>
  <c r="AV71"/>
  <c r="AV67"/>
  <c r="AV63"/>
  <c r="AV59"/>
  <c r="AV55"/>
  <c r="AV51"/>
  <c r="AT76"/>
  <c r="AT72"/>
  <c r="AT68"/>
  <c r="AT64"/>
  <c r="AT60"/>
  <c r="AT56"/>
  <c r="AT52"/>
  <c r="AR75"/>
  <c r="AR71"/>
  <c r="AR67"/>
  <c r="AR63"/>
  <c r="AR59"/>
  <c r="AR55"/>
  <c r="AR51"/>
  <c r="AN76"/>
  <c r="AN72"/>
  <c r="AN68"/>
  <c r="AN64"/>
  <c r="AN60"/>
  <c r="AN56"/>
  <c r="AN52"/>
  <c r="AL75"/>
  <c r="AL71"/>
  <c r="AL67"/>
  <c r="AL63"/>
  <c r="AL59"/>
  <c r="AL55"/>
  <c r="AL51"/>
  <c r="AJ75"/>
  <c r="AJ71"/>
  <c r="AJ67"/>
  <c r="AJ63"/>
  <c r="AJ59"/>
  <c r="AJ55"/>
  <c r="AJ51"/>
  <c r="AH75"/>
  <c r="AH71"/>
  <c r="AH67"/>
  <c r="AH63"/>
  <c r="AH59"/>
  <c r="AH55"/>
  <c r="AH51"/>
  <c r="AF75"/>
  <c r="AF71"/>
  <c r="AF67"/>
  <c r="AF63"/>
  <c r="AF59"/>
  <c r="AF55"/>
  <c r="AF51"/>
  <c r="AY75" i="193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L89"/>
  <c r="M88"/>
  <c r="M89" s="1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BA75" i="190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M88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A12" i="189"/>
  <c r="AA13" s="1"/>
  <c r="AZ75" i="190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BA73" i="187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BA74"/>
  <c r="BA70"/>
  <c r="BA66"/>
  <c r="BA62"/>
  <c r="BA58"/>
  <c r="BA54"/>
  <c r="BA50"/>
  <c r="AY75"/>
  <c r="AY71"/>
  <c r="AY67"/>
  <c r="AY63"/>
  <c r="AY59"/>
  <c r="AY55"/>
  <c r="AY51"/>
  <c r="AW75"/>
  <c r="AW71"/>
  <c r="AW67"/>
  <c r="AW63"/>
  <c r="AW59"/>
  <c r="AW55"/>
  <c r="AW51"/>
  <c r="AU75"/>
  <c r="AU71"/>
  <c r="AU67"/>
  <c r="AU63"/>
  <c r="AU59"/>
  <c r="AU55"/>
  <c r="AU51"/>
  <c r="AS75"/>
  <c r="AS71"/>
  <c r="AS67"/>
  <c r="AS63"/>
  <c r="AS59"/>
  <c r="AS55"/>
  <c r="AS51"/>
  <c r="AO74"/>
  <c r="AO70"/>
  <c r="AO66"/>
  <c r="AO62"/>
  <c r="AO58"/>
  <c r="AO54"/>
  <c r="AO50"/>
  <c r="AM75"/>
  <c r="AM71"/>
  <c r="AM67"/>
  <c r="AM63"/>
  <c r="AM59"/>
  <c r="AM55"/>
  <c r="AM51"/>
  <c r="AK74"/>
  <c r="AK70"/>
  <c r="AK66"/>
  <c r="AK62"/>
  <c r="AK58"/>
  <c r="AK54"/>
  <c r="AK50"/>
  <c r="AI75"/>
  <c r="AI71"/>
  <c r="AI67"/>
  <c r="AI63"/>
  <c r="AI59"/>
  <c r="AI55"/>
  <c r="AI51"/>
  <c r="AG74"/>
  <c r="AG70"/>
  <c r="AG66"/>
  <c r="AG62"/>
  <c r="AG58"/>
  <c r="AG54"/>
  <c r="AG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AZ74"/>
  <c r="AZ70"/>
  <c r="AZ66"/>
  <c r="AZ62"/>
  <c r="AZ58"/>
  <c r="AZ54"/>
  <c r="AZ50"/>
  <c r="AX75"/>
  <c r="AX71"/>
  <c r="AX67"/>
  <c r="AX63"/>
  <c r="AX59"/>
  <c r="AX55"/>
  <c r="AX51"/>
  <c r="AV74"/>
  <c r="AV70"/>
  <c r="AV66"/>
  <c r="AV62"/>
  <c r="AV58"/>
  <c r="AV54"/>
  <c r="AV50"/>
  <c r="AT75"/>
  <c r="AT71"/>
  <c r="AT67"/>
  <c r="AT63"/>
  <c r="AT59"/>
  <c r="AT55"/>
  <c r="AT51"/>
  <c r="AR74"/>
  <c r="AR70"/>
  <c r="AR66"/>
  <c r="AR62"/>
  <c r="AR58"/>
  <c r="AR54"/>
  <c r="AR50"/>
  <c r="AN75"/>
  <c r="AN71"/>
  <c r="AN67"/>
  <c r="AN63"/>
  <c r="AN59"/>
  <c r="AN55"/>
  <c r="AN51"/>
  <c r="AL75"/>
  <c r="AL71"/>
  <c r="AL67"/>
  <c r="AL63"/>
  <c r="AL59"/>
  <c r="AL55"/>
  <c r="AL51"/>
  <c r="AJ75"/>
  <c r="AJ71"/>
  <c r="AJ67"/>
  <c r="AJ63"/>
  <c r="AJ59"/>
  <c r="AJ55"/>
  <c r="AJ51"/>
  <c r="AH75"/>
  <c r="AH71"/>
  <c r="AH67"/>
  <c r="AH63"/>
  <c r="AH59"/>
  <c r="AH55"/>
  <c r="AH51"/>
  <c r="AF75"/>
  <c r="AF71"/>
  <c r="AF67"/>
  <c r="AF63"/>
  <c r="AF59"/>
  <c r="AF55"/>
  <c r="AF51"/>
  <c r="M88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BA75"/>
  <c r="BA71"/>
  <c r="BA67"/>
  <c r="BA63"/>
  <c r="BA59"/>
  <c r="BA55"/>
  <c r="BA51"/>
  <c r="AY74"/>
  <c r="AY70"/>
  <c r="AY66"/>
  <c r="AY62"/>
  <c r="AY58"/>
  <c r="AY54"/>
  <c r="AY50"/>
  <c r="AW74"/>
  <c r="AW70"/>
  <c r="AW66"/>
  <c r="AW62"/>
  <c r="AW58"/>
  <c r="AW54"/>
  <c r="AW50"/>
  <c r="AU74"/>
  <c r="AU70"/>
  <c r="AU66"/>
  <c r="AU62"/>
  <c r="AU58"/>
  <c r="AU54"/>
  <c r="AU50"/>
  <c r="AS74"/>
  <c r="AS70"/>
  <c r="AS66"/>
  <c r="AS62"/>
  <c r="AS58"/>
  <c r="AS54"/>
  <c r="AS50"/>
  <c r="AO75"/>
  <c r="AO71"/>
  <c r="AO67"/>
  <c r="AO63"/>
  <c r="AO59"/>
  <c r="AO55"/>
  <c r="AO51"/>
  <c r="AM74"/>
  <c r="AM70"/>
  <c r="AM66"/>
  <c r="AM62"/>
  <c r="AM58"/>
  <c r="AM54"/>
  <c r="AM50"/>
  <c r="AK75"/>
  <c r="AK71"/>
  <c r="AK67"/>
  <c r="AK63"/>
  <c r="AK59"/>
  <c r="AK55"/>
  <c r="AK51"/>
  <c r="AI74"/>
  <c r="AI70"/>
  <c r="AI66"/>
  <c r="AI62"/>
  <c r="AI58"/>
  <c r="AI54"/>
  <c r="AI50"/>
  <c r="AG75"/>
  <c r="AG71"/>
  <c r="AG67"/>
  <c r="AG63"/>
  <c r="AG59"/>
  <c r="AG55"/>
  <c r="AG51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A13" i="186"/>
  <c r="AZ75" i="187"/>
  <c r="AZ71"/>
  <c r="AZ67"/>
  <c r="AZ63"/>
  <c r="AZ59"/>
  <c r="AZ55"/>
  <c r="AZ51"/>
  <c r="AX74"/>
  <c r="AX70"/>
  <c r="AX66"/>
  <c r="AX62"/>
  <c r="AX58"/>
  <c r="AX54"/>
  <c r="AX50"/>
  <c r="AV75"/>
  <c r="AV71"/>
  <c r="AV67"/>
  <c r="AV63"/>
  <c r="AV59"/>
  <c r="AV55"/>
  <c r="AV51"/>
  <c r="AT74"/>
  <c r="AT70"/>
  <c r="AT66"/>
  <c r="AT62"/>
  <c r="AT58"/>
  <c r="AT54"/>
  <c r="AT50"/>
  <c r="AR75"/>
  <c r="AR71"/>
  <c r="AR67"/>
  <c r="AR63"/>
  <c r="AR59"/>
  <c r="AR55"/>
  <c r="AR51"/>
  <c r="AN74"/>
  <c r="AN70"/>
  <c r="AN66"/>
  <c r="AN62"/>
  <c r="AN58"/>
  <c r="AN54"/>
  <c r="AN50"/>
  <c r="AL74"/>
  <c r="AL70"/>
  <c r="AL66"/>
  <c r="AL62"/>
  <c r="AL58"/>
  <c r="AL54"/>
  <c r="AL50"/>
  <c r="AJ74"/>
  <c r="AJ70"/>
  <c r="AJ66"/>
  <c r="AJ62"/>
  <c r="AJ58"/>
  <c r="AJ54"/>
  <c r="AJ50"/>
  <c r="AH74"/>
  <c r="AH70"/>
  <c r="AH66"/>
  <c r="AH62"/>
  <c r="AH58"/>
  <c r="AH54"/>
  <c r="AH50"/>
  <c r="AF74"/>
  <c r="AF70"/>
  <c r="AF66"/>
  <c r="AF62"/>
  <c r="AF58"/>
  <c r="AF54"/>
  <c r="AF50"/>
  <c r="AY77" i="79"/>
  <c r="AY73"/>
  <c r="AY69"/>
  <c r="AY65"/>
  <c r="AY61"/>
  <c r="AY57"/>
  <c r="AY53"/>
  <c r="AU77"/>
  <c r="AU73"/>
  <c r="AU69"/>
  <c r="AU65"/>
  <c r="AU61"/>
  <c r="AU57"/>
  <c r="AU53"/>
  <c r="AO77"/>
  <c r="AO73"/>
  <c r="AO69"/>
  <c r="AO65"/>
  <c r="AO61"/>
  <c r="AO57"/>
  <c r="AO53"/>
  <c r="AK77"/>
  <c r="AK73"/>
  <c r="AK69"/>
  <c r="AK65"/>
  <c r="AK61"/>
  <c r="AK57"/>
  <c r="AK53"/>
  <c r="AG77"/>
  <c r="AG73"/>
  <c r="AG69"/>
  <c r="AG65"/>
  <c r="AG61"/>
  <c r="AG57"/>
  <c r="AG53"/>
  <c r="AY76"/>
  <c r="AY72"/>
  <c r="AY68"/>
  <c r="AY64"/>
  <c r="AY60"/>
  <c r="AY56"/>
  <c r="AY52"/>
  <c r="AU76"/>
  <c r="AU72"/>
  <c r="AU68"/>
  <c r="AU64"/>
  <c r="AU60"/>
  <c r="AU56"/>
  <c r="AU52"/>
  <c r="AO76"/>
  <c r="AO72"/>
  <c r="AO68"/>
  <c r="AO64"/>
  <c r="AO60"/>
  <c r="AO56"/>
  <c r="AO52"/>
  <c r="AK76"/>
  <c r="AK72"/>
  <c r="AK68"/>
  <c r="AK64"/>
  <c r="AK60"/>
  <c r="AK56"/>
  <c r="AK52"/>
  <c r="AG76"/>
  <c r="AG72"/>
  <c r="AG68"/>
  <c r="AG64"/>
  <c r="AG60"/>
  <c r="AG56"/>
  <c r="AG52"/>
  <c r="AX75"/>
  <c r="AX71"/>
  <c r="AX67"/>
  <c r="AX63"/>
  <c r="AX59"/>
  <c r="AX55"/>
  <c r="AX51"/>
  <c r="AT75"/>
  <c r="AT71"/>
  <c r="AT67"/>
  <c r="AT63"/>
  <c r="AT59"/>
  <c r="AT55"/>
  <c r="AT51"/>
  <c r="AN75"/>
  <c r="AN71"/>
  <c r="AN67"/>
  <c r="AN63"/>
  <c r="AN59"/>
  <c r="AN55"/>
  <c r="AN51"/>
  <c r="AJ75"/>
  <c r="AJ71"/>
  <c r="AJ67"/>
  <c r="AJ63"/>
  <c r="AJ59"/>
  <c r="AJ55"/>
  <c r="AJ51"/>
  <c r="AF75"/>
  <c r="AF71"/>
  <c r="AF67"/>
  <c r="AF63"/>
  <c r="AF59"/>
  <c r="AF55"/>
  <c r="AF51"/>
  <c r="AX77"/>
  <c r="AX73"/>
  <c r="AX69"/>
  <c r="AX65"/>
  <c r="AX61"/>
  <c r="AX57"/>
  <c r="AX53"/>
  <c r="AT77"/>
  <c r="AT73"/>
  <c r="AT69"/>
  <c r="AT65"/>
  <c r="AT61"/>
  <c r="AT57"/>
  <c r="AT53"/>
  <c r="AN77"/>
  <c r="AN73"/>
  <c r="AN69"/>
  <c r="AN65"/>
  <c r="AN61"/>
  <c r="AN57"/>
  <c r="AN53"/>
  <c r="AJ77"/>
  <c r="AJ73"/>
  <c r="AJ69"/>
  <c r="AJ65"/>
  <c r="AJ61"/>
  <c r="AJ57"/>
  <c r="AJ53"/>
  <c r="AF77"/>
  <c r="AF73"/>
  <c r="AF69"/>
  <c r="AF65"/>
  <c r="AF61"/>
  <c r="AF57"/>
  <c r="AF53"/>
  <c r="AX76"/>
  <c r="AX72"/>
  <c r="AX68"/>
  <c r="AX64"/>
  <c r="AX60"/>
  <c r="AX56"/>
  <c r="AX52"/>
  <c r="AT76"/>
  <c r="AT72"/>
  <c r="AT68"/>
  <c r="AT64"/>
  <c r="AT60"/>
  <c r="AT56"/>
  <c r="AT52"/>
  <c r="AN76"/>
  <c r="AN72"/>
  <c r="AN68"/>
  <c r="AN64"/>
  <c r="AN60"/>
  <c r="AN56"/>
  <c r="AN52"/>
  <c r="AJ76"/>
  <c r="AJ72"/>
  <c r="AJ68"/>
  <c r="AJ64"/>
  <c r="AJ60"/>
  <c r="AJ56"/>
  <c r="AJ52"/>
  <c r="AF76"/>
  <c r="AF72"/>
  <c r="AF68"/>
  <c r="AF64"/>
  <c r="AF60"/>
  <c r="AF56"/>
  <c r="AF52"/>
  <c r="AY75"/>
  <c r="AY71"/>
  <c r="AY67"/>
  <c r="AY63"/>
  <c r="AY59"/>
  <c r="AY55"/>
  <c r="AY51"/>
  <c r="AU75"/>
  <c r="AU71"/>
  <c r="AU67"/>
  <c r="AU63"/>
  <c r="AU59"/>
  <c r="AU55"/>
  <c r="AU51"/>
  <c r="AO75"/>
  <c r="AO71"/>
  <c r="AO67"/>
  <c r="AO63"/>
  <c r="AO59"/>
  <c r="AO55"/>
  <c r="AO51"/>
  <c r="AK75"/>
  <c r="AK71"/>
  <c r="AK67"/>
  <c r="AK63"/>
  <c r="AK59"/>
  <c r="AK55"/>
  <c r="AK51"/>
  <c r="AG75"/>
  <c r="AG71"/>
  <c r="AG67"/>
  <c r="AG63"/>
  <c r="AG59"/>
  <c r="AG55"/>
  <c r="AG51"/>
  <c r="BA77"/>
  <c r="BA73"/>
  <c r="BA69"/>
  <c r="BA65"/>
  <c r="BA61"/>
  <c r="BA57"/>
  <c r="BA53"/>
  <c r="AW77"/>
  <c r="AW73"/>
  <c r="AW69"/>
  <c r="AW65"/>
  <c r="AW61"/>
  <c r="AW57"/>
  <c r="AW53"/>
  <c r="AS77"/>
  <c r="AS73"/>
  <c r="AS69"/>
  <c r="AS65"/>
  <c r="AS61"/>
  <c r="AS57"/>
  <c r="AS53"/>
  <c r="AM77"/>
  <c r="AM73"/>
  <c r="AM69"/>
  <c r="AM65"/>
  <c r="AM61"/>
  <c r="AM57"/>
  <c r="AM53"/>
  <c r="AI77"/>
  <c r="AI73"/>
  <c r="AI69"/>
  <c r="AI65"/>
  <c r="AI61"/>
  <c r="AI57"/>
  <c r="AI53"/>
  <c r="BA76"/>
  <c r="BA72"/>
  <c r="BA68"/>
  <c r="BA64"/>
  <c r="BA60"/>
  <c r="BA56"/>
  <c r="BA52"/>
  <c r="AW76"/>
  <c r="AW72"/>
  <c r="AW68"/>
  <c r="AW64"/>
  <c r="AW60"/>
  <c r="AW56"/>
  <c r="AW52"/>
  <c r="AS76"/>
  <c r="AS72"/>
  <c r="AS68"/>
  <c r="AS64"/>
  <c r="AS60"/>
  <c r="AS56"/>
  <c r="AS52"/>
  <c r="AM76"/>
  <c r="AM72"/>
  <c r="AM68"/>
  <c r="AM64"/>
  <c r="AM60"/>
  <c r="AM56"/>
  <c r="AM52"/>
  <c r="AI76"/>
  <c r="AI72"/>
  <c r="AI68"/>
  <c r="AI64"/>
  <c r="AI60"/>
  <c r="AI56"/>
  <c r="AI52"/>
  <c r="AZ75"/>
  <c r="AZ71"/>
  <c r="AZ67"/>
  <c r="AZ63"/>
  <c r="AZ59"/>
  <c r="AZ55"/>
  <c r="AZ51"/>
  <c r="AV75"/>
  <c r="AV71"/>
  <c r="AV67"/>
  <c r="AV63"/>
  <c r="AV59"/>
  <c r="AV55"/>
  <c r="AV51"/>
  <c r="AR75"/>
  <c r="AR71"/>
  <c r="AR67"/>
  <c r="AR63"/>
  <c r="AR59"/>
  <c r="AR55"/>
  <c r="AR51"/>
  <c r="AL75"/>
  <c r="AL71"/>
  <c r="AL67"/>
  <c r="AL63"/>
  <c r="AL59"/>
  <c r="AL55"/>
  <c r="AL51"/>
  <c r="AH75"/>
  <c r="AH71"/>
  <c r="AH67"/>
  <c r="AH63"/>
  <c r="AH59"/>
  <c r="AH55"/>
  <c r="AH51"/>
  <c r="L93"/>
  <c r="M93"/>
  <c r="AZ77"/>
  <c r="AZ73"/>
  <c r="AZ69"/>
  <c r="AZ65"/>
  <c r="AZ61"/>
  <c r="AZ57"/>
  <c r="AZ53"/>
  <c r="AV77"/>
  <c r="AV73"/>
  <c r="AV69"/>
  <c r="AV65"/>
  <c r="AV61"/>
  <c r="AV57"/>
  <c r="AV53"/>
  <c r="AR77"/>
  <c r="AR73"/>
  <c r="AR69"/>
  <c r="AR65"/>
  <c r="AR61"/>
  <c r="AR57"/>
  <c r="AR53"/>
  <c r="AL77"/>
  <c r="AL73"/>
  <c r="AL69"/>
  <c r="AL65"/>
  <c r="AL61"/>
  <c r="AL57"/>
  <c r="AL53"/>
  <c r="AH77"/>
  <c r="AH73"/>
  <c r="AH69"/>
  <c r="AH65"/>
  <c r="AH61"/>
  <c r="AH57"/>
  <c r="AH53"/>
  <c r="AZ76"/>
  <c r="AZ72"/>
  <c r="AZ68"/>
  <c r="AZ64"/>
  <c r="AZ60"/>
  <c r="AZ56"/>
  <c r="AZ52"/>
  <c r="AV76"/>
  <c r="AV72"/>
  <c r="AV68"/>
  <c r="AV64"/>
  <c r="AV60"/>
  <c r="AV56"/>
  <c r="AV52"/>
  <c r="AR76"/>
  <c r="AR72"/>
  <c r="AR68"/>
  <c r="AR64"/>
  <c r="AR60"/>
  <c r="AR56"/>
  <c r="AR52"/>
  <c r="AL76"/>
  <c r="AL72"/>
  <c r="AL68"/>
  <c r="AL64"/>
  <c r="AL60"/>
  <c r="AL56"/>
  <c r="AL52"/>
  <c r="AH76"/>
  <c r="AH72"/>
  <c r="AH68"/>
  <c r="AH64"/>
  <c r="AH60"/>
  <c r="AH56"/>
  <c r="AH52"/>
  <c r="BA75"/>
  <c r="BA71"/>
  <c r="BA67"/>
  <c r="BA63"/>
  <c r="BA59"/>
  <c r="BA55"/>
  <c r="BA51"/>
  <c r="AW75"/>
  <c r="AW71"/>
  <c r="AW67"/>
  <c r="AW63"/>
  <c r="AW59"/>
  <c r="AW55"/>
  <c r="AW51"/>
  <c r="AS75"/>
  <c r="AS71"/>
  <c r="AS67"/>
  <c r="AS63"/>
  <c r="AS59"/>
  <c r="AS55"/>
  <c r="AS51"/>
  <c r="AM75"/>
  <c r="AM71"/>
  <c r="AM67"/>
  <c r="AM63"/>
  <c r="AM59"/>
  <c r="AM55"/>
  <c r="AM51"/>
  <c r="AI75"/>
  <c r="AI71"/>
  <c r="AI67"/>
  <c r="AI63"/>
  <c r="AI59"/>
  <c r="AI55"/>
  <c r="AI51"/>
  <c r="BA74" i="76"/>
  <c r="BA70"/>
  <c r="BA66"/>
  <c r="BA62"/>
  <c r="BA58"/>
  <c r="BA54"/>
  <c r="BA50"/>
  <c r="AW74"/>
  <c r="AW70"/>
  <c r="AW66"/>
  <c r="AW62"/>
  <c r="AW58"/>
  <c r="AW54"/>
  <c r="AW50"/>
  <c r="AS74"/>
  <c r="AS70"/>
  <c r="AS66"/>
  <c r="AS62"/>
  <c r="AS58"/>
  <c r="AS54"/>
  <c r="AS50"/>
  <c r="AM74"/>
  <c r="AM70"/>
  <c r="AM66"/>
  <c r="AM62"/>
  <c r="AM58"/>
  <c r="AM54"/>
  <c r="AM50"/>
  <c r="AI74"/>
  <c r="AI70"/>
  <c r="AI66"/>
  <c r="AI62"/>
  <c r="AI58"/>
  <c r="AI54"/>
  <c r="AI50"/>
  <c r="BA73"/>
  <c r="BA69"/>
  <c r="BA65"/>
  <c r="BA61"/>
  <c r="BA57"/>
  <c r="BA53"/>
  <c r="BA49"/>
  <c r="AW73"/>
  <c r="AW69"/>
  <c r="AW65"/>
  <c r="AW61"/>
  <c r="AW57"/>
  <c r="AW53"/>
  <c r="AW49"/>
  <c r="AS73"/>
  <c r="AS69"/>
  <c r="AS65"/>
  <c r="AS61"/>
  <c r="AS57"/>
  <c r="AS53"/>
  <c r="AS49"/>
  <c r="AM73"/>
  <c r="AM69"/>
  <c r="AM65"/>
  <c r="AM61"/>
  <c r="AM57"/>
  <c r="AM53"/>
  <c r="AM49"/>
  <c r="AI73"/>
  <c r="AI69"/>
  <c r="AI65"/>
  <c r="AI61"/>
  <c r="AI57"/>
  <c r="AI53"/>
  <c r="AI49"/>
  <c r="AZ72"/>
  <c r="AZ68"/>
  <c r="AZ64"/>
  <c r="AZ60"/>
  <c r="AZ56"/>
  <c r="AZ52"/>
  <c r="AZ48"/>
  <c r="AV72"/>
  <c r="AV68"/>
  <c r="AV64"/>
  <c r="AV60"/>
  <c r="AV56"/>
  <c r="AV52"/>
  <c r="AV48"/>
  <c r="AR72"/>
  <c r="AR68"/>
  <c r="AR64"/>
  <c r="AR60"/>
  <c r="AR56"/>
  <c r="AR52"/>
  <c r="AR48"/>
  <c r="AL72"/>
  <c r="AL68"/>
  <c r="AL64"/>
  <c r="AL60"/>
  <c r="AL56"/>
  <c r="AL52"/>
  <c r="AL48"/>
  <c r="AH72"/>
  <c r="AH68"/>
  <c r="AH64"/>
  <c r="AH60"/>
  <c r="AH56"/>
  <c r="AH52"/>
  <c r="AH48"/>
  <c r="AZ74"/>
  <c r="AZ70"/>
  <c r="AZ66"/>
  <c r="AZ62"/>
  <c r="AZ58"/>
  <c r="AZ54"/>
  <c r="AZ50"/>
  <c r="AV74"/>
  <c r="AV70"/>
  <c r="AV66"/>
  <c r="AV62"/>
  <c r="AV58"/>
  <c r="AV54"/>
  <c r="AV50"/>
  <c r="AR74"/>
  <c r="AR70"/>
  <c r="AR66"/>
  <c r="AR62"/>
  <c r="AR58"/>
  <c r="AR54"/>
  <c r="AR50"/>
  <c r="AL74"/>
  <c r="AL70"/>
  <c r="AL66"/>
  <c r="AL62"/>
  <c r="AL58"/>
  <c r="AL54"/>
  <c r="AL50"/>
  <c r="AH74"/>
  <c r="AH70"/>
  <c r="AH66"/>
  <c r="AH62"/>
  <c r="AH58"/>
  <c r="AH54"/>
  <c r="AH50"/>
  <c r="AZ73"/>
  <c r="AZ69"/>
  <c r="AZ65"/>
  <c r="AZ61"/>
  <c r="AZ57"/>
  <c r="AZ53"/>
  <c r="AZ49"/>
  <c r="AV73"/>
  <c r="AV69"/>
  <c r="AV65"/>
  <c r="AV61"/>
  <c r="AV57"/>
  <c r="AV53"/>
  <c r="AV49"/>
  <c r="AR73"/>
  <c r="AR69"/>
  <c r="AR65"/>
  <c r="AR61"/>
  <c r="AR57"/>
  <c r="AR53"/>
  <c r="AR49"/>
  <c r="AL73"/>
  <c r="AL69"/>
  <c r="AL65"/>
  <c r="AL61"/>
  <c r="AL57"/>
  <c r="AL53"/>
  <c r="AL49"/>
  <c r="AH73"/>
  <c r="AH69"/>
  <c r="AH65"/>
  <c r="AH61"/>
  <c r="AH57"/>
  <c r="AH53"/>
  <c r="AH49"/>
  <c r="BA72"/>
  <c r="BA68"/>
  <c r="BA64"/>
  <c r="BA60"/>
  <c r="BA56"/>
  <c r="BA52"/>
  <c r="BA48"/>
  <c r="AW72"/>
  <c r="AW68"/>
  <c r="AW64"/>
  <c r="AW60"/>
  <c r="AW56"/>
  <c r="AW52"/>
  <c r="AW48"/>
  <c r="AS72"/>
  <c r="AS68"/>
  <c r="AS64"/>
  <c r="AS60"/>
  <c r="AS56"/>
  <c r="AS52"/>
  <c r="AS48"/>
  <c r="AM72"/>
  <c r="AM68"/>
  <c r="AM64"/>
  <c r="AM60"/>
  <c r="AM56"/>
  <c r="AM52"/>
  <c r="AM48"/>
  <c r="AI72"/>
  <c r="AI68"/>
  <c r="AI64"/>
  <c r="AI60"/>
  <c r="AI56"/>
  <c r="AI52"/>
  <c r="AI48"/>
  <c r="AY74"/>
  <c r="AY70"/>
  <c r="AY66"/>
  <c r="AY62"/>
  <c r="AY58"/>
  <c r="AY54"/>
  <c r="AY50"/>
  <c r="AU74"/>
  <c r="AU70"/>
  <c r="AU66"/>
  <c r="AU62"/>
  <c r="AU58"/>
  <c r="AU54"/>
  <c r="AU50"/>
  <c r="AO74"/>
  <c r="AO70"/>
  <c r="AO66"/>
  <c r="AO62"/>
  <c r="AO58"/>
  <c r="AO54"/>
  <c r="AO50"/>
  <c r="AK74"/>
  <c r="AK70"/>
  <c r="AK66"/>
  <c r="AK62"/>
  <c r="AK58"/>
  <c r="AK54"/>
  <c r="AK50"/>
  <c r="AG74"/>
  <c r="AG70"/>
  <c r="AG66"/>
  <c r="AG62"/>
  <c r="AG58"/>
  <c r="AG54"/>
  <c r="AG50"/>
  <c r="AY73"/>
  <c r="AY69"/>
  <c r="AY65"/>
  <c r="AY61"/>
  <c r="AY57"/>
  <c r="AY53"/>
  <c r="AY49"/>
  <c r="AU73"/>
  <c r="AU69"/>
  <c r="AU65"/>
  <c r="AU61"/>
  <c r="AU57"/>
  <c r="AU53"/>
  <c r="AU49"/>
  <c r="AO73"/>
  <c r="AO69"/>
  <c r="AO65"/>
  <c r="AO61"/>
  <c r="AO57"/>
  <c r="AO53"/>
  <c r="AO49"/>
  <c r="AK73"/>
  <c r="AK69"/>
  <c r="AK65"/>
  <c r="AK61"/>
  <c r="AK57"/>
  <c r="AK53"/>
  <c r="AK49"/>
  <c r="AG73"/>
  <c r="AG69"/>
  <c r="AG65"/>
  <c r="AG61"/>
  <c r="AG57"/>
  <c r="AG53"/>
  <c r="AG49"/>
  <c r="AX72"/>
  <c r="AX68"/>
  <c r="AX64"/>
  <c r="AX60"/>
  <c r="AX56"/>
  <c r="AX52"/>
  <c r="AX48"/>
  <c r="AT72"/>
  <c r="AT68"/>
  <c r="AT64"/>
  <c r="AT60"/>
  <c r="AT56"/>
  <c r="AT52"/>
  <c r="AT48"/>
  <c r="AN72"/>
  <c r="AN68"/>
  <c r="AN64"/>
  <c r="AN60"/>
  <c r="AN56"/>
  <c r="AN52"/>
  <c r="AN48"/>
  <c r="AJ72"/>
  <c r="AJ68"/>
  <c r="AJ64"/>
  <c r="AJ60"/>
  <c r="AJ56"/>
  <c r="AJ52"/>
  <c r="AJ48"/>
  <c r="AF72"/>
  <c r="AF68"/>
  <c r="AF64"/>
  <c r="AF60"/>
  <c r="AF56"/>
  <c r="AF52"/>
  <c r="AF48"/>
  <c r="AX74"/>
  <c r="AX70"/>
  <c r="AX66"/>
  <c r="AX62"/>
  <c r="AX58"/>
  <c r="AX54"/>
  <c r="AX50"/>
  <c r="AT74"/>
  <c r="AT70"/>
  <c r="AT66"/>
  <c r="AT62"/>
  <c r="AT58"/>
  <c r="AT54"/>
  <c r="AT50"/>
  <c r="AN74"/>
  <c r="AN70"/>
  <c r="AN66"/>
  <c r="AN62"/>
  <c r="AN58"/>
  <c r="AN54"/>
  <c r="AN50"/>
  <c r="AJ74"/>
  <c r="AJ70"/>
  <c r="AJ66"/>
  <c r="AJ62"/>
  <c r="AJ58"/>
  <c r="AJ54"/>
  <c r="AJ50"/>
  <c r="AF74"/>
  <c r="AF70"/>
  <c r="AF66"/>
  <c r="AF62"/>
  <c r="AF58"/>
  <c r="AF54"/>
  <c r="AF50"/>
  <c r="AX73"/>
  <c r="AX69"/>
  <c r="AX65"/>
  <c r="AX61"/>
  <c r="AX57"/>
  <c r="AX53"/>
  <c r="AX49"/>
  <c r="AT73"/>
  <c r="AT69"/>
  <c r="AT65"/>
  <c r="AT61"/>
  <c r="AT57"/>
  <c r="AT53"/>
  <c r="AT49"/>
  <c r="AN73"/>
  <c r="AN69"/>
  <c r="AN65"/>
  <c r="AN61"/>
  <c r="AN57"/>
  <c r="AN53"/>
  <c r="AN49"/>
  <c r="AJ73"/>
  <c r="AJ69"/>
  <c r="AJ65"/>
  <c r="AJ61"/>
  <c r="AJ57"/>
  <c r="AJ53"/>
  <c r="AJ49"/>
  <c r="AF73"/>
  <c r="AF69"/>
  <c r="AF65"/>
  <c r="AF61"/>
  <c r="AF57"/>
  <c r="AF53"/>
  <c r="AF49"/>
  <c r="AY72"/>
  <c r="AY68"/>
  <c r="AY64"/>
  <c r="AY60"/>
  <c r="AY56"/>
  <c r="AY52"/>
  <c r="AY48"/>
  <c r="AU72"/>
  <c r="AU68"/>
  <c r="AU64"/>
  <c r="AU60"/>
  <c r="AU56"/>
  <c r="AU52"/>
  <c r="AU48"/>
  <c r="AO72"/>
  <c r="AO68"/>
  <c r="AO64"/>
  <c r="AO60"/>
  <c r="AO56"/>
  <c r="AO52"/>
  <c r="AO48"/>
  <c r="AK72"/>
  <c r="AK68"/>
  <c r="AK64"/>
  <c r="AK60"/>
  <c r="AK56"/>
  <c r="AK52"/>
  <c r="AK48"/>
  <c r="AG72"/>
  <c r="AG68"/>
  <c r="AG64"/>
  <c r="AG60"/>
  <c r="AG56"/>
  <c r="AG52"/>
  <c r="AG48"/>
  <c r="AA19" i="195" l="1"/>
  <c r="M89" i="190"/>
  <c r="Y16" i="50" l="1"/>
  <c r="Z16" s="1"/>
  <c r="Y15"/>
  <c r="Y14"/>
  <c r="Z14" s="1"/>
  <c r="Y13"/>
  <c r="Z13" s="1"/>
  <c r="Y12"/>
  <c r="Z12" s="1"/>
  <c r="Y11"/>
  <c r="Z11" s="1"/>
  <c r="Y10"/>
  <c r="Z10" s="1"/>
  <c r="Y4"/>
  <c r="Z4" s="1"/>
  <c r="Y5"/>
  <c r="Z5" s="1"/>
  <c r="Y6"/>
  <c r="Z6" s="1"/>
  <c r="Y7"/>
  <c r="Z7" s="1"/>
  <c r="Y8"/>
  <c r="Z8" s="1"/>
  <c r="Y9"/>
  <c r="AK16"/>
  <c r="AI16"/>
  <c r="AG16"/>
  <c r="AD16"/>
  <c r="AB16"/>
  <c r="AK15"/>
  <c r="AI15"/>
  <c r="AG15"/>
  <c r="AD15"/>
  <c r="AB15"/>
  <c r="Z15"/>
  <c r="AK14"/>
  <c r="AI14"/>
  <c r="AG14"/>
  <c r="AD14"/>
  <c r="AB14"/>
  <c r="AK13"/>
  <c r="AI13"/>
  <c r="AG13"/>
  <c r="AD13"/>
  <c r="AB13"/>
  <c r="AK12"/>
  <c r="AI12"/>
  <c r="AG12"/>
  <c r="AD12"/>
  <c r="AB12"/>
  <c r="AK11"/>
  <c r="AI11"/>
  <c r="AG11"/>
  <c r="AD11"/>
  <c r="AB11"/>
  <c r="AK10"/>
  <c r="AI10"/>
  <c r="AG10"/>
  <c r="AD10"/>
  <c r="AB10"/>
  <c r="AK9"/>
  <c r="AI9"/>
  <c r="AG9"/>
  <c r="AD9"/>
  <c r="AB9"/>
  <c r="Z9"/>
  <c r="AK8"/>
  <c r="AI8"/>
  <c r="AG8"/>
  <c r="AD8"/>
  <c r="AB8"/>
  <c r="AK7"/>
  <c r="AI7"/>
  <c r="AG7"/>
  <c r="AD7"/>
  <c r="AB7"/>
  <c r="AK6"/>
  <c r="AI6"/>
  <c r="AG6"/>
  <c r="AD6"/>
  <c r="AB6"/>
  <c r="AK5"/>
  <c r="AI5"/>
  <c r="AG5"/>
  <c r="AD5"/>
  <c r="AB5"/>
  <c r="AK4"/>
  <c r="AI4"/>
  <c r="AG4"/>
  <c r="AD4"/>
  <c r="AB4"/>
  <c r="AM16" l="1"/>
  <c r="AR4"/>
  <c r="AN4"/>
  <c r="AR5"/>
  <c r="AN5"/>
  <c r="AR6"/>
  <c r="F9" i="185"/>
  <c r="R9" s="1"/>
  <c r="AN6" i="50"/>
  <c r="F9" i="560" s="1"/>
  <c r="R9" s="1"/>
  <c r="AR7" i="50"/>
  <c r="AN7"/>
  <c r="AR8"/>
  <c r="F8" i="396"/>
  <c r="R8" s="1"/>
  <c r="F8" i="188"/>
  <c r="R8" s="1"/>
  <c r="F14" i="194"/>
  <c r="R14" s="1"/>
  <c r="AN8" i="50"/>
  <c r="AR9"/>
  <c r="F11" i="185"/>
  <c r="R11" s="1"/>
  <c r="AN9" i="50"/>
  <c r="F7" i="560" s="1"/>
  <c r="R7" s="1"/>
  <c r="AS10" i="50"/>
  <c r="I13" i="468"/>
  <c r="I17" i="194"/>
  <c r="AO10" i="50"/>
  <c r="G8" i="185"/>
  <c r="AM11" i="50"/>
  <c r="AS11"/>
  <c r="I8" i="185"/>
  <c r="AO11" i="50"/>
  <c r="AQ12"/>
  <c r="AM12"/>
  <c r="AS12"/>
  <c r="AO12"/>
  <c r="AQ13"/>
  <c r="AM13"/>
  <c r="AS13"/>
  <c r="AO13"/>
  <c r="AQ14"/>
  <c r="AM14"/>
  <c r="AS14"/>
  <c r="AO14"/>
  <c r="AQ15"/>
  <c r="AM15"/>
  <c r="AS15"/>
  <c r="AO15"/>
  <c r="AS16"/>
  <c r="AO16"/>
  <c r="G13" i="468"/>
  <c r="AM10" i="50"/>
  <c r="G17" i="194"/>
  <c r="AQ4" i="50"/>
  <c r="AM4"/>
  <c r="AS4"/>
  <c r="AO4"/>
  <c r="AQ5"/>
  <c r="AM5"/>
  <c r="AS5"/>
  <c r="AO5"/>
  <c r="AQ6"/>
  <c r="G9" i="185"/>
  <c r="AM6" i="50"/>
  <c r="G9" i="560" s="1"/>
  <c r="AS6" i="50"/>
  <c r="I9" i="185"/>
  <c r="AO6" i="50"/>
  <c r="I9" i="560" s="1"/>
  <c r="AS7" i="50"/>
  <c r="AO7"/>
  <c r="AQ8"/>
  <c r="G8" i="396"/>
  <c r="AM8" i="50"/>
  <c r="G10" i="560" s="1"/>
  <c r="G14" i="194"/>
  <c r="G8" i="188"/>
  <c r="AS8" i="50"/>
  <c r="I8" i="396"/>
  <c r="I8" i="188"/>
  <c r="I14" i="194"/>
  <c r="AO8" i="50"/>
  <c r="I10" i="560" s="1"/>
  <c r="G11" i="185"/>
  <c r="AM9" i="50"/>
  <c r="G7" i="560" s="1"/>
  <c r="AS9" i="50"/>
  <c r="I11" i="185"/>
  <c r="AO9" i="50"/>
  <c r="I7" i="560" s="1"/>
  <c r="AR10" i="50"/>
  <c r="R15" i="471"/>
  <c r="F13" i="468"/>
  <c r="R13" s="1"/>
  <c r="R16" s="1"/>
  <c r="R15" i="474"/>
  <c r="F17" i="194"/>
  <c r="R17" s="1"/>
  <c r="AN10" i="50"/>
  <c r="AR11"/>
  <c r="F8" i="185"/>
  <c r="R8" s="1"/>
  <c r="AN11" i="50"/>
  <c r="AR12"/>
  <c r="AN12"/>
  <c r="AR13"/>
  <c r="AN13"/>
  <c r="AR14"/>
  <c r="AN14"/>
  <c r="AR15"/>
  <c r="AN15"/>
  <c r="AR16"/>
  <c r="AN16"/>
  <c r="AM7"/>
  <c r="AQ11"/>
  <c r="AQ10"/>
  <c r="AQ9"/>
  <c r="AQ16"/>
  <c r="AQ7"/>
  <c r="J7" i="560" l="1"/>
  <c r="V7" s="1"/>
  <c r="U7"/>
  <c r="M10"/>
  <c r="Y10" s="1"/>
  <c r="S10"/>
  <c r="M9"/>
  <c r="Y9" s="1"/>
  <c r="S9"/>
  <c r="R9" i="814"/>
  <c r="R10" s="1"/>
  <c r="F10" i="560"/>
  <c r="R10" s="1"/>
  <c r="M7"/>
  <c r="Y7" s="1"/>
  <c r="Y11" s="1"/>
  <c r="Y13" s="1"/>
  <c r="BB26" i="817" s="1"/>
  <c r="S7" i="560"/>
  <c r="S11" s="1"/>
  <c r="S13" s="1"/>
  <c r="J10"/>
  <c r="V10" s="1"/>
  <c r="U10"/>
  <c r="J9"/>
  <c r="V9" s="1"/>
  <c r="U9"/>
  <c r="R11"/>
  <c r="R13" s="1"/>
  <c r="U9" i="814"/>
  <c r="U10" s="1"/>
  <c r="Y9"/>
  <c r="Y10" s="1"/>
  <c r="X29" i="817" s="1"/>
  <c r="AE29" s="1"/>
  <c r="S9" i="814"/>
  <c r="S10" s="1"/>
  <c r="V9"/>
  <c r="V10" s="1"/>
  <c r="I8" i="811"/>
  <c r="G12"/>
  <c r="G11"/>
  <c r="G10"/>
  <c r="I9"/>
  <c r="F12"/>
  <c r="R12" s="1"/>
  <c r="F11"/>
  <c r="R11" s="1"/>
  <c r="F10"/>
  <c r="R10" s="1"/>
  <c r="F9"/>
  <c r="R9" s="1"/>
  <c r="G8"/>
  <c r="I12"/>
  <c r="I11"/>
  <c r="I10"/>
  <c r="G9"/>
  <c r="F8"/>
  <c r="R8" s="1"/>
  <c r="G23" i="603"/>
  <c r="G20" i="591"/>
  <c r="G26" i="588"/>
  <c r="G23" i="606"/>
  <c r="G23" i="600"/>
  <c r="G26" i="591"/>
  <c r="G20" i="588"/>
  <c r="G26" i="585"/>
  <c r="G31" i="582"/>
  <c r="G21" i="579"/>
  <c r="G21" i="576"/>
  <c r="G20" i="585"/>
  <c r="G21" i="582"/>
  <c r="G31" i="579"/>
  <c r="G31" i="576"/>
  <c r="I16" i="657"/>
  <c r="I16" i="648"/>
  <c r="I14" i="639"/>
  <c r="I16" i="654"/>
  <c r="I16" i="651"/>
  <c r="I14" i="636"/>
  <c r="I14" i="624"/>
  <c r="I24" i="612"/>
  <c r="I27" i="603"/>
  <c r="I20"/>
  <c r="I21" i="597"/>
  <c r="I21" i="594"/>
  <c r="I27" i="588"/>
  <c r="I14" i="633"/>
  <c r="I14" i="627"/>
  <c r="I14" i="621"/>
  <c r="I14" i="618"/>
  <c r="I14" i="615"/>
  <c r="I24" i="609"/>
  <c r="I21" i="606"/>
  <c r="I27"/>
  <c r="I20" i="600"/>
  <c r="I27" i="591"/>
  <c r="I27" i="585"/>
  <c r="I28" i="582"/>
  <c r="I29" i="579"/>
  <c r="I22"/>
  <c r="I29" i="576"/>
  <c r="I22"/>
  <c r="I29" i="582"/>
  <c r="I22"/>
  <c r="I28" i="579"/>
  <c r="I28" i="576"/>
  <c r="I30" i="808"/>
  <c r="I14" i="585"/>
  <c r="I14" i="588"/>
  <c r="I8" i="624"/>
  <c r="I14" i="594"/>
  <c r="I14" i="597"/>
  <c r="I8" i="618"/>
  <c r="I8" i="627"/>
  <c r="I8" i="663"/>
  <c r="I8" i="657"/>
  <c r="I8" i="666"/>
  <c r="I8" i="669"/>
  <c r="I8" i="672"/>
  <c r="I8" i="675"/>
  <c r="I8" i="678"/>
  <c r="I8" i="726"/>
  <c r="I8" i="693"/>
  <c r="I8" i="699"/>
  <c r="I8" i="705"/>
  <c r="I8" i="711"/>
  <c r="I8" i="717"/>
  <c r="I8" i="723"/>
  <c r="I8" i="735"/>
  <c r="I8" i="690"/>
  <c r="I8" i="684"/>
  <c r="I8" i="681"/>
  <c r="I8" i="651"/>
  <c r="I8" i="648"/>
  <c r="I8" i="645"/>
  <c r="I8" i="633"/>
  <c r="I8" i="612"/>
  <c r="I14"/>
  <c r="I8" i="606"/>
  <c r="I8" i="600"/>
  <c r="I8" i="597"/>
  <c r="I8" i="582"/>
  <c r="I8" i="579"/>
  <c r="I8" i="576"/>
  <c r="I14" i="579"/>
  <c r="I14" i="582"/>
  <c r="I14" i="808"/>
  <c r="I14" i="603"/>
  <c r="I14" i="609"/>
  <c r="I8" i="591"/>
  <c r="I14" i="600"/>
  <c r="I8" i="621"/>
  <c r="I8" i="654"/>
  <c r="I8" i="660"/>
  <c r="I8" i="720"/>
  <c r="I8" i="732"/>
  <c r="I8" i="696"/>
  <c r="I8" i="702"/>
  <c r="I8" i="708"/>
  <c r="I8" i="714"/>
  <c r="I8" i="729"/>
  <c r="I8" i="747"/>
  <c r="I8" i="744"/>
  <c r="I8" i="741"/>
  <c r="I8" i="738"/>
  <c r="I8" i="687"/>
  <c r="I8" i="642"/>
  <c r="I8" i="639"/>
  <c r="I8" i="636"/>
  <c r="I8" i="615"/>
  <c r="I8" i="609"/>
  <c r="I14" i="606"/>
  <c r="I8" i="603"/>
  <c r="I8" i="594"/>
  <c r="I14" i="591"/>
  <c r="I8" i="588"/>
  <c r="I8" i="585"/>
  <c r="I14" i="576"/>
  <c r="I15" i="675"/>
  <c r="I15" i="672"/>
  <c r="I15" i="669"/>
  <c r="I15" i="666"/>
  <c r="I15" i="660"/>
  <c r="I15" i="657"/>
  <c r="I15" i="645"/>
  <c r="I16" i="639"/>
  <c r="I15" i="663"/>
  <c r="I15" i="654"/>
  <c r="I15" i="651"/>
  <c r="I15" i="648"/>
  <c r="I15" i="642"/>
  <c r="I16" i="636"/>
  <c r="I16" i="624"/>
  <c r="I26" i="612"/>
  <c r="I29" i="603"/>
  <c r="I21"/>
  <c r="I16" i="633"/>
  <c r="I16" i="627"/>
  <c r="I16" i="621"/>
  <c r="I16" i="618"/>
  <c r="I16" i="615"/>
  <c r="I26" i="609"/>
  <c r="I29" i="606"/>
  <c r="I20"/>
  <c r="I21" i="600"/>
  <c r="I14" i="663"/>
  <c r="I14" i="654"/>
  <c r="I14" i="651"/>
  <c r="I14" i="648"/>
  <c r="I14" i="642"/>
  <c r="I15" i="636"/>
  <c r="I22" i="675"/>
  <c r="I14"/>
  <c r="I22" i="672"/>
  <c r="I14"/>
  <c r="I22" i="669"/>
  <c r="I14"/>
  <c r="I22" i="666"/>
  <c r="I14"/>
  <c r="I14" i="660"/>
  <c r="I14" i="657"/>
  <c r="I14" i="645"/>
  <c r="I15" i="639"/>
  <c r="I15" i="633"/>
  <c r="I15" i="627"/>
  <c r="I15" i="621"/>
  <c r="I15" i="618"/>
  <c r="I15" i="615"/>
  <c r="I25" i="609"/>
  <c r="I28" i="606"/>
  <c r="I25" i="588"/>
  <c r="I15" i="624"/>
  <c r="I25" i="612"/>
  <c r="I28" i="603"/>
  <c r="I20" i="597"/>
  <c r="I20" i="594"/>
  <c r="I25" i="591"/>
  <c r="I25" i="585"/>
  <c r="I23" i="582"/>
  <c r="I23" i="579"/>
  <c r="I23" i="576"/>
  <c r="I10" i="738"/>
  <c r="I10" i="735"/>
  <c r="I10" i="729"/>
  <c r="I10" i="723"/>
  <c r="I10" i="717"/>
  <c r="I10" i="714"/>
  <c r="I10" i="711"/>
  <c r="I10" i="708"/>
  <c r="I10" i="705"/>
  <c r="I10" i="702"/>
  <c r="I10" i="699"/>
  <c r="I10" i="696"/>
  <c r="I10" i="693"/>
  <c r="I10" i="690"/>
  <c r="I10" i="687"/>
  <c r="I10" i="684"/>
  <c r="I10" i="747"/>
  <c r="I10" i="744"/>
  <c r="I10" i="741"/>
  <c r="I10" i="732"/>
  <c r="I10" i="726"/>
  <c r="I10" i="720"/>
  <c r="I10" i="678"/>
  <c r="I10" i="675"/>
  <c r="I10" i="672"/>
  <c r="I10" i="669"/>
  <c r="I10" i="666"/>
  <c r="I10" i="660"/>
  <c r="I10" i="657"/>
  <c r="I10" i="645"/>
  <c r="I10" i="681"/>
  <c r="I10" i="663"/>
  <c r="I10" i="654"/>
  <c r="I10" i="651"/>
  <c r="I10" i="648"/>
  <c r="I10" i="642"/>
  <c r="I10" i="639"/>
  <c r="I10" i="633"/>
  <c r="I10" i="627"/>
  <c r="I10" i="621"/>
  <c r="I10" i="618"/>
  <c r="I10" i="615"/>
  <c r="I16" i="612"/>
  <c r="I10"/>
  <c r="I10" i="609"/>
  <c r="I16" i="606"/>
  <c r="I10" i="603"/>
  <c r="I16" i="600"/>
  <c r="I16" i="597"/>
  <c r="I10"/>
  <c r="I16" i="594"/>
  <c r="I10" i="591"/>
  <c r="I10" i="636"/>
  <c r="I10" i="624"/>
  <c r="I16" i="609"/>
  <c r="I10" i="606"/>
  <c r="I16" i="603"/>
  <c r="I10" i="600"/>
  <c r="I10" i="594"/>
  <c r="I16" i="591"/>
  <c r="I16" i="588"/>
  <c r="I10"/>
  <c r="I10" i="585"/>
  <c r="I10" i="579"/>
  <c r="I10" i="576"/>
  <c r="I16" i="808"/>
  <c r="I16" i="585"/>
  <c r="I16" i="582"/>
  <c r="I10"/>
  <c r="I16" i="579"/>
  <c r="I16" i="576"/>
  <c r="G10" i="747"/>
  <c r="G10" i="744"/>
  <c r="G10" i="741"/>
  <c r="G10" i="732"/>
  <c r="G10" i="726"/>
  <c r="G10" i="720"/>
  <c r="G10" i="738"/>
  <c r="G10" i="735"/>
  <c r="G10" i="729"/>
  <c r="G10" i="723"/>
  <c r="G10" i="717"/>
  <c r="G10" i="714"/>
  <c r="G10" i="711"/>
  <c r="G10" i="708"/>
  <c r="G10" i="705"/>
  <c r="G10" i="702"/>
  <c r="G10" i="699"/>
  <c r="G10" i="696"/>
  <c r="G10" i="693"/>
  <c r="G10" i="690"/>
  <c r="G10" i="687"/>
  <c r="G10" i="684"/>
  <c r="G10" i="681"/>
  <c r="G10" i="663"/>
  <c r="G10" i="654"/>
  <c r="G10" i="651"/>
  <c r="G10" i="648"/>
  <c r="G10" i="642"/>
  <c r="G10" i="639"/>
  <c r="G10" i="678"/>
  <c r="G10" i="675"/>
  <c r="G10" i="672"/>
  <c r="G10" i="669"/>
  <c r="G10" i="666"/>
  <c r="G10" i="660"/>
  <c r="G10" i="657"/>
  <c r="G10" i="645"/>
  <c r="G10" i="636"/>
  <c r="G10" i="624"/>
  <c r="G16" i="609"/>
  <c r="G10" i="606"/>
  <c r="G16" i="603"/>
  <c r="G10" i="600"/>
  <c r="G10" i="594"/>
  <c r="G16" i="591"/>
  <c r="G16" i="588"/>
  <c r="G10"/>
  <c r="G10" i="633"/>
  <c r="G10" i="627"/>
  <c r="G10" i="621"/>
  <c r="G10" i="618"/>
  <c r="G10" i="615"/>
  <c r="G16" i="612"/>
  <c r="G10"/>
  <c r="G10" i="609"/>
  <c r="G16" i="606"/>
  <c r="G10" i="603"/>
  <c r="G16" i="600"/>
  <c r="G16" i="597"/>
  <c r="G10"/>
  <c r="G16" i="594"/>
  <c r="G10" i="591"/>
  <c r="G16" i="585"/>
  <c r="G16" i="582"/>
  <c r="G10"/>
  <c r="G16" i="579"/>
  <c r="G16" i="576"/>
  <c r="G10" i="585"/>
  <c r="G10" i="579"/>
  <c r="G10" i="576"/>
  <c r="G16" i="808"/>
  <c r="G20" i="582"/>
  <c r="G20" i="579"/>
  <c r="G20" i="576"/>
  <c r="F23" i="606"/>
  <c r="R23" s="1"/>
  <c r="F23" i="600"/>
  <c r="R23" s="1"/>
  <c r="F26" i="591"/>
  <c r="R26" s="1"/>
  <c r="F20" i="588"/>
  <c r="R20" s="1"/>
  <c r="R22" s="1"/>
  <c r="F23" i="603"/>
  <c r="R23" s="1"/>
  <c r="F20" i="591"/>
  <c r="R20" s="1"/>
  <c r="R22" s="1"/>
  <c r="F26" i="588"/>
  <c r="R26" s="1"/>
  <c r="F20" i="585"/>
  <c r="R20" s="1"/>
  <c r="R22" s="1"/>
  <c r="F21" i="582"/>
  <c r="R21" s="1"/>
  <c r="F31" i="579"/>
  <c r="R31" s="1"/>
  <c r="F31" i="576"/>
  <c r="R31" s="1"/>
  <c r="F26" i="585"/>
  <c r="R26" s="1"/>
  <c r="F31" i="582"/>
  <c r="R31" s="1"/>
  <c r="F21" i="579"/>
  <c r="R21" s="1"/>
  <c r="F21" i="576"/>
  <c r="R21" s="1"/>
  <c r="F15" i="675"/>
  <c r="R15" s="1"/>
  <c r="F15" i="672"/>
  <c r="R15" s="1"/>
  <c r="F15" i="669"/>
  <c r="R15" s="1"/>
  <c r="F15" i="666"/>
  <c r="R15" s="1"/>
  <c r="F15" i="660"/>
  <c r="R15" s="1"/>
  <c r="F15" i="657"/>
  <c r="R15" s="1"/>
  <c r="F15" i="645"/>
  <c r="R15" s="1"/>
  <c r="F16" i="639"/>
  <c r="R16" s="1"/>
  <c r="F15" i="663"/>
  <c r="R15" s="1"/>
  <c r="F15" i="654"/>
  <c r="R15" s="1"/>
  <c r="F15" i="651"/>
  <c r="R15" s="1"/>
  <c r="F15" i="648"/>
  <c r="R15" s="1"/>
  <c r="F15" i="642"/>
  <c r="R15" s="1"/>
  <c r="F16" i="636"/>
  <c r="R16" s="1"/>
  <c r="F16" i="624"/>
  <c r="R16" s="1"/>
  <c r="F26" i="612"/>
  <c r="R26" s="1"/>
  <c r="F29" i="603"/>
  <c r="R29" s="1"/>
  <c r="F21"/>
  <c r="R21" s="1"/>
  <c r="F16" i="633"/>
  <c r="R16" s="1"/>
  <c r="F16" i="627"/>
  <c r="R16" s="1"/>
  <c r="F16" i="621"/>
  <c r="R16" s="1"/>
  <c r="F16" i="618"/>
  <c r="R16" s="1"/>
  <c r="F16" i="615"/>
  <c r="R16" s="1"/>
  <c r="F26" i="609"/>
  <c r="R26" s="1"/>
  <c r="F29" i="606"/>
  <c r="R29" s="1"/>
  <c r="F20"/>
  <c r="R20" s="1"/>
  <c r="F21" i="600"/>
  <c r="R21" s="1"/>
  <c r="F14" i="663"/>
  <c r="R14" s="1"/>
  <c r="F14" i="654"/>
  <c r="R14" s="1"/>
  <c r="F14" i="651"/>
  <c r="R14" s="1"/>
  <c r="F14" i="648"/>
  <c r="R14" s="1"/>
  <c r="F14" i="642"/>
  <c r="R14" s="1"/>
  <c r="F15" i="636"/>
  <c r="R15" s="1"/>
  <c r="F22" i="675"/>
  <c r="R22" s="1"/>
  <c r="R23" s="1"/>
  <c r="F14"/>
  <c r="R14" s="1"/>
  <c r="R17" s="1"/>
  <c r="F22" i="672"/>
  <c r="R22" s="1"/>
  <c r="R23" s="1"/>
  <c r="F14"/>
  <c r="R14" s="1"/>
  <c r="F22" i="669"/>
  <c r="R22" s="1"/>
  <c r="R23" s="1"/>
  <c r="F14"/>
  <c r="R14" s="1"/>
  <c r="R17" s="1"/>
  <c r="F22" i="666"/>
  <c r="R22" s="1"/>
  <c r="R23" s="1"/>
  <c r="F14"/>
  <c r="R14" s="1"/>
  <c r="F14" i="660"/>
  <c r="R14" s="1"/>
  <c r="F14" i="657"/>
  <c r="R14" s="1"/>
  <c r="F14" i="645"/>
  <c r="R14" s="1"/>
  <c r="F15" i="639"/>
  <c r="R15" s="1"/>
  <c r="F15" i="633"/>
  <c r="R15" s="1"/>
  <c r="F15" i="627"/>
  <c r="R15" s="1"/>
  <c r="F15" i="621"/>
  <c r="R15" s="1"/>
  <c r="F15" i="618"/>
  <c r="R15" s="1"/>
  <c r="F15" i="615"/>
  <c r="R15" s="1"/>
  <c r="F25" i="609"/>
  <c r="R25" s="1"/>
  <c r="F28" i="606"/>
  <c r="R28" s="1"/>
  <c r="F25" i="588"/>
  <c r="R25" s="1"/>
  <c r="F15" i="624"/>
  <c r="R15" s="1"/>
  <c r="F25" i="612"/>
  <c r="R25" s="1"/>
  <c r="F28" i="603"/>
  <c r="R28" s="1"/>
  <c r="F20" i="597"/>
  <c r="R20" s="1"/>
  <c r="F20" i="594"/>
  <c r="R20" s="1"/>
  <c r="F25" i="591"/>
  <c r="R25" s="1"/>
  <c r="F25" i="585"/>
  <c r="R25" s="1"/>
  <c r="F23" i="582"/>
  <c r="R23" s="1"/>
  <c r="F23" i="579"/>
  <c r="R23" s="1"/>
  <c r="F23" i="576"/>
  <c r="R23" s="1"/>
  <c r="F20" i="579"/>
  <c r="R20" s="1"/>
  <c r="F20" i="576"/>
  <c r="R20" s="1"/>
  <c r="F20" i="582"/>
  <c r="R20" s="1"/>
  <c r="G15" i="663"/>
  <c r="G15" i="654"/>
  <c r="G15" i="651"/>
  <c r="G15" i="648"/>
  <c r="G15" i="642"/>
  <c r="G16" i="636"/>
  <c r="G15" i="675"/>
  <c r="G15" i="672"/>
  <c r="G15" i="669"/>
  <c r="G15" i="666"/>
  <c r="G15" i="660"/>
  <c r="G15" i="657"/>
  <c r="G15" i="645"/>
  <c r="G16" i="639"/>
  <c r="G16" i="633"/>
  <c r="G16" i="627"/>
  <c r="G16" i="621"/>
  <c r="G16" i="618"/>
  <c r="G16" i="615"/>
  <c r="G26" i="609"/>
  <c r="G29" i="606"/>
  <c r="G20"/>
  <c r="G21" i="600"/>
  <c r="G16" i="624"/>
  <c r="G26" i="612"/>
  <c r="G29" i="603"/>
  <c r="G21"/>
  <c r="I23" i="606"/>
  <c r="I23" i="600"/>
  <c r="I26" i="591"/>
  <c r="I20" i="588"/>
  <c r="I23" i="603"/>
  <c r="I20" i="591"/>
  <c r="I26" i="588"/>
  <c r="I20" i="585"/>
  <c r="I21" i="582"/>
  <c r="I31" i="579"/>
  <c r="I31" i="576"/>
  <c r="I26" i="585"/>
  <c r="I31" i="582"/>
  <c r="I21" i="579"/>
  <c r="I21" i="576"/>
  <c r="G16" i="654"/>
  <c r="G16" i="651"/>
  <c r="G14" i="636"/>
  <c r="G16" i="657"/>
  <c r="G16" i="648"/>
  <c r="G14" i="639"/>
  <c r="G14" i="633"/>
  <c r="G14" i="627"/>
  <c r="G14" i="621"/>
  <c r="G14" i="618"/>
  <c r="G14" i="615"/>
  <c r="G24" i="609"/>
  <c r="G21" i="606"/>
  <c r="G27"/>
  <c r="G20" i="600"/>
  <c r="G27" i="591"/>
  <c r="G27" i="585"/>
  <c r="G14" i="624"/>
  <c r="G24" i="612"/>
  <c r="G27" i="603"/>
  <c r="G20"/>
  <c r="G21" i="597"/>
  <c r="G21" i="594"/>
  <c r="G27" i="588"/>
  <c r="G29" i="582"/>
  <c r="G22"/>
  <c r="G28" i="579"/>
  <c r="G28" i="576"/>
  <c r="G30" i="808"/>
  <c r="G28" i="582"/>
  <c r="G29" i="579"/>
  <c r="G22"/>
  <c r="G29" i="576"/>
  <c r="G22"/>
  <c r="G8" i="582"/>
  <c r="G8" i="576"/>
  <c r="G8" i="606"/>
  <c r="G8" i="603"/>
  <c r="G14" i="606"/>
  <c r="G8" i="612"/>
  <c r="G8" i="615"/>
  <c r="G8" i="636"/>
  <c r="G8" i="642"/>
  <c r="G8" i="651"/>
  <c r="G8" i="744"/>
  <c r="G8" i="687"/>
  <c r="G8" i="738"/>
  <c r="G8" i="735"/>
  <c r="G8" i="720"/>
  <c r="G8" i="714"/>
  <c r="G8" i="711"/>
  <c r="G8" i="705"/>
  <c r="G8" i="696"/>
  <c r="G8" i="672"/>
  <c r="G8" i="666"/>
  <c r="G8" i="663"/>
  <c r="G8" i="657"/>
  <c r="G8" i="627"/>
  <c r="G8" i="624"/>
  <c r="G8" i="618"/>
  <c r="G14" i="603"/>
  <c r="G14" i="597"/>
  <c r="G14" i="594"/>
  <c r="G8" i="591"/>
  <c r="G14" i="588"/>
  <c r="G14" i="579"/>
  <c r="G14" i="576"/>
  <c r="G8" i="579"/>
  <c r="G8" i="585"/>
  <c r="G8" i="588"/>
  <c r="G14" i="591"/>
  <c r="G8" i="594"/>
  <c r="G8" i="600"/>
  <c r="G8" i="597"/>
  <c r="G8" i="609"/>
  <c r="G14" i="612"/>
  <c r="G8" i="633"/>
  <c r="G8" i="639"/>
  <c r="G8" i="648"/>
  <c r="G8" i="681"/>
  <c r="G8" i="645"/>
  <c r="G8" i="741"/>
  <c r="G8" i="747"/>
  <c r="G8" i="684"/>
  <c r="G8" i="690"/>
  <c r="G8" i="732"/>
  <c r="G8" i="729"/>
  <c r="G8" i="726"/>
  <c r="G8" i="723"/>
  <c r="G8" i="717"/>
  <c r="G8" i="708"/>
  <c r="G8" i="702"/>
  <c r="G8" i="699"/>
  <c r="G8" i="693"/>
  <c r="G8" i="678"/>
  <c r="G8" i="675"/>
  <c r="G8" i="669"/>
  <c r="G8" i="660"/>
  <c r="G8" i="654"/>
  <c r="G8" i="621"/>
  <c r="G14" i="609"/>
  <c r="G14" i="600"/>
  <c r="G14" i="585"/>
  <c r="G14" i="582"/>
  <c r="G14" i="808"/>
  <c r="G22" i="675"/>
  <c r="G14"/>
  <c r="G22" i="672"/>
  <c r="G14"/>
  <c r="G22" i="669"/>
  <c r="G14"/>
  <c r="G22" i="666"/>
  <c r="G14"/>
  <c r="G14" i="660"/>
  <c r="G14" i="657"/>
  <c r="G14" i="645"/>
  <c r="G15" i="639"/>
  <c r="G14" i="663"/>
  <c r="G14" i="654"/>
  <c r="G14" i="651"/>
  <c r="G14" i="648"/>
  <c r="G14" i="642"/>
  <c r="G15" i="636"/>
  <c r="G15" i="624"/>
  <c r="G25" i="612"/>
  <c r="G28" i="603"/>
  <c r="G20" i="597"/>
  <c r="G20" i="594"/>
  <c r="G25" i="591"/>
  <c r="G15" i="633"/>
  <c r="G15" i="627"/>
  <c r="G15" i="621"/>
  <c r="G15" i="618"/>
  <c r="G15" i="615"/>
  <c r="G25" i="609"/>
  <c r="G28" i="606"/>
  <c r="G25" i="588"/>
  <c r="G23" i="579"/>
  <c r="G23" i="576"/>
  <c r="G25" i="585"/>
  <c r="G23" i="582"/>
  <c r="I20" i="579"/>
  <c r="I20" i="576"/>
  <c r="I20" i="582"/>
  <c r="F16" i="657"/>
  <c r="R16" s="1"/>
  <c r="F16" i="648"/>
  <c r="R16" s="1"/>
  <c r="F14" i="639"/>
  <c r="R14" s="1"/>
  <c r="R18" s="1"/>
  <c r="F16" i="654"/>
  <c r="R16" s="1"/>
  <c r="F16" i="651"/>
  <c r="R16" s="1"/>
  <c r="F14" i="636"/>
  <c r="R14" s="1"/>
  <c r="F14" i="624"/>
  <c r="R14" s="1"/>
  <c r="R19" s="1"/>
  <c r="F24" i="612"/>
  <c r="R24" s="1"/>
  <c r="F27" i="603"/>
  <c r="R27" s="1"/>
  <c r="R31" s="1"/>
  <c r="F20"/>
  <c r="R20" s="1"/>
  <c r="R24" s="1"/>
  <c r="F21" i="597"/>
  <c r="R21" s="1"/>
  <c r="F21" i="594"/>
  <c r="R21" s="1"/>
  <c r="F27" i="588"/>
  <c r="R27" s="1"/>
  <c r="F14" i="633"/>
  <c r="R14" s="1"/>
  <c r="F14" i="627"/>
  <c r="R14" s="1"/>
  <c r="R18" s="1"/>
  <c r="F14" i="621"/>
  <c r="R14" s="1"/>
  <c r="F14" i="618"/>
  <c r="R14" s="1"/>
  <c r="R19" s="1"/>
  <c r="F14" i="615"/>
  <c r="R14" s="1"/>
  <c r="F24" i="609"/>
  <c r="R24" s="1"/>
  <c r="R28" s="1"/>
  <c r="F21" i="606"/>
  <c r="R21" s="1"/>
  <c r="F27"/>
  <c r="R27" s="1"/>
  <c r="R31" s="1"/>
  <c r="F20" i="600"/>
  <c r="R20" s="1"/>
  <c r="F27" i="591"/>
  <c r="R27" s="1"/>
  <c r="F27" i="585"/>
  <c r="R27" s="1"/>
  <c r="F28" i="582"/>
  <c r="R28" s="1"/>
  <c r="F29" i="579"/>
  <c r="R29" s="1"/>
  <c r="F22"/>
  <c r="R22" s="1"/>
  <c r="F8"/>
  <c r="R8" s="1"/>
  <c r="F29" i="576"/>
  <c r="R29" s="1"/>
  <c r="F22"/>
  <c r="R22" s="1"/>
  <c r="F29" i="582"/>
  <c r="R29" s="1"/>
  <c r="F22"/>
  <c r="R22" s="1"/>
  <c r="F28" i="579"/>
  <c r="R28" s="1"/>
  <c r="F28" i="576"/>
  <c r="R28" s="1"/>
  <c r="F30" i="808"/>
  <c r="R30" s="1"/>
  <c r="F8" i="747"/>
  <c r="R8" s="1"/>
  <c r="F8" i="744"/>
  <c r="R8" s="1"/>
  <c r="F8" i="741"/>
  <c r="R8" s="1"/>
  <c r="F8" i="738"/>
  <c r="R8" s="1"/>
  <c r="F8" i="735"/>
  <c r="R8" s="1"/>
  <c r="F8" i="726"/>
  <c r="R8" s="1"/>
  <c r="F8" i="720"/>
  <c r="R8" s="1"/>
  <c r="F8" i="714"/>
  <c r="R8" s="1"/>
  <c r="F8" i="711"/>
  <c r="R8" s="1"/>
  <c r="F8" i="705"/>
  <c r="R8" s="1"/>
  <c r="F8" i="702"/>
  <c r="R8" s="1"/>
  <c r="F8" i="699"/>
  <c r="R8" s="1"/>
  <c r="F8" i="696"/>
  <c r="R8" s="1"/>
  <c r="F8" i="687"/>
  <c r="R8" s="1"/>
  <c r="F8" i="678"/>
  <c r="R8" s="1"/>
  <c r="F8" i="672"/>
  <c r="R8" s="1"/>
  <c r="F8" i="660"/>
  <c r="R8" s="1"/>
  <c r="F8" i="657"/>
  <c r="R8" s="1"/>
  <c r="F8" i="654"/>
  <c r="R8" s="1"/>
  <c r="F8" i="642"/>
  <c r="R8" s="1"/>
  <c r="F8" i="639"/>
  <c r="R8" s="1"/>
  <c r="F8" i="636"/>
  <c r="R8" s="1"/>
  <c r="F8" i="627"/>
  <c r="R8" s="1"/>
  <c r="F8" i="621"/>
  <c r="R8" s="1"/>
  <c r="F8" i="615"/>
  <c r="R8" s="1"/>
  <c r="F8" i="609"/>
  <c r="R8" s="1"/>
  <c r="F8" i="606"/>
  <c r="R8" s="1"/>
  <c r="F14"/>
  <c r="R14" s="1"/>
  <c r="F8" i="603"/>
  <c r="R8" s="1"/>
  <c r="F8" i="600"/>
  <c r="R8" s="1"/>
  <c r="F8" i="597"/>
  <c r="R8" s="1"/>
  <c r="F8" i="594"/>
  <c r="R8" s="1"/>
  <c r="F14"/>
  <c r="R14" s="1"/>
  <c r="F14" i="591"/>
  <c r="R14" s="1"/>
  <c r="F8"/>
  <c r="R8" s="1"/>
  <c r="F14" i="588"/>
  <c r="R14" s="1"/>
  <c r="F8" i="585"/>
  <c r="R8" s="1"/>
  <c r="F14"/>
  <c r="R14" s="1"/>
  <c r="F8" i="582"/>
  <c r="R8" s="1"/>
  <c r="F14"/>
  <c r="R14" s="1"/>
  <c r="F14" i="579"/>
  <c r="R14" s="1"/>
  <c r="F8" i="576"/>
  <c r="R8" s="1"/>
  <c r="F14"/>
  <c r="R14" s="1"/>
  <c r="F8" i="732"/>
  <c r="R8" s="1"/>
  <c r="F8" i="729"/>
  <c r="R8" s="1"/>
  <c r="F8" i="723"/>
  <c r="R8" s="1"/>
  <c r="F8" i="717"/>
  <c r="R8" s="1"/>
  <c r="F8" i="708"/>
  <c r="R8" s="1"/>
  <c r="F8" i="693"/>
  <c r="R8" s="1"/>
  <c r="F8" i="690"/>
  <c r="R8" s="1"/>
  <c r="F8" i="684"/>
  <c r="R8" s="1"/>
  <c r="F8" i="681"/>
  <c r="R8" s="1"/>
  <c r="F8" i="675"/>
  <c r="R8" s="1"/>
  <c r="F8" i="669"/>
  <c r="R8" s="1"/>
  <c r="F8" i="666"/>
  <c r="R8" s="1"/>
  <c r="F8" i="663"/>
  <c r="R8" s="1"/>
  <c r="F8" i="651"/>
  <c r="R8" s="1"/>
  <c r="F8" i="648"/>
  <c r="R8" s="1"/>
  <c r="F8" i="645"/>
  <c r="R8" s="1"/>
  <c r="F8" i="633"/>
  <c r="R8" s="1"/>
  <c r="F8" i="624"/>
  <c r="R8" s="1"/>
  <c r="F8" i="618"/>
  <c r="R8" s="1"/>
  <c r="F8" i="612"/>
  <c r="R8" s="1"/>
  <c r="F14"/>
  <c r="R14" s="1"/>
  <c r="F14" i="609"/>
  <c r="R14" s="1"/>
  <c r="F14" i="603"/>
  <c r="R14" s="1"/>
  <c r="F14" i="600"/>
  <c r="R14" s="1"/>
  <c r="F14" i="597"/>
  <c r="R14" s="1"/>
  <c r="F8" i="588"/>
  <c r="R8" s="1"/>
  <c r="F14" i="808"/>
  <c r="R14" s="1"/>
  <c r="F10" i="738"/>
  <c r="R10" s="1"/>
  <c r="F10" i="735"/>
  <c r="R10" s="1"/>
  <c r="F10" i="729"/>
  <c r="R10" s="1"/>
  <c r="F10" i="723"/>
  <c r="R10" s="1"/>
  <c r="F10" i="717"/>
  <c r="R10" s="1"/>
  <c r="F10" i="714"/>
  <c r="R10" s="1"/>
  <c r="F10" i="711"/>
  <c r="R10" s="1"/>
  <c r="F10" i="708"/>
  <c r="R10" s="1"/>
  <c r="F10" i="705"/>
  <c r="R10" s="1"/>
  <c r="F10" i="702"/>
  <c r="R10" s="1"/>
  <c r="F10" i="699"/>
  <c r="R10" s="1"/>
  <c r="F10" i="696"/>
  <c r="R10" s="1"/>
  <c r="F10" i="693"/>
  <c r="R10" s="1"/>
  <c r="F10" i="690"/>
  <c r="R10" s="1"/>
  <c r="F10" i="687"/>
  <c r="R10" s="1"/>
  <c r="F10" i="684"/>
  <c r="R10" s="1"/>
  <c r="F10" i="747"/>
  <c r="R10" s="1"/>
  <c r="F10" i="744"/>
  <c r="R10" s="1"/>
  <c r="F10" i="741"/>
  <c r="R10" s="1"/>
  <c r="F10" i="732"/>
  <c r="R10" s="1"/>
  <c r="F10" i="726"/>
  <c r="R10" s="1"/>
  <c r="F10" i="720"/>
  <c r="R10" s="1"/>
  <c r="F10" i="678"/>
  <c r="R10" s="1"/>
  <c r="F10" i="675"/>
  <c r="R10" s="1"/>
  <c r="F10" i="672"/>
  <c r="R10" s="1"/>
  <c r="F10" i="669"/>
  <c r="R10" s="1"/>
  <c r="F10" i="666"/>
  <c r="R10" s="1"/>
  <c r="F10" i="660"/>
  <c r="R10" s="1"/>
  <c r="F10" i="657"/>
  <c r="R10" s="1"/>
  <c r="F10" i="645"/>
  <c r="R10" s="1"/>
  <c r="F10" i="681"/>
  <c r="R10" s="1"/>
  <c r="F10" i="663"/>
  <c r="R10" s="1"/>
  <c r="F10" i="654"/>
  <c r="R10" s="1"/>
  <c r="F10" i="651"/>
  <c r="R10" s="1"/>
  <c r="F10" i="648"/>
  <c r="R10" s="1"/>
  <c r="F10" i="642"/>
  <c r="R10" s="1"/>
  <c r="F10" i="639"/>
  <c r="R10" s="1"/>
  <c r="F10" i="633"/>
  <c r="R10" s="1"/>
  <c r="F10" i="627"/>
  <c r="R10" s="1"/>
  <c r="F10" i="621"/>
  <c r="R10" s="1"/>
  <c r="F10" i="618"/>
  <c r="R10" s="1"/>
  <c r="F10" i="615"/>
  <c r="R10" s="1"/>
  <c r="F16" i="612"/>
  <c r="R16" s="1"/>
  <c r="F10"/>
  <c r="R10" s="1"/>
  <c r="F10" i="609"/>
  <c r="R10" s="1"/>
  <c r="F16" i="606"/>
  <c r="R16" s="1"/>
  <c r="F10" i="603"/>
  <c r="R10" s="1"/>
  <c r="F16" i="600"/>
  <c r="R16" s="1"/>
  <c r="F16" i="597"/>
  <c r="R16" s="1"/>
  <c r="F10"/>
  <c r="R10" s="1"/>
  <c r="F16" i="594"/>
  <c r="R16" s="1"/>
  <c r="F10" i="591"/>
  <c r="R10" s="1"/>
  <c r="F10" i="636"/>
  <c r="R10" s="1"/>
  <c r="F10" i="624"/>
  <c r="R10" s="1"/>
  <c r="F16" i="609"/>
  <c r="R16" s="1"/>
  <c r="F10" i="606"/>
  <c r="R10" s="1"/>
  <c r="F16" i="603"/>
  <c r="R16" s="1"/>
  <c r="F10" i="600"/>
  <c r="R10" s="1"/>
  <c r="F10" i="594"/>
  <c r="R10" s="1"/>
  <c r="F16" i="591"/>
  <c r="R16" s="1"/>
  <c r="F16" i="588"/>
  <c r="R16" s="1"/>
  <c r="F10"/>
  <c r="R10" s="1"/>
  <c r="F10" i="585"/>
  <c r="R10" s="1"/>
  <c r="F10" i="579"/>
  <c r="R10" s="1"/>
  <c r="F10" i="576"/>
  <c r="R10" s="1"/>
  <c r="F16" i="808"/>
  <c r="R16" s="1"/>
  <c r="F16" i="585"/>
  <c r="R16" s="1"/>
  <c r="F16" i="582"/>
  <c r="R16" s="1"/>
  <c r="F10"/>
  <c r="R10" s="1"/>
  <c r="F16" i="579"/>
  <c r="R16" s="1"/>
  <c r="F16" i="576"/>
  <c r="R16" s="1"/>
  <c r="F20" i="808"/>
  <c r="R20" s="1"/>
  <c r="F14" i="567"/>
  <c r="R14" s="1"/>
  <c r="F14" i="564"/>
  <c r="R14" s="1"/>
  <c r="F14" i="74"/>
  <c r="R14" s="1"/>
  <c r="G25" i="567"/>
  <c r="G25" i="564"/>
  <c r="G15"/>
  <c r="G32" i="808"/>
  <c r="G21"/>
  <c r="G15" i="567"/>
  <c r="G15" i="74"/>
  <c r="G25" i="805"/>
  <c r="G25" i="74"/>
  <c r="I22" i="808"/>
  <c r="I8"/>
  <c r="I23" i="567"/>
  <c r="I29" i="808"/>
  <c r="I16" i="567"/>
  <c r="I23" i="564"/>
  <c r="I16"/>
  <c r="I8"/>
  <c r="I23" i="74"/>
  <c r="I16"/>
  <c r="I8" i="567"/>
  <c r="I23" i="805"/>
  <c r="I8" i="74"/>
  <c r="I23" i="808"/>
  <c r="I17" i="567"/>
  <c r="I17" i="564"/>
  <c r="I17" i="74"/>
  <c r="I10" i="805"/>
  <c r="J10" s="1"/>
  <c r="V10" s="1"/>
  <c r="I10" i="564"/>
  <c r="I10" i="567"/>
  <c r="I10" i="808"/>
  <c r="I10" i="74"/>
  <c r="G10" i="805"/>
  <c r="M10" s="1"/>
  <c r="Y10" s="1"/>
  <c r="G10" i="808"/>
  <c r="G10" i="567"/>
  <c r="G10" i="564"/>
  <c r="G10" i="74"/>
  <c r="G14" i="567"/>
  <c r="G14" i="564"/>
  <c r="G20" i="808"/>
  <c r="G14" i="74"/>
  <c r="F32" i="808"/>
  <c r="R32" s="1"/>
  <c r="F21"/>
  <c r="R21" s="1"/>
  <c r="F15" i="567"/>
  <c r="R15" s="1"/>
  <c r="F15" i="564"/>
  <c r="R15" s="1"/>
  <c r="F25" i="567"/>
  <c r="R25" s="1"/>
  <c r="F25" i="564"/>
  <c r="R25" s="1"/>
  <c r="F25" i="74"/>
  <c r="R25" s="1"/>
  <c r="F15"/>
  <c r="R15" s="1"/>
  <c r="F25" i="805"/>
  <c r="R25" s="1"/>
  <c r="F23" i="808"/>
  <c r="R23" s="1"/>
  <c r="F17" i="567"/>
  <c r="R17" s="1"/>
  <c r="F17" i="564"/>
  <c r="R17" s="1"/>
  <c r="F17" i="74"/>
  <c r="R17" s="1"/>
  <c r="I32" i="808"/>
  <c r="I21"/>
  <c r="I15" i="567"/>
  <c r="I15" i="564"/>
  <c r="I25" i="567"/>
  <c r="I25" i="564"/>
  <c r="I25" i="74"/>
  <c r="I15"/>
  <c r="I25" i="805"/>
  <c r="G29" i="808"/>
  <c r="G23" i="567"/>
  <c r="G16"/>
  <c r="G23" i="564"/>
  <c r="G16"/>
  <c r="G22" i="808"/>
  <c r="G8"/>
  <c r="G8" i="564"/>
  <c r="G23" i="805"/>
  <c r="G8" i="567"/>
  <c r="G23" i="74"/>
  <c r="G16"/>
  <c r="G8"/>
  <c r="G17" i="567"/>
  <c r="G17" i="564"/>
  <c r="G23" i="808"/>
  <c r="G17" i="74"/>
  <c r="I20" i="808"/>
  <c r="I14" i="567"/>
  <c r="I14" i="564"/>
  <c r="I14" i="74"/>
  <c r="F22" i="808"/>
  <c r="R22" s="1"/>
  <c r="F8"/>
  <c r="R8" s="1"/>
  <c r="F16" i="567"/>
  <c r="R16" s="1"/>
  <c r="F23" i="564"/>
  <c r="R23" s="1"/>
  <c r="F16"/>
  <c r="R16" s="1"/>
  <c r="F29" i="808"/>
  <c r="R29" s="1"/>
  <c r="R33" s="1"/>
  <c r="F23" i="567"/>
  <c r="R23" s="1"/>
  <c r="F8"/>
  <c r="R8" s="1"/>
  <c r="F23" i="74"/>
  <c r="R23" s="1"/>
  <c r="F16"/>
  <c r="R16" s="1"/>
  <c r="F8" i="564"/>
  <c r="R8" s="1"/>
  <c r="F23" i="805"/>
  <c r="R23" s="1"/>
  <c r="R26" s="1"/>
  <c r="F8" i="74"/>
  <c r="R8" s="1"/>
  <c r="F10" i="805"/>
  <c r="R10" s="1"/>
  <c r="F10" i="564"/>
  <c r="R10" s="1"/>
  <c r="F10" i="808"/>
  <c r="R10" s="1"/>
  <c r="F10" i="567"/>
  <c r="R10" s="1"/>
  <c r="F10" i="74"/>
  <c r="R10" s="1"/>
  <c r="G15" i="805"/>
  <c r="I16"/>
  <c r="I8"/>
  <c r="I17" i="802"/>
  <c r="J17" s="1"/>
  <c r="V17" s="1"/>
  <c r="I17" i="805"/>
  <c r="U10"/>
  <c r="S10"/>
  <c r="G14"/>
  <c r="F15"/>
  <c r="R15" s="1"/>
  <c r="F17" i="802"/>
  <c r="R17" s="1"/>
  <c r="F17" i="805"/>
  <c r="R17" s="1"/>
  <c r="F14"/>
  <c r="R14" s="1"/>
  <c r="I15"/>
  <c r="G16"/>
  <c r="G8"/>
  <c r="G17" i="802"/>
  <c r="S17" s="1"/>
  <c r="G17" i="805"/>
  <c r="I14"/>
  <c r="F16"/>
  <c r="R16" s="1"/>
  <c r="F8"/>
  <c r="R8" s="1"/>
  <c r="R11" s="1"/>
  <c r="F14" i="802"/>
  <c r="R14" s="1"/>
  <c r="F23"/>
  <c r="R23" s="1"/>
  <c r="G24"/>
  <c r="G15"/>
  <c r="I8"/>
  <c r="I25"/>
  <c r="I16"/>
  <c r="U17"/>
  <c r="I10" i="799"/>
  <c r="J10" s="1"/>
  <c r="V10" s="1"/>
  <c r="I10" i="802"/>
  <c r="G10" i="799"/>
  <c r="M10" s="1"/>
  <c r="Y10" s="1"/>
  <c r="G10" i="802"/>
  <c r="G23"/>
  <c r="G14"/>
  <c r="F15"/>
  <c r="R15" s="1"/>
  <c r="F24"/>
  <c r="R24" s="1"/>
  <c r="I15"/>
  <c r="I24"/>
  <c r="G25"/>
  <c r="G16"/>
  <c r="G8"/>
  <c r="M17"/>
  <c r="Y17" s="1"/>
  <c r="I14"/>
  <c r="I23"/>
  <c r="F8"/>
  <c r="R8" s="1"/>
  <c r="F25"/>
  <c r="R25" s="1"/>
  <c r="F16"/>
  <c r="R16" s="1"/>
  <c r="F10" i="799"/>
  <c r="R10" s="1"/>
  <c r="F10" i="802"/>
  <c r="R10" s="1"/>
  <c r="F16" i="799"/>
  <c r="R16" s="1"/>
  <c r="F14"/>
  <c r="R14" s="1"/>
  <c r="F23"/>
  <c r="R23" s="1"/>
  <c r="G24"/>
  <c r="G15"/>
  <c r="I8"/>
  <c r="I25"/>
  <c r="I17"/>
  <c r="I18" i="796"/>
  <c r="U18" s="1"/>
  <c r="I18" i="799"/>
  <c r="U10"/>
  <c r="S10"/>
  <c r="G23"/>
  <c r="G16"/>
  <c r="G14"/>
  <c r="F15"/>
  <c r="R15" s="1"/>
  <c r="F24"/>
  <c r="R24" s="1"/>
  <c r="F18" i="796"/>
  <c r="R18" s="1"/>
  <c r="F18" i="799"/>
  <c r="R18" s="1"/>
  <c r="I15"/>
  <c r="I24"/>
  <c r="G25"/>
  <c r="G17"/>
  <c r="G8"/>
  <c r="G18" i="796"/>
  <c r="M18" s="1"/>
  <c r="Y18" s="1"/>
  <c r="G18" i="799"/>
  <c r="I16"/>
  <c r="I14"/>
  <c r="I23"/>
  <c r="F8"/>
  <c r="R8" s="1"/>
  <c r="F25"/>
  <c r="R25" s="1"/>
  <c r="F17"/>
  <c r="R17" s="1"/>
  <c r="F23" i="796"/>
  <c r="R23" s="1"/>
  <c r="F16"/>
  <c r="R16" s="1"/>
  <c r="F14"/>
  <c r="R14" s="1"/>
  <c r="G15"/>
  <c r="G27"/>
  <c r="G24"/>
  <c r="I25"/>
  <c r="I17"/>
  <c r="I8"/>
  <c r="I10" i="793"/>
  <c r="J10" s="1"/>
  <c r="V10" s="1"/>
  <c r="I10" i="796"/>
  <c r="G10" i="793"/>
  <c r="S10" s="1"/>
  <c r="G10" i="796"/>
  <c r="G16"/>
  <c r="G14"/>
  <c r="G23"/>
  <c r="F27"/>
  <c r="R27" s="1"/>
  <c r="F24"/>
  <c r="R24" s="1"/>
  <c r="F15"/>
  <c r="R15" s="1"/>
  <c r="I27"/>
  <c r="I24"/>
  <c r="I15"/>
  <c r="G8"/>
  <c r="G25"/>
  <c r="G17"/>
  <c r="I23"/>
  <c r="I16"/>
  <c r="I14"/>
  <c r="F25"/>
  <c r="R25" s="1"/>
  <c r="F17"/>
  <c r="R17" s="1"/>
  <c r="F8"/>
  <c r="R8" s="1"/>
  <c r="F10" i="793"/>
  <c r="R10" s="1"/>
  <c r="F10" i="796"/>
  <c r="R10" s="1"/>
  <c r="G15" i="793"/>
  <c r="G29"/>
  <c r="G24"/>
  <c r="I25"/>
  <c r="I17"/>
  <c r="I38" i="790"/>
  <c r="U38" s="1"/>
  <c r="I27" i="793"/>
  <c r="I8"/>
  <c r="I36" i="790"/>
  <c r="I37" i="787"/>
  <c r="U37" s="1"/>
  <c r="I18" i="793"/>
  <c r="U10"/>
  <c r="M10"/>
  <c r="Y10" s="1"/>
  <c r="G16"/>
  <c r="G14"/>
  <c r="G35" i="790"/>
  <c r="G26" i="793"/>
  <c r="G23"/>
  <c r="F29"/>
  <c r="R29" s="1"/>
  <c r="F24"/>
  <c r="R24" s="1"/>
  <c r="F15"/>
  <c r="R15" s="1"/>
  <c r="F18"/>
  <c r="R18" s="1"/>
  <c r="F26"/>
  <c r="R26" s="1"/>
  <c r="F23"/>
  <c r="R23" s="1"/>
  <c r="F16"/>
  <c r="R16" s="1"/>
  <c r="F14"/>
  <c r="R14" s="1"/>
  <c r="F35" i="790"/>
  <c r="R35" s="1"/>
  <c r="I29" i="793"/>
  <c r="I24"/>
  <c r="I15"/>
  <c r="G27"/>
  <c r="G8"/>
  <c r="G36" i="790"/>
  <c r="G37" i="787"/>
  <c r="S37" s="1"/>
  <c r="G25" i="793"/>
  <c r="G17"/>
  <c r="G38" i="790"/>
  <c r="S38" s="1"/>
  <c r="G18" i="793"/>
  <c r="I26"/>
  <c r="I23"/>
  <c r="I16"/>
  <c r="I14"/>
  <c r="I35" i="790"/>
  <c r="F25" i="793"/>
  <c r="R25" s="1"/>
  <c r="F17"/>
  <c r="R17" s="1"/>
  <c r="F38" i="790"/>
  <c r="R38" s="1"/>
  <c r="F27" i="793"/>
  <c r="R27" s="1"/>
  <c r="F8"/>
  <c r="R8" s="1"/>
  <c r="F36" i="790"/>
  <c r="R36" s="1"/>
  <c r="F37" i="787"/>
  <c r="R37" s="1"/>
  <c r="F25" i="790"/>
  <c r="R25" s="1"/>
  <c r="F23"/>
  <c r="R23" s="1"/>
  <c r="F26" i="787"/>
  <c r="R26" s="1"/>
  <c r="F32" i="790"/>
  <c r="R32" s="1"/>
  <c r="G33"/>
  <c r="G39"/>
  <c r="G24"/>
  <c r="G15"/>
  <c r="G14"/>
  <c r="I18"/>
  <c r="U18" s="1"/>
  <c r="I16"/>
  <c r="I8"/>
  <c r="I34"/>
  <c r="I26"/>
  <c r="I17"/>
  <c r="I27"/>
  <c r="I10" i="787"/>
  <c r="U10" s="1"/>
  <c r="I10" i="790"/>
  <c r="G10" i="787"/>
  <c r="M10" s="1"/>
  <c r="Y10" s="1"/>
  <c r="G10" i="790"/>
  <c r="G32"/>
  <c r="G25"/>
  <c r="G23"/>
  <c r="G26" i="787"/>
  <c r="F39" i="790"/>
  <c r="R39" s="1"/>
  <c r="F24"/>
  <c r="R24" s="1"/>
  <c r="F15"/>
  <c r="R15" s="1"/>
  <c r="F14"/>
  <c r="R14" s="1"/>
  <c r="F33"/>
  <c r="R33" s="1"/>
  <c r="F17"/>
  <c r="R17" s="1"/>
  <c r="F27"/>
  <c r="R27" s="1"/>
  <c r="I39"/>
  <c r="I24"/>
  <c r="I15"/>
  <c r="I14"/>
  <c r="I33"/>
  <c r="G34"/>
  <c r="G26"/>
  <c r="G18"/>
  <c r="S18" s="1"/>
  <c r="G16"/>
  <c r="G8"/>
  <c r="G27"/>
  <c r="G17"/>
  <c r="I25"/>
  <c r="I23"/>
  <c r="I26" i="787"/>
  <c r="I32" i="790"/>
  <c r="F18"/>
  <c r="R18" s="1"/>
  <c r="F16"/>
  <c r="R16" s="1"/>
  <c r="F8"/>
  <c r="R8" s="1"/>
  <c r="F34"/>
  <c r="R34" s="1"/>
  <c r="F26"/>
  <c r="R26" s="1"/>
  <c r="F10" i="787"/>
  <c r="R10" s="1"/>
  <c r="F10" i="790"/>
  <c r="R10" s="1"/>
  <c r="G34" i="787"/>
  <c r="G25"/>
  <c r="G16"/>
  <c r="G15"/>
  <c r="I15" i="477"/>
  <c r="U15" s="1"/>
  <c r="I35" i="787"/>
  <c r="I27"/>
  <c r="I19"/>
  <c r="U19" s="1"/>
  <c r="I17"/>
  <c r="I8"/>
  <c r="I13" i="477"/>
  <c r="J13" s="1"/>
  <c r="V13" s="1"/>
  <c r="I28" i="787"/>
  <c r="I18"/>
  <c r="J10"/>
  <c r="V10" s="1"/>
  <c r="S10"/>
  <c r="G33"/>
  <c r="G24"/>
  <c r="G14"/>
  <c r="F34"/>
  <c r="R34" s="1"/>
  <c r="F25"/>
  <c r="R25" s="1"/>
  <c r="F16"/>
  <c r="R16" s="1"/>
  <c r="F15"/>
  <c r="R15" s="1"/>
  <c r="F13" i="477"/>
  <c r="R13" s="1"/>
  <c r="F28" i="787"/>
  <c r="R28" s="1"/>
  <c r="F18"/>
  <c r="R18" s="1"/>
  <c r="F33"/>
  <c r="R33" s="1"/>
  <c r="F24"/>
  <c r="R24" s="1"/>
  <c r="F14"/>
  <c r="R14" s="1"/>
  <c r="I34"/>
  <c r="I25"/>
  <c r="I16"/>
  <c r="I15"/>
  <c r="G15" i="477"/>
  <c r="S15" s="1"/>
  <c r="G35" i="787"/>
  <c r="G27"/>
  <c r="G19"/>
  <c r="S19" s="1"/>
  <c r="G17"/>
  <c r="G8"/>
  <c r="G13" i="477"/>
  <c r="M13" s="1"/>
  <c r="Y13" s="1"/>
  <c r="G28" i="787"/>
  <c r="G18"/>
  <c r="I33"/>
  <c r="I24"/>
  <c r="I14"/>
  <c r="F15" i="477"/>
  <c r="R15" s="1"/>
  <c r="F35" i="787"/>
  <c r="R35" s="1"/>
  <c r="F27"/>
  <c r="R27" s="1"/>
  <c r="F19"/>
  <c r="R19" s="1"/>
  <c r="F17"/>
  <c r="R17" s="1"/>
  <c r="F8"/>
  <c r="R8" s="1"/>
  <c r="M15" i="477"/>
  <c r="Y15" s="1"/>
  <c r="R19"/>
  <c r="J15"/>
  <c r="V15" s="1"/>
  <c r="U13"/>
  <c r="S13"/>
  <c r="G26" i="77"/>
  <c r="M26" s="1"/>
  <c r="G19"/>
  <c r="S19" s="1"/>
  <c r="G17"/>
  <c r="I14"/>
  <c r="I24"/>
  <c r="J24" s="1"/>
  <c r="G14"/>
  <c r="G24"/>
  <c r="M24" s="1"/>
  <c r="F27"/>
  <c r="F18"/>
  <c r="R18" s="1"/>
  <c r="F14"/>
  <c r="R14" s="1"/>
  <c r="F24"/>
  <c r="R24" s="1"/>
  <c r="I16"/>
  <c r="I15"/>
  <c r="I25"/>
  <c r="J25" s="1"/>
  <c r="G15"/>
  <c r="G25"/>
  <c r="M25" s="1"/>
  <c r="G16"/>
  <c r="I26"/>
  <c r="J26" s="1"/>
  <c r="I19"/>
  <c r="U19" s="1"/>
  <c r="I17"/>
  <c r="I27"/>
  <c r="J27" s="1"/>
  <c r="I18"/>
  <c r="G27"/>
  <c r="M27" s="1"/>
  <c r="G18"/>
  <c r="F16"/>
  <c r="R16" s="1"/>
  <c r="F15"/>
  <c r="R15" s="1"/>
  <c r="F25"/>
  <c r="R25" s="1"/>
  <c r="F26"/>
  <c r="R26" s="1"/>
  <c r="F19"/>
  <c r="R19" s="1"/>
  <c r="F17"/>
  <c r="R17" s="1"/>
  <c r="I10"/>
  <c r="G10"/>
  <c r="F10"/>
  <c r="R10" s="1"/>
  <c r="R12" i="185"/>
  <c r="R13" s="1"/>
  <c r="F8" i="360"/>
  <c r="R8" s="1"/>
  <c r="F10"/>
  <c r="R10" s="1"/>
  <c r="I9"/>
  <c r="I16"/>
  <c r="U11" i="185"/>
  <c r="J11"/>
  <c r="V11" s="1"/>
  <c r="G16" i="360"/>
  <c r="G9"/>
  <c r="S11" i="185"/>
  <c r="M11"/>
  <c r="Y11" s="1"/>
  <c r="I8" i="477"/>
  <c r="I8" i="474"/>
  <c r="I8" i="471"/>
  <c r="I13" i="360"/>
  <c r="I18" i="420"/>
  <c r="I8" i="486"/>
  <c r="I8" i="480"/>
  <c r="I8" i="468"/>
  <c r="I12" i="360"/>
  <c r="I11"/>
  <c r="I9" i="396"/>
  <c r="I16" i="420"/>
  <c r="I8" i="483"/>
  <c r="I8" i="489"/>
  <c r="I15" i="194"/>
  <c r="I8"/>
  <c r="I16"/>
  <c r="I9" i="188"/>
  <c r="I8" i="77"/>
  <c r="U8" i="188"/>
  <c r="J8"/>
  <c r="V8" s="1"/>
  <c r="M14" i="194"/>
  <c r="Y14" s="1"/>
  <c r="S14"/>
  <c r="U9" i="185"/>
  <c r="J9"/>
  <c r="V9" s="1"/>
  <c r="S9"/>
  <c r="M9"/>
  <c r="Y9" s="1"/>
  <c r="S17" i="194"/>
  <c r="M17"/>
  <c r="Y17" s="1"/>
  <c r="S13" i="468"/>
  <c r="S16" s="1"/>
  <c r="M13"/>
  <c r="Y13" s="1"/>
  <c r="Y16" s="1"/>
  <c r="Y15" i="474"/>
  <c r="S15"/>
  <c r="U13" i="468"/>
  <c r="U16" s="1"/>
  <c r="J13"/>
  <c r="V13" s="1"/>
  <c r="V16" s="1"/>
  <c r="U15" i="474"/>
  <c r="V15"/>
  <c r="F16" i="360"/>
  <c r="R16" s="1"/>
  <c r="F9"/>
  <c r="R9" s="1"/>
  <c r="F8" i="486"/>
  <c r="R8" s="1"/>
  <c r="R10" s="1"/>
  <c r="R16" s="1"/>
  <c r="F8" i="477"/>
  <c r="R8" s="1"/>
  <c r="R10" s="1"/>
  <c r="F8" i="474"/>
  <c r="R8" s="1"/>
  <c r="R10" s="1"/>
  <c r="R16" s="1"/>
  <c r="F8" i="471"/>
  <c r="R8" s="1"/>
  <c r="R10" s="1"/>
  <c r="R16" s="1"/>
  <c r="F16" i="420"/>
  <c r="R16" s="1"/>
  <c r="F18"/>
  <c r="R18" s="1"/>
  <c r="F9" i="396"/>
  <c r="R9" s="1"/>
  <c r="F12" i="360"/>
  <c r="R12" s="1"/>
  <c r="F8" i="483"/>
  <c r="R8" s="1"/>
  <c r="R10" s="1"/>
  <c r="R16" s="1"/>
  <c r="F8" i="489"/>
  <c r="R8" s="1"/>
  <c r="R10" s="1"/>
  <c r="R20" s="1"/>
  <c r="F8" i="480"/>
  <c r="R8" s="1"/>
  <c r="R10" s="1"/>
  <c r="R18" s="1"/>
  <c r="F8" i="468"/>
  <c r="R8" s="1"/>
  <c r="R10" s="1"/>
  <c r="R17" s="1"/>
  <c r="F11" i="360"/>
  <c r="R11" s="1"/>
  <c r="F13"/>
  <c r="R13" s="1"/>
  <c r="F16" i="194"/>
  <c r="R16" s="1"/>
  <c r="F9" i="188"/>
  <c r="R9" s="1"/>
  <c r="R12" s="1"/>
  <c r="R13" s="1"/>
  <c r="F8" i="77"/>
  <c r="R8" s="1"/>
  <c r="F15" i="194"/>
  <c r="R15" s="1"/>
  <c r="F8"/>
  <c r="R8" s="1"/>
  <c r="R10" s="1"/>
  <c r="U14"/>
  <c r="J14"/>
  <c r="V14" s="1"/>
  <c r="U8" i="396"/>
  <c r="J8"/>
  <c r="V8" s="1"/>
  <c r="S8" i="188"/>
  <c r="M8"/>
  <c r="Y8" s="1"/>
  <c r="G12" i="360"/>
  <c r="G8" i="477"/>
  <c r="G8" i="489"/>
  <c r="G11" i="360"/>
  <c r="G8" i="483"/>
  <c r="G8" i="468"/>
  <c r="G8" i="471"/>
  <c r="G8" i="474"/>
  <c r="G8" i="480"/>
  <c r="G8" i="486"/>
  <c r="G16" i="420"/>
  <c r="G18"/>
  <c r="G9" i="396"/>
  <c r="G13" i="360"/>
  <c r="G16" i="194"/>
  <c r="G8" i="77"/>
  <c r="G9" i="188"/>
  <c r="G8" i="194"/>
  <c r="G15"/>
  <c r="S8" i="396"/>
  <c r="M8"/>
  <c r="Y8" s="1"/>
  <c r="S15" i="471"/>
  <c r="Y15"/>
  <c r="I8" i="360"/>
  <c r="I10"/>
  <c r="U8" i="185"/>
  <c r="J8"/>
  <c r="V8" s="1"/>
  <c r="G8" i="360"/>
  <c r="G10"/>
  <c r="M8" i="185"/>
  <c r="Y8" s="1"/>
  <c r="S8"/>
  <c r="U17" i="194"/>
  <c r="J17"/>
  <c r="V17" s="1"/>
  <c r="V15" i="471"/>
  <c r="U15"/>
  <c r="R27" i="77"/>
  <c r="BB27" i="817" l="1"/>
  <c r="BB28" s="1"/>
  <c r="BI26"/>
  <c r="V11" i="560"/>
  <c r="V13" s="1"/>
  <c r="J28" i="25"/>
  <c r="M28" s="1"/>
  <c r="V25"/>
  <c r="U11" i="560"/>
  <c r="U13" s="1"/>
  <c r="R24" i="600"/>
  <c r="R19" i="615"/>
  <c r="R19" i="621"/>
  <c r="R18" i="633"/>
  <c r="R28" i="612"/>
  <c r="R18" i="636"/>
  <c r="R11" i="787"/>
  <c r="R11" i="793"/>
  <c r="S18" i="796"/>
  <c r="R26" i="564"/>
  <c r="J18" i="796"/>
  <c r="V18" s="1"/>
  <c r="R17" i="645"/>
  <c r="R17" i="660"/>
  <c r="R17" i="642"/>
  <c r="R17" i="663"/>
  <c r="U10" i="811"/>
  <c r="J10"/>
  <c r="V10" s="1"/>
  <c r="U12"/>
  <c r="J12"/>
  <c r="V12" s="1"/>
  <c r="M10"/>
  <c r="Y10" s="1"/>
  <c r="S10"/>
  <c r="M12"/>
  <c r="Y12" s="1"/>
  <c r="S12"/>
  <c r="M9"/>
  <c r="Y9" s="1"/>
  <c r="S9"/>
  <c r="U11"/>
  <c r="J11"/>
  <c r="V11" s="1"/>
  <c r="M8"/>
  <c r="Y8" s="1"/>
  <c r="S8"/>
  <c r="U9"/>
  <c r="J9"/>
  <c r="V9" s="1"/>
  <c r="M11"/>
  <c r="Y11" s="1"/>
  <c r="S11"/>
  <c r="U8"/>
  <c r="J8"/>
  <c r="V8" s="1"/>
  <c r="R15"/>
  <c r="R18" s="1"/>
  <c r="R17" i="666"/>
  <c r="R17" i="672"/>
  <c r="R11" i="799"/>
  <c r="R26" i="74"/>
  <c r="R26" i="567"/>
  <c r="R32" i="576"/>
  <c r="U20" i="582"/>
  <c r="J20"/>
  <c r="V20" s="1"/>
  <c r="U20" i="579"/>
  <c r="J20"/>
  <c r="V20" s="1"/>
  <c r="S25" i="585"/>
  <c r="M25"/>
  <c r="Y25" s="1"/>
  <c r="M23" i="579"/>
  <c r="Y23" s="1"/>
  <c r="S23"/>
  <c r="S28" i="606"/>
  <c r="M28"/>
  <c r="Y28" s="1"/>
  <c r="S15" i="615"/>
  <c r="M15"/>
  <c r="Y15" s="1"/>
  <c r="M15" i="621"/>
  <c r="Y15" s="1"/>
  <c r="S15"/>
  <c r="S15" i="633"/>
  <c r="M15"/>
  <c r="Y15" s="1"/>
  <c r="S20" i="594"/>
  <c r="M20"/>
  <c r="Y20" s="1"/>
  <c r="S28" i="603"/>
  <c r="M28"/>
  <c r="Y28" s="1"/>
  <c r="R20" i="477"/>
  <c r="R11" i="588"/>
  <c r="R17" i="600"/>
  <c r="R17" i="609"/>
  <c r="R11" i="612"/>
  <c r="R11" i="624"/>
  <c r="R20" s="1"/>
  <c r="R11" i="645"/>
  <c r="R18" s="1"/>
  <c r="R11" i="651"/>
  <c r="R11" i="666"/>
  <c r="R11" i="675"/>
  <c r="R24" s="1"/>
  <c r="R11" i="684"/>
  <c r="R21" s="1"/>
  <c r="R11" i="693"/>
  <c r="R16" s="1"/>
  <c r="R11" i="717"/>
  <c r="R20" s="1"/>
  <c r="R11" i="729"/>
  <c r="R19" s="1"/>
  <c r="R17" i="576"/>
  <c r="R17" i="579"/>
  <c r="R11" i="582"/>
  <c r="R11" i="585"/>
  <c r="R11" i="591"/>
  <c r="R17" i="594"/>
  <c r="R11" i="597"/>
  <c r="R11" i="603"/>
  <c r="R11" i="606"/>
  <c r="R11" i="615"/>
  <c r="R20" s="1"/>
  <c r="R11" i="627"/>
  <c r="R19" s="1"/>
  <c r="R11" i="639"/>
  <c r="R19" s="1"/>
  <c r="R11" i="654"/>
  <c r="R11" i="660"/>
  <c r="R11" i="678"/>
  <c r="R21" s="1"/>
  <c r="R11" i="696"/>
  <c r="R16" s="1"/>
  <c r="R11" i="702"/>
  <c r="R16" s="1"/>
  <c r="R11" i="711"/>
  <c r="R16" s="1"/>
  <c r="R11" i="720"/>
  <c r="R20" s="1"/>
  <c r="R11" i="735"/>
  <c r="R15" s="1"/>
  <c r="R11" i="579"/>
  <c r="U20" i="576"/>
  <c r="J20"/>
  <c r="V20" s="1"/>
  <c r="R17" i="808"/>
  <c r="R17" i="597"/>
  <c r="R17" i="603"/>
  <c r="R17" i="612"/>
  <c r="R11" i="618"/>
  <c r="R20" s="1"/>
  <c r="R11" i="633"/>
  <c r="R19" s="1"/>
  <c r="R11" i="648"/>
  <c r="R11" i="663"/>
  <c r="R23" s="1"/>
  <c r="R11" i="669"/>
  <c r="R24" s="1"/>
  <c r="R11" i="681"/>
  <c r="R23" s="1"/>
  <c r="R11" i="690"/>
  <c r="R16" s="1"/>
  <c r="R11" i="708"/>
  <c r="R16" s="1"/>
  <c r="R11" i="723"/>
  <c r="R20" s="1"/>
  <c r="R11" i="732"/>
  <c r="R19" s="1"/>
  <c r="R11" i="576"/>
  <c r="R17" i="582"/>
  <c r="R17" i="585"/>
  <c r="R17" i="588"/>
  <c r="R17" i="591"/>
  <c r="R11" i="594"/>
  <c r="R11" i="600"/>
  <c r="R17" i="606"/>
  <c r="R11" i="609"/>
  <c r="R29" s="1"/>
  <c r="R11" i="621"/>
  <c r="R20" s="1"/>
  <c r="R11" i="636"/>
  <c r="R19" s="1"/>
  <c r="R11" i="642"/>
  <c r="R18" s="1"/>
  <c r="R11" i="657"/>
  <c r="R11" i="672"/>
  <c r="R24" s="1"/>
  <c r="R11" i="687"/>
  <c r="R21" s="1"/>
  <c r="R11" i="699"/>
  <c r="R16" s="1"/>
  <c r="R11" i="705"/>
  <c r="R16" s="1"/>
  <c r="R11" i="714"/>
  <c r="R16" s="1"/>
  <c r="R11" i="726"/>
  <c r="R19" s="1"/>
  <c r="R32" i="579"/>
  <c r="R32" i="582"/>
  <c r="M15" i="624"/>
  <c r="Y15" s="1"/>
  <c r="S15"/>
  <c r="S14" i="642"/>
  <c r="M14"/>
  <c r="Y14" s="1"/>
  <c r="S14" i="651"/>
  <c r="M14"/>
  <c r="Y14" s="1"/>
  <c r="M14" i="663"/>
  <c r="Y14" s="1"/>
  <c r="S14"/>
  <c r="S14" i="645"/>
  <c r="M14"/>
  <c r="Y14" s="1"/>
  <c r="M14" i="660"/>
  <c r="Y14" s="1"/>
  <c r="S14"/>
  <c r="M22" i="666"/>
  <c r="Y22" s="1"/>
  <c r="Y23" s="1"/>
  <c r="S22"/>
  <c r="S23" s="1"/>
  <c r="S22" i="669"/>
  <c r="S23" s="1"/>
  <c r="M22"/>
  <c r="Y22" s="1"/>
  <c r="Y23" s="1"/>
  <c r="S22" i="672"/>
  <c r="S23" s="1"/>
  <c r="M22"/>
  <c r="Y22" s="1"/>
  <c r="Y23" s="1"/>
  <c r="S22" i="675"/>
  <c r="S23" s="1"/>
  <c r="M22"/>
  <c r="Y22" s="1"/>
  <c r="Y23" s="1"/>
  <c r="S14" i="582"/>
  <c r="M14"/>
  <c r="Y14" s="1"/>
  <c r="S14" i="600"/>
  <c r="M14"/>
  <c r="Y14" s="1"/>
  <c r="S8" i="621"/>
  <c r="M8"/>
  <c r="Y8" s="1"/>
  <c r="M8" i="660"/>
  <c r="Y8" s="1"/>
  <c r="S8"/>
  <c r="S8" i="675"/>
  <c r="M8"/>
  <c r="Y8" s="1"/>
  <c r="S8" i="693"/>
  <c r="M8"/>
  <c r="Y8" s="1"/>
  <c r="M8" i="702"/>
  <c r="Y8" s="1"/>
  <c r="S8"/>
  <c r="S8" i="717"/>
  <c r="M8"/>
  <c r="Y8" s="1"/>
  <c r="M8" i="726"/>
  <c r="Y8" s="1"/>
  <c r="S8"/>
  <c r="M8" i="732"/>
  <c r="Y8" s="1"/>
  <c r="S8"/>
  <c r="M8" i="684"/>
  <c r="Y8" s="1"/>
  <c r="S8"/>
  <c r="S8" i="741"/>
  <c r="M8"/>
  <c r="Y8" s="1"/>
  <c r="M8" i="681"/>
  <c r="Y8" s="1"/>
  <c r="S8"/>
  <c r="M8" i="639"/>
  <c r="Y8" s="1"/>
  <c r="S8"/>
  <c r="M14" i="612"/>
  <c r="Y14" s="1"/>
  <c r="S14"/>
  <c r="M8" i="597"/>
  <c r="Y8" s="1"/>
  <c r="S8"/>
  <c r="S8" i="594"/>
  <c r="M8"/>
  <c r="Y8" s="1"/>
  <c r="M8" i="588"/>
  <c r="Y8" s="1"/>
  <c r="S8"/>
  <c r="M8" i="579"/>
  <c r="Y8" s="1"/>
  <c r="S8"/>
  <c r="M14"/>
  <c r="Y14" s="1"/>
  <c r="S14"/>
  <c r="S8" i="591"/>
  <c r="M8"/>
  <c r="Y8" s="1"/>
  <c r="S14" i="597"/>
  <c r="M14"/>
  <c r="Y14" s="1"/>
  <c r="S8" i="618"/>
  <c r="M8"/>
  <c r="Y8" s="1"/>
  <c r="S8" i="627"/>
  <c r="M8"/>
  <c r="Y8" s="1"/>
  <c r="M8" i="663"/>
  <c r="Y8" s="1"/>
  <c r="S8"/>
  <c r="S8" i="672"/>
  <c r="M8"/>
  <c r="Y8" s="1"/>
  <c r="S8" i="705"/>
  <c r="M8"/>
  <c r="Y8" s="1"/>
  <c r="M8" i="714"/>
  <c r="Y8" s="1"/>
  <c r="S8"/>
  <c r="S8" i="735"/>
  <c r="M8"/>
  <c r="Y8" s="1"/>
  <c r="S8" i="687"/>
  <c r="M8"/>
  <c r="Y8" s="1"/>
  <c r="M8" i="651"/>
  <c r="Y8" s="1"/>
  <c r="S8"/>
  <c r="S8" i="636"/>
  <c r="M8"/>
  <c r="Y8" s="1"/>
  <c r="S8" i="612"/>
  <c r="M8"/>
  <c r="Y8" s="1"/>
  <c r="S8" i="603"/>
  <c r="M8"/>
  <c r="Y8" s="1"/>
  <c r="S8" i="576"/>
  <c r="M8"/>
  <c r="Y8" s="1"/>
  <c r="S22"/>
  <c r="M22"/>
  <c r="Y22" s="1"/>
  <c r="M22" i="579"/>
  <c r="Y22" s="1"/>
  <c r="S22"/>
  <c r="M28" i="582"/>
  <c r="Y28" s="1"/>
  <c r="S28"/>
  <c r="M28" i="576"/>
  <c r="Y28" s="1"/>
  <c r="S28"/>
  <c r="M22" i="582"/>
  <c r="Y22" s="1"/>
  <c r="S22"/>
  <c r="M27" i="588"/>
  <c r="Y27" s="1"/>
  <c r="S27"/>
  <c r="M21" i="597"/>
  <c r="Y21" s="1"/>
  <c r="S21"/>
  <c r="S27" i="603"/>
  <c r="M27"/>
  <c r="Y27" s="1"/>
  <c r="M14" i="624"/>
  <c r="Y14" s="1"/>
  <c r="S14"/>
  <c r="S27" i="591"/>
  <c r="M27"/>
  <c r="Y27" s="1"/>
  <c r="S27" i="606"/>
  <c r="M27"/>
  <c r="Y27" s="1"/>
  <c r="S24" i="609"/>
  <c r="M24"/>
  <c r="Y24" s="1"/>
  <c r="M14" i="618"/>
  <c r="Y14" s="1"/>
  <c r="S14"/>
  <c r="M14" i="627"/>
  <c r="Y14" s="1"/>
  <c r="S14"/>
  <c r="S14" i="639"/>
  <c r="M14"/>
  <c r="Y14" s="1"/>
  <c r="S16" i="657"/>
  <c r="M16"/>
  <c r="Y16" s="1"/>
  <c r="M16" i="651"/>
  <c r="Y16" s="1"/>
  <c r="S16"/>
  <c r="U21" i="576"/>
  <c r="J21"/>
  <c r="V21" s="1"/>
  <c r="U31" i="582"/>
  <c r="J31"/>
  <c r="V31" s="1"/>
  <c r="U31" i="576"/>
  <c r="J31"/>
  <c r="V31" s="1"/>
  <c r="U21" i="582"/>
  <c r="J21"/>
  <c r="V21" s="1"/>
  <c r="U26" i="588"/>
  <c r="J26"/>
  <c r="V26" s="1"/>
  <c r="U23" i="603"/>
  <c r="J23"/>
  <c r="V23" s="1"/>
  <c r="U26" i="591"/>
  <c r="J26"/>
  <c r="V26" s="1"/>
  <c r="U23" i="606"/>
  <c r="J23"/>
  <c r="V23" s="1"/>
  <c r="S29" i="603"/>
  <c r="M29"/>
  <c r="Y29" s="1"/>
  <c r="S16" i="624"/>
  <c r="M16"/>
  <c r="Y16" s="1"/>
  <c r="S20" i="606"/>
  <c r="M20"/>
  <c r="Y20" s="1"/>
  <c r="S26" i="609"/>
  <c r="M26"/>
  <c r="Y26" s="1"/>
  <c r="S16" i="618"/>
  <c r="M16"/>
  <c r="Y16" s="1"/>
  <c r="S16" i="627"/>
  <c r="M16"/>
  <c r="Y16" s="1"/>
  <c r="S16" i="639"/>
  <c r="M16"/>
  <c r="Y16" s="1"/>
  <c r="S15" i="657"/>
  <c r="M15"/>
  <c r="Y15" s="1"/>
  <c r="S15" i="666"/>
  <c r="M15"/>
  <c r="Y15" s="1"/>
  <c r="S15" i="672"/>
  <c r="M15"/>
  <c r="Y15" s="1"/>
  <c r="S16" i="636"/>
  <c r="M16"/>
  <c r="Y16" s="1"/>
  <c r="S15" i="648"/>
  <c r="M15"/>
  <c r="Y15" s="1"/>
  <c r="S15" i="654"/>
  <c r="M15"/>
  <c r="Y15" s="1"/>
  <c r="M20" i="579"/>
  <c r="Y20" s="1"/>
  <c r="S20"/>
  <c r="S16" i="808"/>
  <c r="M16"/>
  <c r="Y16" s="1"/>
  <c r="M10" i="579"/>
  <c r="Y10" s="1"/>
  <c r="S10"/>
  <c r="M16" i="576"/>
  <c r="Y16" s="1"/>
  <c r="S16"/>
  <c r="M10" i="582"/>
  <c r="Y10" s="1"/>
  <c r="S10"/>
  <c r="S16" i="585"/>
  <c r="M16"/>
  <c r="Y16" s="1"/>
  <c r="S16" i="594"/>
  <c r="M16"/>
  <c r="Y16" s="1"/>
  <c r="S16" i="597"/>
  <c r="M16"/>
  <c r="Y16" s="1"/>
  <c r="M10" i="603"/>
  <c r="Y10" s="1"/>
  <c r="S10"/>
  <c r="M10" i="609"/>
  <c r="Y10" s="1"/>
  <c r="S10"/>
  <c r="M16" i="612"/>
  <c r="Y16" s="1"/>
  <c r="S16"/>
  <c r="S10" i="618"/>
  <c r="M10"/>
  <c r="Y10" s="1"/>
  <c r="S10" i="627"/>
  <c r="M10"/>
  <c r="Y10" s="1"/>
  <c r="M10" i="588"/>
  <c r="Y10" s="1"/>
  <c r="S10"/>
  <c r="M16" i="591"/>
  <c r="Y16" s="1"/>
  <c r="S16"/>
  <c r="M10" i="600"/>
  <c r="Y10" s="1"/>
  <c r="S10"/>
  <c r="S10" i="606"/>
  <c r="M10"/>
  <c r="Y10" s="1"/>
  <c r="S10" i="624"/>
  <c r="M10"/>
  <c r="Y10" s="1"/>
  <c r="M10" i="645"/>
  <c r="Y10" s="1"/>
  <c r="S10"/>
  <c r="S10" i="660"/>
  <c r="M10"/>
  <c r="Y10" s="1"/>
  <c r="S10" i="669"/>
  <c r="M10"/>
  <c r="Y10" s="1"/>
  <c r="S10" i="675"/>
  <c r="M10"/>
  <c r="Y10" s="1"/>
  <c r="M10" i="639"/>
  <c r="Y10" s="1"/>
  <c r="S10"/>
  <c r="M10" i="648"/>
  <c r="Y10" s="1"/>
  <c r="S10"/>
  <c r="S10" i="654"/>
  <c r="M10"/>
  <c r="Y10" s="1"/>
  <c r="M10" i="681"/>
  <c r="Y10" s="1"/>
  <c r="S10"/>
  <c r="M10" i="687"/>
  <c r="Y10" s="1"/>
  <c r="S10"/>
  <c r="S10" i="693"/>
  <c r="M10"/>
  <c r="Y10" s="1"/>
  <c r="S10" i="699"/>
  <c r="M10"/>
  <c r="Y10" s="1"/>
  <c r="S10" i="705"/>
  <c r="M10"/>
  <c r="Y10" s="1"/>
  <c r="S10" i="711"/>
  <c r="M10"/>
  <c r="Y10" s="1"/>
  <c r="S10" i="717"/>
  <c r="M10"/>
  <c r="Y10" s="1"/>
  <c r="S10" i="729"/>
  <c r="M10"/>
  <c r="Y10" s="1"/>
  <c r="M10" i="738"/>
  <c r="Y10" s="1"/>
  <c r="S10"/>
  <c r="S10" i="726"/>
  <c r="M10"/>
  <c r="Y10" s="1"/>
  <c r="M10" i="741"/>
  <c r="Y10" s="1"/>
  <c r="S10"/>
  <c r="M10" i="747"/>
  <c r="Y10" s="1"/>
  <c r="S10"/>
  <c r="J16" i="579"/>
  <c r="V16" s="1"/>
  <c r="U16"/>
  <c r="U16" i="582"/>
  <c r="J16"/>
  <c r="V16" s="1"/>
  <c r="U16" i="808"/>
  <c r="J16"/>
  <c r="V16" s="1"/>
  <c r="J10" i="579"/>
  <c r="V10" s="1"/>
  <c r="U10"/>
  <c r="U10" i="588"/>
  <c r="J10"/>
  <c r="V10" s="1"/>
  <c r="U16" i="591"/>
  <c r="J16"/>
  <c r="V16" s="1"/>
  <c r="U10" i="600"/>
  <c r="J10"/>
  <c r="V10" s="1"/>
  <c r="U10" i="606"/>
  <c r="J10"/>
  <c r="V10" s="1"/>
  <c r="U10" i="624"/>
  <c r="J10"/>
  <c r="V10" s="1"/>
  <c r="U10" i="591"/>
  <c r="J10"/>
  <c r="V10" s="1"/>
  <c r="U10" i="597"/>
  <c r="J10"/>
  <c r="V10" s="1"/>
  <c r="U16" i="600"/>
  <c r="J16"/>
  <c r="V16" s="1"/>
  <c r="U16" i="606"/>
  <c r="J16"/>
  <c r="V16" s="1"/>
  <c r="U10" i="612"/>
  <c r="J10"/>
  <c r="V10" s="1"/>
  <c r="U10" i="615"/>
  <c r="J10"/>
  <c r="V10" s="1"/>
  <c r="U10" i="621"/>
  <c r="J10"/>
  <c r="V10" s="1"/>
  <c r="U10" i="633"/>
  <c r="J10"/>
  <c r="V10" s="1"/>
  <c r="U10" i="642"/>
  <c r="J10"/>
  <c r="V10" s="1"/>
  <c r="U10" i="651"/>
  <c r="J10"/>
  <c r="V10" s="1"/>
  <c r="U10" i="663"/>
  <c r="J10"/>
  <c r="V10" s="1"/>
  <c r="U10" i="645"/>
  <c r="J10"/>
  <c r="V10" s="1"/>
  <c r="U10" i="660"/>
  <c r="J10"/>
  <c r="V10" s="1"/>
  <c r="U10" i="669"/>
  <c r="J10"/>
  <c r="V10" s="1"/>
  <c r="U10" i="675"/>
  <c r="J10"/>
  <c r="V10" s="1"/>
  <c r="U10" i="720"/>
  <c r="J10"/>
  <c r="V10" s="1"/>
  <c r="U10" i="732"/>
  <c r="J10"/>
  <c r="V10" s="1"/>
  <c r="U10" i="744"/>
  <c r="J10"/>
  <c r="V10" s="1"/>
  <c r="U10" i="684"/>
  <c r="J10"/>
  <c r="V10" s="1"/>
  <c r="U10" i="690"/>
  <c r="J10"/>
  <c r="V10" s="1"/>
  <c r="U10" i="696"/>
  <c r="J10"/>
  <c r="V10" s="1"/>
  <c r="U10" i="702"/>
  <c r="J10"/>
  <c r="V10" s="1"/>
  <c r="U10" i="708"/>
  <c r="J10"/>
  <c r="V10" s="1"/>
  <c r="U10" i="714"/>
  <c r="J10"/>
  <c r="V10" s="1"/>
  <c r="U10" i="723"/>
  <c r="J10"/>
  <c r="V10" s="1"/>
  <c r="U10" i="735"/>
  <c r="J10"/>
  <c r="V10" s="1"/>
  <c r="U23" i="576"/>
  <c r="J23"/>
  <c r="V23" s="1"/>
  <c r="U23" i="582"/>
  <c r="J23"/>
  <c r="V23" s="1"/>
  <c r="U25" i="591"/>
  <c r="J25"/>
  <c r="V25" s="1"/>
  <c r="U20" i="597"/>
  <c r="J20"/>
  <c r="V20" s="1"/>
  <c r="U25" i="612"/>
  <c r="J25"/>
  <c r="V25" s="1"/>
  <c r="U25" i="588"/>
  <c r="J25"/>
  <c r="V25" s="1"/>
  <c r="U25" i="609"/>
  <c r="J25"/>
  <c r="V25" s="1"/>
  <c r="U15" i="618"/>
  <c r="J15"/>
  <c r="V15" s="1"/>
  <c r="U15" i="627"/>
  <c r="J15"/>
  <c r="V15" s="1"/>
  <c r="U15" i="639"/>
  <c r="J15"/>
  <c r="V15" s="1"/>
  <c r="U14" i="657"/>
  <c r="J14"/>
  <c r="V14" s="1"/>
  <c r="U14" i="666"/>
  <c r="J14"/>
  <c r="V14" s="1"/>
  <c r="J14" i="669"/>
  <c r="V14" s="1"/>
  <c r="U14"/>
  <c r="U14" i="672"/>
  <c r="J14"/>
  <c r="V14" s="1"/>
  <c r="U14" i="675"/>
  <c r="J14"/>
  <c r="V14" s="1"/>
  <c r="U15" i="636"/>
  <c r="J15"/>
  <c r="V15" s="1"/>
  <c r="U14" i="648"/>
  <c r="J14"/>
  <c r="V14" s="1"/>
  <c r="J14" i="654"/>
  <c r="V14" s="1"/>
  <c r="U14"/>
  <c r="J21" i="600"/>
  <c r="V21" s="1"/>
  <c r="U21"/>
  <c r="J29" i="606"/>
  <c r="V29" s="1"/>
  <c r="U29"/>
  <c r="J16" i="615"/>
  <c r="V16" s="1"/>
  <c r="U16"/>
  <c r="U16" i="621"/>
  <c r="J16"/>
  <c r="V16" s="1"/>
  <c r="J16" i="633"/>
  <c r="V16" s="1"/>
  <c r="U16"/>
  <c r="J29" i="603"/>
  <c r="V29" s="1"/>
  <c r="U29"/>
  <c r="U16" i="624"/>
  <c r="J16"/>
  <c r="V16" s="1"/>
  <c r="J15" i="642"/>
  <c r="V15" s="1"/>
  <c r="U15"/>
  <c r="J15" i="651"/>
  <c r="V15" s="1"/>
  <c r="U15"/>
  <c r="U15" i="663"/>
  <c r="J15"/>
  <c r="V15" s="1"/>
  <c r="J15" i="645"/>
  <c r="V15" s="1"/>
  <c r="U15"/>
  <c r="U15" i="660"/>
  <c r="J15"/>
  <c r="V15" s="1"/>
  <c r="U15" i="669"/>
  <c r="J15"/>
  <c r="V15" s="1"/>
  <c r="U15" i="675"/>
  <c r="J15"/>
  <c r="V15" s="1"/>
  <c r="U8" i="585"/>
  <c r="J8"/>
  <c r="V8" s="1"/>
  <c r="U14" i="591"/>
  <c r="U17" s="1"/>
  <c r="J14"/>
  <c r="V14" s="1"/>
  <c r="V17" s="1"/>
  <c r="U8" i="603"/>
  <c r="J8"/>
  <c r="V8" s="1"/>
  <c r="U8" i="609"/>
  <c r="J8"/>
  <c r="V8" s="1"/>
  <c r="J8" i="636"/>
  <c r="V8" s="1"/>
  <c r="U8"/>
  <c r="U8" i="642"/>
  <c r="U11" s="1"/>
  <c r="J8"/>
  <c r="V8" s="1"/>
  <c r="V11" s="1"/>
  <c r="J8" i="738"/>
  <c r="V8" s="1"/>
  <c r="U8"/>
  <c r="J8" i="744"/>
  <c r="V8" s="1"/>
  <c r="V11" s="1"/>
  <c r="V15" s="1"/>
  <c r="U8"/>
  <c r="J8" i="729"/>
  <c r="V8" s="1"/>
  <c r="U8"/>
  <c r="J8" i="708"/>
  <c r="V8" s="1"/>
  <c r="U8"/>
  <c r="U8" i="696"/>
  <c r="U11" s="1"/>
  <c r="U16" s="1"/>
  <c r="J8"/>
  <c r="V8" s="1"/>
  <c r="V11" s="1"/>
  <c r="V16" s="1"/>
  <c r="U8" i="720"/>
  <c r="U11" s="1"/>
  <c r="U20" s="1"/>
  <c r="J8"/>
  <c r="V8" s="1"/>
  <c r="V11" s="1"/>
  <c r="V20" s="1"/>
  <c r="U8" i="654"/>
  <c r="J8"/>
  <c r="V8" s="1"/>
  <c r="U14" i="600"/>
  <c r="U17" s="1"/>
  <c r="J14"/>
  <c r="V14" s="1"/>
  <c r="V17" s="1"/>
  <c r="U14" i="609"/>
  <c r="J14"/>
  <c r="V14" s="1"/>
  <c r="J14" i="808"/>
  <c r="V14" s="1"/>
  <c r="U14"/>
  <c r="J14" i="579"/>
  <c r="V14" s="1"/>
  <c r="V17" s="1"/>
  <c r="U14"/>
  <c r="U17" s="1"/>
  <c r="U8"/>
  <c r="J8"/>
  <c r="V8" s="1"/>
  <c r="U8" i="597"/>
  <c r="U11" s="1"/>
  <c r="J8"/>
  <c r="V8" s="1"/>
  <c r="V11" s="1"/>
  <c r="U8" i="606"/>
  <c r="U11" s="1"/>
  <c r="J8"/>
  <c r="V8" s="1"/>
  <c r="V11" s="1"/>
  <c r="U8" i="612"/>
  <c r="U11" s="1"/>
  <c r="J8"/>
  <c r="V8" s="1"/>
  <c r="V11" s="1"/>
  <c r="U8" i="645"/>
  <c r="U11" s="1"/>
  <c r="J8"/>
  <c r="V8" s="1"/>
  <c r="V11" s="1"/>
  <c r="J8" i="651"/>
  <c r="V8" s="1"/>
  <c r="U8"/>
  <c r="J8" i="684"/>
  <c r="V8" s="1"/>
  <c r="U8"/>
  <c r="U8" i="735"/>
  <c r="U11" s="1"/>
  <c r="U15" s="1"/>
  <c r="J8"/>
  <c r="V8" s="1"/>
  <c r="V11" s="1"/>
  <c r="V15" s="1"/>
  <c r="J8" i="717"/>
  <c r="V8" s="1"/>
  <c r="U8"/>
  <c r="U8" i="705"/>
  <c r="J8"/>
  <c r="V8" s="1"/>
  <c r="J8" i="693"/>
  <c r="V8" s="1"/>
  <c r="U8"/>
  <c r="J8" i="678"/>
  <c r="V8" s="1"/>
  <c r="U8"/>
  <c r="U8" i="672"/>
  <c r="J8"/>
  <c r="V8" s="1"/>
  <c r="U8" i="666"/>
  <c r="J8"/>
  <c r="V8" s="1"/>
  <c r="J8" i="663"/>
  <c r="V8" s="1"/>
  <c r="U8"/>
  <c r="U8" i="618"/>
  <c r="J8"/>
  <c r="V8" s="1"/>
  <c r="U14" i="594"/>
  <c r="J14"/>
  <c r="V14" s="1"/>
  <c r="J14" i="588"/>
  <c r="V14" s="1"/>
  <c r="U14"/>
  <c r="U30" i="808"/>
  <c r="J30"/>
  <c r="V30" s="1"/>
  <c r="U28" i="579"/>
  <c r="J28"/>
  <c r="V28" s="1"/>
  <c r="U29" i="582"/>
  <c r="J29"/>
  <c r="V29" s="1"/>
  <c r="U29" i="576"/>
  <c r="J29"/>
  <c r="V29" s="1"/>
  <c r="U29" i="579"/>
  <c r="J29"/>
  <c r="V29" s="1"/>
  <c r="U27" i="585"/>
  <c r="J27"/>
  <c r="V27" s="1"/>
  <c r="J20" i="600"/>
  <c r="V20" s="1"/>
  <c r="U20"/>
  <c r="U21" i="606"/>
  <c r="J21"/>
  <c r="V21" s="1"/>
  <c r="U14" i="615"/>
  <c r="J14"/>
  <c r="V14" s="1"/>
  <c r="U14" i="621"/>
  <c r="J14"/>
  <c r="V14" s="1"/>
  <c r="U14" i="633"/>
  <c r="J14"/>
  <c r="V14" s="1"/>
  <c r="U21" i="594"/>
  <c r="J21"/>
  <c r="V21" s="1"/>
  <c r="U20" i="603"/>
  <c r="J20"/>
  <c r="V20" s="1"/>
  <c r="U24" i="612"/>
  <c r="J24"/>
  <c r="V24" s="1"/>
  <c r="U14" i="636"/>
  <c r="J14"/>
  <c r="V14" s="1"/>
  <c r="U16" i="654"/>
  <c r="J16"/>
  <c r="V16" s="1"/>
  <c r="U16" i="648"/>
  <c r="J16"/>
  <c r="V16" s="1"/>
  <c r="S31" i="576"/>
  <c r="M31"/>
  <c r="Y31" s="1"/>
  <c r="M21" i="582"/>
  <c r="Y21" s="1"/>
  <c r="S21"/>
  <c r="S21" i="576"/>
  <c r="M21"/>
  <c r="Y21" s="1"/>
  <c r="S31" i="582"/>
  <c r="M31"/>
  <c r="Y31" s="1"/>
  <c r="M20" i="588"/>
  <c r="Y20" s="1"/>
  <c r="Y22" s="1"/>
  <c r="S20"/>
  <c r="S22" s="1"/>
  <c r="S23" i="600"/>
  <c r="M23"/>
  <c r="Y23" s="1"/>
  <c r="M26" i="588"/>
  <c r="Y26" s="1"/>
  <c r="S26"/>
  <c r="S23" i="603"/>
  <c r="M23"/>
  <c r="Y23" s="1"/>
  <c r="R25" i="582"/>
  <c r="R25" i="579"/>
  <c r="R29" i="585"/>
  <c r="R23" i="594"/>
  <c r="R24" i="666"/>
  <c r="R18" i="651"/>
  <c r="R24" i="606"/>
  <c r="M23" i="582"/>
  <c r="Y23" s="1"/>
  <c r="S23"/>
  <c r="S23" i="576"/>
  <c r="M23"/>
  <c r="Y23" s="1"/>
  <c r="S25" i="588"/>
  <c r="S29" s="1"/>
  <c r="M25"/>
  <c r="Y25" s="1"/>
  <c r="Y29" s="1"/>
  <c r="S25" i="609"/>
  <c r="M25"/>
  <c r="Y25" s="1"/>
  <c r="M15" i="618"/>
  <c r="Y15" s="1"/>
  <c r="S15"/>
  <c r="S15" i="627"/>
  <c r="M15"/>
  <c r="Y15" s="1"/>
  <c r="S25" i="591"/>
  <c r="M25"/>
  <c r="Y25" s="1"/>
  <c r="M20" i="597"/>
  <c r="Y20" s="1"/>
  <c r="S20"/>
  <c r="S23" s="1"/>
  <c r="S25" i="612"/>
  <c r="M25"/>
  <c r="Y25" s="1"/>
  <c r="S15" i="636"/>
  <c r="M15"/>
  <c r="Y15" s="1"/>
  <c r="S14" i="648"/>
  <c r="M14"/>
  <c r="Y14" s="1"/>
  <c r="M14" i="654"/>
  <c r="Y14" s="1"/>
  <c r="S14"/>
  <c r="S15" i="639"/>
  <c r="M15"/>
  <c r="Y15" s="1"/>
  <c r="M14" i="657"/>
  <c r="Y14" s="1"/>
  <c r="S14"/>
  <c r="S18" s="1"/>
  <c r="M14" i="666"/>
  <c r="Y14" s="1"/>
  <c r="S14"/>
  <c r="S17" s="1"/>
  <c r="M14" i="669"/>
  <c r="Y14" s="1"/>
  <c r="S14"/>
  <c r="M14" i="672"/>
  <c r="Y14" s="1"/>
  <c r="S14"/>
  <c r="S17" s="1"/>
  <c r="M14" i="675"/>
  <c r="Y14" s="1"/>
  <c r="S14"/>
  <c r="M14" i="808"/>
  <c r="Y14" s="1"/>
  <c r="Y17" s="1"/>
  <c r="S14"/>
  <c r="S17" s="1"/>
  <c r="M14" i="585"/>
  <c r="Y14" s="1"/>
  <c r="Y17" s="1"/>
  <c r="S14"/>
  <c r="S17" s="1"/>
  <c r="M14" i="609"/>
  <c r="Y14" s="1"/>
  <c r="S14"/>
  <c r="M8" i="654"/>
  <c r="Y8" s="1"/>
  <c r="Y11" s="1"/>
  <c r="S8"/>
  <c r="S11" s="1"/>
  <c r="S8" i="669"/>
  <c r="M8"/>
  <c r="Y8" s="1"/>
  <c r="M8" i="678"/>
  <c r="Y8" s="1"/>
  <c r="S8"/>
  <c r="S8" i="699"/>
  <c r="M8"/>
  <c r="Y8" s="1"/>
  <c r="M8" i="708"/>
  <c r="Y8" s="1"/>
  <c r="S8"/>
  <c r="S8" i="723"/>
  <c r="M8"/>
  <c r="Y8" s="1"/>
  <c r="S8" i="729"/>
  <c r="M8"/>
  <c r="Y8" s="1"/>
  <c r="M8" i="690"/>
  <c r="Y8" s="1"/>
  <c r="S8"/>
  <c r="S8" i="747"/>
  <c r="M8"/>
  <c r="Y8" s="1"/>
  <c r="M8" i="645"/>
  <c r="Y8" s="1"/>
  <c r="S8"/>
  <c r="S8" i="648"/>
  <c r="S11" s="1"/>
  <c r="M8"/>
  <c r="Y8" s="1"/>
  <c r="Y11" s="1"/>
  <c r="M8" i="633"/>
  <c r="Y8" s="1"/>
  <c r="S8"/>
  <c r="S8" i="609"/>
  <c r="S11" s="1"/>
  <c r="M8"/>
  <c r="Y8" s="1"/>
  <c r="Y11" s="1"/>
  <c r="S8" i="600"/>
  <c r="S11" s="1"/>
  <c r="M8"/>
  <c r="Y8" s="1"/>
  <c r="Y11" s="1"/>
  <c r="S14" i="591"/>
  <c r="S17" s="1"/>
  <c r="M14"/>
  <c r="Y14" s="1"/>
  <c r="Y17" s="1"/>
  <c r="S8" i="585"/>
  <c r="M8"/>
  <c r="Y8" s="1"/>
  <c r="M14" i="576"/>
  <c r="Y14" s="1"/>
  <c r="S14"/>
  <c r="M14" i="588"/>
  <c r="Y14" s="1"/>
  <c r="S14"/>
  <c r="S14" i="594"/>
  <c r="M14"/>
  <c r="Y14" s="1"/>
  <c r="M14" i="603"/>
  <c r="Y14" s="1"/>
  <c r="S14"/>
  <c r="M8" i="624"/>
  <c r="Y8" s="1"/>
  <c r="Y11" s="1"/>
  <c r="S8"/>
  <c r="S11" s="1"/>
  <c r="M8" i="657"/>
  <c r="Y8" s="1"/>
  <c r="S8"/>
  <c r="M8" i="666"/>
  <c r="Y8" s="1"/>
  <c r="S8"/>
  <c r="M8" i="696"/>
  <c r="Y8" s="1"/>
  <c r="S8"/>
  <c r="S8" i="711"/>
  <c r="M8"/>
  <c r="Y8" s="1"/>
  <c r="M8" i="720"/>
  <c r="Y8" s="1"/>
  <c r="S8"/>
  <c r="S8" i="738"/>
  <c r="M8"/>
  <c r="Y8" s="1"/>
  <c r="S8" i="744"/>
  <c r="M8"/>
  <c r="Y8" s="1"/>
  <c r="S8" i="642"/>
  <c r="M8"/>
  <c r="Y8" s="1"/>
  <c r="S8" i="615"/>
  <c r="M8"/>
  <c r="Y8" s="1"/>
  <c r="M14" i="606"/>
  <c r="Y14" s="1"/>
  <c r="S14"/>
  <c r="S8"/>
  <c r="M8"/>
  <c r="Y8" s="1"/>
  <c r="S8" i="582"/>
  <c r="S11" s="1"/>
  <c r="M8"/>
  <c r="Y8" s="1"/>
  <c r="Y11" s="1"/>
  <c r="M29" i="576"/>
  <c r="Y29" s="1"/>
  <c r="S29"/>
  <c r="M29" i="579"/>
  <c r="Y29" s="1"/>
  <c r="S29"/>
  <c r="M30" i="808"/>
  <c r="Y30" s="1"/>
  <c r="S30"/>
  <c r="M28" i="579"/>
  <c r="Y28" s="1"/>
  <c r="S28"/>
  <c r="M29" i="582"/>
  <c r="Y29" s="1"/>
  <c r="S29"/>
  <c r="M21" i="594"/>
  <c r="Y21" s="1"/>
  <c r="S21"/>
  <c r="S20" i="603"/>
  <c r="M20"/>
  <c r="Y20" s="1"/>
  <c r="S24" i="612"/>
  <c r="M24"/>
  <c r="Y24" s="1"/>
  <c r="M27" i="585"/>
  <c r="Y27" s="1"/>
  <c r="S27"/>
  <c r="S20" i="600"/>
  <c r="M20"/>
  <c r="Y20" s="1"/>
  <c r="M21" i="606"/>
  <c r="Y21" s="1"/>
  <c r="S21"/>
  <c r="S14" i="615"/>
  <c r="M14"/>
  <c r="Y14" s="1"/>
  <c r="M14" i="621"/>
  <c r="Y14" s="1"/>
  <c r="S14"/>
  <c r="S14" i="633"/>
  <c r="M14"/>
  <c r="Y14" s="1"/>
  <c r="M16" i="648"/>
  <c r="Y16" s="1"/>
  <c r="S16"/>
  <c r="S14" i="636"/>
  <c r="M14"/>
  <c r="Y14" s="1"/>
  <c r="S16" i="654"/>
  <c r="M16"/>
  <c r="Y16" s="1"/>
  <c r="U21" i="579"/>
  <c r="J21"/>
  <c r="V21" s="1"/>
  <c r="U26" i="585"/>
  <c r="J26"/>
  <c r="V26" s="1"/>
  <c r="U31" i="579"/>
  <c r="J31"/>
  <c r="V31" s="1"/>
  <c r="J20" i="585"/>
  <c r="V20" s="1"/>
  <c r="V22" s="1"/>
  <c r="U20"/>
  <c r="U22" s="1"/>
  <c r="U20" i="591"/>
  <c r="U22" s="1"/>
  <c r="J20"/>
  <c r="V20" s="1"/>
  <c r="V22" s="1"/>
  <c r="U20" i="588"/>
  <c r="U22" s="1"/>
  <c r="J20"/>
  <c r="V20" s="1"/>
  <c r="V22" s="1"/>
  <c r="U23" i="600"/>
  <c r="J23"/>
  <c r="V23" s="1"/>
  <c r="S21" i="603"/>
  <c r="M21"/>
  <c r="Y21" s="1"/>
  <c r="S26" i="612"/>
  <c r="M26"/>
  <c r="Y26" s="1"/>
  <c r="S21" i="600"/>
  <c r="M21"/>
  <c r="Y21" s="1"/>
  <c r="S29" i="606"/>
  <c r="M29"/>
  <c r="Y29" s="1"/>
  <c r="S16" i="615"/>
  <c r="M16"/>
  <c r="Y16" s="1"/>
  <c r="S16" i="621"/>
  <c r="M16"/>
  <c r="Y16" s="1"/>
  <c r="S16" i="633"/>
  <c r="M16"/>
  <c r="Y16" s="1"/>
  <c r="S15" i="645"/>
  <c r="M15"/>
  <c r="Y15" s="1"/>
  <c r="S15" i="660"/>
  <c r="M15"/>
  <c r="Y15" s="1"/>
  <c r="Y17" s="1"/>
  <c r="S15" i="669"/>
  <c r="M15"/>
  <c r="Y15" s="1"/>
  <c r="S15" i="675"/>
  <c r="M15"/>
  <c r="Y15" s="1"/>
  <c r="S15" i="642"/>
  <c r="M15"/>
  <c r="Y15" s="1"/>
  <c r="S15" i="651"/>
  <c r="M15"/>
  <c r="Y15" s="1"/>
  <c r="S15" i="663"/>
  <c r="M15"/>
  <c r="Y15" s="1"/>
  <c r="Y17" s="1"/>
  <c r="S20" i="576"/>
  <c r="M20"/>
  <c r="Y20" s="1"/>
  <c r="S20" i="582"/>
  <c r="M20"/>
  <c r="Y20" s="1"/>
  <c r="S10" i="576"/>
  <c r="M10"/>
  <c r="Y10" s="1"/>
  <c r="M10" i="585"/>
  <c r="Y10" s="1"/>
  <c r="S10"/>
  <c r="S16" i="579"/>
  <c r="M16"/>
  <c r="Y16" s="1"/>
  <c r="S16" i="582"/>
  <c r="M16"/>
  <c r="Y16" s="1"/>
  <c r="S10" i="591"/>
  <c r="M10"/>
  <c r="Y10" s="1"/>
  <c r="M10" i="597"/>
  <c r="Y10" s="1"/>
  <c r="S10"/>
  <c r="S16" i="600"/>
  <c r="M16"/>
  <c r="Y16" s="1"/>
  <c r="M16" i="606"/>
  <c r="Y16" s="1"/>
  <c r="S16"/>
  <c r="S10" i="612"/>
  <c r="M10"/>
  <c r="Y10" s="1"/>
  <c r="M10" i="615"/>
  <c r="Y10" s="1"/>
  <c r="S10"/>
  <c r="S10" i="621"/>
  <c r="M10"/>
  <c r="Y10" s="1"/>
  <c r="M10" i="633"/>
  <c r="Y10" s="1"/>
  <c r="S10"/>
  <c r="S16" i="588"/>
  <c r="M16"/>
  <c r="Y16" s="1"/>
  <c r="M10" i="594"/>
  <c r="Y10" s="1"/>
  <c r="S10"/>
  <c r="S16" i="603"/>
  <c r="M16"/>
  <c r="Y16" s="1"/>
  <c r="S16" i="609"/>
  <c r="M16"/>
  <c r="Y16" s="1"/>
  <c r="M10" i="636"/>
  <c r="Y10" s="1"/>
  <c r="S10"/>
  <c r="S10" i="657"/>
  <c r="M10"/>
  <c r="Y10" s="1"/>
  <c r="S10" i="666"/>
  <c r="M10"/>
  <c r="Y10" s="1"/>
  <c r="S10" i="672"/>
  <c r="M10"/>
  <c r="Y10" s="1"/>
  <c r="S10" i="678"/>
  <c r="M10"/>
  <c r="Y10" s="1"/>
  <c r="M10" i="642"/>
  <c r="Y10" s="1"/>
  <c r="S10"/>
  <c r="M10" i="651"/>
  <c r="Y10" s="1"/>
  <c r="S10"/>
  <c r="S10" i="663"/>
  <c r="M10"/>
  <c r="Y10" s="1"/>
  <c r="M10" i="684"/>
  <c r="Y10" s="1"/>
  <c r="S10"/>
  <c r="M10" i="690"/>
  <c r="Y10" s="1"/>
  <c r="S10"/>
  <c r="S10" i="696"/>
  <c r="M10"/>
  <c r="Y10" s="1"/>
  <c r="S10" i="702"/>
  <c r="M10"/>
  <c r="Y10" s="1"/>
  <c r="S10" i="708"/>
  <c r="M10"/>
  <c r="Y10" s="1"/>
  <c r="S10" i="714"/>
  <c r="M10"/>
  <c r="Y10" s="1"/>
  <c r="S10" i="723"/>
  <c r="M10"/>
  <c r="Y10" s="1"/>
  <c r="S10" i="735"/>
  <c r="M10"/>
  <c r="Y10" s="1"/>
  <c r="S10" i="720"/>
  <c r="M10"/>
  <c r="Y10" s="1"/>
  <c r="S10" i="732"/>
  <c r="M10"/>
  <c r="Y10" s="1"/>
  <c r="M10" i="744"/>
  <c r="Y10" s="1"/>
  <c r="S10"/>
  <c r="U16" i="576"/>
  <c r="J16"/>
  <c r="V16" s="1"/>
  <c r="U10" i="582"/>
  <c r="J10"/>
  <c r="V10" s="1"/>
  <c r="U16" i="585"/>
  <c r="J16"/>
  <c r="V16" s="1"/>
  <c r="U10" i="576"/>
  <c r="J10"/>
  <c r="V10" s="1"/>
  <c r="U10" i="585"/>
  <c r="J10"/>
  <c r="V10" s="1"/>
  <c r="U16" i="588"/>
  <c r="J16"/>
  <c r="V16" s="1"/>
  <c r="U10" i="594"/>
  <c r="J10"/>
  <c r="V10" s="1"/>
  <c r="U16" i="603"/>
  <c r="J16"/>
  <c r="V16" s="1"/>
  <c r="U16" i="609"/>
  <c r="J16"/>
  <c r="V16" s="1"/>
  <c r="J10" i="636"/>
  <c r="V10" s="1"/>
  <c r="U10"/>
  <c r="U16" i="594"/>
  <c r="J16"/>
  <c r="V16" s="1"/>
  <c r="U16" i="597"/>
  <c r="J16"/>
  <c r="V16" s="1"/>
  <c r="U10" i="603"/>
  <c r="J10"/>
  <c r="V10" s="1"/>
  <c r="U10" i="609"/>
  <c r="J10"/>
  <c r="V10" s="1"/>
  <c r="U16" i="612"/>
  <c r="J16"/>
  <c r="V16" s="1"/>
  <c r="U10" i="618"/>
  <c r="J10"/>
  <c r="V10" s="1"/>
  <c r="U10" i="627"/>
  <c r="J10"/>
  <c r="V10" s="1"/>
  <c r="U10" i="639"/>
  <c r="J10"/>
  <c r="V10" s="1"/>
  <c r="U10" i="648"/>
  <c r="J10"/>
  <c r="V10" s="1"/>
  <c r="U10" i="654"/>
  <c r="J10"/>
  <c r="V10" s="1"/>
  <c r="U10" i="681"/>
  <c r="J10"/>
  <c r="V10" s="1"/>
  <c r="U10" i="657"/>
  <c r="J10"/>
  <c r="V10" s="1"/>
  <c r="U10" i="666"/>
  <c r="J10"/>
  <c r="V10" s="1"/>
  <c r="U10" i="672"/>
  <c r="J10"/>
  <c r="V10" s="1"/>
  <c r="U10" i="678"/>
  <c r="J10"/>
  <c r="V10" s="1"/>
  <c r="U10" i="726"/>
  <c r="J10"/>
  <c r="V10" s="1"/>
  <c r="U10" i="741"/>
  <c r="J10"/>
  <c r="V10" s="1"/>
  <c r="U10" i="747"/>
  <c r="J10"/>
  <c r="V10" s="1"/>
  <c r="U10" i="687"/>
  <c r="J10"/>
  <c r="V10" s="1"/>
  <c r="U10" i="693"/>
  <c r="J10"/>
  <c r="V10" s="1"/>
  <c r="U10" i="699"/>
  <c r="J10"/>
  <c r="V10" s="1"/>
  <c r="U10" i="705"/>
  <c r="J10"/>
  <c r="V10" s="1"/>
  <c r="U10" i="711"/>
  <c r="J10"/>
  <c r="V10" s="1"/>
  <c r="U10" i="717"/>
  <c r="J10"/>
  <c r="V10" s="1"/>
  <c r="U10" i="729"/>
  <c r="J10"/>
  <c r="V10" s="1"/>
  <c r="U10" i="738"/>
  <c r="J10"/>
  <c r="V10" s="1"/>
  <c r="V11" s="1"/>
  <c r="V15" s="1"/>
  <c r="U23" i="579"/>
  <c r="J23"/>
  <c r="V23" s="1"/>
  <c r="U25" i="585"/>
  <c r="J25"/>
  <c r="V25" s="1"/>
  <c r="U20" i="594"/>
  <c r="J20"/>
  <c r="V20" s="1"/>
  <c r="U28" i="603"/>
  <c r="J28"/>
  <c r="V28" s="1"/>
  <c r="U15" i="624"/>
  <c r="J15"/>
  <c r="V15" s="1"/>
  <c r="U28" i="606"/>
  <c r="J28"/>
  <c r="V28" s="1"/>
  <c r="U15" i="615"/>
  <c r="J15"/>
  <c r="V15" s="1"/>
  <c r="J15" i="621"/>
  <c r="V15" s="1"/>
  <c r="U15"/>
  <c r="U15" i="633"/>
  <c r="J15"/>
  <c r="V15" s="1"/>
  <c r="U14" i="645"/>
  <c r="J14"/>
  <c r="V14" s="1"/>
  <c r="V17" s="1"/>
  <c r="U14" i="660"/>
  <c r="J14"/>
  <c r="V14" s="1"/>
  <c r="U22" i="666"/>
  <c r="U23" s="1"/>
  <c r="J22"/>
  <c r="V22" s="1"/>
  <c r="V23" s="1"/>
  <c r="U22" i="669"/>
  <c r="U23" s="1"/>
  <c r="J22"/>
  <c r="V22" s="1"/>
  <c r="V23" s="1"/>
  <c r="U22" i="672"/>
  <c r="U23" s="1"/>
  <c r="J22"/>
  <c r="V22" s="1"/>
  <c r="V23" s="1"/>
  <c r="U22" i="675"/>
  <c r="U23" s="1"/>
  <c r="J22"/>
  <c r="V22" s="1"/>
  <c r="V23" s="1"/>
  <c r="U14" i="642"/>
  <c r="J14"/>
  <c r="V14" s="1"/>
  <c r="V17" s="1"/>
  <c r="U14" i="651"/>
  <c r="J14"/>
  <c r="V14" s="1"/>
  <c r="U14" i="663"/>
  <c r="J14"/>
  <c r="V14" s="1"/>
  <c r="U20" i="606"/>
  <c r="J20"/>
  <c r="V20" s="1"/>
  <c r="J26" i="609"/>
  <c r="V26" s="1"/>
  <c r="U26"/>
  <c r="U16" i="618"/>
  <c r="J16"/>
  <c r="V16" s="1"/>
  <c r="U16" i="627"/>
  <c r="J16"/>
  <c r="V16" s="1"/>
  <c r="J21" i="603"/>
  <c r="V21" s="1"/>
  <c r="U21"/>
  <c r="U24" s="1"/>
  <c r="J26" i="612"/>
  <c r="V26" s="1"/>
  <c r="U26"/>
  <c r="U28" s="1"/>
  <c r="J16" i="636"/>
  <c r="V16" s="1"/>
  <c r="U16"/>
  <c r="U18" s="1"/>
  <c r="J15" i="648"/>
  <c r="V15" s="1"/>
  <c r="U15"/>
  <c r="U18" s="1"/>
  <c r="U15" i="654"/>
  <c r="J15"/>
  <c r="V15" s="1"/>
  <c r="J16" i="639"/>
  <c r="V16" s="1"/>
  <c r="U16"/>
  <c r="U15" i="657"/>
  <c r="J15"/>
  <c r="V15" s="1"/>
  <c r="U15" i="666"/>
  <c r="J15"/>
  <c r="V15" s="1"/>
  <c r="U15" i="672"/>
  <c r="J15"/>
  <c r="V15" s="1"/>
  <c r="U14" i="576"/>
  <c r="U17" s="1"/>
  <c r="J14"/>
  <c r="V14" s="1"/>
  <c r="V17" s="1"/>
  <c r="U8" i="588"/>
  <c r="J8"/>
  <c r="V8" s="1"/>
  <c r="U8" i="594"/>
  <c r="U11" s="1"/>
  <c r="J8"/>
  <c r="V8" s="1"/>
  <c r="V11" s="1"/>
  <c r="J14" i="606"/>
  <c r="V14" s="1"/>
  <c r="V17" s="1"/>
  <c r="U14"/>
  <c r="U17" s="1"/>
  <c r="J8" i="615"/>
  <c r="V8" s="1"/>
  <c r="V11" s="1"/>
  <c r="U8"/>
  <c r="U11" s="1"/>
  <c r="U8" i="639"/>
  <c r="U11" s="1"/>
  <c r="J8"/>
  <c r="V8" s="1"/>
  <c r="V11" s="1"/>
  <c r="U8" i="687"/>
  <c r="U11" s="1"/>
  <c r="U21" s="1"/>
  <c r="J8"/>
  <c r="V8" s="1"/>
  <c r="V11" s="1"/>
  <c r="V21" s="1"/>
  <c r="J8" i="741"/>
  <c r="V8" s="1"/>
  <c r="U8"/>
  <c r="J8" i="747"/>
  <c r="V8" s="1"/>
  <c r="U8"/>
  <c r="U8" i="714"/>
  <c r="J8"/>
  <c r="V8" s="1"/>
  <c r="J8" i="702"/>
  <c r="V8" s="1"/>
  <c r="V11" s="1"/>
  <c r="V16" s="1"/>
  <c r="U8"/>
  <c r="U11" s="1"/>
  <c r="U16" s="1"/>
  <c r="J8" i="732"/>
  <c r="V8" s="1"/>
  <c r="V11" s="1"/>
  <c r="V19" s="1"/>
  <c r="U8"/>
  <c r="U11" s="1"/>
  <c r="U19" s="1"/>
  <c r="J8" i="660"/>
  <c r="V8" s="1"/>
  <c r="V11" s="1"/>
  <c r="U8"/>
  <c r="U11" s="1"/>
  <c r="J8" i="621"/>
  <c r="V8" s="1"/>
  <c r="V11" s="1"/>
  <c r="U8"/>
  <c r="U11" s="1"/>
  <c r="U8" i="591"/>
  <c r="J8"/>
  <c r="V8" s="1"/>
  <c r="U14" i="603"/>
  <c r="U17" s="1"/>
  <c r="J14"/>
  <c r="V14" s="1"/>
  <c r="V17" s="1"/>
  <c r="U14" i="582"/>
  <c r="J14"/>
  <c r="V14" s="1"/>
  <c r="U8" i="576"/>
  <c r="U11" s="1"/>
  <c r="J8"/>
  <c r="V8" s="1"/>
  <c r="V11" s="1"/>
  <c r="U8" i="582"/>
  <c r="U11" s="1"/>
  <c r="J8"/>
  <c r="V8" s="1"/>
  <c r="V11" s="1"/>
  <c r="U8" i="600"/>
  <c r="J8"/>
  <c r="V8" s="1"/>
  <c r="J14" i="612"/>
  <c r="V14" s="1"/>
  <c r="U14"/>
  <c r="U8" i="633"/>
  <c r="J8"/>
  <c r="V8" s="1"/>
  <c r="U8" i="648"/>
  <c r="U11" s="1"/>
  <c r="J8"/>
  <c r="V8" s="1"/>
  <c r="V11" s="1"/>
  <c r="J8" i="681"/>
  <c r="V8" s="1"/>
  <c r="U8"/>
  <c r="U8" i="690"/>
  <c r="J8"/>
  <c r="V8" s="1"/>
  <c r="J8" i="723"/>
  <c r="V8" s="1"/>
  <c r="V11" s="1"/>
  <c r="V20" s="1"/>
  <c r="U8"/>
  <c r="U11" s="1"/>
  <c r="U20" s="1"/>
  <c r="U8" i="711"/>
  <c r="U11" s="1"/>
  <c r="U16" s="1"/>
  <c r="J8"/>
  <c r="V8" s="1"/>
  <c r="V11" s="1"/>
  <c r="V16" s="1"/>
  <c r="J8" i="699"/>
  <c r="V8" s="1"/>
  <c r="U8"/>
  <c r="J8" i="726"/>
  <c r="V8" s="1"/>
  <c r="U8"/>
  <c r="J8" i="675"/>
  <c r="V8" s="1"/>
  <c r="V11" s="1"/>
  <c r="U8"/>
  <c r="U11" s="1"/>
  <c r="J8" i="669"/>
  <c r="V8" s="1"/>
  <c r="V11" s="1"/>
  <c r="U8"/>
  <c r="U11" s="1"/>
  <c r="J8" i="657"/>
  <c r="V8" s="1"/>
  <c r="U8"/>
  <c r="U8" i="627"/>
  <c r="U11" s="1"/>
  <c r="J8"/>
  <c r="V8" s="1"/>
  <c r="V11" s="1"/>
  <c r="J14" i="597"/>
  <c r="V14" s="1"/>
  <c r="U14"/>
  <c r="U8" i="624"/>
  <c r="J8"/>
  <c r="V8" s="1"/>
  <c r="U14" i="585"/>
  <c r="U17" s="1"/>
  <c r="J14"/>
  <c r="V14" s="1"/>
  <c r="V17" s="1"/>
  <c r="U28" i="576"/>
  <c r="J28"/>
  <c r="V28" s="1"/>
  <c r="U22" i="582"/>
  <c r="J22"/>
  <c r="V22" s="1"/>
  <c r="U22" i="576"/>
  <c r="J22"/>
  <c r="V22" s="1"/>
  <c r="U22" i="579"/>
  <c r="J22"/>
  <c r="V22" s="1"/>
  <c r="U28" i="582"/>
  <c r="J28"/>
  <c r="V28" s="1"/>
  <c r="U27" i="591"/>
  <c r="J27"/>
  <c r="V27" s="1"/>
  <c r="U27" i="606"/>
  <c r="J27"/>
  <c r="V27" s="1"/>
  <c r="V31" s="1"/>
  <c r="U24" i="609"/>
  <c r="J24"/>
  <c r="V24" s="1"/>
  <c r="U14" i="618"/>
  <c r="J14"/>
  <c r="V14" s="1"/>
  <c r="U14" i="627"/>
  <c r="J14"/>
  <c r="V14" s="1"/>
  <c r="U27" i="588"/>
  <c r="J27"/>
  <c r="V27" s="1"/>
  <c r="U21" i="597"/>
  <c r="J21"/>
  <c r="V21" s="1"/>
  <c r="U27" i="603"/>
  <c r="J27"/>
  <c r="V27" s="1"/>
  <c r="V31" s="1"/>
  <c r="U14" i="624"/>
  <c r="J14"/>
  <c r="V14" s="1"/>
  <c r="U16" i="651"/>
  <c r="J16"/>
  <c r="V16" s="1"/>
  <c r="U14" i="639"/>
  <c r="J14"/>
  <c r="V14" s="1"/>
  <c r="U16" i="657"/>
  <c r="J16"/>
  <c r="V16" s="1"/>
  <c r="S31" i="579"/>
  <c r="M31"/>
  <c r="Y31" s="1"/>
  <c r="M20" i="585"/>
  <c r="Y20" s="1"/>
  <c r="Y22" s="1"/>
  <c r="S20"/>
  <c r="S22" s="1"/>
  <c r="M21" i="579"/>
  <c r="Y21" s="1"/>
  <c r="S21"/>
  <c r="M26" i="585"/>
  <c r="Y26" s="1"/>
  <c r="S26"/>
  <c r="S26" i="591"/>
  <c r="M26"/>
  <c r="Y26" s="1"/>
  <c r="M23" i="606"/>
  <c r="Y23" s="1"/>
  <c r="S23"/>
  <c r="S24" s="1"/>
  <c r="S20" i="591"/>
  <c r="S22" s="1"/>
  <c r="M20"/>
  <c r="Y20" s="1"/>
  <c r="Y22" s="1"/>
  <c r="R25" i="576"/>
  <c r="R29" i="591"/>
  <c r="R23" i="597"/>
  <c r="R29" i="588"/>
  <c r="R18" i="657"/>
  <c r="R18" i="648"/>
  <c r="R18" i="654"/>
  <c r="J14" i="74"/>
  <c r="V14" s="1"/>
  <c r="U14"/>
  <c r="U14" i="567"/>
  <c r="J14"/>
  <c r="V14" s="1"/>
  <c r="M17" i="74"/>
  <c r="Y17" s="1"/>
  <c r="S17"/>
  <c r="S17" i="564"/>
  <c r="M17"/>
  <c r="Y17" s="1"/>
  <c r="S8" i="74"/>
  <c r="M8"/>
  <c r="Y8" s="1"/>
  <c r="S23"/>
  <c r="M23"/>
  <c r="Y23" s="1"/>
  <c r="M23" i="805"/>
  <c r="Y23" s="1"/>
  <c r="S23"/>
  <c r="M8" i="808"/>
  <c r="Y8" s="1"/>
  <c r="S8"/>
  <c r="S16" i="564"/>
  <c r="M16"/>
  <c r="Y16" s="1"/>
  <c r="S16" i="567"/>
  <c r="M16"/>
  <c r="Y16" s="1"/>
  <c r="S29" i="808"/>
  <c r="M29"/>
  <c r="Y29" s="1"/>
  <c r="U15" i="74"/>
  <c r="J15"/>
  <c r="V15" s="1"/>
  <c r="U25" i="564"/>
  <c r="J25"/>
  <c r="V25" s="1"/>
  <c r="U15"/>
  <c r="J15"/>
  <c r="V15" s="1"/>
  <c r="U21" i="808"/>
  <c r="J21"/>
  <c r="V21" s="1"/>
  <c r="M20"/>
  <c r="Y20" s="1"/>
  <c r="S20"/>
  <c r="S14" i="567"/>
  <c r="M14"/>
  <c r="Y14" s="1"/>
  <c r="M10" i="564"/>
  <c r="Y10" s="1"/>
  <c r="S10"/>
  <c r="S10" i="808"/>
  <c r="M10"/>
  <c r="Y10" s="1"/>
  <c r="U10" i="74"/>
  <c r="J10"/>
  <c r="V10" s="1"/>
  <c r="U10" i="567"/>
  <c r="J10"/>
  <c r="V10" s="1"/>
  <c r="U17" i="564"/>
  <c r="J17"/>
  <c r="V17" s="1"/>
  <c r="U23" i="808"/>
  <c r="J23"/>
  <c r="V23" s="1"/>
  <c r="J23" i="805"/>
  <c r="V23" s="1"/>
  <c r="U23"/>
  <c r="J16" i="74"/>
  <c r="V16" s="1"/>
  <c r="U16"/>
  <c r="U8" i="564"/>
  <c r="J8"/>
  <c r="V8" s="1"/>
  <c r="U23"/>
  <c r="U26" s="1"/>
  <c r="J23"/>
  <c r="V23" s="1"/>
  <c r="V26" s="1"/>
  <c r="U29" i="808"/>
  <c r="J29"/>
  <c r="V29" s="1"/>
  <c r="U8"/>
  <c r="J8"/>
  <c r="V8" s="1"/>
  <c r="M25" i="74"/>
  <c r="Y25" s="1"/>
  <c r="S25"/>
  <c r="M15"/>
  <c r="Y15" s="1"/>
  <c r="S15"/>
  <c r="M21" i="808"/>
  <c r="Y21" s="1"/>
  <c r="S21"/>
  <c r="S15" i="564"/>
  <c r="M15"/>
  <c r="Y15" s="1"/>
  <c r="S25" i="567"/>
  <c r="M25"/>
  <c r="Y25" s="1"/>
  <c r="R11"/>
  <c r="R11" i="808"/>
  <c r="R20" i="564"/>
  <c r="R26" i="808"/>
  <c r="U14" i="564"/>
  <c r="J14"/>
  <c r="V14" s="1"/>
  <c r="U20" i="808"/>
  <c r="J20"/>
  <c r="V20" s="1"/>
  <c r="M23"/>
  <c r="Y23" s="1"/>
  <c r="S23"/>
  <c r="S17" i="567"/>
  <c r="M17"/>
  <c r="Y17" s="1"/>
  <c r="M16" i="74"/>
  <c r="Y16" s="1"/>
  <c r="S16"/>
  <c r="S8" i="567"/>
  <c r="M8"/>
  <c r="Y8" s="1"/>
  <c r="M8" i="564"/>
  <c r="Y8" s="1"/>
  <c r="Y11" s="1"/>
  <c r="S8"/>
  <c r="S11" s="1"/>
  <c r="M22" i="808"/>
  <c r="Y22" s="1"/>
  <c r="S22"/>
  <c r="M23" i="564"/>
  <c r="Y23" s="1"/>
  <c r="S23"/>
  <c r="M23" i="567"/>
  <c r="Y23" s="1"/>
  <c r="S23"/>
  <c r="U25" i="805"/>
  <c r="J25"/>
  <c r="V25" s="1"/>
  <c r="J25" i="74"/>
  <c r="V25" s="1"/>
  <c r="U25"/>
  <c r="U25" i="567"/>
  <c r="J25"/>
  <c r="V25" s="1"/>
  <c r="U15"/>
  <c r="J15"/>
  <c r="V15" s="1"/>
  <c r="U32" i="808"/>
  <c r="J32"/>
  <c r="V32" s="1"/>
  <c r="M14" i="74"/>
  <c r="Y14" s="1"/>
  <c r="Y20" s="1"/>
  <c r="S14"/>
  <c r="S20" s="1"/>
  <c r="S14" i="564"/>
  <c r="S20" s="1"/>
  <c r="M14"/>
  <c r="Y14" s="1"/>
  <c r="Y20" s="1"/>
  <c r="S10" i="74"/>
  <c r="M10"/>
  <c r="Y10" s="1"/>
  <c r="M10" i="567"/>
  <c r="Y10" s="1"/>
  <c r="S10"/>
  <c r="U10" i="808"/>
  <c r="J10"/>
  <c r="V10" s="1"/>
  <c r="U10" i="564"/>
  <c r="J10"/>
  <c r="V10" s="1"/>
  <c r="U17" i="74"/>
  <c r="J17"/>
  <c r="V17" s="1"/>
  <c r="U17" i="567"/>
  <c r="J17"/>
  <c r="V17" s="1"/>
  <c r="U8" i="74"/>
  <c r="U11" s="1"/>
  <c r="J8"/>
  <c r="V8" s="1"/>
  <c r="V11" s="1"/>
  <c r="J8" i="567"/>
  <c r="V8" s="1"/>
  <c r="U8"/>
  <c r="U23" i="74"/>
  <c r="J23"/>
  <c r="V23" s="1"/>
  <c r="U16" i="564"/>
  <c r="J16"/>
  <c r="V16" s="1"/>
  <c r="U16" i="567"/>
  <c r="J16"/>
  <c r="V16" s="1"/>
  <c r="U23"/>
  <c r="U26" s="1"/>
  <c r="J23"/>
  <c r="V23" s="1"/>
  <c r="V26" s="1"/>
  <c r="U22" i="808"/>
  <c r="J22"/>
  <c r="V22" s="1"/>
  <c r="S25" i="805"/>
  <c r="M25"/>
  <c r="Y25" s="1"/>
  <c r="S15" i="567"/>
  <c r="M15"/>
  <c r="Y15" s="1"/>
  <c r="M32" i="808"/>
  <c r="Y32" s="1"/>
  <c r="S32"/>
  <c r="S25" i="564"/>
  <c r="M25"/>
  <c r="Y25" s="1"/>
  <c r="R11" i="74"/>
  <c r="R11" i="564"/>
  <c r="R20" i="74"/>
  <c r="R20" i="567"/>
  <c r="U14" i="805"/>
  <c r="J14"/>
  <c r="V14" s="1"/>
  <c r="M16"/>
  <c r="Y16" s="1"/>
  <c r="S16"/>
  <c r="M14"/>
  <c r="Y14" s="1"/>
  <c r="S14"/>
  <c r="U17"/>
  <c r="J17"/>
  <c r="V17" s="1"/>
  <c r="U16"/>
  <c r="J16"/>
  <c r="V16" s="1"/>
  <c r="M17"/>
  <c r="Y17" s="1"/>
  <c r="S17"/>
  <c r="M8"/>
  <c r="Y8" s="1"/>
  <c r="Y11" s="1"/>
  <c r="S8"/>
  <c r="S11" s="1"/>
  <c r="U15"/>
  <c r="J15"/>
  <c r="V15" s="1"/>
  <c r="U8"/>
  <c r="U11" s="1"/>
  <c r="J8"/>
  <c r="V8" s="1"/>
  <c r="V11" s="1"/>
  <c r="M15"/>
  <c r="Y15" s="1"/>
  <c r="S15"/>
  <c r="R20"/>
  <c r="R28" s="1"/>
  <c r="U23" i="802"/>
  <c r="J23"/>
  <c r="V23" s="1"/>
  <c r="S16"/>
  <c r="M16"/>
  <c r="Y16" s="1"/>
  <c r="U24"/>
  <c r="J24"/>
  <c r="V24" s="1"/>
  <c r="M14"/>
  <c r="Y14" s="1"/>
  <c r="S14"/>
  <c r="S23"/>
  <c r="M23"/>
  <c r="Y23" s="1"/>
  <c r="U25"/>
  <c r="J25"/>
  <c r="V25" s="1"/>
  <c r="M15"/>
  <c r="Y15" s="1"/>
  <c r="S15"/>
  <c r="R27"/>
  <c r="U14"/>
  <c r="J14"/>
  <c r="V14" s="1"/>
  <c r="M8"/>
  <c r="Y8" s="1"/>
  <c r="S8"/>
  <c r="S25"/>
  <c r="M25"/>
  <c r="Y25" s="1"/>
  <c r="U15"/>
  <c r="J15"/>
  <c r="V15" s="1"/>
  <c r="S10"/>
  <c r="M10"/>
  <c r="Y10" s="1"/>
  <c r="U10"/>
  <c r="J10"/>
  <c r="V10" s="1"/>
  <c r="U16"/>
  <c r="J16"/>
  <c r="V16" s="1"/>
  <c r="U8"/>
  <c r="U11" s="1"/>
  <c r="J8"/>
  <c r="V8" s="1"/>
  <c r="V11" s="1"/>
  <c r="S24"/>
  <c r="M24"/>
  <c r="Y24" s="1"/>
  <c r="R11"/>
  <c r="R20"/>
  <c r="U14" i="799"/>
  <c r="J14"/>
  <c r="V14" s="1"/>
  <c r="S18"/>
  <c r="M18"/>
  <c r="Y18" s="1"/>
  <c r="M8"/>
  <c r="Y8" s="1"/>
  <c r="Y11" s="1"/>
  <c r="S8"/>
  <c r="S11" s="1"/>
  <c r="S25"/>
  <c r="M25"/>
  <c r="Y25" s="1"/>
  <c r="U15"/>
  <c r="J15"/>
  <c r="V15" s="1"/>
  <c r="S16"/>
  <c r="M16"/>
  <c r="Y16" s="1"/>
  <c r="U18"/>
  <c r="J18"/>
  <c r="V18" s="1"/>
  <c r="U17"/>
  <c r="J17"/>
  <c r="V17" s="1"/>
  <c r="U8"/>
  <c r="U11" s="1"/>
  <c r="J8"/>
  <c r="V8" s="1"/>
  <c r="V11" s="1"/>
  <c r="R27"/>
  <c r="U23"/>
  <c r="J23"/>
  <c r="V23" s="1"/>
  <c r="U16"/>
  <c r="J16"/>
  <c r="V16" s="1"/>
  <c r="S17"/>
  <c r="M17"/>
  <c r="Y17" s="1"/>
  <c r="U24"/>
  <c r="J24"/>
  <c r="V24" s="1"/>
  <c r="M14"/>
  <c r="Y14" s="1"/>
  <c r="S14"/>
  <c r="S23"/>
  <c r="M23"/>
  <c r="Y23" s="1"/>
  <c r="U25"/>
  <c r="J25"/>
  <c r="V25" s="1"/>
  <c r="M15"/>
  <c r="Y15" s="1"/>
  <c r="S15"/>
  <c r="S24"/>
  <c r="M24"/>
  <c r="Y24" s="1"/>
  <c r="R20"/>
  <c r="U14" i="796"/>
  <c r="J14"/>
  <c r="V14" s="1"/>
  <c r="U23"/>
  <c r="J23"/>
  <c r="V23" s="1"/>
  <c r="M17"/>
  <c r="Y17" s="1"/>
  <c r="S17"/>
  <c r="S8"/>
  <c r="M8"/>
  <c r="Y8" s="1"/>
  <c r="U15"/>
  <c r="J15"/>
  <c r="V15" s="1"/>
  <c r="U27"/>
  <c r="J27"/>
  <c r="V27" s="1"/>
  <c r="M23"/>
  <c r="Y23" s="1"/>
  <c r="S23"/>
  <c r="S14"/>
  <c r="M14"/>
  <c r="Y14" s="1"/>
  <c r="M10"/>
  <c r="Y10" s="1"/>
  <c r="S10"/>
  <c r="U10"/>
  <c r="J10"/>
  <c r="V10" s="1"/>
  <c r="U8"/>
  <c r="U11" s="1"/>
  <c r="J8"/>
  <c r="V8" s="1"/>
  <c r="V11" s="1"/>
  <c r="U17"/>
  <c r="J17"/>
  <c r="V17" s="1"/>
  <c r="M24"/>
  <c r="Y24" s="1"/>
  <c r="S24"/>
  <c r="S15"/>
  <c r="M15"/>
  <c r="Y15" s="1"/>
  <c r="R11"/>
  <c r="J16"/>
  <c r="V16" s="1"/>
  <c r="U16"/>
  <c r="M25"/>
  <c r="Y25" s="1"/>
  <c r="S25"/>
  <c r="U24"/>
  <c r="J24"/>
  <c r="V24" s="1"/>
  <c r="S16"/>
  <c r="M16"/>
  <c r="Y16" s="1"/>
  <c r="U25"/>
  <c r="J25"/>
  <c r="V25" s="1"/>
  <c r="M27"/>
  <c r="Y27" s="1"/>
  <c r="S27"/>
  <c r="R20"/>
  <c r="R28"/>
  <c r="U14" i="793"/>
  <c r="J14"/>
  <c r="V14" s="1"/>
  <c r="U23"/>
  <c r="J23"/>
  <c r="V23" s="1"/>
  <c r="M18"/>
  <c r="Y18" s="1"/>
  <c r="S18"/>
  <c r="M25"/>
  <c r="Y25" s="1"/>
  <c r="S25"/>
  <c r="S8"/>
  <c r="S11" s="1"/>
  <c r="M8"/>
  <c r="Y8" s="1"/>
  <c r="Y11" s="1"/>
  <c r="U15"/>
  <c r="J15"/>
  <c r="V15" s="1"/>
  <c r="U29"/>
  <c r="J29"/>
  <c r="V29" s="1"/>
  <c r="S26"/>
  <c r="M26"/>
  <c r="Y26" s="1"/>
  <c r="S14"/>
  <c r="M14"/>
  <c r="Y14" s="1"/>
  <c r="U8"/>
  <c r="U11" s="1"/>
  <c r="J8"/>
  <c r="V8" s="1"/>
  <c r="V11" s="1"/>
  <c r="U25"/>
  <c r="J25"/>
  <c r="V25" s="1"/>
  <c r="M24"/>
  <c r="Y24" s="1"/>
  <c r="S24"/>
  <c r="S15"/>
  <c r="M15"/>
  <c r="Y15" s="1"/>
  <c r="R20"/>
  <c r="R30"/>
  <c r="J35" i="790"/>
  <c r="V35" s="1"/>
  <c r="U35"/>
  <c r="J16" i="793"/>
  <c r="V16" s="1"/>
  <c r="U16"/>
  <c r="U26"/>
  <c r="J26"/>
  <c r="V26" s="1"/>
  <c r="M17"/>
  <c r="Y17" s="1"/>
  <c r="S17"/>
  <c r="M36" i="790"/>
  <c r="Y36" s="1"/>
  <c r="S36"/>
  <c r="S27" i="793"/>
  <c r="M27"/>
  <c r="Y27" s="1"/>
  <c r="U24"/>
  <c r="J24"/>
  <c r="V24" s="1"/>
  <c r="M23"/>
  <c r="Y23" s="1"/>
  <c r="S23"/>
  <c r="S35" i="790"/>
  <c r="M35"/>
  <c r="Y35" s="1"/>
  <c r="S16" i="793"/>
  <c r="M16"/>
  <c r="Y16" s="1"/>
  <c r="U18"/>
  <c r="J18"/>
  <c r="V18" s="1"/>
  <c r="U36" i="790"/>
  <c r="J36"/>
  <c r="V36" s="1"/>
  <c r="U27" i="793"/>
  <c r="J27"/>
  <c r="V27" s="1"/>
  <c r="U17"/>
  <c r="J17"/>
  <c r="V17" s="1"/>
  <c r="M29"/>
  <c r="Y29" s="1"/>
  <c r="S29"/>
  <c r="J26" i="787"/>
  <c r="V26" s="1"/>
  <c r="U26"/>
  <c r="U23" i="790"/>
  <c r="J23"/>
  <c r="V23" s="1"/>
  <c r="M17"/>
  <c r="Y17" s="1"/>
  <c r="S17"/>
  <c r="M8"/>
  <c r="Y8" s="1"/>
  <c r="S8"/>
  <c r="S34"/>
  <c r="M34"/>
  <c r="Y34" s="1"/>
  <c r="U14"/>
  <c r="J14"/>
  <c r="V14" s="1"/>
  <c r="U24"/>
  <c r="J24"/>
  <c r="V24" s="1"/>
  <c r="S25"/>
  <c r="M25"/>
  <c r="Y25" s="1"/>
  <c r="S10"/>
  <c r="M10"/>
  <c r="Y10" s="1"/>
  <c r="U10"/>
  <c r="J10"/>
  <c r="V10" s="1"/>
  <c r="U27"/>
  <c r="J27"/>
  <c r="V27" s="1"/>
  <c r="U26"/>
  <c r="J26"/>
  <c r="V26" s="1"/>
  <c r="U8"/>
  <c r="U11" s="1"/>
  <c r="J8"/>
  <c r="V8" s="1"/>
  <c r="V11" s="1"/>
  <c r="M15"/>
  <c r="Y15" s="1"/>
  <c r="S15"/>
  <c r="M39"/>
  <c r="Y39" s="1"/>
  <c r="S39"/>
  <c r="R11"/>
  <c r="R40"/>
  <c r="R20"/>
  <c r="U32"/>
  <c r="J32"/>
  <c r="V32" s="1"/>
  <c r="U25"/>
  <c r="J25"/>
  <c r="V25" s="1"/>
  <c r="S27"/>
  <c r="M27"/>
  <c r="Y27" s="1"/>
  <c r="M16"/>
  <c r="Y16" s="1"/>
  <c r="S16"/>
  <c r="S26"/>
  <c r="M26"/>
  <c r="Y26" s="1"/>
  <c r="U33"/>
  <c r="J33"/>
  <c r="V33" s="1"/>
  <c r="U15"/>
  <c r="J15"/>
  <c r="V15" s="1"/>
  <c r="U39"/>
  <c r="J39"/>
  <c r="V39" s="1"/>
  <c r="S26" i="787"/>
  <c r="M26"/>
  <c r="Y26" s="1"/>
  <c r="M23" i="790"/>
  <c r="Y23" s="1"/>
  <c r="S23"/>
  <c r="S32"/>
  <c r="M32"/>
  <c r="Y32" s="1"/>
  <c r="U17"/>
  <c r="J17"/>
  <c r="V17" s="1"/>
  <c r="U34"/>
  <c r="J34"/>
  <c r="V34" s="1"/>
  <c r="U16"/>
  <c r="J16"/>
  <c r="V16" s="1"/>
  <c r="M14"/>
  <c r="Y14" s="1"/>
  <c r="S14"/>
  <c r="M24"/>
  <c r="Y24" s="1"/>
  <c r="S24"/>
  <c r="S33"/>
  <c r="M33"/>
  <c r="Y33" s="1"/>
  <c r="R29"/>
  <c r="U14" i="787"/>
  <c r="J14"/>
  <c r="V14" s="1"/>
  <c r="U33"/>
  <c r="J33"/>
  <c r="V33" s="1"/>
  <c r="S28"/>
  <c r="M28"/>
  <c r="Y28" s="1"/>
  <c r="S8"/>
  <c r="S11" s="1"/>
  <c r="M8"/>
  <c r="Y8" s="1"/>
  <c r="Y11" s="1"/>
  <c r="S35"/>
  <c r="M35"/>
  <c r="Y35" s="1"/>
  <c r="U15"/>
  <c r="J15"/>
  <c r="V15" s="1"/>
  <c r="U25"/>
  <c r="J25"/>
  <c r="V25" s="1"/>
  <c r="S14"/>
  <c r="M14"/>
  <c r="Y14" s="1"/>
  <c r="S33"/>
  <c r="M33"/>
  <c r="Y33" s="1"/>
  <c r="U28"/>
  <c r="J28"/>
  <c r="V28" s="1"/>
  <c r="U8"/>
  <c r="U11" s="1"/>
  <c r="J8"/>
  <c r="V8" s="1"/>
  <c r="V11" s="1"/>
  <c r="U35"/>
  <c r="J35"/>
  <c r="V35" s="1"/>
  <c r="S16"/>
  <c r="M16"/>
  <c r="Y16" s="1"/>
  <c r="S34"/>
  <c r="M34"/>
  <c r="Y34" s="1"/>
  <c r="R30"/>
  <c r="U24"/>
  <c r="J24"/>
  <c r="V24" s="1"/>
  <c r="S18"/>
  <c r="M18"/>
  <c r="Y18" s="1"/>
  <c r="S17"/>
  <c r="M17"/>
  <c r="Y17" s="1"/>
  <c r="S27"/>
  <c r="M27"/>
  <c r="Y27" s="1"/>
  <c r="U16"/>
  <c r="J16"/>
  <c r="V16" s="1"/>
  <c r="U34"/>
  <c r="J34"/>
  <c r="V34" s="1"/>
  <c r="S24"/>
  <c r="M24"/>
  <c r="Y24" s="1"/>
  <c r="U18"/>
  <c r="J18"/>
  <c r="V18" s="1"/>
  <c r="U17"/>
  <c r="J17"/>
  <c r="V17" s="1"/>
  <c r="U27"/>
  <c r="J27"/>
  <c r="V27" s="1"/>
  <c r="S15"/>
  <c r="M15"/>
  <c r="Y15" s="1"/>
  <c r="S25"/>
  <c r="M25"/>
  <c r="Y25" s="1"/>
  <c r="R21"/>
  <c r="R38"/>
  <c r="S19" i="477"/>
  <c r="U19"/>
  <c r="Y19"/>
  <c r="R11" i="744"/>
  <c r="R15" s="1"/>
  <c r="R11" i="747"/>
  <c r="R15" s="1"/>
  <c r="V19" i="477"/>
  <c r="R11" i="738"/>
  <c r="R15" s="1"/>
  <c r="R11" i="741"/>
  <c r="R15" s="1"/>
  <c r="R11" i="77"/>
  <c r="B75" i="25"/>
  <c r="B76" s="1"/>
  <c r="B77" s="1"/>
  <c r="B78" s="1"/>
  <c r="B79" s="1"/>
  <c r="B80" s="1"/>
  <c r="B74"/>
  <c r="B73"/>
  <c r="S11" i="747"/>
  <c r="Y11" i="741"/>
  <c r="Y15" s="1"/>
  <c r="D70" i="817" s="1"/>
  <c r="K70" s="1"/>
  <c r="BJ70" s="1"/>
  <c r="U11" i="738"/>
  <c r="U15" s="1"/>
  <c r="S11"/>
  <c r="R21" i="194"/>
  <c r="R22" s="1"/>
  <c r="V12" i="185"/>
  <c r="V13" s="1"/>
  <c r="S18" i="77"/>
  <c r="M18"/>
  <c r="Y18" s="1"/>
  <c r="M15"/>
  <c r="Y15" s="1"/>
  <c r="S15"/>
  <c r="J16"/>
  <c r="V16" s="1"/>
  <c r="U16"/>
  <c r="J14"/>
  <c r="V14" s="1"/>
  <c r="U14"/>
  <c r="M17"/>
  <c r="Y17" s="1"/>
  <c r="S17"/>
  <c r="R21"/>
  <c r="U18"/>
  <c r="J18"/>
  <c r="V18" s="1"/>
  <c r="J17"/>
  <c r="V17" s="1"/>
  <c r="U17"/>
  <c r="M16"/>
  <c r="Y16" s="1"/>
  <c r="S16"/>
  <c r="U15"/>
  <c r="J15"/>
  <c r="V15" s="1"/>
  <c r="M14"/>
  <c r="Y14" s="1"/>
  <c r="S14"/>
  <c r="U10"/>
  <c r="J10"/>
  <c r="V10" s="1"/>
  <c r="S10"/>
  <c r="M10"/>
  <c r="Y10" s="1"/>
  <c r="Y12" i="185"/>
  <c r="Y13" s="1"/>
  <c r="U12"/>
  <c r="U13" s="1"/>
  <c r="R12" i="396"/>
  <c r="R13" s="1"/>
  <c r="S12" i="185"/>
  <c r="S13" s="1"/>
  <c r="R20" i="420"/>
  <c r="R21" s="1"/>
  <c r="Y24" i="77"/>
  <c r="S24"/>
  <c r="S10" i="360"/>
  <c r="M10"/>
  <c r="Y10" s="1"/>
  <c r="U24" i="77"/>
  <c r="V24"/>
  <c r="U10" i="360"/>
  <c r="J10"/>
  <c r="V10" s="1"/>
  <c r="U8"/>
  <c r="J8"/>
  <c r="V8" s="1"/>
  <c r="S15" i="194"/>
  <c r="M15"/>
  <c r="Y15" s="1"/>
  <c r="S9" i="188"/>
  <c r="S12" s="1"/>
  <c r="S13" s="1"/>
  <c r="M9"/>
  <c r="Y9" s="1"/>
  <c r="Y12" s="1"/>
  <c r="Y13" s="1"/>
  <c r="X27" i="817" s="1"/>
  <c r="AE27" s="1"/>
  <c r="S8" i="77"/>
  <c r="M8"/>
  <c r="Y8" s="1"/>
  <c r="M16" i="194"/>
  <c r="Y16" s="1"/>
  <c r="S16"/>
  <c r="S8" i="360"/>
  <c r="M8"/>
  <c r="Y8" s="1"/>
  <c r="M8" i="194"/>
  <c r="Y8" s="1"/>
  <c r="Y10" s="1"/>
  <c r="S8"/>
  <c r="S10" s="1"/>
  <c r="Y26" i="77"/>
  <c r="S26"/>
  <c r="S9" i="396"/>
  <c r="M9"/>
  <c r="Y9" s="1"/>
  <c r="Y12" s="1"/>
  <c r="M16" i="420"/>
  <c r="Y16" s="1"/>
  <c r="S16"/>
  <c r="M8" i="480"/>
  <c r="Y8" s="1"/>
  <c r="Y10" s="1"/>
  <c r="Y18" s="1"/>
  <c r="AR40" i="817" s="1"/>
  <c r="AY40" s="1"/>
  <c r="S8" i="480"/>
  <c r="S10" s="1"/>
  <c r="S18" s="1"/>
  <c r="M8" i="471"/>
  <c r="Y8" s="1"/>
  <c r="Y10" s="1"/>
  <c r="Y16" s="1"/>
  <c r="AR37" i="817" s="1"/>
  <c r="AY37" s="1"/>
  <c r="S8" i="471"/>
  <c r="S10" s="1"/>
  <c r="S16" s="1"/>
  <c r="M8" i="489"/>
  <c r="Y8" s="1"/>
  <c r="Y10" s="1"/>
  <c r="Y20" s="1"/>
  <c r="AR43" i="817" s="1"/>
  <c r="AY43" s="1"/>
  <c r="S8" i="489"/>
  <c r="S10" s="1"/>
  <c r="S20" s="1"/>
  <c r="U26" i="77"/>
  <c r="V26"/>
  <c r="J16" i="194"/>
  <c r="V16" s="1"/>
  <c r="U16"/>
  <c r="J15"/>
  <c r="V15" s="1"/>
  <c r="U15"/>
  <c r="U21" s="1"/>
  <c r="U8" i="483"/>
  <c r="U10" s="1"/>
  <c r="U16" s="1"/>
  <c r="J8"/>
  <c r="V8" s="1"/>
  <c r="V10" s="1"/>
  <c r="V16" s="1"/>
  <c r="J16" i="420"/>
  <c r="V16" s="1"/>
  <c r="U16"/>
  <c r="U12" i="360"/>
  <c r="J12"/>
  <c r="V12" s="1"/>
  <c r="U8" i="468"/>
  <c r="U10" s="1"/>
  <c r="U17" s="1"/>
  <c r="J8"/>
  <c r="V8" s="1"/>
  <c r="V10" s="1"/>
  <c r="V17" s="1"/>
  <c r="U8" i="486"/>
  <c r="U10" s="1"/>
  <c r="U16" s="1"/>
  <c r="J8"/>
  <c r="V8" s="1"/>
  <c r="V10" s="1"/>
  <c r="V16" s="1"/>
  <c r="U13" i="360"/>
  <c r="J13"/>
  <c r="V13" s="1"/>
  <c r="U8" i="471"/>
  <c r="U10" s="1"/>
  <c r="U16" s="1"/>
  <c r="J8"/>
  <c r="V8" s="1"/>
  <c r="V10" s="1"/>
  <c r="V16" s="1"/>
  <c r="U8" i="477"/>
  <c r="U10" s="1"/>
  <c r="J8"/>
  <c r="V8" s="1"/>
  <c r="V10" s="1"/>
  <c r="S16" i="360"/>
  <c r="M16"/>
  <c r="Y16" s="1"/>
  <c r="U25" i="77"/>
  <c r="V25"/>
  <c r="U16" i="360"/>
  <c r="J16"/>
  <c r="V16" s="1"/>
  <c r="U9"/>
  <c r="J9"/>
  <c r="V9" s="1"/>
  <c r="R29" i="77"/>
  <c r="R17" i="360"/>
  <c r="R20" s="1"/>
  <c r="S13"/>
  <c r="M13"/>
  <c r="Y13" s="1"/>
  <c r="M18" i="420"/>
  <c r="Y18" s="1"/>
  <c r="S18"/>
  <c r="S8" i="486"/>
  <c r="S10" s="1"/>
  <c r="S16" s="1"/>
  <c r="M8"/>
  <c r="Y8" s="1"/>
  <c r="Y10" s="1"/>
  <c r="Y16" s="1"/>
  <c r="AR42" i="817" s="1"/>
  <c r="AY42" s="1"/>
  <c r="M8" i="474"/>
  <c r="Y8" s="1"/>
  <c r="Y10" s="1"/>
  <c r="Y16" s="1"/>
  <c r="AR38" i="817" s="1"/>
  <c r="AY38" s="1"/>
  <c r="S8" i="474"/>
  <c r="S10" s="1"/>
  <c r="S16" s="1"/>
  <c r="M8" i="468"/>
  <c r="Y8" s="1"/>
  <c r="Y10" s="1"/>
  <c r="Y17" s="1"/>
  <c r="AR36" i="817" s="1"/>
  <c r="AY36" s="1"/>
  <c r="S8" i="468"/>
  <c r="S10" s="1"/>
  <c r="S17" s="1"/>
  <c r="S8" i="483"/>
  <c r="S10" s="1"/>
  <c r="S16" s="1"/>
  <c r="M8"/>
  <c r="Y8" s="1"/>
  <c r="Y10" s="1"/>
  <c r="Y16" s="1"/>
  <c r="AR41" i="817" s="1"/>
  <c r="AY41" s="1"/>
  <c r="S11" i="360"/>
  <c r="M11"/>
  <c r="Y11" s="1"/>
  <c r="S8" i="477"/>
  <c r="S10" s="1"/>
  <c r="M8"/>
  <c r="Y8" s="1"/>
  <c r="Y10" s="1"/>
  <c r="S12" i="360"/>
  <c r="M12"/>
  <c r="Y12" s="1"/>
  <c r="S27" i="77"/>
  <c r="Y27"/>
  <c r="U27"/>
  <c r="V27"/>
  <c r="U8"/>
  <c r="J8"/>
  <c r="V8" s="1"/>
  <c r="J9" i="188"/>
  <c r="V9" s="1"/>
  <c r="V12" s="1"/>
  <c r="V13" s="1"/>
  <c r="U9"/>
  <c r="U12" s="1"/>
  <c r="U13" s="1"/>
  <c r="U8" i="194"/>
  <c r="U10" s="1"/>
  <c r="J8"/>
  <c r="V8" s="1"/>
  <c r="V10" s="1"/>
  <c r="U8" i="489"/>
  <c r="U10" s="1"/>
  <c r="U20" s="1"/>
  <c r="J8"/>
  <c r="V8" s="1"/>
  <c r="V10" s="1"/>
  <c r="V20" s="1"/>
  <c r="U9" i="396"/>
  <c r="J9"/>
  <c r="V9" s="1"/>
  <c r="V12" s="1"/>
  <c r="V13" s="1"/>
  <c r="U11" i="360"/>
  <c r="J11"/>
  <c r="V11" s="1"/>
  <c r="J8" i="480"/>
  <c r="V8" s="1"/>
  <c r="V10" s="1"/>
  <c r="V18" s="1"/>
  <c r="U8"/>
  <c r="U10" s="1"/>
  <c r="U18" s="1"/>
  <c r="J18" i="420"/>
  <c r="V18" s="1"/>
  <c r="U18"/>
  <c r="U8" i="474"/>
  <c r="U10" s="1"/>
  <c r="U16" s="1"/>
  <c r="J8"/>
  <c r="V8" s="1"/>
  <c r="V10" s="1"/>
  <c r="V16" s="1"/>
  <c r="S25" i="77"/>
  <c r="Y25"/>
  <c r="S9" i="360"/>
  <c r="M9"/>
  <c r="Y9" s="1"/>
  <c r="AZ27" i="817" l="1"/>
  <c r="BI27" s="1"/>
  <c r="R35" i="25"/>
  <c r="F38"/>
  <c r="F39" s="1"/>
  <c r="F40" s="1"/>
  <c r="F41" s="1"/>
  <c r="F42" s="1"/>
  <c r="F43" s="1"/>
  <c r="V26"/>
  <c r="Y25"/>
  <c r="U19" i="624"/>
  <c r="U18" i="627"/>
  <c r="U19" i="618"/>
  <c r="U11" i="624"/>
  <c r="U11" i="690"/>
  <c r="U16" s="1"/>
  <c r="U11" i="633"/>
  <c r="U11" i="600"/>
  <c r="U17" i="582"/>
  <c r="U11" i="591"/>
  <c r="U11" i="714"/>
  <c r="U16" s="1"/>
  <c r="V11" i="747"/>
  <c r="V15" s="1"/>
  <c r="U11" i="588"/>
  <c r="U17" i="663"/>
  <c r="U17" i="660"/>
  <c r="S18" i="636"/>
  <c r="S11" i="606"/>
  <c r="S11" i="711"/>
  <c r="S16" s="1"/>
  <c r="S17" i="594"/>
  <c r="Y17" i="576"/>
  <c r="Y11" i="645"/>
  <c r="S11" i="729"/>
  <c r="S19" s="1"/>
  <c r="S11" i="699"/>
  <c r="S16" s="1"/>
  <c r="S11" i="669"/>
  <c r="Y23" i="597"/>
  <c r="U11" i="663"/>
  <c r="U11" i="684"/>
  <c r="U21" s="1"/>
  <c r="U11" i="651"/>
  <c r="V11" i="579"/>
  <c r="U17" i="808"/>
  <c r="U11" i="708"/>
  <c r="U16" s="1"/>
  <c r="U11" i="744"/>
  <c r="U15" s="1"/>
  <c r="V17" i="669"/>
  <c r="S11" i="741"/>
  <c r="Y19" i="624"/>
  <c r="Y20" s="1"/>
  <c r="D33" i="817" s="1"/>
  <c r="K33" s="1"/>
  <c r="BJ33" s="1"/>
  <c r="R26" i="600"/>
  <c r="R23" i="660"/>
  <c r="Y20" i="477"/>
  <c r="AR39" i="817" s="1"/>
  <c r="AY39" s="1"/>
  <c r="F44" i="25"/>
  <c r="I43"/>
  <c r="U20" i="477"/>
  <c r="U11" i="741"/>
  <c r="U15" s="1"/>
  <c r="S20" i="477"/>
  <c r="R28" i="564"/>
  <c r="Y26"/>
  <c r="Y28" s="1"/>
  <c r="D14" i="817" s="1"/>
  <c r="K14" s="1"/>
  <c r="BJ14" s="1"/>
  <c r="Y26" i="805"/>
  <c r="V26" i="74"/>
  <c r="U11" i="567"/>
  <c r="V26" i="805"/>
  <c r="S26" i="74"/>
  <c r="U32" i="582"/>
  <c r="U32" i="576"/>
  <c r="V17" i="597"/>
  <c r="V11" i="657"/>
  <c r="V24" i="669"/>
  <c r="V11" i="726"/>
  <c r="V19" s="1"/>
  <c r="V11" i="699"/>
  <c r="V16" s="1"/>
  <c r="V11" i="681"/>
  <c r="V23" s="1"/>
  <c r="U19" i="648"/>
  <c r="V17" i="612"/>
  <c r="V11" i="741"/>
  <c r="V15" s="1"/>
  <c r="U24" i="606"/>
  <c r="U23" i="594"/>
  <c r="U29" i="585"/>
  <c r="Y11" i="744"/>
  <c r="Y15" s="1"/>
  <c r="D71" i="817" s="1"/>
  <c r="K71" s="1"/>
  <c r="BJ71" s="1"/>
  <c r="S25" i="582"/>
  <c r="S25" i="576"/>
  <c r="U11" i="747"/>
  <c r="U15" s="1"/>
  <c r="V20" i="477"/>
  <c r="Y32" i="579"/>
  <c r="V19" i="624"/>
  <c r="V20" s="1"/>
  <c r="V18" i="627"/>
  <c r="V19" i="618"/>
  <c r="V32" i="582"/>
  <c r="V32" i="576"/>
  <c r="V11" i="624"/>
  <c r="V11" i="690"/>
  <c r="V16" s="1"/>
  <c r="V11" i="633"/>
  <c r="V11" i="600"/>
  <c r="V17" i="582"/>
  <c r="V11" i="591"/>
  <c r="V11" i="714"/>
  <c r="V16" s="1"/>
  <c r="V11" i="588"/>
  <c r="V24" i="606"/>
  <c r="V17" i="663"/>
  <c r="V17" i="660"/>
  <c r="V23" s="1"/>
  <c r="V23" i="594"/>
  <c r="V29" i="585"/>
  <c r="Y25" i="582"/>
  <c r="Y25" i="576"/>
  <c r="Y17" i="675"/>
  <c r="Y17" i="669"/>
  <c r="Y18" i="636"/>
  <c r="S18" i="648"/>
  <c r="Y11" i="606"/>
  <c r="Y11" i="711"/>
  <c r="Y16" s="1"/>
  <c r="D61" i="817" s="1"/>
  <c r="K61" s="1"/>
  <c r="Y17" i="594"/>
  <c r="S17" i="576"/>
  <c r="S11" i="645"/>
  <c r="Y11" i="729"/>
  <c r="Y19" s="1"/>
  <c r="D67" i="817" s="1"/>
  <c r="K67" s="1"/>
  <c r="BJ67" s="1"/>
  <c r="Y11" i="699"/>
  <c r="Y16" s="1"/>
  <c r="D57" i="817" s="1"/>
  <c r="K57" s="1"/>
  <c r="Y11" i="669"/>
  <c r="V11" i="663"/>
  <c r="V23" s="1"/>
  <c r="V11" i="684"/>
  <c r="V21" s="1"/>
  <c r="V11" i="651"/>
  <c r="U11" i="579"/>
  <c r="V17" i="808"/>
  <c r="V11" i="708"/>
  <c r="V16" s="1"/>
  <c r="S26" i="567"/>
  <c r="U15" i="811"/>
  <c r="U18" s="1"/>
  <c r="Y15"/>
  <c r="Y18" s="1"/>
  <c r="V15"/>
  <c r="V18" s="1"/>
  <c r="S15"/>
  <c r="S18" s="1"/>
  <c r="V11" i="567"/>
  <c r="V18" i="639"/>
  <c r="V19" s="1"/>
  <c r="V28" i="609"/>
  <c r="U17" i="597"/>
  <c r="U11" i="657"/>
  <c r="U11" i="726"/>
  <c r="U19" s="1"/>
  <c r="U11" i="699"/>
  <c r="U16" s="1"/>
  <c r="U11" i="681"/>
  <c r="U23" s="1"/>
  <c r="U17" i="612"/>
  <c r="U23" i="660"/>
  <c r="U17" i="669"/>
  <c r="U24" s="1"/>
  <c r="S15" i="741"/>
  <c r="V19" i="627"/>
  <c r="U18" i="639"/>
  <c r="U19" s="1"/>
  <c r="U28" i="609"/>
  <c r="V18" i="651"/>
  <c r="Y19" i="621"/>
  <c r="Y18" i="633"/>
  <c r="S19" i="621"/>
  <c r="Y19" i="615"/>
  <c r="Y24" i="600"/>
  <c r="Y28" i="612"/>
  <c r="Y24" i="603"/>
  <c r="S32" i="579"/>
  <c r="S17" i="606"/>
  <c r="Y11" i="615"/>
  <c r="Y20" s="1"/>
  <c r="D30" i="817" s="1"/>
  <c r="K30" s="1"/>
  <c r="Y11" i="642"/>
  <c r="S11" i="720"/>
  <c r="S20" s="1"/>
  <c r="S11" i="696"/>
  <c r="S16" s="1"/>
  <c r="S11" i="666"/>
  <c r="S24" s="1"/>
  <c r="S11" i="657"/>
  <c r="S24" s="1"/>
  <c r="S17" i="603"/>
  <c r="S17" i="588"/>
  <c r="Y11" i="585"/>
  <c r="S11" i="633"/>
  <c r="S11" i="690"/>
  <c r="S16" s="1"/>
  <c r="Y11" i="723"/>
  <c r="Y20" s="1"/>
  <c r="D65" i="817" s="1"/>
  <c r="K65" s="1"/>
  <c r="BJ65" s="1"/>
  <c r="S11" i="708"/>
  <c r="S16" s="1"/>
  <c r="S11" i="678"/>
  <c r="S21" s="1"/>
  <c r="Y24" i="669"/>
  <c r="D47" i="817" s="1"/>
  <c r="K47" s="1"/>
  <c r="S17" i="609"/>
  <c r="S17" i="675"/>
  <c r="S17" i="669"/>
  <c r="S18" i="654"/>
  <c r="S24" s="1"/>
  <c r="Y18" i="648"/>
  <c r="Y19" s="1"/>
  <c r="D40" i="817" s="1"/>
  <c r="K40" s="1"/>
  <c r="Y29" i="591"/>
  <c r="U19" i="621"/>
  <c r="U20" s="1"/>
  <c r="V24" i="600"/>
  <c r="V26" s="1"/>
  <c r="U32" i="579"/>
  <c r="V17" i="588"/>
  <c r="U17" i="594"/>
  <c r="U11" i="618"/>
  <c r="U20" s="1"/>
  <c r="U11" i="666"/>
  <c r="U11" i="672"/>
  <c r="V11" i="678"/>
  <c r="V21" s="1"/>
  <c r="V11" i="693"/>
  <c r="V16" s="1"/>
  <c r="U11" i="705"/>
  <c r="U16" s="1"/>
  <c r="V11" i="717"/>
  <c r="V20" s="1"/>
  <c r="U29" i="612"/>
  <c r="U17" i="609"/>
  <c r="U11" i="654"/>
  <c r="V11" i="729"/>
  <c r="V19" s="1"/>
  <c r="V11" i="636"/>
  <c r="U11" i="609"/>
  <c r="U29" s="1"/>
  <c r="U11" i="603"/>
  <c r="U11" i="585"/>
  <c r="U31" s="1"/>
  <c r="U17" i="675"/>
  <c r="U24" s="1"/>
  <c r="U17" i="672"/>
  <c r="U17" i="666"/>
  <c r="U18" i="657"/>
  <c r="U24" s="1"/>
  <c r="U29" i="588"/>
  <c r="U23" i="597"/>
  <c r="U29" i="591"/>
  <c r="Y25" i="579"/>
  <c r="S18" i="639"/>
  <c r="S28" i="609"/>
  <c r="S29" s="1"/>
  <c r="S31" i="606"/>
  <c r="S33" s="1"/>
  <c r="S31" i="603"/>
  <c r="S11" i="576"/>
  <c r="S11" i="603"/>
  <c r="S11" i="612"/>
  <c r="S11" i="636"/>
  <c r="S19" s="1"/>
  <c r="Y11" i="651"/>
  <c r="S11" i="687"/>
  <c r="S21" s="1"/>
  <c r="S11" i="735"/>
  <c r="S15" s="1"/>
  <c r="Y11" i="714"/>
  <c r="Y16" s="1"/>
  <c r="D62" i="817" s="1"/>
  <c r="K62" s="1"/>
  <c r="BJ62" s="1"/>
  <c r="S11" i="705"/>
  <c r="S16" s="1"/>
  <c r="S11" i="672"/>
  <c r="S24" s="1"/>
  <c r="Y11" i="663"/>
  <c r="Y23" s="1"/>
  <c r="D45" i="817" s="1"/>
  <c r="K45" s="1"/>
  <c r="S11" i="627"/>
  <c r="S11" i="618"/>
  <c r="S17" i="597"/>
  <c r="S11" i="591"/>
  <c r="Y17" i="579"/>
  <c r="Y11"/>
  <c r="Y11" i="588"/>
  <c r="S11" i="594"/>
  <c r="Y11" i="597"/>
  <c r="Y17" i="612"/>
  <c r="Y11" i="639"/>
  <c r="Y11" i="681"/>
  <c r="Y23" s="1"/>
  <c r="D51" i="817" s="1"/>
  <c r="K51" s="1"/>
  <c r="Y11" i="684"/>
  <c r="Y21" s="1"/>
  <c r="D52" i="817" s="1"/>
  <c r="K52" s="1"/>
  <c r="Y11" i="732"/>
  <c r="Y19" s="1"/>
  <c r="D68" i="817" s="1"/>
  <c r="K68" s="1"/>
  <c r="BJ68" s="1"/>
  <c r="Y11" i="726"/>
  <c r="Y19" s="1"/>
  <c r="D66" i="817" s="1"/>
  <c r="K66" s="1"/>
  <c r="BJ66" s="1"/>
  <c r="S11" i="717"/>
  <c r="S20" s="1"/>
  <c r="Y11" i="702"/>
  <c r="Y16" s="1"/>
  <c r="D58" i="817" s="1"/>
  <c r="K58" s="1"/>
  <c r="S11" i="693"/>
  <c r="S16" s="1"/>
  <c r="S11" i="675"/>
  <c r="Y11" i="660"/>
  <c r="Y23" s="1"/>
  <c r="D44" i="817" s="1"/>
  <c r="K44" s="1"/>
  <c r="S11" i="621"/>
  <c r="S20" s="1"/>
  <c r="S17" i="600"/>
  <c r="S17" i="582"/>
  <c r="S17" i="645"/>
  <c r="S17" i="642"/>
  <c r="R25" i="594"/>
  <c r="V25" i="576"/>
  <c r="R34" i="579"/>
  <c r="R24" i="654"/>
  <c r="R33" i="606"/>
  <c r="R25" i="597"/>
  <c r="R31" i="591"/>
  <c r="R34" i="582"/>
  <c r="R29" i="612"/>
  <c r="S23" i="594"/>
  <c r="S29" i="585"/>
  <c r="U25" i="579"/>
  <c r="U34" s="1"/>
  <c r="U25" i="582"/>
  <c r="S15" i="747"/>
  <c r="R28" i="799"/>
  <c r="R35" i="808"/>
  <c r="U19" i="627"/>
  <c r="S18" i="633"/>
  <c r="S19" i="615"/>
  <c r="S24" i="600"/>
  <c r="S26" s="1"/>
  <c r="S28" i="612"/>
  <c r="S24" i="603"/>
  <c r="Y17" i="606"/>
  <c r="S11" i="615"/>
  <c r="S20" s="1"/>
  <c r="S11" i="642"/>
  <c r="Y11" i="720"/>
  <c r="Y20" s="1"/>
  <c r="D64" i="817" s="1"/>
  <c r="K64" s="1"/>
  <c r="BJ64" s="1"/>
  <c r="Y11" i="696"/>
  <c r="Y16" s="1"/>
  <c r="D56" i="817" s="1"/>
  <c r="K56" s="1"/>
  <c r="Y11" i="666"/>
  <c r="Y11" i="657"/>
  <c r="Y17" i="603"/>
  <c r="Y17" i="588"/>
  <c r="S11" i="585"/>
  <c r="Y11" i="633"/>
  <c r="S19" i="648"/>
  <c r="Y11" i="690"/>
  <c r="Y16" s="1"/>
  <c r="D54" i="817" s="1"/>
  <c r="K54" s="1"/>
  <c r="S11" i="723"/>
  <c r="S20" s="1"/>
  <c r="Y11" i="708"/>
  <c r="Y16" s="1"/>
  <c r="D60" i="817" s="1"/>
  <c r="K60" s="1"/>
  <c r="Y11" i="678"/>
  <c r="Y21" s="1"/>
  <c r="D50" i="817" s="1"/>
  <c r="K50" s="1"/>
  <c r="S24" i="669"/>
  <c r="Y17" i="609"/>
  <c r="S29" i="591"/>
  <c r="Y32" i="582"/>
  <c r="Y32" i="576"/>
  <c r="V18" i="654"/>
  <c r="V18" i="636"/>
  <c r="V28" i="612"/>
  <c r="V24" i="603"/>
  <c r="V18" i="633"/>
  <c r="V19" s="1"/>
  <c r="V19" i="621"/>
  <c r="V20" s="1"/>
  <c r="V19" i="615"/>
  <c r="V20" s="1"/>
  <c r="U24" i="600"/>
  <c r="V32" i="579"/>
  <c r="U17" i="588"/>
  <c r="V17" i="594"/>
  <c r="V11" i="618"/>
  <c r="U23" i="663"/>
  <c r="V11" i="666"/>
  <c r="V11" i="672"/>
  <c r="U11" i="678"/>
  <c r="U21" s="1"/>
  <c r="U11" i="693"/>
  <c r="U16" s="1"/>
  <c r="V11" i="705"/>
  <c r="V16" s="1"/>
  <c r="U11" i="717"/>
  <c r="U20" s="1"/>
  <c r="V18" i="645"/>
  <c r="V29" i="612"/>
  <c r="V33" i="606"/>
  <c r="V17" i="609"/>
  <c r="V11" i="654"/>
  <c r="U11" i="729"/>
  <c r="U19" s="1"/>
  <c r="V18" i="642"/>
  <c r="U11" i="636"/>
  <c r="U19" s="1"/>
  <c r="V11" i="609"/>
  <c r="V11" i="603"/>
  <c r="V11" i="585"/>
  <c r="V31" s="1"/>
  <c r="U17" i="645"/>
  <c r="U18" s="1"/>
  <c r="U18" i="651"/>
  <c r="U24" s="1"/>
  <c r="U17" i="642"/>
  <c r="U18" s="1"/>
  <c r="U31" i="603"/>
  <c r="U18" i="633"/>
  <c r="U19" s="1"/>
  <c r="U19" i="615"/>
  <c r="U20" s="1"/>
  <c r="U31" i="606"/>
  <c r="U33" s="1"/>
  <c r="U18" i="654"/>
  <c r="V18" i="648"/>
  <c r="V19" s="1"/>
  <c r="V17" i="675"/>
  <c r="V24" s="1"/>
  <c r="V17" i="672"/>
  <c r="V17" i="666"/>
  <c r="V18" i="657"/>
  <c r="V24" s="1"/>
  <c r="V29" i="588"/>
  <c r="V23" i="597"/>
  <c r="V29" i="591"/>
  <c r="S25" i="579"/>
  <c r="Y18" i="654"/>
  <c r="Y24" s="1"/>
  <c r="D42" i="817" s="1"/>
  <c r="K42" s="1"/>
  <c r="Y17" i="672"/>
  <c r="Y17" i="666"/>
  <c r="Y18" i="657"/>
  <c r="Y18" i="627"/>
  <c r="Y19" i="618"/>
  <c r="Y24" i="606"/>
  <c r="S18" i="651"/>
  <c r="Y18" i="639"/>
  <c r="S18" i="627"/>
  <c r="S19" i="618"/>
  <c r="Y28" i="609"/>
  <c r="Y31" i="606"/>
  <c r="S19" i="624"/>
  <c r="S20" s="1"/>
  <c r="Y31" i="603"/>
  <c r="S32" i="576"/>
  <c r="S32" i="582"/>
  <c r="Y11" i="576"/>
  <c r="Y11" i="603"/>
  <c r="Y11" i="612"/>
  <c r="Y11" i="636"/>
  <c r="S11" i="651"/>
  <c r="S24" s="1"/>
  <c r="Y11" i="687"/>
  <c r="Y21" s="1"/>
  <c r="D53" i="817" s="1"/>
  <c r="K53" s="1"/>
  <c r="Y11" i="735"/>
  <c r="Y15" s="1"/>
  <c r="S11" i="714"/>
  <c r="S16" s="1"/>
  <c r="Y11" i="705"/>
  <c r="Y16" s="1"/>
  <c r="D59" i="817" s="1"/>
  <c r="K59" s="1"/>
  <c r="Y11" i="672"/>
  <c r="S11" i="663"/>
  <c r="Y11" i="627"/>
  <c r="Y19" s="1"/>
  <c r="D34" i="817" s="1"/>
  <c r="K34" s="1"/>
  <c r="Y11" i="618"/>
  <c r="Y20" s="1"/>
  <c r="D31" i="817" s="1"/>
  <c r="K31" s="1"/>
  <c r="Y17" i="597"/>
  <c r="Y11" i="591"/>
  <c r="S17" i="579"/>
  <c r="S11"/>
  <c r="S11" i="588"/>
  <c r="S31" s="1"/>
  <c r="Y11" i="594"/>
  <c r="S11" i="597"/>
  <c r="S17" i="612"/>
  <c r="S11" i="639"/>
  <c r="S11" i="681"/>
  <c r="S23" s="1"/>
  <c r="S11" i="684"/>
  <c r="S21" s="1"/>
  <c r="S11" i="732"/>
  <c r="S19" s="1"/>
  <c r="S11" i="726"/>
  <c r="S19" s="1"/>
  <c r="Y11" i="717"/>
  <c r="Y20" s="1"/>
  <c r="D63" i="817" s="1"/>
  <c r="K63" s="1"/>
  <c r="BJ63" s="1"/>
  <c r="S11" i="702"/>
  <c r="S16" s="1"/>
  <c r="Y11" i="693"/>
  <c r="Y16" s="1"/>
  <c r="D55" i="817" s="1"/>
  <c r="K55" s="1"/>
  <c r="Y11" i="675"/>
  <c r="S11" i="660"/>
  <c r="Y11" i="621"/>
  <c r="Y20" s="1"/>
  <c r="D32" i="817" s="1"/>
  <c r="K32" s="1"/>
  <c r="Y17" i="600"/>
  <c r="Y26" s="1"/>
  <c r="D25" i="817" s="1"/>
  <c r="K25" s="1"/>
  <c r="Y17" i="582"/>
  <c r="S17" i="660"/>
  <c r="Y17" i="645"/>
  <c r="S17" i="663"/>
  <c r="Y18" i="651"/>
  <c r="Y17" i="642"/>
  <c r="R24" i="657"/>
  <c r="R34" i="576"/>
  <c r="R19" i="648"/>
  <c r="U25" i="576"/>
  <c r="U34" s="1"/>
  <c r="R33" i="603"/>
  <c r="R31" i="585"/>
  <c r="R24" i="651"/>
  <c r="R31" i="588"/>
  <c r="Y23" i="594"/>
  <c r="Y29" i="585"/>
  <c r="V25" i="579"/>
  <c r="V25" i="582"/>
  <c r="V34" s="1"/>
  <c r="S15" i="738"/>
  <c r="U26" i="74"/>
  <c r="S26" i="564"/>
  <c r="S28" s="1"/>
  <c r="Y11" i="567"/>
  <c r="V26" i="808"/>
  <c r="V20" i="564"/>
  <c r="U11" i="808"/>
  <c r="U33"/>
  <c r="U11" i="564"/>
  <c r="S20" i="567"/>
  <c r="Y26" i="808"/>
  <c r="S33"/>
  <c r="Y11"/>
  <c r="S11" i="74"/>
  <c r="S28" s="1"/>
  <c r="U20" i="567"/>
  <c r="U28" s="1"/>
  <c r="R28" i="74"/>
  <c r="S11" i="567"/>
  <c r="U26" i="808"/>
  <c r="U20" i="564"/>
  <c r="R28" i="567"/>
  <c r="Y26"/>
  <c r="V11" i="808"/>
  <c r="V33"/>
  <c r="V11" i="564"/>
  <c r="U26" i="805"/>
  <c r="S26" i="808"/>
  <c r="V20" i="74"/>
  <c r="Y33" i="808"/>
  <c r="Y20" i="567"/>
  <c r="S11" i="808"/>
  <c r="S26" i="805"/>
  <c r="Y26" i="74"/>
  <c r="Y11"/>
  <c r="V20" i="567"/>
  <c r="V28" s="1"/>
  <c r="U20" i="74"/>
  <c r="Y20" i="805"/>
  <c r="Y28" s="1"/>
  <c r="D12" i="817" s="1"/>
  <c r="K12" s="1"/>
  <c r="BJ12" s="1"/>
  <c r="U20" i="805"/>
  <c r="U28" s="1"/>
  <c r="S20"/>
  <c r="V20"/>
  <c r="S11" i="802"/>
  <c r="V20"/>
  <c r="S27"/>
  <c r="Y20"/>
  <c r="U27"/>
  <c r="R28"/>
  <c r="Y11"/>
  <c r="U20"/>
  <c r="Y27"/>
  <c r="S20"/>
  <c r="V27"/>
  <c r="S27" i="799"/>
  <c r="Y20"/>
  <c r="U27"/>
  <c r="U20"/>
  <c r="Y27"/>
  <c r="S20"/>
  <c r="V27"/>
  <c r="V20"/>
  <c r="R29" i="796"/>
  <c r="S20"/>
  <c r="Y28"/>
  <c r="S11"/>
  <c r="U28"/>
  <c r="U20"/>
  <c r="R31" i="793"/>
  <c r="Y20" i="796"/>
  <c r="S28"/>
  <c r="Y11"/>
  <c r="V28"/>
  <c r="V20"/>
  <c r="S30" i="793"/>
  <c r="S20"/>
  <c r="U30"/>
  <c r="U20"/>
  <c r="Y30"/>
  <c r="Y20"/>
  <c r="V30"/>
  <c r="V20"/>
  <c r="Y40" i="790"/>
  <c r="S29"/>
  <c r="V20"/>
  <c r="V40"/>
  <c r="R41"/>
  <c r="Y20"/>
  <c r="Y11"/>
  <c r="U29"/>
  <c r="R31" i="77"/>
  <c r="R39" i="787"/>
  <c r="S40" i="790"/>
  <c r="Y29"/>
  <c r="U20"/>
  <c r="U40"/>
  <c r="S20"/>
  <c r="S11"/>
  <c r="V29"/>
  <c r="S30" i="787"/>
  <c r="U30"/>
  <c r="S38"/>
  <c r="S21"/>
  <c r="U38"/>
  <c r="U21"/>
  <c r="Y30"/>
  <c r="V30"/>
  <c r="Y38"/>
  <c r="Y21"/>
  <c r="V38"/>
  <c r="V21"/>
  <c r="R37" i="25"/>
  <c r="U37" s="1"/>
  <c r="Q18"/>
  <c r="Q23"/>
  <c r="Q19"/>
  <c r="Q16"/>
  <c r="J26"/>
  <c r="M26" s="1"/>
  <c r="Q22"/>
  <c r="Q20"/>
  <c r="R40"/>
  <c r="U40" s="1"/>
  <c r="R41"/>
  <c r="U41" s="1"/>
  <c r="R42"/>
  <c r="U42" s="1"/>
  <c r="Q21"/>
  <c r="Q17"/>
  <c r="R36"/>
  <c r="U36" s="1"/>
  <c r="R39"/>
  <c r="U39" s="1"/>
  <c r="B72"/>
  <c r="E84"/>
  <c r="Z84" s="1"/>
  <c r="Y11" i="747"/>
  <c r="Y15" s="1"/>
  <c r="D72" i="817" s="1"/>
  <c r="K72" s="1"/>
  <c r="BJ72" s="1"/>
  <c r="Y11" i="738"/>
  <c r="S11" i="744"/>
  <c r="B64" i="25"/>
  <c r="E64" s="1"/>
  <c r="Z64" s="1"/>
  <c r="B66"/>
  <c r="V21" i="194"/>
  <c r="V22" s="1"/>
  <c r="B56" i="25"/>
  <c r="E83"/>
  <c r="Z83" s="1"/>
  <c r="E74"/>
  <c r="Z74" s="1"/>
  <c r="B35"/>
  <c r="B42"/>
  <c r="B53"/>
  <c r="B49"/>
  <c r="B20"/>
  <c r="U11" i="77"/>
  <c r="S21"/>
  <c r="V11"/>
  <c r="Y21"/>
  <c r="V21"/>
  <c r="U21"/>
  <c r="S11"/>
  <c r="I41" i="25"/>
  <c r="I39"/>
  <c r="I42"/>
  <c r="I40"/>
  <c r="I38"/>
  <c r="I32"/>
  <c r="Y11" i="77"/>
  <c r="S21" i="194"/>
  <c r="S22" s="1"/>
  <c r="S12" i="396"/>
  <c r="S13" s="1"/>
  <c r="Y13"/>
  <c r="X28" i="817" s="1"/>
  <c r="AE28" s="1"/>
  <c r="Y21" i="194"/>
  <c r="Y22" s="1"/>
  <c r="AR35" i="817" s="1"/>
  <c r="AY35" s="1"/>
  <c r="U12" i="396"/>
  <c r="U13" s="1"/>
  <c r="Y20" i="420"/>
  <c r="U17" i="360"/>
  <c r="U20" s="1"/>
  <c r="U29" i="77"/>
  <c r="U30" i="25"/>
  <c r="U28"/>
  <c r="Q30"/>
  <c r="M20"/>
  <c r="Q35"/>
  <c r="Q31"/>
  <c r="Q28"/>
  <c r="U31"/>
  <c r="Q34"/>
  <c r="Q32"/>
  <c r="U33"/>
  <c r="U35"/>
  <c r="Q33"/>
  <c r="Q29"/>
  <c r="U29"/>
  <c r="U32"/>
  <c r="U20" i="420"/>
  <c r="U21" s="1"/>
  <c r="Y29" i="77"/>
  <c r="S17" i="360"/>
  <c r="U22" i="194"/>
  <c r="V20" i="420"/>
  <c r="V21" s="1"/>
  <c r="S20"/>
  <c r="S21" s="1"/>
  <c r="Y17" i="360"/>
  <c r="V17"/>
  <c r="V20" s="1"/>
  <c r="V29" i="77"/>
  <c r="S29"/>
  <c r="U20" i="624" l="1"/>
  <c r="N41" i="25"/>
  <c r="B13"/>
  <c r="B68"/>
  <c r="E68" s="1"/>
  <c r="Z68" s="1"/>
  <c r="B57"/>
  <c r="B65"/>
  <c r="B61"/>
  <c r="B46"/>
  <c r="B54"/>
  <c r="B62"/>
  <c r="B58"/>
  <c r="B60"/>
  <c r="Y26"/>
  <c r="V27"/>
  <c r="Y27" s="1"/>
  <c r="AZ28" i="817"/>
  <c r="BI28" s="1"/>
  <c r="U31" i="591"/>
  <c r="J27" i="25"/>
  <c r="B12"/>
  <c r="B67"/>
  <c r="B50"/>
  <c r="B24"/>
  <c r="B71"/>
  <c r="B52"/>
  <c r="B59"/>
  <c r="B63"/>
  <c r="B69"/>
  <c r="F23"/>
  <c r="F24" s="1"/>
  <c r="F25" s="1"/>
  <c r="R38"/>
  <c r="U38" s="1"/>
  <c r="L40" i="817"/>
  <c r="U40" s="1"/>
  <c r="BJ40" s="1"/>
  <c r="Y18" i="645"/>
  <c r="D39" i="817" s="1"/>
  <c r="K39" s="1"/>
  <c r="BJ39" s="1"/>
  <c r="S25" i="597"/>
  <c r="Y33" i="603"/>
  <c r="D26" i="817" s="1"/>
  <c r="K26" s="1"/>
  <c r="S34" i="582"/>
  <c r="U26" i="600"/>
  <c r="N42" i="25"/>
  <c r="Q41"/>
  <c r="V24" i="651"/>
  <c r="U25" i="594"/>
  <c r="V28" i="805"/>
  <c r="U28" i="74"/>
  <c r="V28"/>
  <c r="S28" i="567"/>
  <c r="V34" i="579"/>
  <c r="Y34" i="582"/>
  <c r="D19" i="817" s="1"/>
  <c r="K19" s="1"/>
  <c r="BJ19" s="1"/>
  <c r="Y24" i="675"/>
  <c r="D49" i="817" s="1"/>
  <c r="K49" s="1"/>
  <c r="S19" i="639"/>
  <c r="Y24" i="672"/>
  <c r="D48" i="817" s="1"/>
  <c r="K48" s="1"/>
  <c r="Y19" i="636"/>
  <c r="D36" i="817" s="1"/>
  <c r="K36" s="1"/>
  <c r="V31" i="591"/>
  <c r="V20" i="618"/>
  <c r="U31" i="588"/>
  <c r="Y19" i="633"/>
  <c r="D35" i="817" s="1"/>
  <c r="K35" s="1"/>
  <c r="V34" i="576"/>
  <c r="S24" i="675"/>
  <c r="U25" i="597"/>
  <c r="F26" i="25"/>
  <c r="F27" s="1"/>
  <c r="F28" s="1"/>
  <c r="F29" s="1"/>
  <c r="F30" s="1"/>
  <c r="F31" s="1"/>
  <c r="I25"/>
  <c r="F45"/>
  <c r="I44"/>
  <c r="V29" i="609"/>
  <c r="V24" i="654"/>
  <c r="S31" i="585"/>
  <c r="U34" i="582"/>
  <c r="Y29" i="612"/>
  <c r="D29" i="817" s="1"/>
  <c r="K29" s="1"/>
  <c r="V25" i="597"/>
  <c r="V25" i="594"/>
  <c r="S18" i="642"/>
  <c r="S18" i="645"/>
  <c r="U24" i="666"/>
  <c r="Y28" i="74"/>
  <c r="D13" i="817" s="1"/>
  <c r="K13" s="1"/>
  <c r="BJ13" s="1"/>
  <c r="S34" i="579"/>
  <c r="Y31" i="591"/>
  <c r="D22" i="817" s="1"/>
  <c r="K22" s="1"/>
  <c r="Y34" i="576"/>
  <c r="D17" i="817" s="1"/>
  <c r="K17" s="1"/>
  <c r="BJ17" s="1"/>
  <c r="V33" i="603"/>
  <c r="S35" i="808"/>
  <c r="V28" i="564"/>
  <c r="S20" i="360"/>
  <c r="Y20"/>
  <c r="Y29" i="609"/>
  <c r="D28" i="817" s="1"/>
  <c r="K28" s="1"/>
  <c r="Y24" i="666"/>
  <c r="D46" i="817" s="1"/>
  <c r="K46" s="1"/>
  <c r="S28" i="805"/>
  <c r="V24" i="666"/>
  <c r="Y33" i="606"/>
  <c r="D27" i="817" s="1"/>
  <c r="K27" s="1"/>
  <c r="V31" i="588"/>
  <c r="S23" i="660"/>
  <c r="Y25" i="594"/>
  <c r="D23" i="817" s="1"/>
  <c r="K23" s="1"/>
  <c r="S23" i="663"/>
  <c r="Y24" i="657"/>
  <c r="D43" i="817" s="1"/>
  <c r="K43" s="1"/>
  <c r="S25" i="594"/>
  <c r="Y34" i="579"/>
  <c r="D18" i="817" s="1"/>
  <c r="K18" s="1"/>
  <c r="BJ18" s="1"/>
  <c r="S31" i="591"/>
  <c r="S20" i="618"/>
  <c r="Y24" i="651"/>
  <c r="D41" i="817" s="1"/>
  <c r="K41" s="1"/>
  <c r="S29" i="612"/>
  <c r="S34" i="576"/>
  <c r="U33" i="603"/>
  <c r="V19" i="636"/>
  <c r="S19" i="633"/>
  <c r="S15" i="744"/>
  <c r="V35" i="808"/>
  <c r="Y35"/>
  <c r="D16" i="817" s="1"/>
  <c r="K16" s="1"/>
  <c r="BJ16" s="1"/>
  <c r="U35" i="808"/>
  <c r="V24" i="672"/>
  <c r="Y19" i="639"/>
  <c r="D37" i="817" s="1"/>
  <c r="K37" s="1"/>
  <c r="Y25" i="597"/>
  <c r="D24" i="817" s="1"/>
  <c r="K24" s="1"/>
  <c r="BJ24" s="1"/>
  <c r="Y31" i="588"/>
  <c r="D21" i="817" s="1"/>
  <c r="K21" s="1"/>
  <c r="S19" i="627"/>
  <c r="S33" i="603"/>
  <c r="U24" i="654"/>
  <c r="U24" i="672"/>
  <c r="Y31" i="585"/>
  <c r="D20" i="817" s="1"/>
  <c r="K20" s="1"/>
  <c r="Y18" i="642"/>
  <c r="D38" i="817" s="1"/>
  <c r="K38" s="1"/>
  <c r="Y15" i="738"/>
  <c r="D69" i="817" s="1"/>
  <c r="K69" s="1"/>
  <c r="BJ69" s="1"/>
  <c r="B32" i="25"/>
  <c r="E32" s="1"/>
  <c r="Z32" s="1"/>
  <c r="V31" i="793"/>
  <c r="Y31"/>
  <c r="D8" i="817" s="1"/>
  <c r="K8" s="1"/>
  <c r="BJ8" s="1"/>
  <c r="U31" i="793"/>
  <c r="V29" i="796"/>
  <c r="Y29"/>
  <c r="D9" i="817" s="1"/>
  <c r="K9" s="1"/>
  <c r="BJ9" s="1"/>
  <c r="V28" i="799"/>
  <c r="U28" i="564"/>
  <c r="Y28" i="567"/>
  <c r="D15" i="817" s="1"/>
  <c r="K15" s="1"/>
  <c r="BJ15" s="1"/>
  <c r="U28" i="802"/>
  <c r="V28"/>
  <c r="Y28"/>
  <c r="D11" i="817" s="1"/>
  <c r="K11" s="1"/>
  <c r="BJ11" s="1"/>
  <c r="B31" i="25"/>
  <c r="E31" s="1"/>
  <c r="Y28" i="799"/>
  <c r="D10" i="817" s="1"/>
  <c r="K10" s="1"/>
  <c r="BJ10" s="1"/>
  <c r="S28" i="799"/>
  <c r="S28" i="802"/>
  <c r="U28" i="799"/>
  <c r="V39" i="787"/>
  <c r="Y39"/>
  <c r="D6" i="817" s="1"/>
  <c r="K6" s="1"/>
  <c r="BJ6" s="1"/>
  <c r="U39" i="787"/>
  <c r="V41" i="790"/>
  <c r="U41"/>
  <c r="U29" i="796"/>
  <c r="S29"/>
  <c r="S31" i="793"/>
  <c r="S39" i="787"/>
  <c r="Y31" i="77"/>
  <c r="D5" i="817" s="1"/>
  <c r="K5" s="1"/>
  <c r="BJ5" s="1"/>
  <c r="S31" i="77"/>
  <c r="V31"/>
  <c r="U31"/>
  <c r="S41" i="790"/>
  <c r="Y41"/>
  <c r="D7" i="817" s="1"/>
  <c r="K7" s="1"/>
  <c r="BJ7" s="1"/>
  <c r="Q14" i="25"/>
  <c r="R34"/>
  <c r="U34" s="1"/>
  <c r="E82"/>
  <c r="Z82" s="1"/>
  <c r="B40"/>
  <c r="E40" s="1"/>
  <c r="Z40" s="1"/>
  <c r="B34"/>
  <c r="B28"/>
  <c r="E78"/>
  <c r="Z78" s="1"/>
  <c r="B27"/>
  <c r="B37"/>
  <c r="B55"/>
  <c r="E55" s="1"/>
  <c r="B41"/>
  <c r="B39"/>
  <c r="B29"/>
  <c r="E46"/>
  <c r="B45"/>
  <c r="B44"/>
  <c r="Q27"/>
  <c r="Q15"/>
  <c r="M21"/>
  <c r="M27"/>
  <c r="E66"/>
  <c r="Z66" s="1"/>
  <c r="E50"/>
  <c r="E54"/>
  <c r="E71"/>
  <c r="Z71" s="1"/>
  <c r="E76"/>
  <c r="Z76" s="1"/>
  <c r="E60"/>
  <c r="E69"/>
  <c r="Z69" s="1"/>
  <c r="E53"/>
  <c r="E72"/>
  <c r="Z72" s="1"/>
  <c r="E73"/>
  <c r="Z73" s="1"/>
  <c r="E77"/>
  <c r="Z77" s="1"/>
  <c r="E61"/>
  <c r="Z61" s="1"/>
  <c r="E75"/>
  <c r="Z75" s="1"/>
  <c r="E59"/>
  <c r="B51"/>
  <c r="E24"/>
  <c r="B18"/>
  <c r="U27"/>
  <c r="Y21" i="420"/>
  <c r="AH42" i="817" s="1"/>
  <c r="E12" i="25"/>
  <c r="E52"/>
  <c r="E56"/>
  <c r="E58"/>
  <c r="E57"/>
  <c r="E63"/>
  <c r="Z63" s="1"/>
  <c r="E62"/>
  <c r="Z62" s="1"/>
  <c r="I17"/>
  <c r="I15"/>
  <c r="I13"/>
  <c r="I16"/>
  <c r="I14"/>
  <c r="I12"/>
  <c r="Q26"/>
  <c r="E13"/>
  <c r="I24"/>
  <c r="E42"/>
  <c r="Z13" l="1"/>
  <c r="AH43" i="817"/>
  <c r="AH44" s="1"/>
  <c r="AH45" s="1"/>
  <c r="AH46" s="1"/>
  <c r="AH47" s="1"/>
  <c r="AH48" s="1"/>
  <c r="AH49" s="1"/>
  <c r="AH50" s="1"/>
  <c r="AH51" s="1"/>
  <c r="AH52" s="1"/>
  <c r="AH53" s="1"/>
  <c r="AH54" s="1"/>
  <c r="AH55" s="1"/>
  <c r="AH56" s="1"/>
  <c r="AH57" s="1"/>
  <c r="AH58" s="1"/>
  <c r="AH59" s="1"/>
  <c r="AH60" s="1"/>
  <c r="AH61" s="1"/>
  <c r="AO42"/>
  <c r="B4" i="25"/>
  <c r="E4" s="1"/>
  <c r="Z4" s="1"/>
  <c r="B5"/>
  <c r="E5" s="1"/>
  <c r="Z5" s="1"/>
  <c r="B8"/>
  <c r="E8" s="1"/>
  <c r="Z8" s="1"/>
  <c r="B10"/>
  <c r="E10" s="1"/>
  <c r="Z10" s="1"/>
  <c r="B25"/>
  <c r="B38"/>
  <c r="E38" s="1"/>
  <c r="Z38" s="1"/>
  <c r="B19"/>
  <c r="B36"/>
  <c r="B14"/>
  <c r="E14" s="1"/>
  <c r="Z14" s="1"/>
  <c r="B23"/>
  <c r="L25" i="817"/>
  <c r="U25" s="1"/>
  <c r="BJ25" s="1"/>
  <c r="B6" i="25"/>
  <c r="E6" s="1"/>
  <c r="Z6" s="1"/>
  <c r="B7"/>
  <c r="E7" s="1"/>
  <c r="Z7" s="1"/>
  <c r="B9"/>
  <c r="E9" s="1"/>
  <c r="Z9" s="1"/>
  <c r="B33"/>
  <c r="E33" s="1"/>
  <c r="B70"/>
  <c r="E70" s="1"/>
  <c r="Z70" s="1"/>
  <c r="B43"/>
  <c r="B11"/>
  <c r="E11" s="1"/>
  <c r="Z11" s="1"/>
  <c r="F18"/>
  <c r="B15"/>
  <c r="L41" i="817"/>
  <c r="U41" s="1"/>
  <c r="BJ41" s="1"/>
  <c r="AF43"/>
  <c r="AO43" s="1"/>
  <c r="Z12" i="25"/>
  <c r="Z24"/>
  <c r="N43"/>
  <c r="Q42"/>
  <c r="Z42" s="1"/>
  <c r="F46"/>
  <c r="I45"/>
  <c r="B17"/>
  <c r="E17" s="1"/>
  <c r="Z17" s="1"/>
  <c r="B22"/>
  <c r="E22" s="1"/>
  <c r="B48"/>
  <c r="E48" s="1"/>
  <c r="B16"/>
  <c r="E16" s="1"/>
  <c r="Z16" s="1"/>
  <c r="B26"/>
  <c r="E26" s="1"/>
  <c r="B47"/>
  <c r="E47" s="1"/>
  <c r="B30"/>
  <c r="E30" s="1"/>
  <c r="E79"/>
  <c r="Z79" s="1"/>
  <c r="E35"/>
  <c r="E19"/>
  <c r="E34"/>
  <c r="E18"/>
  <c r="E44"/>
  <c r="E28"/>
  <c r="E45"/>
  <c r="E29"/>
  <c r="E36"/>
  <c r="E20"/>
  <c r="E43"/>
  <c r="E27"/>
  <c r="E39"/>
  <c r="Z39" s="1"/>
  <c r="E23"/>
  <c r="E41"/>
  <c r="Z41" s="1"/>
  <c r="E25"/>
  <c r="Z25" s="1"/>
  <c r="E65"/>
  <c r="Z65" s="1"/>
  <c r="E49"/>
  <c r="E67"/>
  <c r="Z67" s="1"/>
  <c r="E51"/>
  <c r="E15"/>
  <c r="Z15" s="1"/>
  <c r="L42" i="817" l="1"/>
  <c r="U42" s="1"/>
  <c r="BJ42" s="1"/>
  <c r="F19" i="25"/>
  <c r="I18"/>
  <c r="Z18" s="1"/>
  <c r="AF44" i="817"/>
  <c r="AO44" s="1"/>
  <c r="L20"/>
  <c r="U20" s="1"/>
  <c r="BJ20" s="1"/>
  <c r="L26"/>
  <c r="U26" s="1"/>
  <c r="BJ26" s="1"/>
  <c r="N44" i="25"/>
  <c r="Q43"/>
  <c r="Z43" s="1"/>
  <c r="F47"/>
  <c r="I46"/>
  <c r="E81"/>
  <c r="Z81" s="1"/>
  <c r="E80"/>
  <c r="Z80" s="1"/>
  <c r="F20" l="1"/>
  <c r="I19"/>
  <c r="Z19" s="1"/>
  <c r="L43" i="817"/>
  <c r="U43" s="1"/>
  <c r="BJ43" s="1"/>
  <c r="L27"/>
  <c r="U27" s="1"/>
  <c r="BJ27" s="1"/>
  <c r="L21"/>
  <c r="U21" s="1"/>
  <c r="BJ21" s="1"/>
  <c r="AF45"/>
  <c r="AO45" s="1"/>
  <c r="N45" i="25"/>
  <c r="Q44"/>
  <c r="Z44" s="1"/>
  <c r="F48"/>
  <c r="I47"/>
  <c r="I23"/>
  <c r="Z23" s="1"/>
  <c r="L22" i="817" l="1"/>
  <c r="U22" s="1"/>
  <c r="BJ22" s="1"/>
  <c r="L44"/>
  <c r="U44" s="1"/>
  <c r="BJ44" s="1"/>
  <c r="F21" i="25"/>
  <c r="I20"/>
  <c r="Z20" s="1"/>
  <c r="AF46" i="817"/>
  <c r="AO46" s="1"/>
  <c r="L28"/>
  <c r="U28" s="1"/>
  <c r="BJ28" s="1"/>
  <c r="N46" i="25"/>
  <c r="Q45"/>
  <c r="Z45" s="1"/>
  <c r="F49"/>
  <c r="I49" s="1"/>
  <c r="I48"/>
  <c r="C15" i="27"/>
  <c r="N20" s="1"/>
  <c r="O20"/>
  <c r="P20"/>
  <c r="O21"/>
  <c r="P21"/>
  <c r="O22"/>
  <c r="P22"/>
  <c r="O23"/>
  <c r="P23"/>
  <c r="H24"/>
  <c r="H20" s="1"/>
  <c r="O26"/>
  <c r="P26"/>
  <c r="N27"/>
  <c r="O27"/>
  <c r="P27"/>
  <c r="O28"/>
  <c r="P28"/>
  <c r="O29"/>
  <c r="P29"/>
  <c r="O30"/>
  <c r="P30"/>
  <c r="H31"/>
  <c r="H26" s="1"/>
  <c r="T26" s="1"/>
  <c r="AB26" s="1"/>
  <c r="E11" i="26"/>
  <c r="E12"/>
  <c r="L29" i="817" l="1"/>
  <c r="U29" s="1"/>
  <c r="BJ29" s="1"/>
  <c r="F22" i="25"/>
  <c r="I22" s="1"/>
  <c r="Z22" s="1"/>
  <c r="I21"/>
  <c r="L45" i="817"/>
  <c r="U45" s="1"/>
  <c r="BJ45" s="1"/>
  <c r="AF47"/>
  <c r="AO47" s="1"/>
  <c r="L23"/>
  <c r="U23" s="1"/>
  <c r="BJ23" s="1"/>
  <c r="N47" i="25"/>
  <c r="Q46"/>
  <c r="Z46" s="1"/>
  <c r="N29" i="27"/>
  <c r="H12" i="26"/>
  <c r="N30" i="27"/>
  <c r="N28"/>
  <c r="N26"/>
  <c r="V26" s="1"/>
  <c r="AD26" s="1"/>
  <c r="N23"/>
  <c r="N22"/>
  <c r="N21"/>
  <c r="H11" i="26"/>
  <c r="X26" i="27"/>
  <c r="AF26" s="1"/>
  <c r="Q26"/>
  <c r="Y26" s="1"/>
  <c r="S26"/>
  <c r="AA26" s="1"/>
  <c r="U26"/>
  <c r="AC26" s="1"/>
  <c r="W26"/>
  <c r="AE26" s="1"/>
  <c r="Q20"/>
  <c r="Y20" s="1"/>
  <c r="S20"/>
  <c r="AA20" s="1"/>
  <c r="U20"/>
  <c r="AC20" s="1"/>
  <c r="W20"/>
  <c r="AE20" s="1"/>
  <c r="R20"/>
  <c r="Z20" s="1"/>
  <c r="T20"/>
  <c r="AB20" s="1"/>
  <c r="V20"/>
  <c r="AD20" s="1"/>
  <c r="X20"/>
  <c r="AF20" s="1"/>
  <c r="R26"/>
  <c r="Z26" s="1"/>
  <c r="H30"/>
  <c r="H29"/>
  <c r="H28"/>
  <c r="H27"/>
  <c r="H23"/>
  <c r="H22"/>
  <c r="H21"/>
  <c r="L46" i="817" l="1"/>
  <c r="U46" s="1"/>
  <c r="BJ46" s="1"/>
  <c r="AF48"/>
  <c r="AO48" s="1"/>
  <c r="L30"/>
  <c r="U30" s="1"/>
  <c r="BJ30" s="1"/>
  <c r="N48" i="25"/>
  <c r="Q47"/>
  <c r="Z47" s="1"/>
  <c r="H10" i="26"/>
  <c r="V30" i="27"/>
  <c r="AD30" s="1"/>
  <c r="Q22"/>
  <c r="Y22" s="1"/>
  <c r="S22"/>
  <c r="AA22" s="1"/>
  <c r="U22"/>
  <c r="AC22" s="1"/>
  <c r="W22"/>
  <c r="AE22" s="1"/>
  <c r="R22"/>
  <c r="Z22" s="1"/>
  <c r="T22"/>
  <c r="AB22" s="1"/>
  <c r="V22"/>
  <c r="AD22" s="1"/>
  <c r="X22"/>
  <c r="AF22" s="1"/>
  <c r="Q27"/>
  <c r="Y27" s="1"/>
  <c r="S27"/>
  <c r="AA27" s="1"/>
  <c r="U27"/>
  <c r="AC27" s="1"/>
  <c r="W27"/>
  <c r="AE27" s="1"/>
  <c r="T27"/>
  <c r="AB27" s="1"/>
  <c r="X27"/>
  <c r="AF27" s="1"/>
  <c r="R27"/>
  <c r="Z27" s="1"/>
  <c r="V27"/>
  <c r="AD27" s="1"/>
  <c r="Q29"/>
  <c r="Y29" s="1"/>
  <c r="S29"/>
  <c r="AA29" s="1"/>
  <c r="U29"/>
  <c r="AC29" s="1"/>
  <c r="W29"/>
  <c r="AE29" s="1"/>
  <c r="T29"/>
  <c r="AB29" s="1"/>
  <c r="X29"/>
  <c r="AF29" s="1"/>
  <c r="R29"/>
  <c r="Z29" s="1"/>
  <c r="V29"/>
  <c r="AD29" s="1"/>
  <c r="Q21"/>
  <c r="Y21" s="1"/>
  <c r="S21"/>
  <c r="AA21" s="1"/>
  <c r="U21"/>
  <c r="AC21" s="1"/>
  <c r="W21"/>
  <c r="AE21" s="1"/>
  <c r="R21"/>
  <c r="Z21" s="1"/>
  <c r="T21"/>
  <c r="AB21" s="1"/>
  <c r="V21"/>
  <c r="AD21" s="1"/>
  <c r="X21"/>
  <c r="AF21" s="1"/>
  <c r="Q23"/>
  <c r="Y23" s="1"/>
  <c r="S23"/>
  <c r="AA23" s="1"/>
  <c r="U23"/>
  <c r="AC23" s="1"/>
  <c r="AC24" s="1"/>
  <c r="L12" i="26" s="1"/>
  <c r="R12" s="1"/>
  <c r="W23" i="27"/>
  <c r="AE23" s="1"/>
  <c r="R23"/>
  <c r="Z23" s="1"/>
  <c r="T23"/>
  <c r="AB23" s="1"/>
  <c r="V23"/>
  <c r="AD23" s="1"/>
  <c r="X23"/>
  <c r="AF23" s="1"/>
  <c r="Q28"/>
  <c r="Y28" s="1"/>
  <c r="S28"/>
  <c r="AA28" s="1"/>
  <c r="U28"/>
  <c r="AC28" s="1"/>
  <c r="W28"/>
  <c r="AE28" s="1"/>
  <c r="R28"/>
  <c r="Z28" s="1"/>
  <c r="T28"/>
  <c r="AB28" s="1"/>
  <c r="X28"/>
  <c r="AF28" s="1"/>
  <c r="Q30"/>
  <c r="Y30" s="1"/>
  <c r="S30"/>
  <c r="AA30" s="1"/>
  <c r="U30"/>
  <c r="AC30" s="1"/>
  <c r="W30"/>
  <c r="AE30" s="1"/>
  <c r="R30"/>
  <c r="Z30" s="1"/>
  <c r="T30"/>
  <c r="AB30" s="1"/>
  <c r="X30"/>
  <c r="AF30" s="1"/>
  <c r="AD24"/>
  <c r="O12" i="26" s="1"/>
  <c r="U12" s="1"/>
  <c r="V28" i="27"/>
  <c r="AD28" s="1"/>
  <c r="L31" i="817" l="1"/>
  <c r="U31" s="1"/>
  <c r="BJ31" s="1"/>
  <c r="AF49"/>
  <c r="AO49" s="1"/>
  <c r="L47"/>
  <c r="U47" s="1"/>
  <c r="BJ47" s="1"/>
  <c r="N49" i="25"/>
  <c r="Q48"/>
  <c r="Z48" s="1"/>
  <c r="AE31" i="27"/>
  <c r="V11" i="26" s="1"/>
  <c r="AA31" i="27"/>
  <c r="J11" i="26" s="1"/>
  <c r="P11" s="1"/>
  <c r="AB24" i="27"/>
  <c r="N12" i="26" s="1"/>
  <c r="T12" s="1"/>
  <c r="AA24" i="27"/>
  <c r="J12" i="26" s="1"/>
  <c r="P12" s="1"/>
  <c r="AF31" i="27"/>
  <c r="Z31"/>
  <c r="K11" i="26" s="1"/>
  <c r="AC31" i="27"/>
  <c r="L11" i="26" s="1"/>
  <c r="Y31" i="27"/>
  <c r="M11" i="26" s="1"/>
  <c r="Z24" i="27"/>
  <c r="K12" i="26" s="1"/>
  <c r="Q12" s="1"/>
  <c r="Y24" i="27"/>
  <c r="M12" i="26" s="1"/>
  <c r="S12" s="1"/>
  <c r="AF24" i="27"/>
  <c r="W12" i="26" s="1"/>
  <c r="AE24" i="27"/>
  <c r="V12" i="26" s="1"/>
  <c r="W11"/>
  <c r="AB31" i="27"/>
  <c r="N11" i="26" s="1"/>
  <c r="AD31" i="27"/>
  <c r="O11" i="26" s="1"/>
  <c r="AF50" i="817" l="1"/>
  <c r="AO50" s="1"/>
  <c r="L32"/>
  <c r="U32" s="1"/>
  <c r="BJ32" s="1"/>
  <c r="L48"/>
  <c r="U48" s="1"/>
  <c r="BJ48" s="1"/>
  <c r="N50" i="25"/>
  <c r="Q49"/>
  <c r="Z49" s="1"/>
  <c r="J3" i="26"/>
  <c r="S11"/>
  <c r="S3" s="1"/>
  <c r="M3"/>
  <c r="Q11"/>
  <c r="Q3" s="1"/>
  <c r="K3"/>
  <c r="U11"/>
  <c r="U3" s="1"/>
  <c r="O3"/>
  <c r="T11"/>
  <c r="T3" s="1"/>
  <c r="N3"/>
  <c r="R11"/>
  <c r="R3" s="1"/>
  <c r="L3"/>
  <c r="P3"/>
  <c r="W3"/>
  <c r="V3"/>
  <c r="AF51" i="817" l="1"/>
  <c r="AO51" s="1"/>
  <c r="BJ51" s="1"/>
  <c r="L49"/>
  <c r="U49" s="1"/>
  <c r="BJ49" s="1"/>
  <c r="N51" i="25"/>
  <c r="Q50"/>
  <c r="Z50" s="1"/>
  <c r="T13" i="366"/>
  <c r="T14" s="1"/>
  <c r="Q13"/>
  <c r="Q14" s="1"/>
  <c r="U13"/>
  <c r="U14" s="1"/>
  <c r="R13"/>
  <c r="R14" s="1"/>
  <c r="V13"/>
  <c r="V14" s="1"/>
  <c r="S13"/>
  <c r="S14" s="1"/>
  <c r="Y13"/>
  <c r="Y14" s="1"/>
  <c r="X13"/>
  <c r="X14" s="1"/>
  <c r="W13"/>
  <c r="W14" s="1"/>
  <c r="L34" i="817" s="1"/>
  <c r="U34" s="1"/>
  <c r="BJ34" s="1"/>
  <c r="AF52" l="1"/>
  <c r="AO52" s="1"/>
  <c r="BJ52" s="1"/>
  <c r="L35"/>
  <c r="U35" s="1"/>
  <c r="BJ35" s="1"/>
  <c r="L50"/>
  <c r="U50" s="1"/>
  <c r="BJ50" s="1"/>
  <c r="N52" i="25"/>
  <c r="Q51"/>
  <c r="Z51" s="1"/>
  <c r="F33"/>
  <c r="I26"/>
  <c r="Z26" s="1"/>
  <c r="I30"/>
  <c r="Z30" s="1"/>
  <c r="I28"/>
  <c r="Z28" s="1"/>
  <c r="I31"/>
  <c r="Z31" s="1"/>
  <c r="I29"/>
  <c r="Z29" s="1"/>
  <c r="I27"/>
  <c r="Z27" s="1"/>
  <c r="B21"/>
  <c r="L36" i="817" l="1"/>
  <c r="U36" s="1"/>
  <c r="BJ36" s="1"/>
  <c r="AF53"/>
  <c r="AO53" s="1"/>
  <c r="BJ53" s="1"/>
  <c r="N53" i="25"/>
  <c r="Q52"/>
  <c r="Z52" s="1"/>
  <c r="I33"/>
  <c r="Z33" s="1"/>
  <c r="F34"/>
  <c r="E37"/>
  <c r="E21"/>
  <c r="Z21" s="1"/>
  <c r="AF54" i="817" l="1"/>
  <c r="AO54" s="1"/>
  <c r="BJ54" s="1"/>
  <c r="L37"/>
  <c r="U37" s="1"/>
  <c r="BJ37" s="1"/>
  <c r="N54" i="25"/>
  <c r="Q53"/>
  <c r="Z53" s="1"/>
  <c r="F35"/>
  <c r="I34"/>
  <c r="Z34" s="1"/>
  <c r="AF55" i="817" l="1"/>
  <c r="AO55" s="1"/>
  <c r="BJ55" s="1"/>
  <c r="L38"/>
  <c r="U38" s="1"/>
  <c r="BJ38" s="1"/>
  <c r="N55" i="25"/>
  <c r="Q54"/>
  <c r="Z54" s="1"/>
  <c r="F36"/>
  <c r="I35"/>
  <c r="Z35" s="1"/>
  <c r="AF56" i="817" l="1"/>
  <c r="AO56" s="1"/>
  <c r="BJ56" s="1"/>
  <c r="N56" i="25"/>
  <c r="Q55"/>
  <c r="Z55" s="1"/>
  <c r="F37"/>
  <c r="I37" s="1"/>
  <c r="Z37" s="1"/>
  <c r="I36"/>
  <c r="Z36" s="1"/>
  <c r="AF57" i="817" l="1"/>
  <c r="AO57" s="1"/>
  <c r="BJ57" s="1"/>
  <c r="N57" i="25"/>
  <c r="Q56"/>
  <c r="Z56" s="1"/>
  <c r="AF58" i="817" l="1"/>
  <c r="AO58" s="1"/>
  <c r="BJ58" s="1"/>
  <c r="N58" i="25"/>
  <c r="Q57"/>
  <c r="Z57" s="1"/>
  <c r="AF59" i="817" l="1"/>
  <c r="AO59" s="1"/>
  <c r="BJ59" s="1"/>
  <c r="N59" i="25"/>
  <c r="Q58"/>
  <c r="Z58" s="1"/>
  <c r="AF60" i="817" l="1"/>
  <c r="AO60" s="1"/>
  <c r="BJ60" s="1"/>
  <c r="N60" i="25"/>
  <c r="Q60" s="1"/>
  <c r="Z60" s="1"/>
  <c r="Q59"/>
  <c r="Z59" s="1"/>
  <c r="AF61" i="817" l="1"/>
  <c r="AO61" s="1"/>
  <c r="BJ61" s="1"/>
  <c r="BJ90" s="1"/>
</calcChain>
</file>

<file path=xl/sharedStrings.xml><?xml version="1.0" encoding="utf-8"?>
<sst xmlns="http://schemas.openxmlformats.org/spreadsheetml/2006/main" count="40389" uniqueCount="909">
  <si>
    <t>Emission Factors</t>
  </si>
  <si>
    <t>Emissions</t>
  </si>
  <si>
    <t>FUEL</t>
  </si>
  <si>
    <t>HP</t>
  </si>
  <si>
    <t>Load Factor</t>
  </si>
  <si>
    <t>ROG (lb/hr)</t>
  </si>
  <si>
    <t>CO (lb/hr)</t>
  </si>
  <si>
    <t>NOX (lb/hr)</t>
  </si>
  <si>
    <t>SOX (lb/hr)</t>
  </si>
  <si>
    <t>PM10 (lb/hr)</t>
  </si>
  <si>
    <t>PM2.5 (lb/hr)</t>
  </si>
  <si>
    <t>CO2  (lb/hr)</t>
  </si>
  <si>
    <t>CH4  (lb/hr)</t>
  </si>
  <si>
    <t>N2O  (lb/hr)</t>
  </si>
  <si>
    <t>No of Equipment</t>
  </si>
  <si>
    <t>Hrs Per Day</t>
  </si>
  <si>
    <t>Days in Service</t>
  </si>
  <si>
    <t>ROG lbs/day</t>
  </si>
  <si>
    <t>CO lbs/day</t>
  </si>
  <si>
    <t>NOX lbs/day</t>
  </si>
  <si>
    <t>SOX lbs/day</t>
  </si>
  <si>
    <t>PM10 lbs/day</t>
  </si>
  <si>
    <t>PM2.5 lbs/day</t>
  </si>
  <si>
    <t>CO2  lbs/day</t>
  </si>
  <si>
    <t>CH4  lbs/day</t>
  </si>
  <si>
    <t>N2O  lbs/day</t>
  </si>
  <si>
    <t>Construction Inspection</t>
  </si>
  <si>
    <t>DIESEL</t>
  </si>
  <si>
    <t>Subtotal</t>
  </si>
  <si>
    <t>KCAPCD</t>
  </si>
  <si>
    <t>Segment</t>
  </si>
  <si>
    <t>Length</t>
  </si>
  <si>
    <t>A</t>
  </si>
  <si>
    <t>B</t>
  </si>
  <si>
    <t>C</t>
  </si>
  <si>
    <t>D</t>
  </si>
  <si>
    <t>E</t>
  </si>
  <si>
    <t>F</t>
  </si>
  <si>
    <t>G</t>
  </si>
  <si>
    <t>H</t>
  </si>
  <si>
    <t>I</t>
  </si>
  <si>
    <t>AVAQMD</t>
  </si>
  <si>
    <t>SCAQMD</t>
  </si>
  <si>
    <t>Alternative Corridors</t>
  </si>
  <si>
    <t>ACDJK</t>
  </si>
  <si>
    <t>ACEGK</t>
  </si>
  <si>
    <t>ACEFHK</t>
  </si>
  <si>
    <t>ACEFIK</t>
  </si>
  <si>
    <t>ABGK</t>
  </si>
  <si>
    <t>ABFHK</t>
  </si>
  <si>
    <t>ABFIK</t>
  </si>
  <si>
    <t>Dump Trucks</t>
  </si>
  <si>
    <t>Vehicle Class</t>
  </si>
  <si>
    <t>Speed</t>
  </si>
  <si>
    <t>VMT</t>
  </si>
  <si>
    <t>CO</t>
  </si>
  <si>
    <r>
      <t>NO</t>
    </r>
    <r>
      <rPr>
        <b/>
        <vertAlign val="subscript"/>
        <sz val="10"/>
        <rFont val="Arial"/>
        <family val="2"/>
      </rPr>
      <t>X</t>
    </r>
  </si>
  <si>
    <t>ROG</t>
  </si>
  <si>
    <t>SOx</t>
  </si>
  <si>
    <t>PM10</t>
  </si>
  <si>
    <t>PM2.5</t>
  </si>
  <si>
    <t>CO2</t>
  </si>
  <si>
    <t>CH4</t>
  </si>
  <si>
    <t>N2O</t>
  </si>
  <si>
    <t>Emissions, lbs/day</t>
  </si>
  <si>
    <t>Total Emissions, tons</t>
  </si>
  <si>
    <t>Per Construction Phase</t>
  </si>
  <si>
    <t>(mph)</t>
  </si>
  <si>
    <t>(mi/vehicle-day)</t>
  </si>
  <si>
    <t>Running Exhaust (g/mi)</t>
  </si>
  <si>
    <t>Running Evaporative (g/mi)</t>
  </si>
  <si>
    <t>Tire Wear (g/mi)</t>
  </si>
  <si>
    <t>Brake Wear (g/mi)</t>
  </si>
  <si>
    <t>NOx</t>
  </si>
  <si>
    <t>VOCs</t>
  </si>
  <si>
    <t>Paved Road Fugitive Dust PM10</t>
  </si>
  <si>
    <t>Paved Road Fugitive Dust PM2.5</t>
  </si>
  <si>
    <t>Assume startup after 8 hours</t>
  </si>
  <si>
    <t>Assume 45 minutes run time total</t>
  </si>
  <si>
    <t xml:space="preserve">2009 Emission Factors from EMFAC2007, average temp 60F; South Coast Air Basin </t>
  </si>
  <si>
    <t>lbs/mile</t>
  </si>
  <si>
    <t>Paved Road Fugitive Dust</t>
  </si>
  <si>
    <t>EPA's AP-42, Section 13.2.1, November 2006</t>
  </si>
  <si>
    <t>E = k(sL/2)^0.65 x (W/3)^1.5 - C</t>
  </si>
  <si>
    <t>For light-duty trucks assume 2 tons/vehicle</t>
  </si>
  <si>
    <t>Assume silt loading for 10,000 ADT roadways = 0.03 g/m3</t>
  </si>
  <si>
    <t>Assume k = 0.016 PM10</t>
  </si>
  <si>
    <t>Assume 6 miles in addition for track-out for PM10</t>
  </si>
  <si>
    <t>Unpaved Road Fugitive Dust</t>
  </si>
  <si>
    <t>EPA's AP-42, Section 13.2.2</t>
  </si>
  <si>
    <t>Industrial Roads</t>
  </si>
  <si>
    <t>E = k (s/12)^a x (W/3)^b</t>
  </si>
  <si>
    <t>Assume 61% control efficiency for watering 3 x daily</t>
  </si>
  <si>
    <t>k = 1.5 for PM10, 0.15 for PM2.5</t>
  </si>
  <si>
    <t>s = 8.5, a = 0.9, b = 0.45</t>
  </si>
  <si>
    <t>Light Duty Truck 1, Diesel</t>
  </si>
  <si>
    <t>For LDT assume 2 tons/vehicle, MDT assume 13 tons/vehicle, HDT assume 20 tons/vehicle</t>
  </si>
  <si>
    <t>PM10, LDT</t>
  </si>
  <si>
    <t>PM10, MDT</t>
  </si>
  <si>
    <t>PM10, HDT</t>
  </si>
  <si>
    <t>Vehicle</t>
  </si>
  <si>
    <t>No. of Daily Workers</t>
  </si>
  <si>
    <t>Light-Duty Truck, catalyst</t>
  </si>
  <si>
    <t>Total</t>
  </si>
  <si>
    <t>N/A</t>
  </si>
  <si>
    <t>Heavy Duty Truck, Diesel</t>
  </si>
  <si>
    <t>Peak No. of Trucks per day</t>
  </si>
  <si>
    <t>Equipment/Phase</t>
  </si>
  <si>
    <t>Construction Phase</t>
  </si>
  <si>
    <t>2012 Emission Factors from EMFAC2007, average temp 60F; SCAB</t>
  </si>
  <si>
    <t>Haul Trucks</t>
  </si>
  <si>
    <t>Drill Rig</t>
  </si>
  <si>
    <t>Concrete Trucks</t>
  </si>
  <si>
    <t>Handheld Compactor</t>
  </si>
  <si>
    <t>Manlift</t>
  </si>
  <si>
    <t>Hot-Soak (g/vehicle-day)</t>
  </si>
  <si>
    <t>Diurnal Evaporative (g/vehicle-day)</t>
  </si>
  <si>
    <t>Resting Loss (g/vehicle-day)</t>
  </si>
  <si>
    <t>Start-Up (g/vehicle-day)</t>
  </si>
  <si>
    <t>Air Compressor</t>
  </si>
  <si>
    <t>Bulldozer</t>
  </si>
  <si>
    <t>Road Grader/Blade</t>
  </si>
  <si>
    <t>Scraper</t>
  </si>
  <si>
    <t>Compactor</t>
  </si>
  <si>
    <t>Loader</t>
  </si>
  <si>
    <t>Backhoe</t>
  </si>
  <si>
    <t>Water Truck</t>
  </si>
  <si>
    <t>Dump/Haul Truck</t>
  </si>
  <si>
    <t>Excavator</t>
  </si>
  <si>
    <t>Crane</t>
  </si>
  <si>
    <t>2-ton Flatbed Truck</t>
  </si>
  <si>
    <t>Puller and Tensioner</t>
  </si>
  <si>
    <t>Reel Trailer</t>
  </si>
  <si>
    <t>Splice Trailer</t>
  </si>
  <si>
    <t>lb/hr</t>
  </si>
  <si>
    <t>Heavy Lift Helicopter</t>
  </si>
  <si>
    <t>Jet A</t>
  </si>
  <si>
    <t>(tons)</t>
  </si>
  <si>
    <t>SOX</t>
  </si>
  <si>
    <t>PM</t>
  </si>
  <si>
    <t>VOC/ROG</t>
  </si>
  <si>
    <t>NOX</t>
  </si>
  <si>
    <t>Total Flight Cycles</t>
  </si>
  <si>
    <t>Refuel Flight Cycles/ Day</t>
  </si>
  <si>
    <t>Work Flight Cycles/ Day</t>
  </si>
  <si>
    <t>Duration of Use
(Hours/ Day)</t>
  </si>
  <si>
    <t>Activity
Schedule Estimate (Days)</t>
  </si>
  <si>
    <t>HP Estimate</t>
  </si>
  <si>
    <t>Primary Equipment Description</t>
  </si>
  <si>
    <t>Structures</t>
  </si>
  <si>
    <t xml:space="preserve">Light Duty/Crew Helicopter </t>
  </si>
  <si>
    <t>Fuel 
Type</t>
  </si>
  <si>
    <t xml:space="preserve"> hours per structure</t>
  </si>
  <si>
    <t>- light lift helicopter</t>
  </si>
  <si>
    <t>- heavy lift helicopter</t>
  </si>
  <si>
    <t>1 structure/day</t>
  </si>
  <si>
    <t>Helicopter Emissions Calculation</t>
  </si>
  <si>
    <t>Taxi In</t>
  </si>
  <si>
    <t xml:space="preserve">Approach </t>
  </si>
  <si>
    <t>Climbout</t>
  </si>
  <si>
    <t>Takeoff</t>
  </si>
  <si>
    <t>TPE 331-3 (PM)</t>
  </si>
  <si>
    <t>one 450</t>
  </si>
  <si>
    <t>Allison 250-C20B/R</t>
  </si>
  <si>
    <t>Hughes 500E</t>
  </si>
  <si>
    <t>Taxi Out</t>
  </si>
  <si>
    <t xml:space="preserve">PW PT6A-42 / </t>
  </si>
  <si>
    <t>one 1875</t>
  </si>
  <si>
    <t>PW PT6T6</t>
  </si>
  <si>
    <t>Sikorsky S-58T</t>
  </si>
  <si>
    <t>two 4500</t>
  </si>
  <si>
    <t>PW JFTD12A-4</t>
  </si>
  <si>
    <t>Sikorsky S-64E</t>
  </si>
  <si>
    <t>T56-A7 (PM)</t>
  </si>
  <si>
    <t>two 4800</t>
  </si>
  <si>
    <t>PW JFTD12A-5A</t>
  </si>
  <si>
    <t>Sikorsky S-64F</t>
  </si>
  <si>
    <t>T64-GE-413 /</t>
  </si>
  <si>
    <t>two 4200</t>
  </si>
  <si>
    <t>Avro Lycoming AL5512</t>
  </si>
  <si>
    <t>Boeing 234 UT</t>
  </si>
  <si>
    <t>VOC</t>
  </si>
  <si>
    <t>Emissions Per Mode, lbs/cycle</t>
  </si>
  <si>
    <t>Emissions Per Mode, lbs/engine-cycle</t>
  </si>
  <si>
    <t>Emission Indices, g/kg fuel</t>
  </si>
  <si>
    <t>Time in Mode per Cycle, min</t>
  </si>
  <si>
    <t>Fuel Flow, kg/s</t>
  </si>
  <si>
    <t>Operating Mode</t>
  </si>
  <si>
    <t>Model Engine HP</t>
  </si>
  <si>
    <t>Model Engine</t>
  </si>
  <si>
    <t>Actual Engine HP</t>
  </si>
  <si>
    <t>Actual Engine</t>
  </si>
  <si>
    <t>Helicopter Model</t>
  </si>
  <si>
    <t>g/kg jet fuel @ 15C</t>
  </si>
  <si>
    <t>9.57 kg CO2/gal jet fuel</t>
  </si>
  <si>
    <t>CO2 emission factor</t>
  </si>
  <si>
    <t>.8 kg/L</t>
  </si>
  <si>
    <r>
      <t xml:space="preserve">Density Jet A </t>
    </r>
    <r>
      <rPr>
        <sz val="11"/>
        <color theme="1"/>
        <rFont val="Calibri"/>
        <family val="2"/>
      </rPr>
      <t/>
    </r>
  </si>
  <si>
    <t>Approach/Cruising</t>
  </si>
  <si>
    <t>Helicopter operating modes, as percentages of total engine run time, are estimated as follows:</t>
  </si>
  <si>
    <t>Flight cycles based on estimates from Sargent &amp; Lundy and calculated to: 16.43 minutes for heavy lift, 16.43 minutes for medium lift, and 9.92 minutes for light lift helicopters.</t>
  </si>
  <si>
    <t>CO2 helicopter emissions are calculated using CCAR reccomended factor 9.57 kg CO2/gallon jet fuel.</t>
  </si>
  <si>
    <t>CH4, N2O emissions are from Table 13.6 in the Climate Action Registry's General Reporting Protocol</t>
  </si>
  <si>
    <r>
      <t xml:space="preserve">PM helicopter emissions are calculated using factors provided in </t>
    </r>
    <r>
      <rPr>
        <i/>
        <sz val="10"/>
        <rFont val="Calibri"/>
        <family val="2"/>
        <scheme val="minor"/>
      </rPr>
      <t>Volume 4, Procedures for Emissions Inventory Preparation, EPA420R-92-009.</t>
    </r>
  </si>
  <si>
    <t>CO, VOC, NOx, and Sox helicopter emissions are calculated using EDMS 5.1 emission factors.</t>
  </si>
  <si>
    <t>Helicopter Emission Factors</t>
  </si>
  <si>
    <t>Transmission Line</t>
  </si>
  <si>
    <t>Approach /Work</t>
  </si>
  <si>
    <t>Assumptions</t>
  </si>
  <si>
    <t>(lbs/day)</t>
  </si>
  <si>
    <t>(lbs)</t>
  </si>
  <si>
    <t>TIER 2 
Emission Factors</t>
  </si>
  <si>
    <t>TIER 3
Emission Factors</t>
  </si>
  <si>
    <t>% reduction from TIER 2 to TIER 3</t>
  </si>
  <si>
    <t>Maximum horsepower</t>
  </si>
  <si>
    <t>2015+</t>
  </si>
  <si>
    <t>g/bhp-hr</t>
  </si>
  <si>
    <t>lb/bhp-hr</t>
  </si>
  <si>
    <t>&lt;11</t>
  </si>
  <si>
    <t>See Table 2 footnote (a)</t>
  </si>
  <si>
    <t>7.8 / 6.0 / 0.75</t>
  </si>
  <si>
    <t>5.6 / 6.0 / 0.6</t>
  </si>
  <si>
    <r>
      <t>5.6 / 6.0 / 0.30</t>
    </r>
    <r>
      <rPr>
        <vertAlign val="superscript"/>
        <sz val="10"/>
        <rFont val="Calibri"/>
        <family val="2"/>
        <scheme val="minor"/>
      </rPr>
      <t>a</t>
    </r>
  </si>
  <si>
    <t xml:space="preserve">11hp&lt;25 </t>
  </si>
  <si>
    <t>7.1 / 4.9 / 0.60</t>
  </si>
  <si>
    <t>5.6 / 4.9 / 0.60</t>
  </si>
  <si>
    <t>5.6 / 4.9 / 0.30</t>
  </si>
  <si>
    <t xml:space="preserve">25hp&lt;50 </t>
  </si>
  <si>
    <t xml:space="preserve"> -</t>
  </si>
  <si>
    <t>7.1 /4.1 / 0.60</t>
  </si>
  <si>
    <t>5.6 / 4.1 / 0.45</t>
  </si>
  <si>
    <t>5.6 / 4.1 / 0.22</t>
  </si>
  <si>
    <t>3.5 / 4.1 / 0.02</t>
  </si>
  <si>
    <t>50hp&lt; 75</t>
  </si>
  <si>
    <t>5.6 / 3.7 / 0.30</t>
  </si>
  <si>
    <r>
      <t>3.5 / 3.7 / 0.22</t>
    </r>
    <r>
      <rPr>
        <vertAlign val="superscript"/>
        <sz val="10"/>
        <rFont val="Calibri"/>
        <family val="2"/>
        <scheme val="minor"/>
      </rPr>
      <t>c</t>
    </r>
  </si>
  <si>
    <r>
      <t>3.5 / 3.7 / 0.02</t>
    </r>
    <r>
      <rPr>
        <vertAlign val="superscript"/>
        <sz val="10"/>
        <rFont val="Calibri"/>
        <family val="2"/>
        <scheme val="minor"/>
      </rPr>
      <t>c</t>
    </r>
  </si>
  <si>
    <t>75hp&lt;100</t>
  </si>
  <si>
    <r>
      <t xml:space="preserve"> - / 6.9 / - / - </t>
    </r>
    <r>
      <rPr>
        <vertAlign val="superscript"/>
        <sz val="10"/>
        <rFont val="Calibri"/>
        <family val="2"/>
        <scheme val="minor"/>
      </rPr>
      <t>b</t>
    </r>
  </si>
  <si>
    <t>3.5 / 3.7 / 0.30</t>
  </si>
  <si>
    <r>
      <t>0.14 / 2.5 / 3.7 / 0.015</t>
    </r>
    <r>
      <rPr>
        <vertAlign val="superscript"/>
        <sz val="10"/>
        <rFont val="Calibri"/>
        <family val="2"/>
        <scheme val="minor"/>
      </rPr>
      <t>b,d</t>
    </r>
  </si>
  <si>
    <r>
      <t>0.14 / 0.30 / 3.7 / 0.015</t>
    </r>
    <r>
      <rPr>
        <vertAlign val="superscript"/>
        <sz val="10"/>
        <rFont val="Calibri"/>
        <family val="2"/>
        <scheme val="minor"/>
      </rPr>
      <t>b</t>
    </r>
  </si>
  <si>
    <t>100hp&lt;175</t>
  </si>
  <si>
    <t>4.9 / 3.7 / 0.22</t>
  </si>
  <si>
    <t>3.0 / 3.7 / 0.22</t>
  </si>
  <si>
    <t>175hp&lt;300</t>
  </si>
  <si>
    <t>4.9 / 2.6 / 0.15</t>
  </si>
  <si>
    <r>
      <t>3.0 / 2.6 / 0.15</t>
    </r>
    <r>
      <rPr>
        <vertAlign val="superscript"/>
        <sz val="10"/>
        <rFont val="Calibri"/>
        <family val="2"/>
        <scheme val="minor"/>
      </rPr>
      <t>e</t>
    </r>
  </si>
  <si>
    <r>
      <t>0.14 / 1.5 / 2.6 / 0.015</t>
    </r>
    <r>
      <rPr>
        <vertAlign val="superscript"/>
        <sz val="10"/>
        <rFont val="Calibri"/>
        <family val="2"/>
        <scheme val="minor"/>
      </rPr>
      <t>b,d</t>
    </r>
  </si>
  <si>
    <r>
      <t>0.14 / 0.30 / 2.2 / 0.015</t>
    </r>
    <r>
      <rPr>
        <vertAlign val="superscript"/>
        <sz val="10"/>
        <rFont val="Calibri"/>
        <family val="2"/>
        <scheme val="minor"/>
      </rPr>
      <t>b</t>
    </r>
  </si>
  <si>
    <t>300hp&lt;600</t>
  </si>
  <si>
    <r>
      <t>1.0 / 6.9 / 8.5 / 0.40</t>
    </r>
    <r>
      <rPr>
        <vertAlign val="superscript"/>
        <sz val="10"/>
        <rFont val="Calibri"/>
        <family val="2"/>
        <scheme val="minor"/>
      </rPr>
      <t>b</t>
    </r>
  </si>
  <si>
    <t>4.8 / 2.6 / 0.15</t>
  </si>
  <si>
    <t>600hp750</t>
  </si>
  <si>
    <t>Mobile Machines          &gt; 750hp</t>
  </si>
  <si>
    <r>
      <t>0.30 / 2.6 / 2.6 / 0.07</t>
    </r>
    <r>
      <rPr>
        <vertAlign val="superscript"/>
        <sz val="10"/>
        <rFont val="Calibri"/>
        <family val="2"/>
        <scheme val="minor"/>
      </rPr>
      <t>b</t>
    </r>
  </si>
  <si>
    <r>
      <t>0.14 / 2.6 / 2.6 / 0.03</t>
    </r>
    <r>
      <rPr>
        <vertAlign val="superscript"/>
        <sz val="10"/>
        <rFont val="Calibri"/>
        <family val="2"/>
        <scheme val="minor"/>
      </rPr>
      <t>b</t>
    </r>
  </si>
  <si>
    <t>750hp&lt;GEN 1200hp</t>
  </si>
  <si>
    <r>
      <t>0.14 / 0.50 / 2.6 / 0.02</t>
    </r>
    <r>
      <rPr>
        <vertAlign val="superscript"/>
        <sz val="10"/>
        <rFont val="Calibri"/>
        <family val="2"/>
        <scheme val="minor"/>
      </rPr>
      <t>b</t>
    </r>
  </si>
  <si>
    <t>GEN&gt;1200 hp</t>
  </si>
  <si>
    <r>
      <t>0.30 / 0.50 / 2.6 / 0.07</t>
    </r>
    <r>
      <rPr>
        <vertAlign val="superscript"/>
        <sz val="10"/>
        <rFont val="Calibri"/>
        <family val="2"/>
        <scheme val="minor"/>
      </rPr>
      <t>b</t>
    </r>
  </si>
  <si>
    <t>a) The PM standard for hand-start, air cooled, direct injection engines below 11 hp may be delayed until 2010 and be set at 0.45 g/bhp-hr.</t>
  </si>
  <si>
    <t>b) Standards given are NMHC/NOx/CO/PM in g/bhp-hr.</t>
  </si>
  <si>
    <t>c) Engine families in this power category may alternately meet Tier 3 PM standards (0.30 g/bhp-hr) from 2008-2011 in exchange for introducing final PM standards in 2012.</t>
  </si>
  <si>
    <t>d) The implementation schedule shown is the three-year alternate NOx approach.  Other schedules are available.</t>
  </si>
  <si>
    <t>e) Certain manufacturers have agreed to comply with these standards by 2005.</t>
  </si>
  <si>
    <t>: Tier 1</t>
  </si>
  <si>
    <t>: Tier 2</t>
  </si>
  <si>
    <t>: Tier 3</t>
  </si>
  <si>
    <t>: Tier 4 Interim / Final</t>
  </si>
  <si>
    <t>Trans: TL6910 - Foundation Installations</t>
  </si>
  <si>
    <t>Trans: TL6910 - Underground Trench/Conduit/Substructure</t>
  </si>
  <si>
    <t>Trans: TL6910 - Steel Structure Installations</t>
  </si>
  <si>
    <t>Salt Creek Substation</t>
  </si>
  <si>
    <t>Total No. of Trucks</t>
  </si>
  <si>
    <t>Salt Creek Substation Access Road Retaining Walls</t>
  </si>
  <si>
    <t>Generators</t>
  </si>
  <si>
    <t>Salt Creek Substation - Demolition</t>
  </si>
  <si>
    <t>Excavator w/ Breaker</t>
  </si>
  <si>
    <t>Skid Steer Loader</t>
  </si>
  <si>
    <t>Backhoe - Rubber tire</t>
  </si>
  <si>
    <t>Salt Creek Substation Site Access and Grading</t>
  </si>
  <si>
    <t>Backhoe, loader, skid steer</t>
  </si>
  <si>
    <t>Street Sweeper</t>
  </si>
  <si>
    <t>Excavator / Drill</t>
  </si>
  <si>
    <t>Salt Creek Substation Storm Drain System and Erosion Control</t>
  </si>
  <si>
    <t>Salt Creek Substation Public Improvements and Access Road Paving</t>
  </si>
  <si>
    <t>Skid Steer / Skip Loader</t>
  </si>
  <si>
    <t>Backhoe Loader</t>
  </si>
  <si>
    <t>Salt Creek Substation CMU Wall</t>
  </si>
  <si>
    <t>Fork Lift</t>
  </si>
  <si>
    <t>Concrete Truck</t>
  </si>
  <si>
    <t>Trencher/Ditch Witch</t>
  </si>
  <si>
    <t>Excavator/Drill</t>
  </si>
  <si>
    <t xml:space="preserve">Salt Creek Substation Below Grade Construction </t>
  </si>
  <si>
    <t>Fork Lift/Skid Steer Loader</t>
  </si>
  <si>
    <t>Trans: Miguel-Salt Creek - Site Grading, Existing Access Roads</t>
  </si>
  <si>
    <t>Boom Truck</t>
  </si>
  <si>
    <t>Puller</t>
  </si>
  <si>
    <t>Trans: TL6910 - Cable Pulling</t>
  </si>
  <si>
    <t>Concrete Saw</t>
  </si>
  <si>
    <t>Cable Dolly</t>
  </si>
  <si>
    <t>Line Assist Truck</t>
  </si>
  <si>
    <t>Combo Truck</t>
  </si>
  <si>
    <t>Miguel Substation General Construction</t>
  </si>
  <si>
    <t>Mechanic Truck</t>
  </si>
  <si>
    <t>Miguel Substation Below Grade Construction</t>
  </si>
  <si>
    <t>Water Trucks</t>
  </si>
  <si>
    <t>Miguel Substation Above Grade Construction</t>
  </si>
  <si>
    <t>Flatbed Truck</t>
  </si>
  <si>
    <t>Boom Truck with Trailer</t>
  </si>
  <si>
    <t>Wiring Truck</t>
  </si>
  <si>
    <t>Relay/Telecommunication Van</t>
  </si>
  <si>
    <t>69 kV Substation Cutover</t>
  </si>
  <si>
    <t>Salt Creek Substation - General Construction</t>
  </si>
  <si>
    <t>Salt Creek Substation - Substation General Construction</t>
  </si>
  <si>
    <t>TOTAL</t>
  </si>
  <si>
    <t>Salt Creek Substation Wiring</t>
  </si>
  <si>
    <t>Delivery Truck</t>
  </si>
  <si>
    <t>Telecom</t>
  </si>
  <si>
    <t>Pickup Truck</t>
  </si>
  <si>
    <t xml:space="preserve">Salt Creek Substation Above Grade Construction </t>
  </si>
  <si>
    <t>100 hp Oil Processing Truck</t>
  </si>
  <si>
    <t>Relay Testing</t>
  </si>
  <si>
    <t>Relay/Telecommunications Van</t>
  </si>
  <si>
    <t>Salt Creek Eneregization</t>
  </si>
  <si>
    <t>Foreman Pick-Up</t>
  </si>
  <si>
    <t>Delivery Trucks</t>
  </si>
  <si>
    <t>Substation General Construction</t>
  </si>
  <si>
    <t>Demolition</t>
  </si>
  <si>
    <t>Site and Access Road Grading</t>
  </si>
  <si>
    <t>Dump/Haul Trucks</t>
  </si>
  <si>
    <t>Public Improvements and Access Road Paving</t>
  </si>
  <si>
    <t>Substation CMU Wall</t>
  </si>
  <si>
    <t>Substation Below Grade Construction</t>
  </si>
  <si>
    <t>Substation Wiring</t>
  </si>
  <si>
    <t>Substation Above Grade Construction</t>
  </si>
  <si>
    <t>Retaining Walls</t>
  </si>
  <si>
    <t>Underground Trench/Conduit/Substructure</t>
  </si>
  <si>
    <t>Steel Structure Installations</t>
  </si>
  <si>
    <t>OH Conductor Pulling and Tensioning</t>
  </si>
  <si>
    <t>Foundation Installation</t>
  </si>
  <si>
    <t>Foreman Pickup Truck</t>
  </si>
  <si>
    <t>Material/Crew Truck</t>
  </si>
  <si>
    <t>UG Cable Pulling</t>
  </si>
  <si>
    <t>Miguel Substation</t>
  </si>
  <si>
    <t>General Construction</t>
  </si>
  <si>
    <t>where</t>
  </si>
  <si>
    <t>Emission Factor from SCAQMD CEQA Air Quality Handbook, Table A9-9-G</t>
  </si>
  <si>
    <t>E = [0.00112 x ({[G/5]^1.3/}/{[H/2]^1.4})] x [I/J]</t>
  </si>
  <si>
    <t>G = Mean wind speed in miles per hour</t>
  </si>
  <si>
    <t>H = Moisture content of surface material</t>
  </si>
  <si>
    <t>For the Salt Creek Substation, assume 12 miles per hour daily maximum wind speed</t>
  </si>
  <si>
    <t>J = lbs/ton, 2000</t>
  </si>
  <si>
    <t xml:space="preserve">E = [0.00112 x ({[G/5]^1.3/}/{[H/2]^1.4})] x [I/J] = </t>
  </si>
  <si>
    <t>lbs/day</t>
  </si>
  <si>
    <t>Earthmoving - Material Handling</t>
  </si>
  <si>
    <t>I = Pounds of overburden handled per day</t>
  </si>
  <si>
    <t>Assume earthmoving occurs over 30 days, maximum per day could be 10 x daily average</t>
  </si>
  <si>
    <t>I = 20 cubic yards x 1600 lbs/cubic yard = 32,600 lbs</t>
  </si>
  <si>
    <t>total tons</t>
  </si>
  <si>
    <t>Assume H = 15.0% moisture - watering 3 times daily</t>
  </si>
  <si>
    <t>Assume H = 2.0% moisture - unmitigated</t>
  </si>
  <si>
    <t>Unmitigated</t>
  </si>
  <si>
    <t>Mitigated</t>
  </si>
  <si>
    <t>Subtotal, Simultaneous Daily Emissions, Site Access and Grading plus Retaining Walls</t>
  </si>
  <si>
    <t>EMFAC2011 emission factors for 2014</t>
  </si>
  <si>
    <t>Salt Creek Substation - Laydown Yard Preparation</t>
  </si>
  <si>
    <t>Generator</t>
  </si>
  <si>
    <t>Used in conjunction with Tier 2-3 emission factors.</t>
  </si>
  <si>
    <t>Source: mailout MSC99-32, http://www.arb.ca.gov/msei/onroad/downloads/pubs/mo9932.zip (4/2/2009)</t>
  </si>
  <si>
    <t>Category</t>
  </si>
  <si>
    <t>Equipment</t>
  </si>
  <si>
    <t xml:space="preserve"> Load</t>
  </si>
  <si>
    <t>Commercial</t>
  </si>
  <si>
    <t xml:space="preserve"> Pumps                       </t>
  </si>
  <si>
    <t xml:space="preserve"> Welders                     </t>
  </si>
  <si>
    <t>Construction</t>
  </si>
  <si>
    <t xml:space="preserve"> Crushing/Proc. Equipment    </t>
  </si>
  <si>
    <t xml:space="preserve"> Paving Equipment            </t>
  </si>
  <si>
    <t xml:space="preserve"> Surfacing Equipment         </t>
  </si>
  <si>
    <t xml:space="preserve"> Pressure Washer</t>
  </si>
  <si>
    <t xml:space="preserve"> Crawler Tractor</t>
  </si>
  <si>
    <t xml:space="preserve"> Off-Highway Tractor</t>
  </si>
  <si>
    <t xml:space="preserve"> Paver</t>
  </si>
  <si>
    <t xml:space="preserve"> Signal Board</t>
  </si>
  <si>
    <t>Composite Emission Factors - 70% Tier 2, 30% Tier 3</t>
  </si>
  <si>
    <t>Simultaneous Daily Emissions</t>
  </si>
  <si>
    <t>Simultaneous Construction Trucks</t>
  </si>
  <si>
    <t>Simultaneous Worker Trips</t>
  </si>
  <si>
    <t>Simultaneous Construction Equipment</t>
  </si>
  <si>
    <t>Week</t>
  </si>
  <si>
    <t>Construction Equipment</t>
  </si>
  <si>
    <t>Construction Truck Trips</t>
  </si>
  <si>
    <t>Worker Trips</t>
  </si>
  <si>
    <t>New 69 kV Tie Line</t>
  </si>
  <si>
    <t>Simultaneous Worker Emissions</t>
  </si>
  <si>
    <t>TL 6910</t>
  </si>
  <si>
    <t>Salt Creek Substation Below Grade Construction</t>
  </si>
  <si>
    <t>Salt Creek Substation Above Grade Construction</t>
  </si>
  <si>
    <t>Bucket Truck</t>
  </si>
  <si>
    <t>100-hp Oil</t>
  </si>
  <si>
    <t>Salt Creek Substation - Relay Testing</t>
  </si>
  <si>
    <t>Substation Relay Testing</t>
  </si>
  <si>
    <t>Salt Creek Energization</t>
  </si>
  <si>
    <t>Steel Structure Installation</t>
  </si>
  <si>
    <t>Flatbed Delivery Trucks</t>
  </si>
  <si>
    <t>Site Grading and Access Roads</t>
  </si>
  <si>
    <t>Foundation Installations</t>
  </si>
  <si>
    <t>Trans: TL6965 - Foundation Installations</t>
  </si>
  <si>
    <t>Trans: TL6965 - OH Conductor Pulling and Tensioning</t>
  </si>
  <si>
    <t>Bull Wheel Tensioner</t>
  </si>
  <si>
    <t>Trans: TL6965 - Underground Trench/Conduit/Substructure</t>
  </si>
  <si>
    <t>UG Trench Conduit Substructure</t>
  </si>
  <si>
    <t>Trans: TL6965 - UG Cable Pulling</t>
  </si>
  <si>
    <t>UG Trench/Conduit/Substructure</t>
  </si>
  <si>
    <t>Trans: 12 kV Cable Pulling</t>
  </si>
  <si>
    <t>12 kV Cable Pulling</t>
  </si>
  <si>
    <t>UG Conduit</t>
  </si>
  <si>
    <t>12 kV Distribution</t>
  </si>
  <si>
    <t>Total NOx Emissions</t>
  </si>
  <si>
    <t>Total NOx, Miguel Substation</t>
  </si>
  <si>
    <t xml:space="preserve">Total NOx, 12kV Distribution </t>
  </si>
  <si>
    <t>Total NOx, TL6910</t>
  </si>
  <si>
    <t>Total NOx, TL6965</t>
  </si>
  <si>
    <t>Total NOx, Salt Creek Substation</t>
  </si>
  <si>
    <t>Storm Drain and Erosion Control</t>
  </si>
  <si>
    <t>Engine</t>
  </si>
  <si>
    <t>Assumed Engine</t>
  </si>
  <si>
    <t>Time in Mode, min</t>
  </si>
  <si>
    <t>Emission Incides, g/kg fuel</t>
  </si>
  <si>
    <t>Emissions, lbs/mode</t>
  </si>
  <si>
    <t>Cruise Mode Emission factor, lbs/hour</t>
  </si>
  <si>
    <t>250B17B</t>
  </si>
  <si>
    <t>Sox</t>
  </si>
  <si>
    <t>Total per LTO</t>
  </si>
  <si>
    <t>HC</t>
  </si>
  <si>
    <r>
      <t>NO</t>
    </r>
    <r>
      <rPr>
        <b/>
        <vertAlign val="subscript"/>
        <sz val="12"/>
        <color indexed="9"/>
        <rFont val="Calibri"/>
        <family val="2"/>
      </rPr>
      <t>X</t>
    </r>
  </si>
  <si>
    <t>Therefore</t>
  </si>
  <si>
    <t>To calculate lbs/day</t>
  </si>
  <si>
    <t>Component</t>
  </si>
  <si>
    <t>Emissions (lb/day)</t>
  </si>
  <si>
    <t>Installation - light helicopter, 3 hrs cruise</t>
  </si>
  <si>
    <t>Total Light Helicopter</t>
  </si>
  <si>
    <t>Helicopter GHG Emission Estimates</t>
  </si>
  <si>
    <t>Table of Factors and Constants</t>
  </si>
  <si>
    <t>Value</t>
  </si>
  <si>
    <t>Units</t>
  </si>
  <si>
    <t>Description</t>
  </si>
  <si>
    <t>lb/gallon</t>
  </si>
  <si>
    <r>
      <t>Jet Fuel Density (at 15 degrees C)  -- equivalent to 820 kg/m</t>
    </r>
    <r>
      <rPr>
        <vertAlign val="superscript"/>
        <sz val="11"/>
        <color indexed="8"/>
        <rFont val="Calibri"/>
        <family val="2"/>
      </rPr>
      <t>3</t>
    </r>
  </si>
  <si>
    <t>Jet Fuel Usage at Idle</t>
  </si>
  <si>
    <t>gallon/hr</t>
  </si>
  <si>
    <t>Calculated Usage at Idle</t>
  </si>
  <si>
    <t>Jet Fuel Usage at Climbout/Approach</t>
  </si>
  <si>
    <t>Calculated Usage at Climbout/Approach</t>
  </si>
  <si>
    <r>
      <t>kg CO</t>
    </r>
    <r>
      <rPr>
        <vertAlign val="subscript"/>
        <sz val="11"/>
        <color indexed="8"/>
        <rFont val="Calibri"/>
        <family val="2"/>
      </rPr>
      <t>2</t>
    </r>
    <r>
      <rPr>
        <sz val="11"/>
        <color indexed="8"/>
        <rFont val="Calibri"/>
        <family val="2"/>
      </rPr>
      <t>/gallon</t>
    </r>
  </si>
  <si>
    <r>
      <t>CO</t>
    </r>
    <r>
      <rPr>
        <vertAlign val="subscript"/>
        <sz val="11"/>
        <color indexed="8"/>
        <rFont val="Calibri"/>
        <family val="2"/>
      </rPr>
      <t>2</t>
    </r>
    <r>
      <rPr>
        <sz val="11"/>
        <color indexed="8"/>
        <rFont val="Calibri"/>
        <family val="2"/>
      </rPr>
      <t xml:space="preserve"> emission factor for Jet fuel</t>
    </r>
  </si>
  <si>
    <r>
      <t>g N</t>
    </r>
    <r>
      <rPr>
        <vertAlign val="subscript"/>
        <sz val="11"/>
        <color indexed="8"/>
        <rFont val="Calibri"/>
        <family val="2"/>
      </rPr>
      <t>2</t>
    </r>
    <r>
      <rPr>
        <sz val="11"/>
        <color indexed="8"/>
        <rFont val="Calibri"/>
        <family val="2"/>
      </rPr>
      <t>O/gallon</t>
    </r>
  </si>
  <si>
    <r>
      <t>N</t>
    </r>
    <r>
      <rPr>
        <vertAlign val="subscript"/>
        <sz val="11"/>
        <color indexed="8"/>
        <rFont val="Calibri"/>
        <family val="2"/>
      </rPr>
      <t>2</t>
    </r>
    <r>
      <rPr>
        <sz val="11"/>
        <color indexed="8"/>
        <rFont val="Calibri"/>
        <family val="2"/>
      </rPr>
      <t>O emission factor for Jet fuel</t>
    </r>
  </si>
  <si>
    <r>
      <t>g CH</t>
    </r>
    <r>
      <rPr>
        <vertAlign val="subscript"/>
        <sz val="11"/>
        <color indexed="8"/>
        <rFont val="Calibri"/>
        <family val="2"/>
      </rPr>
      <t>4</t>
    </r>
    <r>
      <rPr>
        <sz val="11"/>
        <color indexed="8"/>
        <rFont val="Calibri"/>
        <family val="2"/>
      </rPr>
      <t>/gallon</t>
    </r>
  </si>
  <si>
    <r>
      <t>CH</t>
    </r>
    <r>
      <rPr>
        <vertAlign val="subscript"/>
        <sz val="11"/>
        <color indexed="8"/>
        <rFont val="Calibri"/>
        <family val="2"/>
      </rPr>
      <t>4</t>
    </r>
    <r>
      <rPr>
        <sz val="11"/>
        <color indexed="8"/>
        <rFont val="Calibri"/>
        <family val="2"/>
      </rPr>
      <t xml:space="preserve"> emission factor for Jet fuel</t>
    </r>
  </si>
  <si>
    <t>* Fuel usage rates from EPA AP-42, Table II-1-8, Modal Emission Rates - Military Aircraft Engines</t>
  </si>
  <si>
    <t>* Fuel density from air BP Handbook of Products - © Air BP Ltd. 2000</t>
  </si>
  <si>
    <t>* Emission factors from California Climate Action Registry's General Reporting Protocol 3.1</t>
  </si>
  <si>
    <t>GHG Emissions</t>
  </si>
  <si>
    <t>Time in mode (hrs)</t>
  </si>
  <si>
    <t>Emissions (tonnes/day)</t>
  </si>
  <si>
    <t>Days of Operation</t>
  </si>
  <si>
    <t>Emissions (total tonnes)</t>
  </si>
  <si>
    <r>
      <t>CO</t>
    </r>
    <r>
      <rPr>
        <b/>
        <vertAlign val="subscript"/>
        <sz val="12"/>
        <color indexed="9"/>
        <rFont val="Calibri"/>
        <family val="2"/>
      </rPr>
      <t>2</t>
    </r>
  </si>
  <si>
    <r>
      <t>N</t>
    </r>
    <r>
      <rPr>
        <b/>
        <vertAlign val="subscript"/>
        <sz val="12"/>
        <color indexed="9"/>
        <rFont val="Calibri"/>
        <family val="2"/>
      </rPr>
      <t>2</t>
    </r>
    <r>
      <rPr>
        <b/>
        <sz val="12"/>
        <color indexed="9"/>
        <rFont val="Calibri"/>
        <family val="2"/>
      </rPr>
      <t>O</t>
    </r>
  </si>
  <si>
    <r>
      <t>CH</t>
    </r>
    <r>
      <rPr>
        <b/>
        <vertAlign val="subscript"/>
        <sz val="12"/>
        <color indexed="9"/>
        <rFont val="Calibri"/>
        <family val="2"/>
      </rPr>
      <t>4</t>
    </r>
  </si>
  <si>
    <r>
      <t>CO</t>
    </r>
    <r>
      <rPr>
        <b/>
        <vertAlign val="subscript"/>
        <sz val="12"/>
        <color indexed="9"/>
        <rFont val="Calibri"/>
        <family val="2"/>
      </rPr>
      <t>2</t>
    </r>
    <r>
      <rPr>
        <b/>
        <sz val="12"/>
        <color indexed="9"/>
        <rFont val="Calibri"/>
        <family val="2"/>
      </rPr>
      <t>e</t>
    </r>
  </si>
  <si>
    <t>Light Helicopter</t>
  </si>
  <si>
    <t>LTO - Idle</t>
  </si>
  <si>
    <t>LTO - Other</t>
  </si>
  <si>
    <t>Installation</t>
  </si>
  <si>
    <t>Helicopter Emissions</t>
  </si>
  <si>
    <t>Salt Creek - TL 6965</t>
  </si>
  <si>
    <t>LTO - light helicopter</t>
  </si>
  <si>
    <t>* Installation is assumed to be 3 hours (180 minutes) per installation at climb mode factors</t>
  </si>
  <si>
    <t>Helicopter</t>
  </si>
  <si>
    <t>UG Combo Truck</t>
  </si>
  <si>
    <t>Table B-1.  Daily Construction Emissions, Construction Heavy Equipment Use, AC Mitigation</t>
  </si>
  <si>
    <t>Pickup Trucks</t>
  </si>
  <si>
    <t>ww</t>
  </si>
  <si>
    <t>Table B-2.  Daily Construction Emissions, Construction Truck Trips, AC Mitigation</t>
  </si>
  <si>
    <t>Heavy-Duty Truck (material delivery/rock delivery)</t>
  </si>
  <si>
    <t>Table B-3.  Daily Construction Emissions, Worker Trips, AC Mitigation</t>
  </si>
  <si>
    <t>AC Mitigation</t>
  </si>
  <si>
    <t>Table B-4.  2014 Maximum Daily Construction Emissions, Fugitive Dust</t>
  </si>
  <si>
    <t xml:space="preserve">I = length of trench x 1 foot wide x 3 feet deep </t>
  </si>
  <si>
    <t>cubic feet</t>
  </si>
  <si>
    <t>Assume 1600 lbs/cubic yard</t>
  </si>
  <si>
    <t>lbs of material</t>
  </si>
  <si>
    <t>Grounding Mats</t>
  </si>
  <si>
    <t>I = 4 feet x 8 feet x 0.5 feet depth, 6 mats total</t>
  </si>
  <si>
    <t>Salt Creek Substation - Substation General Construction, CMU Wall, Testing, Energization</t>
  </si>
  <si>
    <t>Total Equipment</t>
  </si>
  <si>
    <t>Relay/Telecom Van</t>
  </si>
  <si>
    <t>Salt Creek Substation 69 kV Cutover</t>
  </si>
  <si>
    <t>Salt Creek Substation - 69 kV Cutover</t>
  </si>
  <si>
    <t>69 kV Cutover</t>
  </si>
  <si>
    <t>EMFAC2011 emission factors for 2016</t>
  </si>
  <si>
    <t>Grading - Bulldozer Operations</t>
  </si>
  <si>
    <t>Emission factor from SCAQMD CEQA Air Quality Handbook, Table A9-9-F</t>
  </si>
  <si>
    <t>E = ([0.45 x ({[G]^1.5}/{[H]^1.4})] x I) x J</t>
  </si>
  <si>
    <t>G = silt content of material in percent, assumed to be 7.5%</t>
  </si>
  <si>
    <t>I = 2.2046 lb/kg</t>
  </si>
  <si>
    <t>J = hours of bulldozing operations, based on construction scenario, 8 hrs/day for 75 days</t>
  </si>
  <si>
    <t xml:space="preserve">E = ([0.45 x ({[G]^1.5}/{[H]^1.4})] x I) x J = </t>
  </si>
  <si>
    <t>I = 95,000 cubic yards x 1600 lbs/cubic yard = 152,000,000 lbs</t>
  </si>
  <si>
    <t>Storm Drain</t>
  </si>
  <si>
    <t>I = 2,000 cubic yards x 1600 lbs/cubic yard = 3,200,000 lbs</t>
  </si>
  <si>
    <t>I = 665 cubic yards x 1600 lbs/cubic yard = 800,000 lbs</t>
  </si>
  <si>
    <t>Substation Below Grade</t>
  </si>
  <si>
    <t>Wiring Trucks</t>
  </si>
  <si>
    <t>Salt Creek Telecom</t>
  </si>
  <si>
    <t>Table A-1. 1-4-16 Daily Construction Emissions, Construction Heavy Equipment Use, Salt Creek Substation</t>
  </si>
  <si>
    <t>Table A-2.  1-4-16 Daily Construction Emissions, Construction Truck Trips, Salt Creek Substation</t>
  </si>
  <si>
    <t>Table A-3.  1-4-16 Daily Construction Emissions, Worker Trips, Salt Creek Substation</t>
  </si>
  <si>
    <t>Table A-4. 1-11-16 Daily Construction Emissions, Construction Heavy Equipment Use, Salt Creek Substation</t>
  </si>
  <si>
    <t>Table A-5.  1-11-16 Daily Construction Emissions, Construction Truck Trips, Salt Creek Substation</t>
  </si>
  <si>
    <t>Table A-6.  1-11-16 Daily Construction Emissions, Worker Trips, Salt Creek Substation</t>
  </si>
  <si>
    <t>Table A-7. 1-11-16 Daily Construction Emissions, Construction Heavy Equipment Use, Salt Creek Substation</t>
  </si>
  <si>
    <t>Table A-8.  1-11-16 Daily Construction Emissions, Construction Truck Trips, Salt Creek Substation</t>
  </si>
  <si>
    <t>Table A-9.  1-11-16 Daily Construction Emissions, Worker Trips, Salt Creek Substation</t>
  </si>
  <si>
    <t>Table A-10. 1-11-16 Daily Construction Emissions, Construction Heavy Equipment Use, Salt Creek Substation</t>
  </si>
  <si>
    <t>Table A-11.  1-11-16 Daily Construction Emissions, Construction Truck Trips, Salt Creek Substation</t>
  </si>
  <si>
    <t>Table A-12.  1-11-16 Daily Construction Emissions, Worker Trips, Salt Creek Substation</t>
  </si>
  <si>
    <t>Table A-13. 1-11-16 Daily Construction Emissions, Construction Heavy Equipment Use, Salt Creek Substation</t>
  </si>
  <si>
    <t>Table A-14.  1-11-16 Daily Construction Emissions, Construction Truck Trips, Salt Creek Substation</t>
  </si>
  <si>
    <t>Table A-15.  1-11-16 Daily Construction Emissions, Worker Trips, Salt Creek Substation</t>
  </si>
  <si>
    <t>Table A-16. 1-11-16 Daily Construction Emissions, Construction Heavy Equipment Use, Salt Creek Substation</t>
  </si>
  <si>
    <t>Table A-17.  1-11-16 Daily Construction Emissions, Construction Truck Trips, Salt Creek Substation</t>
  </si>
  <si>
    <t>Table A-18.  1-11-16 Daily Construction Emissions, Worker Trips, Salt Creek Substation</t>
  </si>
  <si>
    <t>Table A-19. 1-11-16 Daily Construction Emissions, Construction Heavy Equipment Use, Salt Creek Substation</t>
  </si>
  <si>
    <t>Table A-20.  1-11-16 Daily Construction Emissions, Construction Truck Trips, Salt Creek Substation</t>
  </si>
  <si>
    <t>Table A-21.  1-11-16 Daily Construction Emissions, Worker Trips, Salt Creek Substation</t>
  </si>
  <si>
    <t>Table A-22. 1-11-16 Daily Construction Emissions, Construction Heavy Equipment Use, Salt Creek Substation</t>
  </si>
  <si>
    <t>Table A-23.  1-11-16 Daily Construction Emissions, Construction Truck Trips, Salt Creek Substation</t>
  </si>
  <si>
    <t>Table A-24.  1-11-16 Daily Construction Emissions, Worker Trips, Salt Creek Substation</t>
  </si>
  <si>
    <t>Table A-25.  2-29-16 Daily Construction Emissions, Construction Heavy Equipment Use, Salt Creek Substation</t>
  </si>
  <si>
    <t>Table A-26.  2-29-16 Daily Construction Emissions, Construction Truck Trips, Salt Creek Substation</t>
  </si>
  <si>
    <t>Table A-27.  2-29-16 Daily Construction Emissions, Worker Trips, Salt Creek Substation</t>
  </si>
  <si>
    <t>Table A-28.  3-7-16 Daily Construction Emissions, Construction Heavy Equipment Use, Salt Creek Substation</t>
  </si>
  <si>
    <t>Table A-29.  3-7-16 Daily Construction Emissions, Construction Truck Trips, Salt Creek Substation</t>
  </si>
  <si>
    <t>Table A-30.  3-7-16 Daily Construction Emissions, Worker Trips, Salt Creek Substation</t>
  </si>
  <si>
    <t>Table A-31.  3-14-16 Daily Construction Emissions, Construction Heavy Equipment Use, Salt Creek Substation</t>
  </si>
  <si>
    <t>Table A-32.  3-14-16 Daily Construction Emissions, Construction Truck Trips, Salt Creek Substation</t>
  </si>
  <si>
    <t>Table A-33.  3-14-16 Daily Construction Emissions, Worker Trips, Salt Creek Substation</t>
  </si>
  <si>
    <t>Table A-34.  3-21-16 Daily Construction Emissions, Construction Heavy Equipment Use, Salt Creek Substation</t>
  </si>
  <si>
    <t>Table A-35.  3-21-16 Daily Construction Emissions, Construction Truck Trips, Salt Creek Substation</t>
  </si>
  <si>
    <t>Table A-36.  3-21-16 Daily Construction Emissions, Worker Trips, Salt Creek Substation</t>
  </si>
  <si>
    <t>Table A-37.  3-28-16 Daily Construction Emissions, Construction Heavy Equipment Use, Salt Creek Substation</t>
  </si>
  <si>
    <t>Table A-38.  3-28-16 Daily Construction Emissions, Construction Truck Trips, Salt Creek Substation</t>
  </si>
  <si>
    <t>Table A-39.  3-28-16 Daily Construction Emissions, Worker Trips, Salt Creek Substation</t>
  </si>
  <si>
    <t>Table A-40.  4-4-16 Daily Construction Emissions, Construction Heavy Equipment Use, Salt Creek Substation</t>
  </si>
  <si>
    <t>Table A-41. 4-4-16 Daily Construction Emissions, Construction Truck Trips, Salt Creek Substation</t>
  </si>
  <si>
    <t>Table A-42.  4-4-16 Daily Construction Emissions, Worker Trips, Salt Creek Substation</t>
  </si>
  <si>
    <t>Table A-43.  4-11-16 Daily Construction Emissions, Construction Heavy Equipment Use, Salt Creek Substation</t>
  </si>
  <si>
    <t>Table A-44.  4-11-16 Daily Construction Emissions, Construction Truck Trips, Salt Creek Substation</t>
  </si>
  <si>
    <t>Table A-45.  4-11-16 Daily Construction Emissions, Worker Trips, Salt Creek Substation</t>
  </si>
  <si>
    <t>Table A-46.  4-18-16  Daily Construction Emissions, Construction Heavy Equipment Use, Salt Creek Substation</t>
  </si>
  <si>
    <t>Table A-47. 4-18-16 Daily Construction Emissions, Construction Truck Trips, Salt Creek Substation</t>
  </si>
  <si>
    <t>Table A-48.  4-18-16 Daily Construction Emissions, Worker Trips, Salt Creek Substation</t>
  </si>
  <si>
    <t>Table A-49. 4-25-16 Daily Construction Emissions, Construction Heavy Equipment Use, Salt Creek Substation</t>
  </si>
  <si>
    <t>Table A-50.  4-25-16 Daily Construction Emissions, Construction Truck Trips, Salt Creek Substation</t>
  </si>
  <si>
    <t>Table A-51.  4-25-16 Daily Construction Emissions, Worker Trips, Salt Creek Substation</t>
  </si>
  <si>
    <t>Table A-52.  5-2-16 Daily Construction Emissions, Construction Heavy Equipment Use, Salt Creek Substation</t>
  </si>
  <si>
    <t>Table A-53.  5-2-16 Daily Construction Emissions, Construction Truck Trips, Salt Creek Substation</t>
  </si>
  <si>
    <t>Table A-54.  5-2-16 Daily Construction Emissions, Worker Trips, Salt Creek Substation</t>
  </si>
  <si>
    <t>Table A-55.  5-9-16 Daily Construction Emissions, Construction Heavy Equipment Use, Salt Creek Substation</t>
  </si>
  <si>
    <t>Table A-56.  5-9-16 Daily Construction Emissions, Construction Truck Trips, Salt Creek Substation</t>
  </si>
  <si>
    <t>Table A-57.  5-9-16 Daily Construction Emissions, Worker Trips, Salt Creek Substation</t>
  </si>
  <si>
    <t>Table A-58.  5-16-16 Daily Construction Emissions, Construction Heavy Equipment Use, Salt Creek Substation</t>
  </si>
  <si>
    <t>Table A-59. 5-16-16 Daily Construction Emissions, Construction Truck Trips, Salt Creek Substation</t>
  </si>
  <si>
    <t>Table A-60.  5-16-16 Daily Construction Emissions, Worker Trips, Salt Creek Substation</t>
  </si>
  <si>
    <t>Table A-61.  5-23-16 Daily Construction Emissions, Construction Heavy Equipment Use, Salt Creek Substation</t>
  </si>
  <si>
    <t>Table A-62.  5-23-16 Daily Construction Emissions, Construction Truck Trips, Salt Creek Substation</t>
  </si>
  <si>
    <t>Table A-63.  5-23-16 Daily Construction Emissions, Worker Trips, Salt Creek Substation</t>
  </si>
  <si>
    <t>Table A-64.  5-30-16 Daily Construction Emissions, Construction Heavy Equipment Use, Salt Creek Substation</t>
  </si>
  <si>
    <t>Table A-65.  5-30-16 Daily Construction Emissions, Construction Truck Trips, Salt Creek Substation</t>
  </si>
  <si>
    <t>Table A-66.  5-30-16 Daily Construction Emissions, Worker Trips, Salt Creek Substation</t>
  </si>
  <si>
    <t>Table A-67.  6-6-16 Daily Construction Emissions, Construction Heavy Equipment Use, Salt Creek Substation</t>
  </si>
  <si>
    <t>Table A-68.  6-6-16 Daily Construction Emissions, Construction Truck Trips, Salt Creek Substation</t>
  </si>
  <si>
    <t>Table A-69. 6-6-16 Daily Construction Emissions, Worker Trips, Salt Creek Substation</t>
  </si>
  <si>
    <t>Table A-70.  6-13-16 Daily Construction Emissions, Construction Heavy Equipment Use, Salt Creek Substation</t>
  </si>
  <si>
    <t>Table A-71.  6-13-16 Daily Construction Emissions, Construction Truck Trips, Salt Creek Substation</t>
  </si>
  <si>
    <t>Table A-72.  6-13-16 Daily Construction Emissions, Worker Trips, Salt Creek Substation</t>
  </si>
  <si>
    <t>Table A-73.  6-20-16 Daily Construction Emissions, Construction Heavy Equipment Use, Salt Creek Substation</t>
  </si>
  <si>
    <t>Table A-74.  6-20-16 Daily Construction Emissions, Construction Truck Trips, Salt Creek Substation</t>
  </si>
  <si>
    <t>Table A-75. 6-20-16 Daily Construction Emissions, Worker Trips, Salt Creek Substation</t>
  </si>
  <si>
    <t>Table A-76.  6-27-16 Daily Construction Emissions, Construction Heavy Equipment Use, Salt Creek Substation</t>
  </si>
  <si>
    <t>Table A-77.  6-27-16 Daily Construction Emissions, Construction Truck Trips, Salt Creek Substation</t>
  </si>
  <si>
    <t>Table A-78.  6-27-16 Daily Construction Emissions, Worker Trips, Salt Creek Substation</t>
  </si>
  <si>
    <t>Table A-79.  7-4-16 Daily Construction Emissions, Construction Heavy Equipment Use, Salt Creek Substation</t>
  </si>
  <si>
    <t>Table A-80.  7-4-16 Daily Construction Emissions, Construction Truck Trips, Salt Creek Substation</t>
  </si>
  <si>
    <t>Table A-81.  7-4-16 Daily Construction Emissions, Worker Trips, Salt Creek Substation</t>
  </si>
  <si>
    <t>Table A-82.  7-11-16 Daily Construction Emissions, Construction Heavy Equipment Use, Salt Creek Substation</t>
  </si>
  <si>
    <t>Table A-83.  7-11-16 Daily Construction Emissions, Construction Truck Trips, Salt Creek Substation</t>
  </si>
  <si>
    <t>Table A-84.  7-11-16 Daily Construction Emissions, Worker Trips, Salt Creek Substation</t>
  </si>
  <si>
    <t>Table A-85.  7-18-16 Daily Construction Emissions, Construction Heavy Equipment Use, Salt Creek Substation</t>
  </si>
  <si>
    <t>Table A-86.  7-18-16 Daily Construction Emissions, Construction Truck Trips, Salt Creek Substation</t>
  </si>
  <si>
    <t>Table A-87.  7-18-16 Daily Construction Emissions, Worker Trips, Salt Creek Substation</t>
  </si>
  <si>
    <t>Table A-88.  7-25-16 Daily Construction Emissions, Construction Heavy Equipment Use, Salt Creek Substation</t>
  </si>
  <si>
    <t>Table A-89.  7-25-16 Daily Construction Emissions, Construction Truck Trips, Salt Creek Substation</t>
  </si>
  <si>
    <t>Table A-90.  7-25-16 Daily Construction Emissions, Worker Trips, Salt Creek Substation</t>
  </si>
  <si>
    <t>Table A-91.  8-1-16 Daily Construction Emissions, Construction Heavy Equipment Use, Salt Creek Substation</t>
  </si>
  <si>
    <t>Table A-92.  8-1-16 Daily Construction Emissions, Construction Truck Trips, Salt Creek Substation</t>
  </si>
  <si>
    <t>Table A-93. 8-1-16 Daily Construction Emissions, Worker Trips, Salt Creek Substation</t>
  </si>
  <si>
    <t>Table A-94.  8-8-16 Daily Construction Emissions, Construction Heavy Equipment Use, Salt Creek Substation</t>
  </si>
  <si>
    <t>Table A-95.  8-8-16 Daily Construction Emissions, Construction Truck Trips, Salt Creek Substation</t>
  </si>
  <si>
    <t>Table A-96. 8-8-16 Daily Construction Emissions, Worker Trips, Salt Creek Substation</t>
  </si>
  <si>
    <t>Table A-97.  8-15-16 Daily Construction Emissions, Construction Heavy Equipment Use, Salt Creek Substation</t>
  </si>
  <si>
    <t>Table A-98.  8-15-16 Daily Construction Emissions, Construction Truck Trips, Salt Creek Substation</t>
  </si>
  <si>
    <t>Table A-99. 8-15-16 Daily Construction Emissions, Worker Trips, Salt Creek Substation</t>
  </si>
  <si>
    <t>Table A-100.  8-22-16 Daily Construction Emissions, Construction Heavy Equipment Use, Salt Creek Substation</t>
  </si>
  <si>
    <t>Table A-101.  8-22-16 Daily Construction Emissions, Construction Truck Trips, Salt Creek Substation</t>
  </si>
  <si>
    <t>Table A-102.  8-22-16 Daily Construction Emissions, Worker Trips, Salt Creek Substation</t>
  </si>
  <si>
    <t>Table A-103.  8-29-16 Daily Construction Emissions, Construction Heavy Equipment Use, Salt Creek Substation</t>
  </si>
  <si>
    <t>Table A-104.  8-29-16 Daily Construction Emissions, Construction Truck Trips, Salt Creek Substation</t>
  </si>
  <si>
    <t>Table A-105. 8-29-16 Daily Construction Emissions, Worker Trips, Salt Creek Substation</t>
  </si>
  <si>
    <t>Table A-106.  9-5-16 Daily Construction Emissions, Construction Heavy Equipment Use, Salt Creek Substation</t>
  </si>
  <si>
    <t>Table A-107.  9-5-16 Daily Construction Emissions, Construction Truck Trips, Salt Creek Substation</t>
  </si>
  <si>
    <t>Table A-108.  9-5-16 Daily Construction Emissions, Worker Trips, Salt Creek Substation</t>
  </si>
  <si>
    <t>Table A-109.  9-12-16 Daily Construction Emissions, Construction Heavy Equipment Use, Salt Creek Substation</t>
  </si>
  <si>
    <t>Table A-110.  9-12-16 Daily Construction Emissions, Construction Truck Trips, Salt Creek Substation</t>
  </si>
  <si>
    <t>Table A-111.  9-12-16 Daily Construction Emissions, Worker Trips, Salt Creek Substation</t>
  </si>
  <si>
    <t>Table A-112.  9-19-16 Daily Construction Emissions, Construction Heavy Equipment Use, Salt Creek Substation</t>
  </si>
  <si>
    <t>Table A-113.  9-19-16 Daily Construction Emissions, Construction Truck Trips, Salt Creek Substation</t>
  </si>
  <si>
    <t>Table A-114.  9-19-16 Daily Construction Emissions, Worker Trips, Salt Creek Substation</t>
  </si>
  <si>
    <t>Table A-115.  9-26-16 Daily Construction Emissions, Construction Heavy Equipment Use, Salt Creek Substation</t>
  </si>
  <si>
    <t>Table A-116.  9-26-16 Daily Construction Emissions, Construction Truck Trips, Salt Creek Substation</t>
  </si>
  <si>
    <t>Table A-117.  9-26-16 Daily Construction Emissions, Worker Trips, Salt Creek Substation</t>
  </si>
  <si>
    <t>Table A-118.  10-3-16 Daily Construction Emissions, Construction Heavy Equipment Use, Salt Creek Substation</t>
  </si>
  <si>
    <t>Table A-119.  10-3-16 Daily Construction Emissions, Construction Truck Trips, Salt Creek Substation</t>
  </si>
  <si>
    <t>Table A-120.  10-3-16 Daily Construction Emissions, Worker Trips, Salt Creek Substation</t>
  </si>
  <si>
    <t>Table A-121.  10-10-16 Daily Construction Emissions, Construction Heavy Equipment Use, Salt Creek Substation</t>
  </si>
  <si>
    <t>Table A-122.  10-10-16 Daily Construction Emissions, Construction Truck Trips, Salt Creek Substation</t>
  </si>
  <si>
    <t>Table A-123.  10-10-16 Daily Construction Emissions, Worker Trips, Salt Creek Substation</t>
  </si>
  <si>
    <t>Table A-124.  10-17-16 Daily Construction Emissions, Construction Heavy Equipment Use, Salt Creek Substation</t>
  </si>
  <si>
    <t>Table A-125.  10-17-16 Daily Construction Emissions, Construction Truck Trips, Salt Creek Substation</t>
  </si>
  <si>
    <t>Table A-126.  10-17-16 Daily Construction Emissions, Worker Trips, Salt Creek Substation</t>
  </si>
  <si>
    <t>Table A-127.  10-24-16 Daily Construction Emissions, Construction Heavy Equipment Use, Salt Creek Substation</t>
  </si>
  <si>
    <t>Table A-128.  10-24-16 Daily Construction Emissions, Construction Truck Trips, Salt Creek Substation</t>
  </si>
  <si>
    <t>Table A-129.  10-24-16 Daily Construction Emissions, Worker Trips, Salt Creek Substation</t>
  </si>
  <si>
    <t>Table A-130.  10-31-16 Daily Construction Emissions, Construction Heavy Equipment Use, Salt Creek Substation</t>
  </si>
  <si>
    <t>Table A-131.  10-31-16 Daily Construction Emissions, Construction Truck Trips, Salt Creek Substation</t>
  </si>
  <si>
    <t>Table A-132.  10-31-16 Daily Construction Emissions, Worker Trips, Salt Creek Substation</t>
  </si>
  <si>
    <t>Table A-133.  11-7-16 Daily Construction Emissions, Construction Heavy Equipment Use, Salt Creek Substation</t>
  </si>
  <si>
    <t>Table A-134.  11-7-16 Daily Construction Emissions, Construction Truck Trips, Salt Creek Substation</t>
  </si>
  <si>
    <t>Table A-135.  11-7-16 Daily Construction Emissions, Worker Trips, Salt Creek Substation</t>
  </si>
  <si>
    <t>Table A-136.  11-14-16 Daily Construction Emissions, Construction Heavy Equipment Use, Salt Creek Substation</t>
  </si>
  <si>
    <t>Table A-137.  11-14-16 Daily Construction Emissions, Construction Truck Trips, Salt Creek Substation</t>
  </si>
  <si>
    <t>Table A-138.  11-14-16 Daily Construction Emissions, Worker Trips, Salt Creek Substation</t>
  </si>
  <si>
    <t>Table A-139.  11-21-16 Daily Construction Emissions, Construction Heavy Equipment Use, Salt Creek Substation</t>
  </si>
  <si>
    <t>Table A-140.  11-21-16 Daily Construction Emissions, Construction Truck Trips, Salt Creek Substation</t>
  </si>
  <si>
    <t>Table A-141.  11-21-16 Daily Construction Emissions, Worker Trips, Salt Creek Substation</t>
  </si>
  <si>
    <t>Table A-142.  11-28-16 Daily Construction Emissions, Construction Heavy Equipment Use, Salt Creek Substation</t>
  </si>
  <si>
    <t>Table A-143.  11-28-16 Daily Construction Emissions, Construction Truck Trips, Salt Creek Substation</t>
  </si>
  <si>
    <t>Table A-144.  11-28-16 Daily Construction Emissions, Worker Trips, Salt Creek Substation</t>
  </si>
  <si>
    <t>Table A-145.  12-5-16 Daily Construction Emissions, Construction Heavy Equipment Use, Salt Creek Substation</t>
  </si>
  <si>
    <t>Table A-146.  12-5-16 Daily Construction Emissions, Construction Truck Trips, Salt Creek Substation</t>
  </si>
  <si>
    <t>Table A-147.  1-11-16 Daily Construction Emissions, Worker Trips, Salt Creek Substation</t>
  </si>
  <si>
    <t>Table A-148.  12-12-16 Daily Construction Emissions, Construction Heavy Equipment Use, Salt Creek Substation</t>
  </si>
  <si>
    <t>Table A-149.  12-12-16 Daily Construction Emissions, Construction Truck Trips, Salt Creek Substation</t>
  </si>
  <si>
    <t>Table A-150.  12-12-16 Daily Construction Emissions, Worker Trips, Salt Creek Substation</t>
  </si>
  <si>
    <t>Table A-151.  12-19-16 Daily Construction Emissions, Construction Heavy Equipment Use, Salt Creek Substation</t>
  </si>
  <si>
    <t>Table A-152.  12-19-16 Daily Construction Emissions, Construction Truck Trips, Salt Creek Substation</t>
  </si>
  <si>
    <t>Table A-153.  12-19-16 Daily Construction Emissions, Worker Trips, Salt Creek Substation</t>
  </si>
  <si>
    <t>Table A-154.  12-26-16 Daily Construction Emissions, Construction Heavy Equipment Use, Salt Creek Substation</t>
  </si>
  <si>
    <t>Table A-155.  12-26-16 Daily Construction Emissions, Construction Truck Trips, Salt Creek Substation</t>
  </si>
  <si>
    <t>Table A-156.  12-26-16 Daily Construction Emissions, Worker Trips, Salt Creek Substation</t>
  </si>
  <si>
    <t>Table A-157.  1-2-17 Daily Construction Emissions, Construction Heavy Equipment Use, Salt Creek Substation</t>
  </si>
  <si>
    <t>Table A-158.  1-2-17 Daily Construction Emissions, Construction Truck Trips, Salt Creek Substation</t>
  </si>
  <si>
    <t>Table A-159.  1-2-17 Daily Construction Emissions, Worker Trips, Salt Creek Substation</t>
  </si>
  <si>
    <t>Table A-160.  1-9-17 Daily Construction Emissions, Construction Heavy Equipment Use, Salt Creek Substation</t>
  </si>
  <si>
    <t>Table A-161.  1-9-17 Daily Construction Emissions, Construction Truck Trips, Salt Creek Substation</t>
  </si>
  <si>
    <t>Table A-162.  1-9-17 Daily Construction Emissions, Worker Trips, Salt Creek Substation</t>
  </si>
  <si>
    <t>Table A-163.  1-16-17 Daily Construction Emissions, Construction Heavy Equipment Use, Salt Creek Substation</t>
  </si>
  <si>
    <t>Table A-164.  1-16-17 Daily Construction Emissions, Construction Truck Trips, Salt Creek Substation</t>
  </si>
  <si>
    <t>Table A-165. 1-16-17 Daily Construction Emissions, Worker Trips, Salt Creek Substation</t>
  </si>
  <si>
    <t>Table A-166.  1-23-17 Daily Construction Emissions, Construction Heavy Equipment Use, Salt Creek Substation</t>
  </si>
  <si>
    <t>Table A-167.  1-23-17 Daily Construction Emissions, Construction Truck Trips, Salt Creek Substation</t>
  </si>
  <si>
    <t>Table A-168.  1-23-17 Daily Construction Emissions, Worker Trips, Salt Creek Substation</t>
  </si>
  <si>
    <t>Table A-169.  1-30-17 Daily Construction Emissions, Construction Heavy Equipment Use, Salt Creek Substation</t>
  </si>
  <si>
    <t>Table A-170.  1-30-17 Daily Construction Emissions, Construction Truck Trips, Salt Creek Substation</t>
  </si>
  <si>
    <t>Table A-171. 1-30-17 Daily Construction Emissions, Worker Trips, Salt Creek Substation</t>
  </si>
  <si>
    <t>Table A-172.  2-6-17 Daily Construction Emissions, Construction Heavy Equipment Use, Salt Creek Substation</t>
  </si>
  <si>
    <t>Table A-173.  2-6-17 Daily Construction Emissions, Construction Truck Trips, Salt Creek Substation</t>
  </si>
  <si>
    <t>Table A-174.  2-6-17 Daily Construction Emissions, Worker Trips, Salt Creek Substation</t>
  </si>
  <si>
    <t>Table A-175.  2-13-17 Daily Construction Emissions, Construction Heavy Equipment Use, Salt Creek Substation</t>
  </si>
  <si>
    <t>Table A-176.  2-13-17 Daily Construction Emissions, Construction Truck Trips, Salt Creek Substation</t>
  </si>
  <si>
    <t>Table A-177.  2-13-17 Daily Construction Emissions, Worker Trips, Salt Creek Substation</t>
  </si>
  <si>
    <t>Table A-178.  2-20-17 Daily Construction Emissions, Construction Heavy Equipment Use, Salt Creek Substation</t>
  </si>
  <si>
    <t>Table A-179.  2-20-17 Daily Construction Emissions, Construction Truck Trips, Salt Creek Substation</t>
  </si>
  <si>
    <t>Table A-180.  2-20-17 Daily Construction Emissions, Worker Trips, Salt Creek Substation</t>
  </si>
  <si>
    <t>Table A-181.  2-27-17 Daily Construction Emissions, Construction Heavy Equipment Use, Salt Creek Substation</t>
  </si>
  <si>
    <t>Table A-182.  2-27-17 Daily Construction Emissions, Construction Truck Trips, Salt Creek Substation</t>
  </si>
  <si>
    <t>Table A-183. 2-27-17 Daily Construction Emissions, Worker Trips, Salt Creek Substation</t>
  </si>
  <si>
    <t>Table A-184.  3-6-17 Daily Construction Emissions, Construction Heavy Equipment Use, Salt Creek Substation</t>
  </si>
  <si>
    <t>Table A-185.  3-6-17 Daily Construction Emissions, Construction Truck Trips, Salt Creek Substation</t>
  </si>
  <si>
    <t>Table A-186.  3-6-17 Daily Construction Emissions, Worker Trips, Salt Creek Substation</t>
  </si>
  <si>
    <t>Table A-187.  3-13-17 Daily Construction Emissions, Construction Heavy Equipment Use, Salt Creek Substation</t>
  </si>
  <si>
    <t>Table A-188.  3-13-17 Daily Construction Emissions, Construction Truck Trips, Salt Creek Substation</t>
  </si>
  <si>
    <t>Table A-189.  3-13-17 Daily Construction Emissions, Worker Trips, Salt Creek Substation</t>
  </si>
  <si>
    <t>Table A-190.  3-20-17 Daily Construction Emissions, Construction Heavy Equipment Use, Salt Creek Substation</t>
  </si>
  <si>
    <t>Table A-191.  3-20-17 Daily Construction Emissions, Construction Truck Trips, Salt Creek Substation</t>
  </si>
  <si>
    <t>Table A-192.  3-20-17 Daily Construction Emissions, Worker Trips, Salt Creek Substation</t>
  </si>
  <si>
    <t>Table A-193. 3-27-17 Daily Construction Emissions, Construction Heavy Equipment Use, Salt Creek Substation</t>
  </si>
  <si>
    <t>Table A-194.  3-20-17 Daily Construction Emissions, Construction Truck Trips, Salt Creek Substation</t>
  </si>
  <si>
    <t>Table A-195.  3-20-17 Daily Construction Emissions, Worker Trips, Salt Creek Substation</t>
  </si>
  <si>
    <t>Table A-196. 3-27-17 Daily Construction Emissions, Construction Heavy Equipment Use, Salt Creek Substation</t>
  </si>
  <si>
    <t>Table A-197.  3-27-17 Daily Construction Emissions, Construction Truck Trips, Salt Creek Substation</t>
  </si>
  <si>
    <t>Table A-198.  3-27-17 Daily Construction Emissions, Worker Trips, Salt Creek Substation</t>
  </si>
  <si>
    <t>Table A-199. 4-3-17 Daily Construction Emissions, Construction Heavy Equipment Use, Salt Creek Substation</t>
  </si>
  <si>
    <t>Table A-200.  4-3-17 Daily Construction Emissions, Construction Truck Trips, Salt Creek Substation</t>
  </si>
  <si>
    <t>Table A-201.  4-3-17 Daily Construction Emissions, Worker Trips, Salt Creek Substation</t>
  </si>
  <si>
    <t>Table A-202. 4-10-17 Daily Construction Emissions, Construction Heavy Equipment Use, Salt Creek Substation</t>
  </si>
  <si>
    <t>Table A-203.  4-10-17 Daily Construction Emissions, Construction Truck Trips, Salt Creek Substation</t>
  </si>
  <si>
    <t>Table A-204.  4-10-17 Daily Construction Emissions, Worker Trips, Salt Creek Substation</t>
  </si>
  <si>
    <t>Table A-205. 4-17-17 Daily Construction Emissions, Construction Heavy Equipment Use, Salt Creek Substation</t>
  </si>
  <si>
    <t>Table A-206.  4-17-17 Daily Construction Emissions, Construction Truck Trips, Salt Creek Substation</t>
  </si>
  <si>
    <t>Table A-207. 4-17-17 Daily Construction Emissions, Worker Trips, Salt Creek Substation</t>
  </si>
  <si>
    <t>Table A-208. 4-24-17 Daily Construction Emissions, Construction Heavy Equipment Use, Salt Creek Substation</t>
  </si>
  <si>
    <t>Table A-209. 4-24-17 Daily Construction Emissions, Construction Truck Trips, Salt Creek Substation</t>
  </si>
  <si>
    <t>Table A-210.  4-24-17 Daily Construction Emissions, Worker Trips, Salt Creek Substation</t>
  </si>
  <si>
    <t>Table A-211. 5-1-17 Daily Construction Emissions, Construction Heavy Equipment Use, Salt Creek Substation</t>
  </si>
  <si>
    <t>Table A-212. 5-1-17 Daily Construction Emissions, Construction Truck Trips, Salt Creek Substation</t>
  </si>
  <si>
    <t>Table A-213.  5-1-17 Daily Construction Emissions, Worker Trips, Salt Creek Substation</t>
  </si>
  <si>
    <t>Table A-214. 5-8-17 Daily Construction Emissions, Construction Heavy Equipment Use, Salt Creek Substation</t>
  </si>
  <si>
    <t>Table A-215. 5-8-17 Daily Construction Emissions, Construction Truck Trips, Salt Creek Substation</t>
  </si>
  <si>
    <t>Table A-216.  5-8-17 Daily Construction Emissions, Worker Trips, Salt Creek Substation</t>
  </si>
  <si>
    <t>Table A-217. 5-15-17 to 6-15-17 Daily Construction Emissions, Construction Heavy Equipment Use, Salt Creek Substation</t>
  </si>
  <si>
    <t>Table A-218.  5-15-17 to 6-15-17 Daily Construction Emissions, Construction Truck Trips, Salt Creek Substation</t>
  </si>
  <si>
    <t>Table A-219.  5-15-17 to 6-15-17 Daily Construction Emissions, Worker Trips, Salt Creek Substation</t>
  </si>
  <si>
    <t>Table A-220. 6-23-17 Daily Construction Emissions, Construction Heavy Equipment Use, Salt Creek Substation</t>
  </si>
  <si>
    <t>Table A-221.  6-23-17 Daily Construction Emissions, Construction Truck Trips, Salt Creek Substation</t>
  </si>
  <si>
    <t>Table A-222. 6-23-17 Daily Construction Emissions, Worker Trips, Salt Creek Substation</t>
  </si>
  <si>
    <t>Table A-223. 6-30-17 to 7-21-17 Daily Construction Emissions, Construction Heavy Equipment Use, Salt Creek Substation</t>
  </si>
  <si>
    <t>Table A-224.  6-30-17 to 7-21-17 Daily Construction Emissions, Construction Truck Trips, Salt Creek Substation</t>
  </si>
  <si>
    <t>Table A-225.  6-30-17 to 7-21-17 Daily Construction Emissions, Worker Trips, Salt Creek Substation</t>
  </si>
  <si>
    <t>Table A-226.  4-15-16 through 5-13-16 Daily Construction Emissions, Construction Heavy Equipment Use, TL6965</t>
  </si>
  <si>
    <t>Table A-227.  4-15-16 to 5-13-16 Daily Construction Emissions, Construction Truck Trips, TL6965</t>
  </si>
  <si>
    <t>Table A-228.  4-15-16 through 5-13-16 Daily Construction Emissions, Worker Trips, TL6965</t>
  </si>
  <si>
    <t>Table A-229.  5-14-16 through 7-16-16 Daily Construction Emissions, Construction Heavy Equipment Use, TL6965</t>
  </si>
  <si>
    <t>Table A-230.  5-14-16 to 7-16-16 Daily Construction Emissions, Construction Truck Trips, TL6965</t>
  </si>
  <si>
    <t>Table A-231.  5-14-16 through 7-16-16 Daily Construction Emissions, Worker Trips, TL6965</t>
  </si>
  <si>
    <t>Table A-232.  7-16-16 Daily Construction Emissions, Construction Heavy Equipment Use, TL6965</t>
  </si>
  <si>
    <t>Table A-233.  7-16-16 Daily Construction Emissions, Construction Truck Trips, TL6965</t>
  </si>
  <si>
    <t>Table A-234.  7-16-16 Daily Construction Emissions, Worker Trips, TL6965</t>
  </si>
  <si>
    <t>Table A-235.  7-23-17 to 8-27-17 Daily Construction Emissions, Construction Heavy Equipment Use, TL6965</t>
  </si>
  <si>
    <t>Table A-236.  7-23-17 to 8-27-17 Daily Construction Emissions, Construction Truck Trips, TL6965</t>
  </si>
  <si>
    <t>Table A-237.  7-23-17 to 8-27-17 Daily Construction Emissions, Worker Trips, TL6965</t>
  </si>
  <si>
    <t>Table A-238.  8-27-16 to 11-19-16 Daily Construction Emissions, Construction Heavy Equipment Use, TL6965</t>
  </si>
  <si>
    <t>Table A-239.  8-27-16 to 11-19-16 Daily Construction Emissions, Construction Truck Trips, TL6965</t>
  </si>
  <si>
    <t>Table A-240. 8-27-16 to 11-19-16 Daily Construction Emissions, Worker Trips, TL6965</t>
  </si>
  <si>
    <t>Table A-241.  11-19-16 Daily Construction Emissions, Construction Heavy Equipment Use, TL6965</t>
  </si>
  <si>
    <t>Table A-242.  11-116 Daily Construction Emissions, Construction Truck Trips, TL6965</t>
  </si>
  <si>
    <t>Table A-243.  11-19-16 Daily Construction Emissions, Worker Trips, TL6965</t>
  </si>
  <si>
    <t>Table A-244.  11-26-16 Daily Construction Emissions, Construction Heavy Equipment Use, TL6965</t>
  </si>
  <si>
    <t>Table A-245.  11-26-16 Daily Construction Emissions, Construction Truck Trips, TL6965</t>
  </si>
  <si>
    <t>Table A-246.  11-26-16 Daily Construction Emissions, Worker Trips, TL6965</t>
  </si>
  <si>
    <t>Table A-247.  12-3-16 Daily Construction Emissions, Construction Heavy Equipment Use, TL6965</t>
  </si>
  <si>
    <t>Table A-248.  12-3-16 Daily Construction Emissions, Construction Truck Trips, TL6965</t>
  </si>
  <si>
    <t>Table A-249.  12-3-16 Daily Construction Emissions, Worker Trips, TL6965</t>
  </si>
  <si>
    <t>Table A-250.  12-10-16 Daily Construction Emissions, Construction Heavy Equipment Use, TL6965</t>
  </si>
  <si>
    <t>Table A-251.  12-10-16 Daily Construction Emissions, Construction Truck Trips, TL6965</t>
  </si>
  <si>
    <t>Table A-252.  12-10-16 Daily Construction Emissions, Worker Trips, TL6965</t>
  </si>
  <si>
    <t>Table A-253.  12-17-16 Daily Construction Emissions, Construction Heavy Equipment Use, TL6965</t>
  </si>
  <si>
    <t>Table A-254.  12-17-16 Daily Construction Emissions, Construction Truck Trips, TL6965</t>
  </si>
  <si>
    <t>Table A-255.  12-17-16 Daily Construction Emissions, Worker Trips, TL6965</t>
  </si>
  <si>
    <t>Table A-256.  12-24-16 Daily Construction Emissions, Construction Heavy Equipment Use, TL6965</t>
  </si>
  <si>
    <t>Table A-257.  12-24-16 Daily Construction Emissions, Construction Truck Trips, TL6965</t>
  </si>
  <si>
    <t>Table A-258.  12-24-16 Daily Construction Emissions, Worker Trips, TL6965</t>
  </si>
  <si>
    <t>Table A-259.  12-31-16 Daily Construction Emissions, Construction Heavy Equipment Use, TL6965</t>
  </si>
  <si>
    <t>Table A-260.  12-31-16 Daily Construction Emissions, Construction Truck Trips, TL6965</t>
  </si>
  <si>
    <t>Table A-261.  12-31-16 Daily Construction Emissions, Worker Trips, TL6965</t>
  </si>
  <si>
    <t>Table A-262.  1-2-17 Daily Construction Emissions, Construction Heavy Equipment Use, TL6965</t>
  </si>
  <si>
    <t>Table A-263.  1-2-17 Daily Construction Emissions, Construction Truck Trips, TL6965</t>
  </si>
  <si>
    <t>Table A-264.  1-2-17 Daily Construction Emissions, Worker Trips, TL6965</t>
  </si>
  <si>
    <t>Table A-265.  1-9-17 Daily Construction Emissions, Construction Heavy Equipment Use, TL6965</t>
  </si>
  <si>
    <t>Table A-266.  1-9-17 Daily Construction Emissions, Construction Truck Trips, TL6965</t>
  </si>
  <si>
    <t>Table A-267.  1-9-17 Daily Construction Emissions, Worker Trips, TL6965</t>
  </si>
  <si>
    <t>Table A-268.  1-30-17 Daily Construction Emissions, Construction Heavy Equipment Use, TL6965</t>
  </si>
  <si>
    <t>Table A-269.  1-30-17 Daily Construction Emissions, Construction Truck Trips, TL6965</t>
  </si>
  <si>
    <t>Table A-270.  1-30-17 Daily Construction Emissions, Worker Trips, TL6965</t>
  </si>
  <si>
    <t>Table A-271.  2-6-17 Daily Construction Emissions, Construction Heavy Equipment Use, TL6965</t>
  </si>
  <si>
    <t>Table A-272.  2-6-17 Daily Construction Emissions, Construction Truck Trips, TL6965</t>
  </si>
  <si>
    <t>Table A-273.  2-6-17 Daily Construction Emissions, Worker Trips, TL6965</t>
  </si>
  <si>
    <t>Table A-274.  2-13-17 Daily Construction Emissions, Construction Heavy Equipment Use, TL6965</t>
  </si>
  <si>
    <t>Table A-275.  2-13-17 Daily Construction Emissions, Construction Truck Trips, TL6965</t>
  </si>
  <si>
    <t>Table A-276.  2-13-17 Daily Construction Emissions, Worker Trips, TL6965</t>
  </si>
  <si>
    <t>Table A-277.  6-6-16 Daily Construction Emissions, Construction Heavy Equipment Use, TL6910</t>
  </si>
  <si>
    <t>Table A-278.  6-6-16 Daily Construction Emissions, Construction Truck Trips, TL6910</t>
  </si>
  <si>
    <t>Table A-279.  6-6-16 Daily Construction Emissions, Worker Trips, TL6910</t>
  </si>
  <si>
    <t>Table A-280.  6-13-16 Daily Construction Emissions, Construction Heavy Equipment Use, TL6910</t>
  </si>
  <si>
    <t>Table A-281.  6-13-16 Daily Construction Emissions, Construction Truck Trips, TL6910</t>
  </si>
  <si>
    <t>Table A-282.  6-13-16 Daily Construction Emissions, Worker Trips, TL6910</t>
  </si>
  <si>
    <t>Table A-283.  6-20-16 Daily Construction Emissions, Construction Heavy Equipment Use, TL6910</t>
  </si>
  <si>
    <t>Table A-284.  6-20-16 Daily Construction Emissions, Construction Truck Trips, TL6910</t>
  </si>
  <si>
    <t>Table A-285.  6-20-16 Daily Construction Emissions, Worker Trips, TL6910</t>
  </si>
  <si>
    <t>Table A-286.  8-8-16 Daily Construction Emissions, Construction Heavy Equipment Use, TL6910</t>
  </si>
  <si>
    <t>Table A-287.  8-8-16 Daily Construction Emissions, Construction Truck Trips, TL6910</t>
  </si>
  <si>
    <t>Table A-288.  8-8-16 Daily Construction Emissions, Worker Trips, TL6910</t>
  </si>
  <si>
    <t>Table A-289. 12-5-16 Daily Construction Emissions, Construction Heavy Equipment Use, TL6910</t>
  </si>
  <si>
    <t>Table A-290.  12-5-16 Daily Construction Emissions, Construction Truck Trips, TL6910</t>
  </si>
  <si>
    <t>Table A-291. 12-5-16 Daily Construction Emissions, Worker Trips, TL6910</t>
  </si>
  <si>
    <t>Table A-292.  12-12-16 Daily Construction Emissions, Construction Heavy Equipment Use, TL6910</t>
  </si>
  <si>
    <t>Table A-293.  12-12-16 Daily Construction Emissions, Construction Truck Trips, TL6910</t>
  </si>
  <si>
    <t>Table A-294.  12-12-16 Daily Construction Emissions, Worker Trips, TL6910</t>
  </si>
  <si>
    <t>Table A-295.  12-19-16 Daily Construction Emissions, Construction Heavy Equipment Use, TL6910</t>
  </si>
  <si>
    <t>Table A-296.  12-19-16 Daily Construction Emissions, Construction Truck Trips, TL6910</t>
  </si>
  <si>
    <t>Table A-297.  12-19-16 Daily Construction Emissions, Worker Trips, TL6910</t>
  </si>
  <si>
    <t>Table A-298.  12-26-16 Daily Construction Emissions, Construction Heavy Equipment Use, TL6910</t>
  </si>
  <si>
    <t>Table A-299.  12-26-16 Daily Construction Emissions, Construction Truck Trips, TL6910</t>
  </si>
  <si>
    <t>Table A-300.  12-26-16 Daily Construction Emissions, Worker Trips, TL6910</t>
  </si>
  <si>
    <t>Table A-301.  1-2-17 Daily Construction Emissions, Construction Heavy Equipment Use, TL6910</t>
  </si>
  <si>
    <t>Table A-302.  1-2-17 Daily Construction Emissions, Construction Truck Trips, TL6910</t>
  </si>
  <si>
    <t>Table A-303. 1-2-17 Daily Construction Emissions, Worker Trips, TL6910</t>
  </si>
  <si>
    <t>Table A-304.  1-16-17 Daily Construction Emissions, Construction Heavy Equipment Use, TL6910</t>
  </si>
  <si>
    <t>Table A-305.  1-16-17 Daily Construction Emissions, Construction Truck Trips, TL6910</t>
  </si>
  <si>
    <t>Table A-306.  1-16-17 Daily Construction Emissions, Worker Trips, TL6910</t>
  </si>
  <si>
    <t>Table A-307.  1-23-17 to 2-3-17 Daily Construction Emissions, Construction Heavy Equipment Use, TL6910</t>
  </si>
  <si>
    <t>Table A-308.  1-23-17 to 2-3-17 Daily Construction Emissions, Construction Truck Trips, TL6910</t>
  </si>
  <si>
    <t>Table A-309.  1-23-17 to 2-3-17 Daily Construction Emissions, Worker Trips, TL6910</t>
  </si>
  <si>
    <t>Table A-310.  9-20-16 Daily Construction Emissions, Construction Heavy Equipment Use, 12kV Distribution</t>
  </si>
  <si>
    <t>Table A-311.  9-20-16 Daily Construction Emissions, Construction Truck Trips, 12kV Distribution</t>
  </si>
  <si>
    <t>Table A-312. 9-20-16 Daily Construction Emissions, Worker Trips, 12kV Distribution</t>
  </si>
  <si>
    <t>Table A-313.  4-22-17 to 5-8-17 Daily Construction Emissions, Construction Heavy Equipment Use, 12kV Distribution</t>
  </si>
  <si>
    <t>Table A-314.  4-22-17 to 5-8-17 Daily Construction Emissions, Construction Truck Trips, 12kV Distribution</t>
  </si>
  <si>
    <t>Table A-315.  4-22-17 to 5-8-17 Daily Construction Emissions, Worker Trips, 12kV Distribution</t>
  </si>
  <si>
    <t>Table A-316.  8-1-16 Daily Construction Emissions, Construction Heavy Equipment Use, Miguel Substation</t>
  </si>
  <si>
    <t>Table A-317.  8-1-16 Daily Construction Emissions, Construction Truck Trips, Miguel Substation</t>
  </si>
  <si>
    <t>Table A-318.  8-1-16 Daily Construction Emissions, Worker Trips, Miguel Substation</t>
  </si>
  <si>
    <t>Table A-319.  8-8-16 Daily Construction Emissions, Construction Heavy Equipment Use, Miguel Substation</t>
  </si>
  <si>
    <t>Table A-320.  8-8-16 Daily Construction Emissions, Construction Truck Trips, Miguel Substation</t>
  </si>
  <si>
    <t>Table A-321.  8-8-16 Daily Construction Emissions, Worker Trips, Miguel Substation</t>
  </si>
  <si>
    <t>Table A-322.  8-15-16 Daily Construction Emissions, Construction Heavy Equipment Use, Miguel Substation</t>
  </si>
  <si>
    <t>Table A-323.  8-15-16 aily Construction Emissions, Construction Truck Trips, Miguel Substation</t>
  </si>
  <si>
    <t>Table A-324.  8-15-16 Daily Construction Emissions, Worker Trips, Miguel Substation</t>
  </si>
  <si>
    <t>Table A-325.  8-23-16 Daily Construction Emissions, Construction Heavy Equipment Use, Miguel Substation</t>
  </si>
  <si>
    <t>Table A-326.  8-23-16 Daily Construction Emissions, Construction Truck Trips, Miguel Substation</t>
  </si>
  <si>
    <t>Table A-327.  8-23-16 Daily Construction Emissions, Worker Trips, Miguel Substation</t>
  </si>
  <si>
    <t>Table A-328.  8-30-16 Daily Construction Emissions, Construction Heavy Equipment Use, Miguel Substation</t>
  </si>
  <si>
    <t>Table A-329.  8-30-16 Daily Construction Emissions, Construction Truck Trips, Miguel Substation</t>
  </si>
  <si>
    <t>Table A-330. 8-30-16  Daily Construction Emissions, Worker Trips, Miguel Substation</t>
  </si>
  <si>
    <t>Table A-331.  9-5-16 Daily Construction Emissions, Construction Heavy Equipment Use, Miguel Substation</t>
  </si>
  <si>
    <t>Table A-332.  9-5-16 Daily Construction Emissions, Construction Truck Trips, Miguel Substation</t>
  </si>
  <si>
    <t>Table A-333.  9-5-16 Daily Construction Emissions, Worker Trips, Miguel Substation</t>
  </si>
  <si>
    <t>Table A-334.  9-12-16 Daily Construction Emissions, Construction Heavy Equipment Use, Miguel Substation</t>
  </si>
  <si>
    <t>Table A-335.  9-12-16 Daily Construction Emissions, Construction Truck Trips, Miguel Substation</t>
  </si>
  <si>
    <t>Table A-336.  9-12-16 Daily Construction Emissions, Worker Trips, Miguel Substation</t>
  </si>
  <si>
    <t>Table A-337.  9-19-16 Daily Construction Emissions, Construction Heavy Equipment Use, Miguel Substation</t>
  </si>
  <si>
    <t>Table A-338.  9-19-16 Daily Construction Emissions, Construction Truck Trips, Miguel Substation</t>
  </si>
  <si>
    <t>Table A-339. 9-19-16 Daily Construction Emissions, Worker Trips, Miguel Substation</t>
  </si>
  <si>
    <t>Table A-340.  9-26-16 Daily Construction Emissions, Construction Heavy Equipment Use, Miguel Substation</t>
  </si>
  <si>
    <t>Table A-341.  9-26-16 Daily Construction Emissions, Construction Truck Trips, Miguel Substation</t>
  </si>
  <si>
    <t>Table A-342. 9-26-16 Daily Construction Emissions, Worker Trips, Miguel Substation</t>
  </si>
  <si>
    <t>Table A-343.  10-3-16 Daily Construction Emissions, Construction Heavy Equipment Use, Miguel Substation</t>
  </si>
  <si>
    <t>Table A-344.  10-3-16 Daily Construction Emissions, Construction Truck Trips, Miguel Substation</t>
  </si>
  <si>
    <t>Table A-345. 10-3-16 Daily Construction Emissions, Worker Trips, Miguel Substation</t>
  </si>
  <si>
    <t>Table A-346.  10-10-16 Daily Construction Emissions, Construction Heavy Equipment Use, Miguel Substation</t>
  </si>
  <si>
    <t>Table A-347.  10-10-16 Daily Construction Emissions, Construction Truck Trips, Miguel Substation</t>
  </si>
  <si>
    <t>Table A-348.  10-10-16 Daily Construction Emissions, Worker Trips, Miguel Substation</t>
  </si>
  <si>
    <t>Table A-349.  10-17-16 Daily Construction Emissions, Construction Heavy Equipment Use, Miguel Substation</t>
  </si>
  <si>
    <t>Table A-350. 10-17-16 Daily Construction Emissions, Construction Truck Trips, Miguel Substation</t>
  </si>
  <si>
    <t>Table A-351.  10-17-16 Daily Construction Emissions, Worker Trips, Miguel Substation</t>
  </si>
  <si>
    <t>Table A-352.  10-24-16 Daily Construction Emissions, Construction Heavy Equipment Use, Miguel Substation</t>
  </si>
  <si>
    <t>Table A-353.  10-24-16 Daily Construction Emissions, Construction Truck Trips, Miguel Substation</t>
  </si>
  <si>
    <t>Table A-354.  10-24-16 Daily Construction Emissions, Worker Trips, Miguel Substation</t>
  </si>
  <si>
    <t>Table A-355.  10-31-16 Daily Construction Emissions, Construction Heavy Equipment Use, Miguel Substation</t>
  </si>
  <si>
    <t>Table A-356.  10-31-16 Daily Construction Emissions, Construction Truck Trips, Miguel Substation</t>
  </si>
  <si>
    <t>Table A-357.  6-30-15 Daily Construction Emissions, Worker Trips, Miguel Substation</t>
  </si>
  <si>
    <t>Table A-358.  11-7-16 Daily Construction Emissions, Construction Heavy Equipment Use, Miguel Substation</t>
  </si>
  <si>
    <t>Table A-359.  11-7-16 Daily Construction Emissions, Construction Truck Trips, Miguel Substation</t>
  </si>
  <si>
    <t>Table A-360.  11-7-16 Daily Construction Emissions, Worker Trips, Miguel Substation</t>
  </si>
  <si>
    <t>Table A-361.  11-14-16 Daily Construction Emissions, Construction Heavy Equipment Use, Miguel Substation</t>
  </si>
  <si>
    <t>Table A-362.  11-14-16 Daily Construction Emissions, Construction Truck Trips, Miguel Substation</t>
  </si>
  <si>
    <t>Table A-363. 11-14-16 Daily Construction Emissions, Worker Trips, Miguel Substation</t>
  </si>
  <si>
    <t>Table A-364.  11-21-16 Daily Construction Emissions, Construction Heavy Equipment Use, Miguel Substation</t>
  </si>
  <si>
    <t>Table A-365.  11-21-16 Daily Construction Emissions, Construction Truck Trips, Miguel Substation</t>
  </si>
  <si>
    <t>Table A-366.  11-21-16 Daily Construction Emissions, Worker Trips, Miguel Substation</t>
  </si>
  <si>
    <t>Table A-367.  5-21-17 to 6-18-17 Daily Construction Emissions, Construction Heavy Equipment Use, Miguel Substation</t>
  </si>
  <si>
    <t>Table A-368.  5-21-17 - 6-18-17 Daily Construction Emissions, Construction Truck Trips, Miguel Substation</t>
  </si>
  <si>
    <t>Table A-369.  5-21-17 to 6-18-17 Daily Construction Emissions, Worker Trips, Miguel Substation</t>
  </si>
  <si>
    <t>Table A-370.  6-23-17 Daily Construction Emissions, Construction Heavy Equipment Use, Miguel Substation</t>
  </si>
  <si>
    <t>Table A-371.  6-23-17 Daily Construction Emissions, Construction Truck Trips, Miguel Substation</t>
  </si>
  <si>
    <t>Table A-372.  6-23-17 Daily Construction Emissions, Worker Trips, Miguel Substation</t>
  </si>
  <si>
    <t>Table A-373.  6-30-17 to 7-21-17 Daily Construction Emissions, Construction Heavy Equipment Use, Miguel Substation</t>
  </si>
  <si>
    <t>Table A-374.  6-30-17 to 7-2117 Daily Construction Emissions, Construction Truck Trips, Miguel Substation</t>
  </si>
  <si>
    <t>Table A-375. 6-30-17 to 7-21-17 Daily Construction Emissions, Worker Trips, Miguel Substation</t>
  </si>
  <si>
    <t>Table A-376.  Summary of Daily NOx Emissions</t>
  </si>
  <si>
    <t xml:space="preserve">Table A-377.  ARB and USEPA Off-Road Compression-Ignition (Diesel) Engine Standards (NMHC+NOx/CO/PM in g/bhp-hr).  When ARB and USEPA standards differ, the standards shown here represent the more stringent of the two. </t>
  </si>
  <si>
    <t>Table A-378.  PSR Offroad Load Factors</t>
  </si>
  <si>
    <t>Table A-380.  Maximum Daily Construction Emissions, Fugitive Dust</t>
  </si>
  <si>
    <t>Table A-381.  2015 Maximum Daily Construction Emissions, Fugitive Dust, Miguel Substation</t>
  </si>
  <si>
    <t>Total NOx, AC Mitigation</t>
  </si>
  <si>
    <t>Trucks</t>
  </si>
  <si>
    <t>Table A-376.  Summary of GHG Emissions</t>
  </si>
  <si>
    <t>Total GHGs, Salt Creek Substation</t>
  </si>
  <si>
    <t>Total GHGs, TL6965</t>
  </si>
  <si>
    <t>Total GHGs, TL6910</t>
  </si>
  <si>
    <t xml:space="preserve">Total GHGs, 12kV Distribution </t>
  </si>
  <si>
    <t>Total GHGs, Miguel Substation</t>
  </si>
  <si>
    <t>Total GHGs, AC Mitigation</t>
  </si>
  <si>
    <t>Total GHGs Emissions</t>
  </si>
</sst>
</file>

<file path=xl/styles.xml><?xml version="1.0" encoding="utf-8"?>
<styleSheet xmlns="http://schemas.openxmlformats.org/spreadsheetml/2006/main">
  <numFmts count="7">
    <numFmt numFmtId="43" formatCode="_(* #,##0.00_);_(* \(#,##0.00\);_(* &quot;-&quot;??_);_(@_)"/>
    <numFmt numFmtId="164" formatCode="0.0000E+00"/>
    <numFmt numFmtId="165" formatCode="0.000"/>
    <numFmt numFmtId="166" formatCode="0.0000"/>
    <numFmt numFmtId="167" formatCode="0.0"/>
    <numFmt numFmtId="168" formatCode="_(* #,##0_);_(* \(#,##0\);_(* &quot;-&quot;??_);_(@_)"/>
    <numFmt numFmtId="169" formatCode="0.000000"/>
  </numFmts>
  <fonts count="6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vertAlign val="subscript"/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1"/>
      <color theme="1"/>
      <name val="Calibri"/>
      <family val="2"/>
      <scheme val="minor"/>
    </font>
    <font>
      <sz val="9"/>
      <color rgb="FF000000"/>
      <name val="Calibri"/>
      <family val="2"/>
    </font>
    <font>
      <b/>
      <sz val="9"/>
      <color rgb="FF000000"/>
      <name val="Calibri"/>
      <family val="2"/>
    </font>
    <font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336699"/>
      <name val="Calibri"/>
      <family val="2"/>
      <scheme val="minor"/>
    </font>
    <font>
      <b/>
      <sz val="11"/>
      <color rgb="FF336699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u/>
      <sz val="10"/>
      <color indexed="12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336699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3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10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10"/>
      <name val="Calibri"/>
      <family val="2"/>
      <scheme val="minor"/>
    </font>
    <font>
      <sz val="9"/>
      <name val="Arial"/>
      <family val="2"/>
    </font>
    <font>
      <b/>
      <sz val="12"/>
      <name val="Arial"/>
      <family val="2"/>
    </font>
    <font>
      <sz val="11"/>
      <color indexed="8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2"/>
      <color indexed="9"/>
      <name val="Calibri"/>
      <family val="2"/>
    </font>
    <font>
      <b/>
      <vertAlign val="subscript"/>
      <sz val="12"/>
      <color indexed="9"/>
      <name val="Calibri"/>
      <family val="2"/>
    </font>
    <font>
      <sz val="11"/>
      <name val="Calibri"/>
      <family val="2"/>
    </font>
    <font>
      <b/>
      <i/>
      <sz val="11"/>
      <name val="Calibri"/>
      <family val="2"/>
    </font>
    <font>
      <b/>
      <i/>
      <sz val="11"/>
      <color indexed="8"/>
      <name val="Calibri"/>
      <family val="2"/>
    </font>
    <font>
      <i/>
      <sz val="11"/>
      <name val="Calibri"/>
      <family val="2"/>
    </font>
    <font>
      <i/>
      <sz val="11"/>
      <color indexed="8"/>
      <name val="Calibri"/>
      <family val="2"/>
    </font>
    <font>
      <b/>
      <sz val="12"/>
      <color indexed="8"/>
      <name val="Calibri"/>
      <family val="2"/>
    </font>
    <font>
      <b/>
      <sz val="18"/>
      <color indexed="8"/>
      <name val="Calibri"/>
      <family val="2"/>
    </font>
    <font>
      <b/>
      <i/>
      <sz val="12"/>
      <color indexed="8"/>
      <name val="Calibri"/>
      <family val="2"/>
    </font>
    <font>
      <b/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vertAlign val="subscript"/>
      <sz val="11"/>
      <color indexed="8"/>
      <name val="Calibri"/>
      <family val="2"/>
    </font>
    <font>
      <sz val="10"/>
      <color rgb="FF00000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21"/>
        <bgColor indexed="64"/>
      </patternFill>
    </fill>
  </fills>
  <borders count="9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tted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dotted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85">
    <xf numFmtId="0" fontId="0" fillId="0" borderId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0" fontId="4" fillId="0" borderId="0"/>
    <xf numFmtId="0" fontId="16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3" fillId="0" borderId="0"/>
    <xf numFmtId="0" fontId="43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</cellStyleXfs>
  <cellXfs count="762">
    <xf numFmtId="0" fontId="0" fillId="0" borderId="0" xfId="0"/>
    <xf numFmtId="0" fontId="0" fillId="0" borderId="0" xfId="0" applyAlignment="1">
      <alignment horizontal="center" wrapText="1"/>
    </xf>
    <xf numFmtId="164" fontId="0" fillId="0" borderId="0" xfId="0" applyNumberFormat="1" applyAlignment="1">
      <alignment horizontal="center" wrapText="1"/>
    </xf>
    <xf numFmtId="0" fontId="5" fillId="0" borderId="0" xfId="0" applyFont="1"/>
    <xf numFmtId="2" fontId="6" fillId="0" borderId="0" xfId="0" applyNumberFormat="1" applyFont="1"/>
    <xf numFmtId="1" fontId="6" fillId="0" borderId="0" xfId="0" applyNumberFormat="1" applyFont="1"/>
    <xf numFmtId="165" fontId="6" fillId="0" borderId="0" xfId="0" applyNumberFormat="1" applyFont="1"/>
    <xf numFmtId="1" fontId="0" fillId="0" borderId="0" xfId="0" applyNumberFormat="1"/>
    <xf numFmtId="0" fontId="5" fillId="0" borderId="0" xfId="0" applyFont="1" applyFill="1"/>
    <xf numFmtId="0" fontId="5" fillId="0" borderId="0" xfId="0" applyFont="1" applyFill="1" applyAlignment="1">
      <alignment horizontal="center" wrapText="1"/>
    </xf>
    <xf numFmtId="2" fontId="5" fillId="0" borderId="0" xfId="0" applyNumberFormat="1" applyFont="1" applyFill="1"/>
    <xf numFmtId="0" fontId="5" fillId="0" borderId="1" xfId="0" applyFont="1" applyFill="1" applyBorder="1"/>
    <xf numFmtId="0" fontId="5" fillId="0" borderId="1" xfId="0" applyFont="1" applyFill="1" applyBorder="1" applyAlignment="1">
      <alignment horizontal="center" wrapText="1"/>
    </xf>
    <xf numFmtId="164" fontId="5" fillId="0" borderId="1" xfId="0" applyNumberFormat="1" applyFont="1" applyFill="1" applyBorder="1" applyAlignment="1">
      <alignment horizontal="center" wrapText="1"/>
    </xf>
    <xf numFmtId="164" fontId="5" fillId="0" borderId="1" xfId="0" applyNumberFormat="1" applyFont="1" applyBorder="1" applyAlignment="1">
      <alignment horizontal="center" wrapText="1"/>
    </xf>
    <xf numFmtId="2" fontId="5" fillId="0" borderId="1" xfId="0" applyNumberFormat="1" applyFont="1" applyFill="1" applyBorder="1" applyAlignment="1">
      <alignment horizontal="center" wrapText="1"/>
    </xf>
    <xf numFmtId="1" fontId="5" fillId="0" borderId="1" xfId="0" applyNumberFormat="1" applyFont="1" applyFill="1" applyBorder="1" applyAlignment="1">
      <alignment horizontal="center" wrapText="1"/>
    </xf>
    <xf numFmtId="0" fontId="5" fillId="0" borderId="1" xfId="0" applyFont="1" applyBorder="1"/>
    <xf numFmtId="0" fontId="5" fillId="0" borderId="1" xfId="0" applyFont="1" applyBorder="1" applyAlignment="1">
      <alignment horizontal="center" wrapText="1"/>
    </xf>
    <xf numFmtId="166" fontId="5" fillId="0" borderId="1" xfId="0" applyNumberFormat="1" applyFont="1" applyBorder="1" applyAlignment="1">
      <alignment horizontal="center" wrapText="1"/>
    </xf>
    <xf numFmtId="2" fontId="5" fillId="0" borderId="1" xfId="0" applyNumberFormat="1" applyFont="1" applyBorder="1"/>
    <xf numFmtId="1" fontId="5" fillId="0" borderId="1" xfId="0" applyNumberFormat="1" applyFont="1" applyBorder="1"/>
    <xf numFmtId="0" fontId="6" fillId="0" borderId="1" xfId="0" applyFont="1" applyBorder="1" applyAlignment="1">
      <alignment horizontal="center" wrapText="1"/>
    </xf>
    <xf numFmtId="166" fontId="6" fillId="0" borderId="1" xfId="0" applyNumberFormat="1" applyFont="1" applyBorder="1" applyAlignment="1">
      <alignment horizontal="center"/>
    </xf>
    <xf numFmtId="0" fontId="6" fillId="0" borderId="1" xfId="0" applyFont="1" applyBorder="1"/>
    <xf numFmtId="167" fontId="6" fillId="0" borderId="1" xfId="0" applyNumberFormat="1" applyFont="1" applyBorder="1" applyAlignment="1">
      <alignment horizontal="center"/>
    </xf>
    <xf numFmtId="2" fontId="6" fillId="0" borderId="1" xfId="0" applyNumberFormat="1" applyFont="1" applyFill="1" applyBorder="1"/>
    <xf numFmtId="2" fontId="5" fillId="0" borderId="1" xfId="0" applyNumberFormat="1" applyFont="1" applyFill="1" applyBorder="1"/>
    <xf numFmtId="1" fontId="5" fillId="0" borderId="1" xfId="0" applyNumberFormat="1" applyFont="1" applyFill="1" applyBorder="1"/>
    <xf numFmtId="0" fontId="6" fillId="0" borderId="2" xfId="0" applyFont="1" applyFill="1" applyBorder="1" applyAlignment="1">
      <alignment horizontal="center" wrapText="1"/>
    </xf>
    <xf numFmtId="0" fontId="5" fillId="0" borderId="3" xfId="0" applyFont="1" applyBorder="1"/>
    <xf numFmtId="0" fontId="5" fillId="0" borderId="2" xfId="0" applyFont="1" applyBorder="1" applyAlignment="1">
      <alignment horizontal="center" wrapText="1"/>
    </xf>
    <xf numFmtId="0" fontId="12" fillId="0" borderId="1" xfId="0" applyFont="1" applyBorder="1"/>
    <xf numFmtId="166" fontId="6" fillId="0" borderId="4" xfId="0" applyNumberFormat="1" applyFont="1" applyBorder="1" applyAlignment="1">
      <alignment horizontal="center"/>
    </xf>
    <xf numFmtId="2" fontId="6" fillId="0" borderId="2" xfId="0" applyNumberFormat="1" applyFont="1" applyFill="1" applyBorder="1"/>
    <xf numFmtId="0" fontId="5" fillId="0" borderId="0" xfId="2" applyFont="1"/>
    <xf numFmtId="0" fontId="6" fillId="0" borderId="0" xfId="2"/>
    <xf numFmtId="0" fontId="6" fillId="0" borderId="0" xfId="2" applyFont="1"/>
    <xf numFmtId="1" fontId="6" fillId="0" borderId="0" xfId="2" applyNumberFormat="1"/>
    <xf numFmtId="0" fontId="5" fillId="0" borderId="6" xfId="2" applyFont="1" applyBorder="1" applyAlignment="1">
      <alignment horizontal="center" wrapText="1"/>
    </xf>
    <xf numFmtId="0" fontId="6" fillId="0" borderId="1" xfId="2" applyBorder="1"/>
    <xf numFmtId="0" fontId="5" fillId="0" borderId="7" xfId="2" applyFont="1" applyBorder="1" applyAlignment="1">
      <alignment horizontal="center" wrapText="1"/>
    </xf>
    <xf numFmtId="0" fontId="5" fillId="0" borderId="8" xfId="2" applyFont="1" applyBorder="1" applyAlignment="1">
      <alignment horizontal="center" wrapText="1"/>
    </xf>
    <xf numFmtId="1" fontId="5" fillId="0" borderId="1" xfId="2" applyNumberFormat="1" applyFont="1" applyBorder="1" applyAlignment="1">
      <alignment horizontal="center" wrapText="1"/>
    </xf>
    <xf numFmtId="0" fontId="6" fillId="0" borderId="5" xfId="2" applyFont="1" applyBorder="1" applyAlignment="1">
      <alignment vertical="top" wrapText="1"/>
    </xf>
    <xf numFmtId="0" fontId="6" fillId="0" borderId="7" xfId="2" applyFont="1" applyBorder="1" applyAlignment="1">
      <alignment vertical="top" wrapText="1"/>
    </xf>
    <xf numFmtId="0" fontId="6" fillId="0" borderId="7" xfId="2" applyFont="1" applyBorder="1" applyAlignment="1">
      <alignment horizontal="center" vertical="top" wrapText="1"/>
    </xf>
    <xf numFmtId="0" fontId="6" fillId="0" borderId="1" xfId="2" applyFont="1" applyBorder="1" applyAlignment="1">
      <alignment horizontal="center" vertical="top" wrapText="1"/>
    </xf>
    <xf numFmtId="0" fontId="6" fillId="0" borderId="2" xfId="2" applyFont="1" applyBorder="1" applyAlignment="1">
      <alignment horizontal="center" vertical="top" wrapText="1"/>
    </xf>
    <xf numFmtId="2" fontId="6" fillId="0" borderId="1" xfId="2" applyNumberFormat="1" applyFont="1" applyBorder="1" applyAlignment="1">
      <alignment horizontal="center" vertical="top" wrapText="1"/>
    </xf>
    <xf numFmtId="2" fontId="6" fillId="0" borderId="1" xfId="2" applyNumberFormat="1" applyFont="1" applyBorder="1"/>
    <xf numFmtId="1" fontId="6" fillId="0" borderId="1" xfId="2" applyNumberFormat="1" applyFont="1" applyBorder="1"/>
    <xf numFmtId="0" fontId="6" fillId="0" borderId="0" xfId="2" applyFont="1" applyBorder="1" applyAlignment="1">
      <alignment vertical="top" wrapText="1"/>
    </xf>
    <xf numFmtId="0" fontId="6" fillId="0" borderId="0" xfId="2" applyFont="1" applyBorder="1" applyAlignment="1">
      <alignment horizontal="center" vertical="top" wrapText="1"/>
    </xf>
    <xf numFmtId="0" fontId="9" fillId="0" borderId="0" xfId="2" applyFont="1" applyBorder="1" applyAlignment="1">
      <alignment horizontal="center" vertical="top" wrapText="1"/>
    </xf>
    <xf numFmtId="0" fontId="6" fillId="0" borderId="0" xfId="2" applyFont="1" applyFill="1" applyBorder="1" applyAlignment="1">
      <alignment vertical="top" wrapText="1"/>
    </xf>
    <xf numFmtId="1" fontId="6" fillId="0" borderId="1" xfId="2" applyNumberFormat="1" applyBorder="1"/>
    <xf numFmtId="0" fontId="6" fillId="0" borderId="0" xfId="2" applyBorder="1"/>
    <xf numFmtId="0" fontId="6" fillId="0" borderId="0" xfId="2" applyFont="1" applyBorder="1"/>
    <xf numFmtId="2" fontId="5" fillId="0" borderId="0" xfId="2" applyNumberFormat="1" applyFont="1" applyBorder="1"/>
    <xf numFmtId="1" fontId="5" fillId="0" borderId="0" xfId="2" applyNumberFormat="1" applyFont="1" applyBorder="1"/>
    <xf numFmtId="0" fontId="5" fillId="0" borderId="1" xfId="2" applyFont="1" applyBorder="1"/>
    <xf numFmtId="0" fontId="5" fillId="0" borderId="1" xfId="2" applyFont="1" applyBorder="1" applyAlignment="1">
      <alignment wrapText="1"/>
    </xf>
    <xf numFmtId="1" fontId="5" fillId="0" borderId="1" xfId="2" applyNumberFormat="1" applyFont="1" applyBorder="1"/>
    <xf numFmtId="1" fontId="6" fillId="0" borderId="0" xfId="2" applyNumberFormat="1" applyFont="1" applyFill="1"/>
    <xf numFmtId="2" fontId="6" fillId="0" borderId="0" xfId="2" applyNumberFormat="1" applyFont="1" applyFill="1"/>
    <xf numFmtId="0" fontId="7" fillId="0" borderId="0" xfId="2" applyFont="1" applyFill="1" applyAlignment="1"/>
    <xf numFmtId="0" fontId="5" fillId="0" borderId="0" xfId="2" applyFont="1" applyFill="1"/>
    <xf numFmtId="0" fontId="6" fillId="0" borderId="0" xfId="2" applyFill="1"/>
    <xf numFmtId="0" fontId="5" fillId="0" borderId="0" xfId="2" applyFont="1" applyFill="1" applyAlignment="1"/>
    <xf numFmtId="2" fontId="6" fillId="0" borderId="0" xfId="2" applyNumberFormat="1" applyFont="1"/>
    <xf numFmtId="0" fontId="6" fillId="0" borderId="0" xfId="2" applyFont="1" applyFill="1" applyAlignment="1"/>
    <xf numFmtId="0" fontId="5" fillId="0" borderId="0" xfId="2" applyFont="1" applyFill="1" applyAlignment="1">
      <alignment vertical="center"/>
    </xf>
    <xf numFmtId="0" fontId="10" fillId="0" borderId="6" xfId="2" applyFont="1" applyBorder="1" applyAlignment="1">
      <alignment horizontal="center" wrapText="1"/>
    </xf>
    <xf numFmtId="0" fontId="10" fillId="0" borderId="7" xfId="2" applyFont="1" applyBorder="1" applyAlignment="1">
      <alignment horizontal="center" wrapText="1"/>
    </xf>
    <xf numFmtId="0" fontId="10" fillId="0" borderId="5" xfId="2" applyFont="1" applyBorder="1" applyAlignment="1">
      <alignment vertical="top" wrapText="1"/>
    </xf>
    <xf numFmtId="0" fontId="9" fillId="0" borderId="7" xfId="2" applyFont="1" applyBorder="1" applyAlignment="1">
      <alignment vertical="top" wrapText="1"/>
    </xf>
    <xf numFmtId="0" fontId="9" fillId="0" borderId="7" xfId="2" applyFont="1" applyBorder="1" applyAlignment="1">
      <alignment horizontal="center" vertical="top" wrapText="1"/>
    </xf>
    <xf numFmtId="0" fontId="9" fillId="0" borderId="5" xfId="2" applyFont="1" applyBorder="1" applyAlignment="1">
      <alignment vertical="top" wrapText="1"/>
    </xf>
    <xf numFmtId="0" fontId="9" fillId="0" borderId="1" xfId="2" applyFont="1" applyBorder="1" applyAlignment="1">
      <alignment horizontal="center" vertical="top" wrapText="1"/>
    </xf>
    <xf numFmtId="2" fontId="6" fillId="0" borderId="1" xfId="2" applyNumberFormat="1" applyFont="1" applyBorder="1" applyAlignment="1">
      <alignment horizontal="center" wrapText="1"/>
    </xf>
    <xf numFmtId="2" fontId="5" fillId="0" borderId="1" xfId="2" applyNumberFormat="1" applyFont="1" applyBorder="1"/>
    <xf numFmtId="0" fontId="9" fillId="0" borderId="0" xfId="2" applyFont="1" applyFill="1" applyBorder="1" applyAlignment="1">
      <alignment vertical="top" wrapText="1"/>
    </xf>
    <xf numFmtId="0" fontId="6" fillId="0" borderId="0" xfId="0" applyFont="1"/>
    <xf numFmtId="1" fontId="6" fillId="0" borderId="0" xfId="2" applyNumberFormat="1" applyBorder="1"/>
    <xf numFmtId="0" fontId="5" fillId="0" borderId="0" xfId="2" applyFont="1" applyBorder="1"/>
    <xf numFmtId="2" fontId="5" fillId="0" borderId="0" xfId="0" applyNumberFormat="1" applyFont="1"/>
    <xf numFmtId="0" fontId="12" fillId="0" borderId="4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166" fontId="5" fillId="0" borderId="4" xfId="0" applyNumberFormat="1" applyFont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13" fillId="0" borderId="0" xfId="0" applyFont="1" applyBorder="1"/>
    <xf numFmtId="0" fontId="6" fillId="0" borderId="0" xfId="0" applyFont="1" applyFill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166" fontId="6" fillId="0" borderId="0" xfId="0" applyNumberFormat="1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2" fontId="5" fillId="0" borderId="0" xfId="0" applyNumberFormat="1" applyFont="1" applyBorder="1"/>
    <xf numFmtId="0" fontId="6" fillId="0" borderId="1" xfId="0" applyFont="1" applyFill="1" applyBorder="1" applyAlignment="1">
      <alignment horizontal="center" wrapText="1"/>
    </xf>
    <xf numFmtId="0" fontId="12" fillId="0" borderId="13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6" fillId="0" borderId="1" xfId="0" applyFont="1" applyFill="1" applyBorder="1"/>
    <xf numFmtId="2" fontId="5" fillId="0" borderId="2" xfId="0" applyNumberFormat="1" applyFont="1" applyFill="1" applyBorder="1"/>
    <xf numFmtId="166" fontId="6" fillId="0" borderId="1" xfId="0" applyNumberFormat="1" applyFont="1" applyFill="1" applyBorder="1" applyAlignment="1">
      <alignment horizontal="center"/>
    </xf>
    <xf numFmtId="167" fontId="6" fillId="0" borderId="1" xfId="0" applyNumberFormat="1" applyFont="1" applyFill="1" applyBorder="1" applyAlignment="1">
      <alignment horizontal="center"/>
    </xf>
    <xf numFmtId="166" fontId="6" fillId="0" borderId="4" xfId="0" applyNumberFormat="1" applyFont="1" applyFill="1" applyBorder="1" applyAlignment="1">
      <alignment horizontal="center"/>
    </xf>
    <xf numFmtId="0" fontId="5" fillId="0" borderId="13" xfId="0" applyFont="1" applyFill="1" applyBorder="1"/>
    <xf numFmtId="0" fontId="0" fillId="0" borderId="1" xfId="0" applyBorder="1" applyAlignment="1">
      <alignment horizontal="center"/>
    </xf>
    <xf numFmtId="166" fontId="6" fillId="0" borderId="8" xfId="0" applyNumberFormat="1" applyFont="1" applyBorder="1" applyAlignment="1">
      <alignment horizontal="center"/>
    </xf>
    <xf numFmtId="166" fontId="6" fillId="0" borderId="1" xfId="0" applyNumberFormat="1" applyFont="1" applyBorder="1" applyAlignment="1">
      <alignment horizontal="center" wrapText="1"/>
    </xf>
    <xf numFmtId="0" fontId="6" fillId="0" borderId="3" xfId="0" applyFont="1" applyBorder="1"/>
    <xf numFmtId="166" fontId="14" fillId="0" borderId="5" xfId="0" applyNumberFormat="1" applyFont="1" applyBorder="1" applyAlignment="1">
      <alignment horizontal="center"/>
    </xf>
    <xf numFmtId="166" fontId="6" fillId="0" borderId="5" xfId="0" applyNumberFormat="1" applyFont="1" applyBorder="1" applyAlignment="1">
      <alignment horizontal="center"/>
    </xf>
    <xf numFmtId="0" fontId="6" fillId="0" borderId="7" xfId="2" applyBorder="1" applyAlignment="1"/>
    <xf numFmtId="0" fontId="12" fillId="0" borderId="1" xfId="0" applyFont="1" applyFill="1" applyBorder="1"/>
    <xf numFmtId="0" fontId="5" fillId="0" borderId="5" xfId="2" applyFont="1" applyBorder="1" applyAlignment="1">
      <alignment vertical="top" wrapText="1"/>
    </xf>
    <xf numFmtId="0" fontId="5" fillId="0" borderId="3" xfId="0" applyFont="1" applyBorder="1" applyAlignment="1">
      <alignment horizontal="center" wrapText="1"/>
    </xf>
    <xf numFmtId="0" fontId="6" fillId="0" borderId="6" xfId="0" applyFont="1" applyFill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166" fontId="6" fillId="0" borderId="3" xfId="0" applyNumberFormat="1" applyFont="1" applyBorder="1" applyAlignment="1">
      <alignment horizontal="center"/>
    </xf>
    <xf numFmtId="167" fontId="6" fillId="0" borderId="3" xfId="0" applyNumberFormat="1" applyFont="1" applyBorder="1" applyAlignment="1">
      <alignment horizontal="center"/>
    </xf>
    <xf numFmtId="166" fontId="6" fillId="0" borderId="13" xfId="0" applyNumberFormat="1" applyFont="1" applyBorder="1" applyAlignment="1">
      <alignment horizontal="center"/>
    </xf>
    <xf numFmtId="2" fontId="5" fillId="0" borderId="6" xfId="0" applyNumberFormat="1" applyFont="1" applyFill="1" applyBorder="1"/>
    <xf numFmtId="0" fontId="13" fillId="0" borderId="1" xfId="0" applyFont="1" applyBorder="1"/>
    <xf numFmtId="0" fontId="0" fillId="0" borderId="1" xfId="0" applyBorder="1"/>
    <xf numFmtId="2" fontId="0" fillId="0" borderId="1" xfId="0" applyNumberFormat="1" applyBorder="1"/>
    <xf numFmtId="0" fontId="6" fillId="0" borderId="0" xfId="0" applyFont="1" applyBorder="1"/>
    <xf numFmtId="0" fontId="4" fillId="0" borderId="0" xfId="4" applyFont="1"/>
    <xf numFmtId="0" fontId="4" fillId="3" borderId="0" xfId="4" applyFont="1" applyFill="1"/>
    <xf numFmtId="0" fontId="18" fillId="3" borderId="0" xfId="0" applyFont="1" applyFill="1"/>
    <xf numFmtId="4" fontId="18" fillId="3" borderId="0" xfId="0" applyNumberFormat="1" applyFont="1" applyFill="1"/>
    <xf numFmtId="0" fontId="19" fillId="3" borderId="0" xfId="0" applyFont="1" applyFill="1"/>
    <xf numFmtId="3" fontId="18" fillId="3" borderId="0" xfId="4" applyNumberFormat="1" applyFont="1" applyFill="1" applyBorder="1" applyAlignment="1">
      <alignment horizontal="center"/>
    </xf>
    <xf numFmtId="0" fontId="4" fillId="4" borderId="0" xfId="4" applyFont="1" applyFill="1"/>
    <xf numFmtId="3" fontId="18" fillId="4" borderId="0" xfId="4" applyNumberFormat="1" applyFont="1" applyFill="1" applyBorder="1" applyAlignment="1">
      <alignment horizontal="center"/>
    </xf>
    <xf numFmtId="0" fontId="20" fillId="4" borderId="0" xfId="4" applyFont="1" applyFill="1" applyBorder="1" applyAlignment="1">
      <alignment horizontal="center" wrapText="1"/>
    </xf>
    <xf numFmtId="0" fontId="20" fillId="4" borderId="0" xfId="4" applyFont="1" applyFill="1" applyBorder="1" applyAlignment="1">
      <alignment horizontal="left" wrapText="1"/>
    </xf>
    <xf numFmtId="0" fontId="4" fillId="0" borderId="0" xfId="4" applyFont="1" applyFill="1"/>
    <xf numFmtId="166" fontId="4" fillId="0" borderId="15" xfId="4" applyNumberFormat="1" applyFont="1" applyFill="1" applyBorder="1"/>
    <xf numFmtId="166" fontId="4" fillId="0" borderId="16" xfId="4" applyNumberFormat="1" applyFont="1" applyFill="1" applyBorder="1"/>
    <xf numFmtId="166" fontId="4" fillId="0" borderId="17" xfId="4" applyNumberFormat="1" applyFont="1" applyFill="1" applyBorder="1"/>
    <xf numFmtId="166" fontId="4" fillId="0" borderId="18" xfId="4" applyNumberFormat="1" applyFont="1" applyFill="1" applyBorder="1"/>
    <xf numFmtId="3" fontId="18" fillId="0" borderId="0" xfId="4" applyNumberFormat="1" applyFont="1" applyFill="1" applyBorder="1" applyAlignment="1">
      <alignment horizontal="center"/>
    </xf>
    <xf numFmtId="168" fontId="20" fillId="0" borderId="15" xfId="1" applyNumberFormat="1" applyFont="1" applyFill="1" applyBorder="1" applyAlignment="1">
      <alignment horizontal="center" wrapText="1"/>
    </xf>
    <xf numFmtId="0" fontId="20" fillId="0" borderId="19" xfId="4" applyFont="1" applyFill="1" applyBorder="1" applyAlignment="1">
      <alignment horizontal="center" wrapText="1"/>
    </xf>
    <xf numFmtId="0" fontId="20" fillId="0" borderId="17" xfId="4" applyFont="1" applyFill="1" applyBorder="1" applyAlignment="1">
      <alignment horizontal="center" wrapText="1"/>
    </xf>
    <xf numFmtId="0" fontId="4" fillId="0" borderId="17" xfId="4" applyFont="1" applyFill="1" applyBorder="1" applyAlignment="1">
      <alignment wrapText="1"/>
    </xf>
    <xf numFmtId="0" fontId="20" fillId="0" borderId="18" xfId="4" applyFont="1" applyFill="1" applyBorder="1" applyAlignment="1">
      <alignment horizontal="left" wrapText="1"/>
    </xf>
    <xf numFmtId="166" fontId="4" fillId="0" borderId="20" xfId="4" applyNumberFormat="1" applyFont="1" applyFill="1" applyBorder="1"/>
    <xf numFmtId="166" fontId="4" fillId="0" borderId="21" xfId="4" applyNumberFormat="1" applyFont="1" applyFill="1" applyBorder="1"/>
    <xf numFmtId="166" fontId="4" fillId="0" borderId="22" xfId="4" applyNumberFormat="1" applyFont="1" applyFill="1" applyBorder="1"/>
    <xf numFmtId="166" fontId="4" fillId="0" borderId="23" xfId="4" applyNumberFormat="1" applyFont="1" applyFill="1" applyBorder="1"/>
    <xf numFmtId="168" fontId="20" fillId="0" borderId="20" xfId="1" applyNumberFormat="1" applyFont="1" applyFill="1" applyBorder="1" applyAlignment="1">
      <alignment horizontal="center" wrapText="1"/>
    </xf>
    <xf numFmtId="0" fontId="20" fillId="0" borderId="24" xfId="4" applyFont="1" applyFill="1" applyBorder="1" applyAlignment="1">
      <alignment horizontal="center" wrapText="1"/>
    </xf>
    <xf numFmtId="0" fontId="20" fillId="0" borderId="22" xfId="4" applyFont="1" applyFill="1" applyBorder="1" applyAlignment="1">
      <alignment horizontal="center" wrapText="1"/>
    </xf>
    <xf numFmtId="3" fontId="4" fillId="5" borderId="15" xfId="4" applyNumberFormat="1" applyFont="1" applyFill="1" applyBorder="1" applyAlignment="1">
      <alignment horizontal="center" wrapText="1"/>
    </xf>
    <xf numFmtId="0" fontId="22" fillId="5" borderId="20" xfId="4" applyFont="1" applyFill="1" applyBorder="1" applyAlignment="1">
      <alignment horizontal="center" vertical="center" wrapText="1"/>
    </xf>
    <xf numFmtId="0" fontId="18" fillId="3" borderId="0" xfId="4" applyFont="1" applyFill="1" applyAlignment="1">
      <alignment horizontal="center"/>
    </xf>
    <xf numFmtId="0" fontId="18" fillId="3" borderId="0" xfId="4" applyFont="1" applyFill="1" applyBorder="1" applyAlignment="1">
      <alignment horizontal="center"/>
    </xf>
    <xf numFmtId="0" fontId="19" fillId="3" borderId="0" xfId="4" applyFont="1" applyFill="1" applyAlignment="1">
      <alignment horizontal="center"/>
    </xf>
    <xf numFmtId="166" fontId="4" fillId="4" borderId="0" xfId="4" applyNumberFormat="1" applyFont="1" applyFill="1"/>
    <xf numFmtId="3" fontId="19" fillId="0" borderId="0" xfId="4" applyNumberFormat="1" applyFont="1" applyFill="1" applyBorder="1" applyAlignment="1">
      <alignment horizontal="center"/>
    </xf>
    <xf numFmtId="0" fontId="20" fillId="0" borderId="30" xfId="4" applyFont="1" applyFill="1" applyBorder="1" applyAlignment="1">
      <alignment horizontal="center" wrapText="1"/>
    </xf>
    <xf numFmtId="0" fontId="4" fillId="0" borderId="31" xfId="4" applyFont="1" applyFill="1" applyBorder="1" applyAlignment="1">
      <alignment wrapText="1"/>
    </xf>
    <xf numFmtId="0" fontId="20" fillId="0" borderId="32" xfId="4" applyFont="1" applyFill="1" applyBorder="1" applyAlignment="1">
      <alignment horizontal="left" wrapText="1"/>
    </xf>
    <xf numFmtId="0" fontId="17" fillId="5" borderId="25" xfId="4" applyFont="1" applyFill="1" applyBorder="1" applyAlignment="1">
      <alignment horizontal="center"/>
    </xf>
    <xf numFmtId="0" fontId="17" fillId="5" borderId="6" xfId="4" applyFont="1" applyFill="1" applyBorder="1" applyAlignment="1">
      <alignment horizontal="center"/>
    </xf>
    <xf numFmtId="0" fontId="17" fillId="5" borderId="3" xfId="4" applyFont="1" applyFill="1" applyBorder="1" applyAlignment="1">
      <alignment horizontal="center"/>
    </xf>
    <xf numFmtId="2" fontId="23" fillId="5" borderId="20" xfId="0" applyNumberFormat="1" applyFont="1" applyFill="1" applyBorder="1" applyAlignment="1">
      <alignment horizontal="center"/>
    </xf>
    <xf numFmtId="2" fontId="23" fillId="5" borderId="21" xfId="0" applyNumberFormat="1" applyFont="1" applyFill="1" applyBorder="1" applyAlignment="1">
      <alignment horizontal="center"/>
    </xf>
    <xf numFmtId="2" fontId="23" fillId="5" borderId="22" xfId="0" applyNumberFormat="1" applyFont="1" applyFill="1" applyBorder="1" applyAlignment="1">
      <alignment horizontal="center"/>
    </xf>
    <xf numFmtId="2" fontId="23" fillId="5" borderId="22" xfId="0" applyNumberFormat="1" applyFont="1" applyFill="1" applyBorder="1" applyAlignment="1">
      <alignment horizontal="center" wrapText="1"/>
    </xf>
    <xf numFmtId="2" fontId="23" fillId="5" borderId="23" xfId="0" applyNumberFormat="1" applyFont="1" applyFill="1" applyBorder="1" applyAlignment="1">
      <alignment horizontal="center"/>
    </xf>
    <xf numFmtId="3" fontId="19" fillId="3" borderId="0" xfId="4" applyNumberFormat="1" applyFont="1" applyFill="1" applyAlignment="1">
      <alignment horizontal="center"/>
    </xf>
    <xf numFmtId="3" fontId="19" fillId="3" borderId="0" xfId="4" applyNumberFormat="1" applyFont="1" applyFill="1" applyBorder="1" applyAlignment="1">
      <alignment horizontal="center"/>
    </xf>
    <xf numFmtId="0" fontId="19" fillId="3" borderId="0" xfId="4" applyFont="1" applyFill="1" applyAlignment="1">
      <alignment horizontal="center" wrapText="1"/>
    </xf>
    <xf numFmtId="0" fontId="19" fillId="3" borderId="0" xfId="4" applyFont="1" applyFill="1" applyAlignment="1">
      <alignment horizontal="left"/>
    </xf>
    <xf numFmtId="0" fontId="4" fillId="3" borderId="0" xfId="4" applyFont="1" applyFill="1" applyAlignment="1">
      <alignment horizontal="center"/>
    </xf>
    <xf numFmtId="0" fontId="18" fillId="3" borderId="0" xfId="4" applyFont="1" applyFill="1" applyAlignment="1">
      <alignment horizontal="left" wrapText="1"/>
    </xf>
    <xf numFmtId="0" fontId="4" fillId="3" borderId="0" xfId="4" applyFont="1" applyFill="1" applyBorder="1"/>
    <xf numFmtId="0" fontId="24" fillId="3" borderId="0" xfId="4" applyFont="1" applyFill="1"/>
    <xf numFmtId="0" fontId="24" fillId="3" borderId="0" xfId="4" applyFont="1" applyFill="1" applyAlignment="1">
      <alignment horizontal="left"/>
    </xf>
    <xf numFmtId="0" fontId="25" fillId="3" borderId="1" xfId="4" applyFont="1" applyFill="1" applyBorder="1" applyAlignment="1">
      <alignment horizontal="center"/>
    </xf>
    <xf numFmtId="0" fontId="24" fillId="3" borderId="0" xfId="4" quotePrefix="1" applyFont="1" applyFill="1" applyAlignment="1">
      <alignment horizontal="right" indent="1"/>
    </xf>
    <xf numFmtId="166" fontId="26" fillId="3" borderId="34" xfId="4" applyNumberFormat="1" applyFont="1" applyFill="1" applyBorder="1"/>
    <xf numFmtId="166" fontId="26" fillId="3" borderId="35" xfId="4" applyNumberFormat="1" applyFont="1" applyFill="1" applyBorder="1"/>
    <xf numFmtId="166" fontId="26" fillId="3" borderId="36" xfId="4" applyNumberFormat="1" applyFont="1" applyFill="1" applyBorder="1"/>
    <xf numFmtId="0" fontId="27" fillId="5" borderId="37" xfId="4" applyFont="1" applyFill="1" applyBorder="1" applyAlignment="1">
      <alignment horizontal="center"/>
    </xf>
    <xf numFmtId="0" fontId="27" fillId="5" borderId="10" xfId="4" applyFont="1" applyFill="1" applyBorder="1" applyAlignment="1">
      <alignment horizontal="center"/>
    </xf>
    <xf numFmtId="0" fontId="27" fillId="5" borderId="38" xfId="4" applyFont="1" applyFill="1" applyBorder="1" applyAlignment="1">
      <alignment horizontal="center"/>
    </xf>
    <xf numFmtId="0" fontId="27" fillId="5" borderId="8" xfId="4" applyFont="1" applyFill="1" applyBorder="1" applyAlignment="1">
      <alignment horizontal="center"/>
    </xf>
    <xf numFmtId="0" fontId="27" fillId="5" borderId="0" xfId="4" applyFont="1" applyFill="1" applyBorder="1" applyAlignment="1">
      <alignment horizontal="center"/>
    </xf>
    <xf numFmtId="0" fontId="27" fillId="5" borderId="39" xfId="4" applyFont="1" applyFill="1" applyBorder="1" applyAlignment="1">
      <alignment horizontal="center"/>
    </xf>
    <xf numFmtId="0" fontId="18" fillId="3" borderId="0" xfId="5" applyFont="1" applyFill="1" applyBorder="1"/>
    <xf numFmtId="2" fontId="28" fillId="5" borderId="40" xfId="0" applyNumberFormat="1" applyFont="1" applyFill="1" applyBorder="1" applyAlignment="1">
      <alignment horizontal="center"/>
    </xf>
    <xf numFmtId="2" fontId="28" fillId="5" borderId="41" xfId="0" applyNumberFormat="1" applyFont="1" applyFill="1" applyBorder="1" applyAlignment="1">
      <alignment horizontal="center"/>
    </xf>
    <xf numFmtId="2" fontId="28" fillId="5" borderId="42" xfId="0" applyNumberFormat="1" applyFont="1" applyFill="1" applyBorder="1" applyAlignment="1">
      <alignment horizontal="center"/>
    </xf>
    <xf numFmtId="2" fontId="28" fillId="5" borderId="33" xfId="0" applyNumberFormat="1" applyFont="1" applyFill="1" applyBorder="1" applyAlignment="1">
      <alignment horizontal="center"/>
    </xf>
    <xf numFmtId="2" fontId="28" fillId="5" borderId="43" xfId="0" applyNumberFormat="1" applyFont="1" applyFill="1" applyBorder="1" applyAlignment="1">
      <alignment horizontal="center"/>
    </xf>
    <xf numFmtId="2" fontId="28" fillId="5" borderId="43" xfId="0" applyNumberFormat="1" applyFont="1" applyFill="1" applyBorder="1" applyAlignment="1">
      <alignment horizontal="center" wrapText="1"/>
    </xf>
    <xf numFmtId="2" fontId="28" fillId="5" borderId="44" xfId="0" applyNumberFormat="1" applyFont="1" applyFill="1" applyBorder="1" applyAlignment="1">
      <alignment horizontal="center"/>
    </xf>
    <xf numFmtId="0" fontId="17" fillId="3" borderId="0" xfId="4" applyFont="1" applyFill="1"/>
    <xf numFmtId="0" fontId="4" fillId="0" borderId="0" xfId="4" applyFont="1" applyFill="1" applyBorder="1"/>
    <xf numFmtId="0" fontId="30" fillId="0" borderId="0" xfId="4" applyFont="1" applyFill="1"/>
    <xf numFmtId="165" fontId="31" fillId="0" borderId="45" xfId="4" applyNumberFormat="1" applyFont="1" applyFill="1" applyBorder="1"/>
    <xf numFmtId="165" fontId="31" fillId="0" borderId="46" xfId="4" applyNumberFormat="1" applyFont="1" applyFill="1" applyBorder="1"/>
    <xf numFmtId="165" fontId="31" fillId="0" borderId="29" xfId="4" applyNumberFormat="1" applyFont="1" applyFill="1" applyBorder="1"/>
    <xf numFmtId="165" fontId="30" fillId="0" borderId="45" xfId="4" applyNumberFormat="1" applyFont="1" applyFill="1" applyBorder="1"/>
    <xf numFmtId="165" fontId="30" fillId="0" borderId="46" xfId="4" applyNumberFormat="1" applyFont="1" applyFill="1" applyBorder="1"/>
    <xf numFmtId="165" fontId="30" fillId="0" borderId="29" xfId="4" applyNumberFormat="1" applyFont="1" applyFill="1" applyBorder="1"/>
    <xf numFmtId="2" fontId="32" fillId="0" borderId="46" xfId="4" applyNumberFormat="1" applyFont="1" applyFill="1" applyBorder="1"/>
    <xf numFmtId="0" fontId="30" fillId="0" borderId="46" xfId="4" applyFont="1" applyFill="1" applyBorder="1"/>
    <xf numFmtId="0" fontId="30" fillId="0" borderId="46" xfId="4" applyFont="1" applyFill="1" applyBorder="1" applyAlignment="1">
      <alignment wrapText="1"/>
    </xf>
    <xf numFmtId="0" fontId="31" fillId="0" borderId="29" xfId="4" applyFont="1" applyFill="1" applyBorder="1"/>
    <xf numFmtId="165" fontId="30" fillId="0" borderId="38" xfId="4" applyNumberFormat="1" applyFont="1" applyFill="1" applyBorder="1"/>
    <xf numFmtId="165" fontId="30" fillId="0" borderId="0" xfId="4" applyNumberFormat="1" applyFont="1" applyFill="1" applyBorder="1"/>
    <xf numFmtId="165" fontId="30" fillId="0" borderId="47" xfId="4" applyNumberFormat="1" applyFont="1" applyFill="1" applyBorder="1"/>
    <xf numFmtId="165" fontId="33" fillId="0" borderId="0" xfId="0" applyNumberFormat="1" applyFont="1" applyFill="1" applyBorder="1"/>
    <xf numFmtId="165" fontId="33" fillId="0" borderId="38" xfId="0" applyNumberFormat="1" applyFont="1" applyFill="1" applyBorder="1"/>
    <xf numFmtId="2" fontId="30" fillId="0" borderId="0" xfId="4" applyNumberFormat="1" applyFont="1" applyFill="1" applyBorder="1"/>
    <xf numFmtId="0" fontId="30" fillId="0" borderId="0" xfId="4" applyFont="1" applyFill="1" applyBorder="1"/>
    <xf numFmtId="0" fontId="30" fillId="0" borderId="0" xfId="4" applyFont="1" applyFill="1" applyBorder="1" applyAlignment="1">
      <alignment wrapText="1"/>
    </xf>
    <xf numFmtId="0" fontId="30" fillId="0" borderId="47" xfId="4" applyFont="1" applyFill="1" applyBorder="1"/>
    <xf numFmtId="165" fontId="30" fillId="0" borderId="42" xfId="4" applyNumberFormat="1" applyFont="1" applyFill="1" applyBorder="1"/>
    <xf numFmtId="165" fontId="30" fillId="0" borderId="43" xfId="4" applyNumberFormat="1" applyFont="1" applyFill="1" applyBorder="1"/>
    <xf numFmtId="165" fontId="30" fillId="0" borderId="28" xfId="4" applyNumberFormat="1" applyFont="1" applyFill="1" applyBorder="1"/>
    <xf numFmtId="0" fontId="30" fillId="0" borderId="43" xfId="4" applyFont="1" applyFill="1" applyBorder="1"/>
    <xf numFmtId="0" fontId="30" fillId="0" borderId="43" xfId="4" applyFont="1" applyFill="1" applyBorder="1" applyAlignment="1">
      <alignment wrapText="1"/>
    </xf>
    <xf numFmtId="0" fontId="34" fillId="0" borderId="48" xfId="4" applyFont="1" applyFill="1" applyBorder="1" applyAlignment="1">
      <alignment horizontal="left"/>
    </xf>
    <xf numFmtId="0" fontId="34" fillId="0" borderId="1" xfId="4" applyFont="1" applyFill="1" applyBorder="1" applyAlignment="1">
      <alignment horizontal="left"/>
    </xf>
    <xf numFmtId="165" fontId="33" fillId="0" borderId="47" xfId="0" applyNumberFormat="1" applyFont="1" applyFill="1" applyBorder="1"/>
    <xf numFmtId="2" fontId="33" fillId="0" borderId="0" xfId="0" applyNumberFormat="1" applyFont="1" applyFill="1" applyBorder="1"/>
    <xf numFmtId="0" fontId="33" fillId="0" borderId="0" xfId="0" applyFont="1" applyFill="1" applyBorder="1"/>
    <xf numFmtId="0" fontId="33" fillId="0" borderId="0" xfId="0" applyFont="1" applyFill="1" applyBorder="1" applyAlignment="1">
      <alignment wrapText="1"/>
    </xf>
    <xf numFmtId="0" fontId="30" fillId="0" borderId="42" xfId="4" applyFont="1" applyFill="1" applyBorder="1"/>
    <xf numFmtId="0" fontId="31" fillId="0" borderId="42" xfId="4" applyFont="1" applyFill="1" applyBorder="1" applyAlignment="1">
      <alignment wrapText="1"/>
    </xf>
    <xf numFmtId="0" fontId="31" fillId="0" borderId="43" xfId="4" applyFont="1" applyFill="1" applyBorder="1" applyAlignment="1">
      <alignment wrapText="1"/>
    </xf>
    <xf numFmtId="0" fontId="31" fillId="0" borderId="28" xfId="4" applyFont="1" applyFill="1" applyBorder="1" applyAlignment="1">
      <alignment wrapText="1"/>
    </xf>
    <xf numFmtId="0" fontId="30" fillId="0" borderId="0" xfId="4" applyFont="1" applyBorder="1" applyAlignment="1">
      <alignment wrapText="1"/>
    </xf>
    <xf numFmtId="0" fontId="31" fillId="0" borderId="0" xfId="4" applyFont="1" applyBorder="1" applyAlignment="1">
      <alignment horizontal="center" wrapText="1"/>
    </xf>
    <xf numFmtId="0" fontId="31" fillId="0" borderId="0" xfId="4" applyFont="1" applyBorder="1" applyAlignment="1">
      <alignment horizontal="center"/>
    </xf>
    <xf numFmtId="0" fontId="30" fillId="0" borderId="0" xfId="4" applyFont="1" applyBorder="1" applyAlignment="1"/>
    <xf numFmtId="0" fontId="24" fillId="0" borderId="0" xfId="4" applyFont="1" applyFill="1"/>
    <xf numFmtId="0" fontId="27" fillId="5" borderId="15" xfId="4" applyFont="1" applyFill="1" applyBorder="1" applyAlignment="1">
      <alignment horizontal="center" wrapText="1"/>
    </xf>
    <xf numFmtId="0" fontId="27" fillId="5" borderId="16" xfId="4" applyFont="1" applyFill="1" applyBorder="1" applyAlignment="1">
      <alignment horizontal="center" wrapText="1"/>
    </xf>
    <xf numFmtId="0" fontId="27" fillId="5" borderId="17" xfId="4" applyFont="1" applyFill="1" applyBorder="1" applyAlignment="1">
      <alignment horizontal="center" wrapText="1"/>
    </xf>
    <xf numFmtId="0" fontId="27" fillId="5" borderId="18" xfId="4" applyFont="1" applyFill="1" applyBorder="1" applyAlignment="1">
      <alignment horizontal="center" wrapText="1"/>
    </xf>
    <xf numFmtId="0" fontId="27" fillId="5" borderId="25" xfId="4" applyFont="1" applyFill="1" applyBorder="1" applyAlignment="1">
      <alignment horizontal="center" wrapText="1"/>
    </xf>
    <xf numFmtId="0" fontId="27" fillId="5" borderId="6" xfId="4" applyFont="1" applyFill="1" applyBorder="1" applyAlignment="1">
      <alignment horizontal="center" wrapText="1"/>
    </xf>
    <xf numFmtId="0" fontId="27" fillId="5" borderId="13" xfId="4" applyFont="1" applyFill="1" applyBorder="1" applyAlignment="1">
      <alignment horizontal="center" wrapText="1"/>
    </xf>
    <xf numFmtId="0" fontId="27" fillId="5" borderId="3" xfId="4" applyFont="1" applyFill="1" applyBorder="1" applyAlignment="1">
      <alignment horizontal="center" wrapText="1"/>
    </xf>
    <xf numFmtId="0" fontId="27" fillId="5" borderId="26" xfId="4" applyFont="1" applyFill="1" applyBorder="1" applyAlignment="1">
      <alignment horizontal="center" wrapText="1"/>
    </xf>
    <xf numFmtId="0" fontId="24" fillId="0" borderId="0" xfId="4" applyFont="1"/>
    <xf numFmtId="0" fontId="27" fillId="5" borderId="20" xfId="4" applyFont="1" applyFill="1" applyBorder="1" applyAlignment="1">
      <alignment horizontal="center"/>
    </xf>
    <xf numFmtId="0" fontId="27" fillId="5" borderId="21" xfId="4" applyFont="1" applyFill="1" applyBorder="1" applyAlignment="1">
      <alignment horizontal="center"/>
    </xf>
    <xf numFmtId="0" fontId="27" fillId="5" borderId="43" xfId="4" applyFont="1" applyFill="1" applyBorder="1" applyAlignment="1">
      <alignment horizontal="center"/>
    </xf>
    <xf numFmtId="0" fontId="17" fillId="3" borderId="0" xfId="4" applyFont="1" applyFill="1" applyBorder="1"/>
    <xf numFmtId="0" fontId="35" fillId="3" borderId="0" xfId="4" applyFont="1" applyFill="1"/>
    <xf numFmtId="0" fontId="6" fillId="3" borderId="0" xfId="0" applyFont="1" applyFill="1" applyBorder="1"/>
    <xf numFmtId="2" fontId="6" fillId="3" borderId="0" xfId="0" applyNumberFormat="1" applyFont="1" applyFill="1" applyBorder="1"/>
    <xf numFmtId="0" fontId="24" fillId="0" borderId="0" xfId="4" applyFont="1" applyFill="1" applyBorder="1" applyAlignment="1">
      <alignment horizontal="left"/>
    </xf>
    <xf numFmtId="0" fontId="24" fillId="3" borderId="0" xfId="4" applyFont="1" applyFill="1" applyBorder="1"/>
    <xf numFmtId="0" fontId="24" fillId="3" borderId="0" xfId="4" applyFont="1" applyFill="1" applyBorder="1" applyAlignment="1">
      <alignment horizontal="left"/>
    </xf>
    <xf numFmtId="9" fontId="26" fillId="3" borderId="1" xfId="4" applyNumberFormat="1" applyFont="1" applyFill="1" applyBorder="1" applyAlignment="1">
      <alignment horizontal="center"/>
    </xf>
    <xf numFmtId="0" fontId="18" fillId="3" borderId="0" xfId="5" applyFont="1" applyFill="1" applyBorder="1" applyAlignment="1">
      <alignment horizontal="right" indent="1"/>
    </xf>
    <xf numFmtId="0" fontId="4" fillId="3" borderId="0" xfId="4" quotePrefix="1" applyFont="1" applyFill="1"/>
    <xf numFmtId="0" fontId="18" fillId="0" borderId="0" xfId="4" applyFont="1" applyFill="1" applyBorder="1" applyAlignment="1">
      <alignment horizontal="left"/>
    </xf>
    <xf numFmtId="2" fontId="23" fillId="5" borderId="44" xfId="0" applyNumberFormat="1" applyFont="1" applyFill="1" applyBorder="1" applyAlignment="1">
      <alignment horizontal="center"/>
    </xf>
    <xf numFmtId="2" fontId="23" fillId="5" borderId="33" xfId="0" applyNumberFormat="1" applyFont="1" applyFill="1" applyBorder="1" applyAlignment="1">
      <alignment horizontal="center" wrapText="1"/>
    </xf>
    <xf numFmtId="2" fontId="23" fillId="5" borderId="33" xfId="0" applyNumberFormat="1" applyFont="1" applyFill="1" applyBorder="1" applyAlignment="1">
      <alignment horizontal="center"/>
    </xf>
    <xf numFmtId="2" fontId="23" fillId="5" borderId="40" xfId="0" applyNumberFormat="1" applyFont="1" applyFill="1" applyBorder="1" applyAlignment="1">
      <alignment horizontal="center"/>
    </xf>
    <xf numFmtId="166" fontId="4" fillId="0" borderId="53" xfId="4" applyNumberFormat="1" applyFont="1" applyFill="1" applyBorder="1"/>
    <xf numFmtId="166" fontId="4" fillId="0" borderId="5" xfId="4" applyNumberFormat="1" applyFont="1" applyFill="1" applyBorder="1"/>
    <xf numFmtId="166" fontId="4" fillId="0" borderId="54" xfId="4" applyNumberFormat="1" applyFont="1" applyFill="1" applyBorder="1"/>
    <xf numFmtId="0" fontId="17" fillId="5" borderId="18" xfId="4" applyFont="1" applyFill="1" applyBorder="1" applyAlignment="1">
      <alignment horizontal="center"/>
    </xf>
    <xf numFmtId="0" fontId="17" fillId="5" borderId="17" xfId="4" applyFont="1" applyFill="1" applyBorder="1" applyAlignment="1">
      <alignment horizontal="center"/>
    </xf>
    <xf numFmtId="0" fontId="17" fillId="5" borderId="15" xfId="4" applyFont="1" applyFill="1" applyBorder="1" applyAlignment="1">
      <alignment horizontal="center"/>
    </xf>
    <xf numFmtId="0" fontId="27" fillId="5" borderId="49" xfId="4" applyFont="1" applyFill="1" applyBorder="1" applyAlignment="1">
      <alignment horizontal="center"/>
    </xf>
    <xf numFmtId="0" fontId="27" fillId="5" borderId="27" xfId="4" applyFont="1" applyFill="1" applyBorder="1" applyAlignment="1">
      <alignment horizontal="center"/>
    </xf>
    <xf numFmtId="0" fontId="27" fillId="5" borderId="55" xfId="4" applyFont="1" applyFill="1" applyBorder="1" applyAlignment="1">
      <alignment horizontal="center"/>
    </xf>
    <xf numFmtId="0" fontId="38" fillId="0" borderId="0" xfId="7" applyFont="1"/>
    <xf numFmtId="0" fontId="38" fillId="0" borderId="28" xfId="7" applyFont="1" applyBorder="1"/>
    <xf numFmtId="0" fontId="38" fillId="0" borderId="0" xfId="7" applyFont="1" applyBorder="1"/>
    <xf numFmtId="0" fontId="18" fillId="0" borderId="0" xfId="7" applyFont="1"/>
    <xf numFmtId="0" fontId="39" fillId="0" borderId="0" xfId="7" applyFont="1"/>
    <xf numFmtId="0" fontId="33" fillId="0" borderId="47" xfId="7" applyFont="1" applyBorder="1"/>
    <xf numFmtId="0" fontId="33" fillId="0" borderId="0" xfId="7" applyFont="1" applyBorder="1" applyAlignment="1">
      <alignment vertical="center" wrapText="1"/>
    </xf>
    <xf numFmtId="0" fontId="33" fillId="0" borderId="0" xfId="7" applyFont="1"/>
    <xf numFmtId="0" fontId="18" fillId="6" borderId="60" xfId="7" applyFont="1" applyFill="1" applyBorder="1" applyAlignment="1">
      <alignment horizontal="center" vertical="center" wrapText="1"/>
    </xf>
    <xf numFmtId="0" fontId="18" fillId="7" borderId="61" xfId="7" applyFont="1" applyFill="1" applyBorder="1" applyAlignment="1">
      <alignment horizontal="center" vertical="center" wrapText="1"/>
    </xf>
    <xf numFmtId="0" fontId="18" fillId="7" borderId="62" xfId="7" applyFont="1" applyFill="1" applyBorder="1" applyAlignment="1">
      <alignment horizontal="center" vertical="center" wrapText="1"/>
    </xf>
    <xf numFmtId="0" fontId="18" fillId="7" borderId="63" xfId="7" applyFont="1" applyFill="1" applyBorder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0" fontId="33" fillId="6" borderId="64" xfId="7" applyFont="1" applyFill="1" applyBorder="1" applyAlignment="1">
      <alignment horizontal="center" vertical="center" wrapText="1"/>
    </xf>
    <xf numFmtId="0" fontId="33" fillId="5" borderId="16" xfId="7" applyFont="1" applyFill="1" applyBorder="1" applyAlignment="1">
      <alignment horizontal="center" vertical="center" wrapText="1"/>
    </xf>
    <xf numFmtId="0" fontId="33" fillId="5" borderId="17" xfId="7" applyFont="1" applyFill="1" applyBorder="1" applyAlignment="1">
      <alignment horizontal="center" vertical="center" wrapText="1"/>
    </xf>
    <xf numFmtId="0" fontId="33" fillId="5" borderId="15" xfId="7" applyFont="1" applyFill="1" applyBorder="1" applyAlignment="1">
      <alignment horizontal="center" vertical="center" wrapText="1"/>
    </xf>
    <xf numFmtId="0" fontId="33" fillId="0" borderId="0" xfId="7" applyFont="1" applyBorder="1" applyAlignment="1">
      <alignment horizontal="center" vertical="center" wrapText="1"/>
    </xf>
    <xf numFmtId="0" fontId="33" fillId="5" borderId="18" xfId="7" applyFont="1" applyFill="1" applyBorder="1" applyAlignment="1">
      <alignment horizontal="center" vertical="center" wrapText="1"/>
    </xf>
    <xf numFmtId="0" fontId="33" fillId="0" borderId="0" xfId="7" applyFont="1" applyAlignment="1">
      <alignment horizontal="center" vertical="center" wrapText="1"/>
    </xf>
    <xf numFmtId="0" fontId="18" fillId="6" borderId="65" xfId="7" applyFont="1" applyFill="1" applyBorder="1" applyAlignment="1">
      <alignment horizontal="center" vertical="center" wrapText="1"/>
    </xf>
    <xf numFmtId="0" fontId="39" fillId="0" borderId="0" xfId="7" applyFont="1" applyAlignment="1">
      <alignment vertical="center" wrapText="1"/>
    </xf>
    <xf numFmtId="0" fontId="33" fillId="12" borderId="7" xfId="7" applyFont="1" applyFill="1" applyBorder="1" applyAlignment="1">
      <alignment vertical="center" wrapText="1"/>
    </xf>
    <xf numFmtId="0" fontId="33" fillId="12" borderId="5" xfId="7" applyFont="1" applyFill="1" applyBorder="1" applyAlignment="1">
      <alignment vertical="center" wrapText="1"/>
    </xf>
    <xf numFmtId="0" fontId="33" fillId="12" borderId="54" xfId="7" applyFont="1" applyFill="1" applyBorder="1" applyAlignment="1">
      <alignment vertical="center" wrapText="1"/>
    </xf>
    <xf numFmtId="0" fontId="33" fillId="0" borderId="0" xfId="7" applyFont="1" applyAlignment="1">
      <alignment vertical="center" wrapText="1"/>
    </xf>
    <xf numFmtId="10" fontId="33" fillId="4" borderId="53" xfId="8" applyNumberFormat="1" applyFont="1" applyFill="1" applyBorder="1" applyAlignment="1">
      <alignment vertical="center" wrapText="1"/>
    </xf>
    <xf numFmtId="10" fontId="33" fillId="4" borderId="5" xfId="8" applyNumberFormat="1" applyFont="1" applyFill="1" applyBorder="1" applyAlignment="1">
      <alignment vertical="center" wrapText="1"/>
    </xf>
    <xf numFmtId="10" fontId="33" fillId="4" borderId="54" xfId="8" applyNumberFormat="1" applyFont="1" applyFill="1" applyBorder="1" applyAlignment="1">
      <alignment vertical="center" wrapText="1"/>
    </xf>
    <xf numFmtId="0" fontId="18" fillId="6" borderId="68" xfId="7" applyFont="1" applyFill="1" applyBorder="1" applyAlignment="1">
      <alignment horizontal="center" vertical="center" wrapText="1"/>
    </xf>
    <xf numFmtId="0" fontId="33" fillId="12" borderId="2" xfId="7" applyFont="1" applyFill="1" applyBorder="1" applyAlignment="1">
      <alignment vertical="center" wrapText="1"/>
    </xf>
    <xf numFmtId="0" fontId="33" fillId="12" borderId="1" xfId="7" applyFont="1" applyFill="1" applyBorder="1" applyAlignment="1">
      <alignment vertical="center" wrapText="1"/>
    </xf>
    <xf numFmtId="0" fontId="33" fillId="12" borderId="57" xfId="7" applyFont="1" applyFill="1" applyBorder="1" applyAlignment="1">
      <alignment vertical="center" wrapText="1"/>
    </xf>
    <xf numFmtId="0" fontId="33" fillId="12" borderId="56" xfId="7" applyFont="1" applyFill="1" applyBorder="1" applyAlignment="1">
      <alignment vertical="center" wrapText="1"/>
    </xf>
    <xf numFmtId="10" fontId="33" fillId="4" borderId="56" xfId="8" applyNumberFormat="1" applyFont="1" applyFill="1" applyBorder="1" applyAlignment="1">
      <alignment vertical="center" wrapText="1"/>
    </xf>
    <xf numFmtId="10" fontId="33" fillId="4" borderId="1" xfId="8" applyNumberFormat="1" applyFont="1" applyFill="1" applyBorder="1" applyAlignment="1">
      <alignment vertical="center" wrapText="1"/>
    </xf>
    <xf numFmtId="10" fontId="33" fillId="4" borderId="57" xfId="8" applyNumberFormat="1" applyFont="1" applyFill="1" applyBorder="1" applyAlignment="1">
      <alignment vertical="center" wrapText="1"/>
    </xf>
    <xf numFmtId="0" fontId="18" fillId="6" borderId="71" xfId="7" applyFont="1" applyFill="1" applyBorder="1" applyAlignment="1">
      <alignment horizontal="center" vertical="center" wrapText="1"/>
    </xf>
    <xf numFmtId="0" fontId="18" fillId="9" borderId="72" xfId="7" applyFont="1" applyFill="1" applyBorder="1" applyAlignment="1">
      <alignment vertical="center" wrapText="1"/>
    </xf>
    <xf numFmtId="0" fontId="18" fillId="9" borderId="13" xfId="7" applyFont="1" applyFill="1" applyBorder="1" applyAlignment="1">
      <alignment vertical="center" wrapText="1"/>
    </xf>
    <xf numFmtId="0" fontId="18" fillId="9" borderId="0" xfId="7" applyFont="1" applyFill="1" applyBorder="1" applyAlignment="1">
      <alignment vertical="center" wrapText="1"/>
    </xf>
    <xf numFmtId="0" fontId="18" fillId="9" borderId="11" xfId="7" applyFont="1" applyFill="1" applyBorder="1" applyAlignment="1">
      <alignment vertical="center" wrapText="1"/>
    </xf>
    <xf numFmtId="0" fontId="33" fillId="15" borderId="56" xfId="7" applyFont="1" applyFill="1" applyBorder="1" applyAlignment="1">
      <alignment vertical="center" wrapText="1"/>
    </xf>
    <xf numFmtId="0" fontId="33" fillId="15" borderId="1" xfId="7" applyFont="1" applyFill="1" applyBorder="1" applyAlignment="1">
      <alignment vertical="center" wrapText="1"/>
    </xf>
    <xf numFmtId="0" fontId="33" fillId="15" borderId="57" xfId="7" applyFont="1" applyFill="1" applyBorder="1" applyAlignment="1">
      <alignment vertical="center" wrapText="1"/>
    </xf>
    <xf numFmtId="0" fontId="18" fillId="9" borderId="4" xfId="7" applyFont="1" applyFill="1" applyBorder="1" applyAlignment="1">
      <alignment vertical="center" wrapText="1"/>
    </xf>
    <xf numFmtId="0" fontId="18" fillId="9" borderId="12" xfId="7" applyFont="1" applyFill="1" applyBorder="1" applyAlignment="1">
      <alignment vertical="center" wrapText="1"/>
    </xf>
    <xf numFmtId="0" fontId="18" fillId="9" borderId="7" xfId="7" applyFont="1" applyFill="1" applyBorder="1" applyAlignment="1">
      <alignment vertical="center" wrapText="1"/>
    </xf>
    <xf numFmtId="0" fontId="18" fillId="0" borderId="0" xfId="7" applyFont="1" applyBorder="1" applyAlignment="1">
      <alignment vertical="center" wrapText="1"/>
    </xf>
    <xf numFmtId="0" fontId="18" fillId="11" borderId="0" xfId="7" applyFont="1" applyFill="1" applyBorder="1" applyAlignment="1">
      <alignment vertical="center" wrapText="1"/>
    </xf>
    <xf numFmtId="0" fontId="18" fillId="6" borderId="75" xfId="7" applyFont="1" applyFill="1" applyBorder="1" applyAlignment="1">
      <alignment horizontal="center" vertical="center" wrapText="1"/>
    </xf>
    <xf numFmtId="0" fontId="18" fillId="9" borderId="10" xfId="7" applyFont="1" applyFill="1" applyBorder="1" applyAlignment="1">
      <alignment vertical="center" wrapText="1"/>
    </xf>
    <xf numFmtId="0" fontId="18" fillId="10" borderId="4" xfId="7" applyFont="1" applyFill="1" applyBorder="1" applyAlignment="1">
      <alignment vertical="center" wrapText="1"/>
    </xf>
    <xf numFmtId="0" fontId="18" fillId="10" borderId="14" xfId="7" applyFont="1" applyFill="1" applyBorder="1" applyAlignment="1">
      <alignment vertical="center" wrapText="1"/>
    </xf>
    <xf numFmtId="0" fontId="18" fillId="10" borderId="14" xfId="7" applyFont="1" applyFill="1" applyBorder="1" applyAlignment="1">
      <alignment horizontal="left"/>
    </xf>
    <xf numFmtId="0" fontId="18" fillId="11" borderId="0" xfId="7" applyFont="1" applyFill="1" applyBorder="1" applyAlignment="1">
      <alignment vertical="center"/>
    </xf>
    <xf numFmtId="0" fontId="18" fillId="6" borderId="77" xfId="7" applyFont="1" applyFill="1" applyBorder="1" applyAlignment="1">
      <alignment horizontal="center" vertical="center" wrapText="1"/>
    </xf>
    <xf numFmtId="0" fontId="18" fillId="10" borderId="72" xfId="7" applyFont="1" applyFill="1" applyBorder="1" applyAlignment="1">
      <alignment vertical="center" wrapText="1"/>
    </xf>
    <xf numFmtId="0" fontId="18" fillId="10" borderId="12" xfId="7" applyFont="1" applyFill="1" applyBorder="1" applyAlignment="1">
      <alignment vertical="center" wrapText="1"/>
    </xf>
    <xf numFmtId="0" fontId="18" fillId="10" borderId="7" xfId="7" applyFont="1" applyFill="1" applyBorder="1" applyAlignment="1">
      <alignment vertical="center" wrapText="1"/>
    </xf>
    <xf numFmtId="0" fontId="18" fillId="6" borderId="80" xfId="7" applyFont="1" applyFill="1" applyBorder="1" applyAlignment="1">
      <alignment horizontal="center" vertical="center" wrapText="1"/>
    </xf>
    <xf numFmtId="0" fontId="33" fillId="6" borderId="88" xfId="7" applyFont="1" applyFill="1" applyBorder="1" applyAlignment="1">
      <alignment horizontal="center" vertical="center" wrapText="1"/>
    </xf>
    <xf numFmtId="0" fontId="33" fillId="12" borderId="17" xfId="7" applyFont="1" applyFill="1" applyBorder="1" applyAlignment="1">
      <alignment vertical="center" wrapText="1"/>
    </xf>
    <xf numFmtId="0" fontId="33" fillId="12" borderId="15" xfId="7" applyFont="1" applyFill="1" applyBorder="1" applyAlignment="1">
      <alignment vertical="center" wrapText="1"/>
    </xf>
    <xf numFmtId="0" fontId="33" fillId="12" borderId="18" xfId="7" applyFont="1" applyFill="1" applyBorder="1" applyAlignment="1">
      <alignment vertical="center" wrapText="1"/>
    </xf>
    <xf numFmtId="10" fontId="33" fillId="4" borderId="18" xfId="8" applyNumberFormat="1" applyFont="1" applyFill="1" applyBorder="1" applyAlignment="1">
      <alignment vertical="center" wrapText="1"/>
    </xf>
    <xf numFmtId="10" fontId="33" fillId="4" borderId="17" xfId="8" applyNumberFormat="1" applyFont="1" applyFill="1" applyBorder="1" applyAlignment="1">
      <alignment vertical="center" wrapText="1"/>
    </xf>
    <xf numFmtId="10" fontId="33" fillId="4" borderId="15" xfId="8" applyNumberFormat="1" applyFont="1" applyFill="1" applyBorder="1" applyAlignment="1">
      <alignment vertical="center" wrapText="1"/>
    </xf>
    <xf numFmtId="0" fontId="18" fillId="0" borderId="0" xfId="7" applyFont="1" applyAlignment="1"/>
    <xf numFmtId="0" fontId="18" fillId="0" borderId="0" xfId="7" applyFont="1" applyAlignment="1">
      <alignment horizontal="left" vertical="center"/>
    </xf>
    <xf numFmtId="0" fontId="39" fillId="0" borderId="0" xfId="7" applyFont="1" applyAlignment="1"/>
    <xf numFmtId="0" fontId="18" fillId="9" borderId="3" xfId="7" applyFont="1" applyFill="1" applyBorder="1"/>
    <xf numFmtId="0" fontId="39" fillId="10" borderId="3" xfId="7" applyFont="1" applyFill="1" applyBorder="1" applyAlignment="1"/>
    <xf numFmtId="0" fontId="39" fillId="14" borderId="3" xfId="7" applyFont="1" applyFill="1" applyBorder="1" applyAlignment="1"/>
    <xf numFmtId="0" fontId="39" fillId="13" borderId="13" xfId="7" applyFont="1" applyFill="1" applyBorder="1" applyAlignment="1"/>
    <xf numFmtId="0" fontId="39" fillId="11" borderId="6" xfId="7" applyFont="1" applyFill="1" applyBorder="1" applyAlignment="1"/>
    <xf numFmtId="0" fontId="39" fillId="9" borderId="5" xfId="7" applyFont="1" applyFill="1" applyBorder="1" applyAlignment="1"/>
    <xf numFmtId="0" fontId="39" fillId="10" borderId="5" xfId="7" applyFont="1" applyFill="1" applyBorder="1" applyAlignment="1"/>
    <xf numFmtId="0" fontId="39" fillId="14" borderId="5" xfId="7" applyFont="1" applyFill="1" applyBorder="1" applyAlignment="1"/>
    <xf numFmtId="0" fontId="39" fillId="13" borderId="72" xfId="7" applyFont="1" applyFill="1" applyBorder="1" applyAlignment="1"/>
    <xf numFmtId="0" fontId="39" fillId="11" borderId="7" xfId="7" applyFont="1" applyFill="1" applyBorder="1" applyAlignment="1"/>
    <xf numFmtId="0" fontId="18" fillId="0" borderId="11" xfId="7" applyFont="1" applyBorder="1" applyAlignment="1">
      <alignment horizontal="left" vertical="center"/>
    </xf>
    <xf numFmtId="0" fontId="18" fillId="0" borderId="0" xfId="7" applyFont="1" applyAlignment="1">
      <alignment wrapText="1"/>
    </xf>
    <xf numFmtId="0" fontId="39" fillId="0" borderId="0" xfId="7" applyFont="1" applyAlignment="1">
      <alignment wrapText="1"/>
    </xf>
    <xf numFmtId="0" fontId="6" fillId="0" borderId="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167" fontId="6" fillId="0" borderId="0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41" fillId="0" borderId="5" xfId="0" applyFont="1" applyFill="1" applyBorder="1"/>
    <xf numFmtId="166" fontId="41" fillId="0" borderId="5" xfId="0" applyNumberFormat="1" applyFont="1" applyFill="1" applyBorder="1" applyAlignment="1">
      <alignment horizontal="center"/>
    </xf>
    <xf numFmtId="0" fontId="10" fillId="0" borderId="0" xfId="2" applyFont="1" applyBorder="1" applyAlignment="1">
      <alignment vertical="top" wrapText="1"/>
    </xf>
    <xf numFmtId="0" fontId="10" fillId="0" borderId="0" xfId="2" applyFont="1" applyBorder="1" applyAlignment="1">
      <alignment horizontal="center" wrapText="1"/>
    </xf>
    <xf numFmtId="0" fontId="6" fillId="0" borderId="0" xfId="2" applyBorder="1" applyAlignment="1"/>
    <xf numFmtId="0" fontId="5" fillId="0" borderId="0" xfId="2" applyFont="1" applyBorder="1" applyAlignment="1">
      <alignment horizontal="center" wrapText="1"/>
    </xf>
    <xf numFmtId="0" fontId="9" fillId="0" borderId="7" xfId="2" applyFont="1" applyFill="1" applyBorder="1" applyAlignment="1">
      <alignment horizontal="center" vertical="top" wrapText="1"/>
    </xf>
    <xf numFmtId="0" fontId="5" fillId="0" borderId="13" xfId="0" applyFont="1" applyBorder="1"/>
    <xf numFmtId="0" fontId="33" fillId="6" borderId="67" xfId="7" applyFont="1" applyFill="1" applyBorder="1" applyAlignment="1">
      <alignment horizontal="center" vertical="center" wrapText="1"/>
    </xf>
    <xf numFmtId="0" fontId="18" fillId="0" borderId="47" xfId="7" applyFont="1" applyBorder="1" applyAlignment="1">
      <alignment horizontal="center" vertical="center" wrapText="1"/>
    </xf>
    <xf numFmtId="0" fontId="18" fillId="0" borderId="0" xfId="7" applyFont="1" applyBorder="1" applyAlignment="1">
      <alignment horizontal="center" vertical="center" wrapText="1"/>
    </xf>
    <xf numFmtId="0" fontId="39" fillId="0" borderId="11" xfId="7" applyFont="1" applyBorder="1" applyAlignment="1">
      <alignment horizontal="left" vertical="center"/>
    </xf>
    <xf numFmtId="0" fontId="18" fillId="9" borderId="0" xfId="7" applyFont="1" applyFill="1" applyBorder="1" applyAlignment="1">
      <alignment horizontal="center" vertical="center"/>
    </xf>
    <xf numFmtId="0" fontId="6" fillId="2" borderId="1" xfId="0" applyFont="1" applyFill="1" applyBorder="1"/>
    <xf numFmtId="0" fontId="15" fillId="0" borderId="0" xfId="0" applyFont="1"/>
    <xf numFmtId="0" fontId="18" fillId="0" borderId="0" xfId="0" applyFont="1"/>
    <xf numFmtId="0" fontId="21" fillId="0" borderId="0" xfId="0" applyFont="1"/>
    <xf numFmtId="0" fontId="33" fillId="0" borderId="0" xfId="0" applyFont="1"/>
    <xf numFmtId="0" fontId="33" fillId="0" borderId="0" xfId="0" applyFont="1" applyAlignment="1">
      <alignment horizontal="center"/>
    </xf>
    <xf numFmtId="0" fontId="19" fillId="5" borderId="44" xfId="0" applyFont="1" applyFill="1" applyBorder="1" applyAlignment="1">
      <alignment horizontal="center"/>
    </xf>
    <xf numFmtId="0" fontId="19" fillId="5" borderId="33" xfId="0" applyFont="1" applyFill="1" applyBorder="1" applyAlignment="1">
      <alignment horizontal="center"/>
    </xf>
    <xf numFmtId="0" fontId="19" fillId="5" borderId="40" xfId="0" applyFont="1" applyFill="1" applyBorder="1" applyAlignment="1">
      <alignment horizontal="center"/>
    </xf>
    <xf numFmtId="2" fontId="33" fillId="0" borderId="20" xfId="0" applyNumberFormat="1" applyFont="1" applyBorder="1"/>
    <xf numFmtId="2" fontId="33" fillId="0" borderId="57" xfId="0" applyNumberFormat="1" applyFont="1" applyBorder="1"/>
    <xf numFmtId="2" fontId="33" fillId="0" borderId="54" xfId="0" applyNumberFormat="1" applyFont="1" applyBorder="1"/>
    <xf numFmtId="0" fontId="19" fillId="0" borderId="0" xfId="0" applyFont="1"/>
    <xf numFmtId="0" fontId="33" fillId="0" borderId="39" xfId="0" applyFont="1" applyBorder="1" applyAlignment="1">
      <alignment vertical="top" wrapText="1"/>
    </xf>
    <xf numFmtId="0" fontId="33" fillId="0" borderId="3" xfId="0" applyFont="1" applyBorder="1" applyAlignment="1">
      <alignment vertical="top" wrapText="1"/>
    </xf>
    <xf numFmtId="0" fontId="33" fillId="0" borderId="33" xfId="0" applyFont="1" applyBorder="1" applyAlignment="1">
      <alignment vertical="top" wrapText="1"/>
    </xf>
    <xf numFmtId="166" fontId="18" fillId="0" borderId="1" xfId="9" applyNumberFormat="1" applyFont="1" applyFill="1" applyBorder="1" applyAlignment="1">
      <alignment horizontal="center"/>
    </xf>
    <xf numFmtId="0" fontId="33" fillId="5" borderId="23" xfId="7" applyFont="1" applyFill="1" applyBorder="1" applyAlignment="1">
      <alignment horizontal="center"/>
    </xf>
    <xf numFmtId="0" fontId="33" fillId="5" borderId="22" xfId="7" applyFont="1" applyFill="1" applyBorder="1" applyAlignment="1">
      <alignment horizontal="center"/>
    </xf>
    <xf numFmtId="0" fontId="33" fillId="5" borderId="20" xfId="7" applyFont="1" applyFill="1" applyBorder="1" applyAlignment="1">
      <alignment horizontal="center"/>
    </xf>
    <xf numFmtId="0" fontId="33" fillId="12" borderId="23" xfId="7" applyFont="1" applyFill="1" applyBorder="1" applyAlignment="1">
      <alignment vertical="center" wrapText="1"/>
    </xf>
    <xf numFmtId="0" fontId="33" fillId="12" borderId="22" xfId="7" applyFont="1" applyFill="1" applyBorder="1" applyAlignment="1">
      <alignment vertical="center" wrapText="1"/>
    </xf>
    <xf numFmtId="0" fontId="33" fillId="12" borderId="20" xfId="7" applyFont="1" applyFill="1" applyBorder="1" applyAlignment="1">
      <alignment vertical="center" wrapText="1"/>
    </xf>
    <xf numFmtId="0" fontId="33" fillId="16" borderId="23" xfId="7" applyFont="1" applyFill="1" applyBorder="1" applyAlignment="1">
      <alignment vertical="center" wrapText="1"/>
    </xf>
    <xf numFmtId="0" fontId="33" fillId="16" borderId="22" xfId="7" applyFont="1" applyFill="1" applyBorder="1" applyAlignment="1">
      <alignment vertical="center" wrapText="1"/>
    </xf>
    <xf numFmtId="0" fontId="33" fillId="16" borderId="20" xfId="7" applyFont="1" applyFill="1" applyBorder="1" applyAlignment="1">
      <alignment vertical="center" wrapText="1"/>
    </xf>
    <xf numFmtId="0" fontId="33" fillId="16" borderId="56" xfId="7" applyFont="1" applyFill="1" applyBorder="1" applyAlignment="1">
      <alignment vertical="center" wrapText="1"/>
    </xf>
    <xf numFmtId="0" fontId="33" fillId="16" borderId="1" xfId="7" applyFont="1" applyFill="1" applyBorder="1" applyAlignment="1">
      <alignment vertical="center" wrapText="1"/>
    </xf>
    <xf numFmtId="0" fontId="33" fillId="16" borderId="57" xfId="7" applyFont="1" applyFill="1" applyBorder="1" applyAlignment="1">
      <alignment vertical="center" wrapText="1"/>
    </xf>
    <xf numFmtId="0" fontId="33" fillId="16" borderId="18" xfId="7" applyFont="1" applyFill="1" applyBorder="1" applyAlignment="1">
      <alignment vertical="center" wrapText="1"/>
    </xf>
    <xf numFmtId="0" fontId="33" fillId="16" borderId="17" xfId="7" applyFont="1" applyFill="1" applyBorder="1" applyAlignment="1">
      <alignment vertical="center" wrapText="1"/>
    </xf>
    <xf numFmtId="0" fontId="33" fillId="16" borderId="15" xfId="7" applyFont="1" applyFill="1" applyBorder="1" applyAlignment="1">
      <alignment vertical="center" wrapText="1"/>
    </xf>
    <xf numFmtId="166" fontId="6" fillId="0" borderId="1" xfId="0" applyNumberFormat="1" applyFont="1" applyFill="1" applyBorder="1" applyAlignment="1">
      <alignment horizontal="center" wrapText="1"/>
    </xf>
    <xf numFmtId="1" fontId="41" fillId="0" borderId="1" xfId="0" applyNumberFormat="1" applyFont="1" applyFill="1" applyBorder="1" applyAlignment="1">
      <alignment horizontal="center"/>
    </xf>
    <xf numFmtId="166" fontId="41" fillId="0" borderId="1" xfId="0" applyNumberFormat="1" applyFont="1" applyFill="1" applyBorder="1" applyAlignment="1">
      <alignment horizontal="center"/>
    </xf>
    <xf numFmtId="166" fontId="41" fillId="0" borderId="5" xfId="0" applyNumberFormat="1" applyFont="1" applyFill="1" applyBorder="1" applyAlignment="1">
      <alignment horizontal="center" wrapText="1"/>
    </xf>
    <xf numFmtId="1" fontId="41" fillId="0" borderId="5" xfId="0" applyNumberFormat="1" applyFont="1" applyFill="1" applyBorder="1" applyAlignment="1">
      <alignment horizontal="center"/>
    </xf>
    <xf numFmtId="166" fontId="6" fillId="0" borderId="8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0" fillId="0" borderId="5" xfId="2" applyFont="1" applyBorder="1" applyAlignment="1">
      <alignment horizontal="center" wrapText="1"/>
    </xf>
    <xf numFmtId="0" fontId="5" fillId="0" borderId="1" xfId="2" applyFont="1" applyBorder="1" applyAlignment="1">
      <alignment horizontal="center" wrapText="1"/>
    </xf>
    <xf numFmtId="0" fontId="5" fillId="0" borderId="1" xfId="2" applyFont="1" applyBorder="1" applyAlignment="1">
      <alignment horizontal="center"/>
    </xf>
    <xf numFmtId="0" fontId="6" fillId="0" borderId="1" xfId="2" applyBorder="1" applyAlignment="1">
      <alignment horizontal="center"/>
    </xf>
    <xf numFmtId="0" fontId="5" fillId="0" borderId="5" xfId="2" applyFont="1" applyBorder="1" applyAlignment="1">
      <alignment horizontal="center" wrapText="1"/>
    </xf>
    <xf numFmtId="0" fontId="5" fillId="0" borderId="4" xfId="2" applyFont="1" applyBorder="1" applyAlignment="1">
      <alignment horizontal="center" wrapText="1"/>
    </xf>
    <xf numFmtId="164" fontId="0" fillId="0" borderId="1" xfId="0" applyNumberFormat="1" applyBorder="1" applyAlignment="1">
      <alignment horizontal="center" wrapText="1"/>
    </xf>
    <xf numFmtId="14" fontId="0" fillId="0" borderId="1" xfId="0" applyNumberFormat="1" applyBorder="1"/>
    <xf numFmtId="2" fontId="6" fillId="0" borderId="1" xfId="0" applyNumberFormat="1" applyFont="1" applyBorder="1" applyAlignment="1">
      <alignment horizontal="right" wrapText="1"/>
    </xf>
    <xf numFmtId="0" fontId="10" fillId="0" borderId="5" xfId="2" applyFont="1" applyBorder="1" applyAlignment="1">
      <alignment horizontal="left" wrapText="1"/>
    </xf>
    <xf numFmtId="2" fontId="5" fillId="2" borderId="1" xfId="0" applyNumberFormat="1" applyFont="1" applyFill="1" applyBorder="1"/>
    <xf numFmtId="0" fontId="0" fillId="0" borderId="0" xfId="0" applyAlignment="1">
      <alignment horizontal="center"/>
    </xf>
    <xf numFmtId="0" fontId="10" fillId="0" borderId="5" xfId="2" applyFont="1" applyBorder="1" applyAlignment="1">
      <alignment horizontal="center" wrapText="1"/>
    </xf>
    <xf numFmtId="0" fontId="6" fillId="0" borderId="5" xfId="2" applyBorder="1" applyAlignment="1"/>
    <xf numFmtId="0" fontId="5" fillId="0" borderId="1" xfId="2" applyFont="1" applyBorder="1" applyAlignment="1">
      <alignment horizontal="center" wrapText="1"/>
    </xf>
    <xf numFmtId="0" fontId="5" fillId="0" borderId="1" xfId="2" applyFont="1" applyBorder="1" applyAlignment="1">
      <alignment horizontal="center"/>
    </xf>
    <xf numFmtId="0" fontId="6" fillId="0" borderId="1" xfId="2" applyBorder="1" applyAlignment="1">
      <alignment horizontal="center"/>
    </xf>
    <xf numFmtId="0" fontId="5" fillId="0" borderId="5" xfId="2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5" fillId="0" borderId="4" xfId="2" applyFont="1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6" fillId="0" borderId="0" xfId="2" applyAlignment="1">
      <alignment horizontal="left"/>
    </xf>
    <xf numFmtId="2" fontId="5" fillId="0" borderId="0" xfId="2" applyNumberFormat="1" applyFont="1"/>
    <xf numFmtId="0" fontId="13" fillId="0" borderId="8" xfId="0" applyFont="1" applyFill="1" applyBorder="1"/>
    <xf numFmtId="0" fontId="5" fillId="0" borderId="0" xfId="2" applyFont="1" applyBorder="1" applyAlignment="1">
      <alignment horizontal="center"/>
    </xf>
    <xf numFmtId="0" fontId="6" fillId="0" borderId="0" xfId="2" applyBorder="1" applyAlignment="1">
      <alignment horizontal="center"/>
    </xf>
    <xf numFmtId="0" fontId="7" fillId="0" borderId="0" xfId="2" applyFont="1" applyBorder="1"/>
    <xf numFmtId="0" fontId="6" fillId="0" borderId="0" xfId="2" applyFont="1" applyFill="1" applyBorder="1"/>
    <xf numFmtId="0" fontId="6" fillId="0" borderId="0" xfId="2" applyFont="1" applyBorder="1" applyAlignment="1">
      <alignment horizontal="center"/>
    </xf>
    <xf numFmtId="0" fontId="6" fillId="0" borderId="0" xfId="2" applyFont="1" applyAlignment="1">
      <alignment horizontal="center"/>
    </xf>
    <xf numFmtId="0" fontId="5" fillId="0" borderId="0" xfId="3" applyFont="1"/>
    <xf numFmtId="0" fontId="43" fillId="0" borderId="0" xfId="10" applyFont="1" applyAlignment="1">
      <alignment vertical="center"/>
    </xf>
    <xf numFmtId="2" fontId="43" fillId="0" borderId="0" xfId="10" applyNumberFormat="1" applyFont="1" applyAlignment="1">
      <alignment vertical="center"/>
    </xf>
    <xf numFmtId="0" fontId="45" fillId="0" borderId="0" xfId="10" applyFont="1" applyAlignment="1">
      <alignment vertical="center"/>
    </xf>
    <xf numFmtId="0" fontId="21" fillId="0" borderId="56" xfId="0" applyFont="1" applyBorder="1"/>
    <xf numFmtId="0" fontId="21" fillId="0" borderId="1" xfId="0" applyFont="1" applyBorder="1"/>
    <xf numFmtId="0" fontId="21" fillId="0" borderId="4" xfId="0" applyFont="1" applyBorder="1"/>
    <xf numFmtId="0" fontId="17" fillId="0" borderId="56" xfId="0" applyFont="1" applyBorder="1" applyAlignment="1">
      <alignment wrapText="1"/>
    </xf>
    <xf numFmtId="0" fontId="17" fillId="0" borderId="1" xfId="0" applyFont="1" applyBorder="1" applyAlignment="1">
      <alignment wrapText="1"/>
    </xf>
    <xf numFmtId="0" fontId="17" fillId="0" borderId="57" xfId="0" applyFont="1" applyBorder="1" applyAlignment="1">
      <alignment wrapText="1"/>
    </xf>
    <xf numFmtId="0" fontId="21" fillId="0" borderId="57" xfId="0" applyFont="1" applyBorder="1"/>
    <xf numFmtId="0" fontId="21" fillId="0" borderId="18" xfId="0" applyFont="1" applyBorder="1"/>
    <xf numFmtId="0" fontId="21" fillId="0" borderId="17" xfId="0" applyFont="1" applyBorder="1"/>
    <xf numFmtId="0" fontId="21" fillId="0" borderId="19" xfId="0" applyFont="1" applyBorder="1"/>
    <xf numFmtId="0" fontId="21" fillId="0" borderId="15" xfId="0" applyFont="1" applyBorder="1"/>
    <xf numFmtId="0" fontId="21" fillId="0" borderId="26" xfId="0" applyFont="1" applyBorder="1"/>
    <xf numFmtId="0" fontId="21" fillId="0" borderId="3" xfId="0" applyFont="1" applyBorder="1"/>
    <xf numFmtId="0" fontId="21" fillId="0" borderId="13" xfId="0" applyFont="1" applyBorder="1"/>
    <xf numFmtId="0" fontId="21" fillId="0" borderId="25" xfId="0" applyFont="1" applyBorder="1"/>
    <xf numFmtId="0" fontId="21" fillId="0" borderId="0" xfId="0" applyFont="1" applyBorder="1"/>
    <xf numFmtId="0" fontId="47" fillId="17" borderId="18" xfId="12" applyFont="1" applyFill="1" applyBorder="1" applyAlignment="1">
      <alignment horizontal="right" vertical="center"/>
    </xf>
    <xf numFmtId="0" fontId="47" fillId="17" borderId="17" xfId="12" applyFont="1" applyFill="1" applyBorder="1" applyAlignment="1">
      <alignment horizontal="right" vertical="center"/>
    </xf>
    <xf numFmtId="0" fontId="47" fillId="17" borderId="15" xfId="12" applyFont="1" applyFill="1" applyBorder="1" applyAlignment="1">
      <alignment horizontal="right" vertical="center"/>
    </xf>
    <xf numFmtId="165" fontId="43" fillId="0" borderId="5" xfId="10" applyNumberFormat="1" applyFont="1" applyBorder="1" applyAlignment="1">
      <alignment vertical="center"/>
    </xf>
    <xf numFmtId="165" fontId="43" fillId="0" borderId="54" xfId="10" applyNumberFormat="1" applyFont="1" applyBorder="1" applyAlignment="1">
      <alignment vertical="center"/>
    </xf>
    <xf numFmtId="165" fontId="43" fillId="0" borderId="1" xfId="10" applyNumberFormat="1" applyFont="1" applyBorder="1" applyAlignment="1">
      <alignment vertical="center"/>
    </xf>
    <xf numFmtId="0" fontId="52" fillId="0" borderId="0" xfId="12" applyFont="1" applyAlignment="1">
      <alignment horizontal="left" vertical="center" indent="2"/>
    </xf>
    <xf numFmtId="2" fontId="52" fillId="0" borderId="0" xfId="12" applyNumberFormat="1" applyFont="1" applyAlignment="1">
      <alignment horizontal="left" vertical="center" indent="2"/>
    </xf>
    <xf numFmtId="0" fontId="53" fillId="0" borderId="0" xfId="10" applyFont="1" applyAlignment="1">
      <alignment horizontal="left" vertical="center" indent="2"/>
    </xf>
    <xf numFmtId="0" fontId="54" fillId="0" borderId="0" xfId="10" applyFont="1" applyAlignment="1">
      <alignment vertical="center"/>
    </xf>
    <xf numFmtId="0" fontId="52" fillId="0" borderId="0" xfId="12" applyFont="1" applyAlignment="1">
      <alignment vertical="center"/>
    </xf>
    <xf numFmtId="2" fontId="52" fillId="0" borderId="0" xfId="12" applyNumberFormat="1" applyFont="1" applyAlignment="1">
      <alignment vertical="center"/>
    </xf>
    <xf numFmtId="0" fontId="53" fillId="0" borderId="0" xfId="10" applyFont="1" applyAlignment="1">
      <alignment vertical="center"/>
    </xf>
    <xf numFmtId="0" fontId="52" fillId="0" borderId="0" xfId="12" applyFont="1" applyAlignment="1">
      <alignment horizontal="left" vertical="center" indent="3"/>
    </xf>
    <xf numFmtId="0" fontId="49" fillId="0" borderId="1" xfId="12" applyFont="1" applyBorder="1" applyAlignment="1">
      <alignment horizontal="left" vertical="center" indent="3"/>
    </xf>
    <xf numFmtId="165" fontId="51" fillId="0" borderId="8" xfId="10" applyNumberFormat="1" applyFont="1" applyBorder="1" applyAlignment="1">
      <alignment vertical="center"/>
    </xf>
    <xf numFmtId="0" fontId="56" fillId="0" borderId="0" xfId="10" applyFont="1" applyBorder="1" applyAlignment="1">
      <alignment vertical="center"/>
    </xf>
    <xf numFmtId="2" fontId="56" fillId="0" borderId="0" xfId="10" applyNumberFormat="1" applyFont="1" applyBorder="1" applyAlignment="1">
      <alignment vertical="center"/>
    </xf>
    <xf numFmtId="0" fontId="43" fillId="0" borderId="0" xfId="10" applyFont="1" applyBorder="1" applyAlignment="1">
      <alignment vertical="center"/>
    </xf>
    <xf numFmtId="0" fontId="57" fillId="0" borderId="0" xfId="10" applyFont="1" applyBorder="1" applyAlignment="1">
      <alignment horizontal="right" vertical="center"/>
    </xf>
    <xf numFmtId="0" fontId="57" fillId="0" borderId="0" xfId="10" applyFont="1" applyBorder="1" applyAlignment="1">
      <alignment vertical="center"/>
    </xf>
    <xf numFmtId="2" fontId="57" fillId="0" borderId="0" xfId="10" applyNumberFormat="1" applyFont="1" applyBorder="1" applyAlignment="1">
      <alignment vertical="center"/>
    </xf>
    <xf numFmtId="0" fontId="43" fillId="0" borderId="0" xfId="10" applyFont="1" applyFill="1" applyBorder="1" applyAlignment="1">
      <alignment vertical="center"/>
    </xf>
    <xf numFmtId="167" fontId="53" fillId="0" borderId="0" xfId="10" applyNumberFormat="1" applyFont="1" applyBorder="1" applyAlignment="1">
      <alignment vertical="center"/>
    </xf>
    <xf numFmtId="0" fontId="53" fillId="0" borderId="0" xfId="10" applyFont="1" applyBorder="1" applyAlignment="1">
      <alignment vertical="center"/>
    </xf>
    <xf numFmtId="2" fontId="51" fillId="0" borderId="0" xfId="10" applyNumberFormat="1" applyFont="1" applyBorder="1" applyAlignment="1">
      <alignment vertical="center"/>
    </xf>
    <xf numFmtId="0" fontId="51" fillId="0" borderId="0" xfId="10" applyFont="1" applyBorder="1" applyAlignment="1">
      <alignment vertical="center"/>
    </xf>
    <xf numFmtId="2" fontId="43" fillId="0" borderId="0" xfId="10" applyNumberFormat="1" applyFont="1" applyBorder="1" applyAlignment="1">
      <alignment vertical="center"/>
    </xf>
    <xf numFmtId="0" fontId="52" fillId="0" borderId="0" xfId="12" applyFont="1" applyBorder="1" applyAlignment="1">
      <alignment horizontal="left" vertical="center" indent="2"/>
    </xf>
    <xf numFmtId="2" fontId="52" fillId="0" borderId="0" xfId="12" applyNumberFormat="1" applyFont="1" applyBorder="1" applyAlignment="1">
      <alignment horizontal="left" vertical="center" indent="2"/>
    </xf>
    <xf numFmtId="0" fontId="53" fillId="0" borderId="0" xfId="10" applyFont="1" applyBorder="1" applyAlignment="1">
      <alignment horizontal="left" vertical="center" indent="2"/>
    </xf>
    <xf numFmtId="2" fontId="47" fillId="0" borderId="11" xfId="12" applyNumberFormat="1" applyFont="1" applyFill="1" applyBorder="1" applyAlignment="1">
      <alignment horizontal="center" vertical="center" wrapText="1"/>
    </xf>
    <xf numFmtId="0" fontId="47" fillId="0" borderId="39" xfId="12" applyFont="1" applyFill="1" applyBorder="1" applyAlignment="1">
      <alignment horizontal="right" vertical="center"/>
    </xf>
    <xf numFmtId="0" fontId="47" fillId="0" borderId="8" xfId="12" applyFont="1" applyFill="1" applyBorder="1" applyAlignment="1">
      <alignment horizontal="right" vertical="center"/>
    </xf>
    <xf numFmtId="0" fontId="47" fillId="0" borderId="37" xfId="12" applyFont="1" applyFill="1" applyBorder="1" applyAlignment="1">
      <alignment horizontal="right" vertical="center"/>
    </xf>
    <xf numFmtId="2" fontId="47" fillId="0" borderId="0" xfId="12" applyNumberFormat="1" applyFont="1" applyFill="1" applyBorder="1" applyAlignment="1">
      <alignment horizontal="center" vertical="center" wrapText="1"/>
    </xf>
    <xf numFmtId="165" fontId="49" fillId="0" borderId="72" xfId="12" applyNumberFormat="1" applyFont="1" applyBorder="1" applyAlignment="1">
      <alignment horizontal="center" vertical="center"/>
    </xf>
    <xf numFmtId="165" fontId="43" fillId="0" borderId="53" xfId="10" applyNumberFormat="1" applyFont="1" applyBorder="1" applyAlignment="1">
      <alignment vertical="center"/>
    </xf>
    <xf numFmtId="169" fontId="43" fillId="0" borderId="5" xfId="10" applyNumberFormat="1" applyFont="1" applyBorder="1" applyAlignment="1">
      <alignment vertical="center"/>
    </xf>
    <xf numFmtId="169" fontId="43" fillId="0" borderId="54" xfId="10" applyNumberFormat="1" applyFont="1" applyBorder="1" applyAlignment="1">
      <alignment vertical="center"/>
    </xf>
    <xf numFmtId="166" fontId="43" fillId="0" borderId="5" xfId="10" applyNumberFormat="1" applyFont="1" applyBorder="1" applyAlignment="1">
      <alignment vertical="center"/>
    </xf>
    <xf numFmtId="165" fontId="49" fillId="0" borderId="4" xfId="12" applyNumberFormat="1" applyFont="1" applyBorder="1" applyAlignment="1">
      <alignment horizontal="center" vertical="center"/>
    </xf>
    <xf numFmtId="165" fontId="43" fillId="0" borderId="56" xfId="10" applyNumberFormat="1" applyFont="1" applyBorder="1" applyAlignment="1">
      <alignment vertical="center"/>
    </xf>
    <xf numFmtId="169" fontId="43" fillId="0" borderId="1" xfId="10" applyNumberFormat="1" applyFont="1" applyBorder="1" applyAlignment="1">
      <alignment vertical="center"/>
    </xf>
    <xf numFmtId="169" fontId="43" fillId="0" borderId="57" xfId="10" applyNumberFormat="1" applyFont="1" applyBorder="1" applyAlignment="1">
      <alignment vertical="center"/>
    </xf>
    <xf numFmtId="165" fontId="49" fillId="0" borderId="1" xfId="12" applyNumberFormat="1" applyFont="1" applyBorder="1" applyAlignment="1">
      <alignment horizontal="center" vertical="center"/>
    </xf>
    <xf numFmtId="0" fontId="45" fillId="0" borderId="36" xfId="10" applyFont="1" applyBorder="1" applyAlignment="1">
      <alignment vertical="center"/>
    </xf>
    <xf numFmtId="0" fontId="45" fillId="0" borderId="91" xfId="10" applyFont="1" applyBorder="1" applyAlignment="1">
      <alignment vertical="center"/>
    </xf>
    <xf numFmtId="11" fontId="0" fillId="0" borderId="0" xfId="0" applyNumberFormat="1" applyAlignment="1">
      <alignment horizontal="center" wrapText="1"/>
    </xf>
    <xf numFmtId="0" fontId="0" fillId="0" borderId="0" xfId="0" applyAlignment="1">
      <alignment horizontal="center"/>
    </xf>
    <xf numFmtId="0" fontId="10" fillId="0" borderId="5" xfId="2" applyFont="1" applyBorder="1" applyAlignment="1">
      <alignment horizontal="center" wrapText="1"/>
    </xf>
    <xf numFmtId="0" fontId="5" fillId="0" borderId="1" xfId="2" applyFont="1" applyBorder="1" applyAlignment="1">
      <alignment horizontal="center" wrapText="1"/>
    </xf>
    <xf numFmtId="0" fontId="5" fillId="0" borderId="1" xfId="2" applyFont="1" applyBorder="1" applyAlignment="1">
      <alignment horizontal="center"/>
    </xf>
    <xf numFmtId="0" fontId="6" fillId="0" borderId="1" xfId="2" applyBorder="1" applyAlignment="1">
      <alignment horizontal="center"/>
    </xf>
    <xf numFmtId="0" fontId="5" fillId="0" borderId="5" xfId="2" applyFont="1" applyBorder="1" applyAlignment="1">
      <alignment horizontal="center" wrapText="1"/>
    </xf>
    <xf numFmtId="0" fontId="5" fillId="0" borderId="4" xfId="2" applyFont="1" applyBorder="1" applyAlignment="1">
      <alignment horizontal="center" wrapText="1"/>
    </xf>
    <xf numFmtId="0" fontId="0" fillId="0" borderId="0" xfId="0" applyAlignment="1">
      <alignment horizontal="center"/>
    </xf>
    <xf numFmtId="0" fontId="5" fillId="0" borderId="1" xfId="2" applyFont="1" applyBorder="1" applyAlignment="1">
      <alignment horizontal="center" wrapText="1"/>
    </xf>
    <xf numFmtId="0" fontId="5" fillId="0" borderId="1" xfId="2" applyFont="1" applyBorder="1" applyAlignment="1">
      <alignment horizontal="center"/>
    </xf>
    <xf numFmtId="0" fontId="6" fillId="0" borderId="1" xfId="2" applyBorder="1" applyAlignment="1">
      <alignment horizontal="center"/>
    </xf>
    <xf numFmtId="0" fontId="5" fillId="0" borderId="5" xfId="2" applyFont="1" applyBorder="1" applyAlignment="1">
      <alignment horizontal="center" wrapText="1"/>
    </xf>
    <xf numFmtId="0" fontId="5" fillId="0" borderId="4" xfId="2" applyFont="1" applyBorder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0" fillId="0" borderId="5" xfId="2" applyFont="1" applyBorder="1" applyAlignment="1">
      <alignment horizontal="center" wrapText="1"/>
    </xf>
    <xf numFmtId="0" fontId="5" fillId="0" borderId="1" xfId="2" applyFont="1" applyBorder="1" applyAlignment="1">
      <alignment horizontal="center" wrapText="1"/>
    </xf>
    <xf numFmtId="0" fontId="5" fillId="0" borderId="1" xfId="2" applyFont="1" applyBorder="1" applyAlignment="1">
      <alignment horizontal="center"/>
    </xf>
    <xf numFmtId="0" fontId="6" fillId="0" borderId="1" xfId="2" applyBorder="1" applyAlignment="1">
      <alignment horizontal="center"/>
    </xf>
    <xf numFmtId="0" fontId="5" fillId="0" borderId="5" xfId="2" applyFont="1" applyBorder="1" applyAlignment="1">
      <alignment horizontal="center" wrapText="1"/>
    </xf>
    <xf numFmtId="0" fontId="5" fillId="0" borderId="4" xfId="2" applyFont="1" applyBorder="1" applyAlignment="1">
      <alignment horizontal="center" wrapText="1"/>
    </xf>
    <xf numFmtId="0" fontId="5" fillId="0" borderId="0" xfId="2" applyFont="1" applyBorder="1" applyAlignment="1">
      <alignment horizontal="center"/>
    </xf>
    <xf numFmtId="0" fontId="6" fillId="0" borderId="0" xfId="2" applyBorder="1" applyAlignment="1">
      <alignment horizontal="center"/>
    </xf>
    <xf numFmtId="0" fontId="0" fillId="0" borderId="0" xfId="0" applyAlignment="1">
      <alignment horizontal="center"/>
    </xf>
    <xf numFmtId="0" fontId="5" fillId="0" borderId="1" xfId="2" applyFont="1" applyBorder="1" applyAlignment="1">
      <alignment horizontal="center" wrapText="1"/>
    </xf>
    <xf numFmtId="0" fontId="5" fillId="0" borderId="1" xfId="2" applyFont="1" applyBorder="1" applyAlignment="1">
      <alignment horizontal="center"/>
    </xf>
    <xf numFmtId="0" fontId="6" fillId="0" borderId="1" xfId="2" applyBorder="1" applyAlignment="1">
      <alignment horizontal="center"/>
    </xf>
    <xf numFmtId="0" fontId="5" fillId="0" borderId="5" xfId="2" applyFont="1" applyBorder="1" applyAlignment="1">
      <alignment horizontal="center" wrapText="1"/>
    </xf>
    <xf numFmtId="0" fontId="5" fillId="0" borderId="4" xfId="2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166" fontId="6" fillId="0" borderId="5" xfId="0" applyNumberFormat="1" applyFont="1" applyBorder="1" applyAlignment="1">
      <alignment horizontal="center" wrapText="1"/>
    </xf>
    <xf numFmtId="0" fontId="6" fillId="0" borderId="5" xfId="0" applyFont="1" applyFill="1" applyBorder="1"/>
    <xf numFmtId="1" fontId="6" fillId="0" borderId="5" xfId="0" applyNumberFormat="1" applyFont="1" applyBorder="1" applyAlignment="1">
      <alignment horizontal="center"/>
    </xf>
    <xf numFmtId="166" fontId="6" fillId="0" borderId="5" xfId="0" applyNumberFormat="1" applyFont="1" applyFill="1" applyBorder="1" applyAlignment="1">
      <alignment horizontal="center"/>
    </xf>
    <xf numFmtId="0" fontId="60" fillId="0" borderId="1" xfId="0" applyFont="1" applyFill="1" applyBorder="1" applyAlignment="1">
      <alignment horizontal="center"/>
    </xf>
    <xf numFmtId="0" fontId="5" fillId="0" borderId="1" xfId="2" applyFont="1" applyBorder="1" applyAlignment="1">
      <alignment horizontal="center" wrapText="1"/>
    </xf>
    <xf numFmtId="0" fontId="6" fillId="0" borderId="1" xfId="2" applyBorder="1" applyAlignment="1">
      <alignment horizontal="center"/>
    </xf>
    <xf numFmtId="0" fontId="5" fillId="0" borderId="5" xfId="2" applyFont="1" applyBorder="1" applyAlignment="1">
      <alignment horizontal="center" wrapText="1"/>
    </xf>
    <xf numFmtId="0" fontId="5" fillId="0" borderId="1" xfId="2" applyFont="1" applyBorder="1" applyAlignment="1">
      <alignment horizontal="center" wrapText="1"/>
    </xf>
    <xf numFmtId="0" fontId="6" fillId="0" borderId="1" xfId="2" applyBorder="1" applyAlignment="1">
      <alignment horizontal="center"/>
    </xf>
    <xf numFmtId="0" fontId="5" fillId="0" borderId="5" xfId="2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166" fontId="6" fillId="0" borderId="5" xfId="0" applyNumberFormat="1" applyFont="1" applyFill="1" applyBorder="1" applyAlignment="1">
      <alignment horizontal="center" wrapText="1"/>
    </xf>
    <xf numFmtId="2" fontId="6" fillId="0" borderId="0" xfId="2" applyNumberFormat="1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10" fillId="0" borderId="5" xfId="2" applyFont="1" applyBorder="1" applyAlignment="1">
      <alignment horizontal="center" wrapText="1"/>
    </xf>
    <xf numFmtId="0" fontId="5" fillId="0" borderId="1" xfId="2" applyFont="1" applyBorder="1" applyAlignment="1">
      <alignment horizontal="center" wrapText="1"/>
    </xf>
    <xf numFmtId="0" fontId="5" fillId="0" borderId="1" xfId="2" applyFont="1" applyBorder="1" applyAlignment="1">
      <alignment horizontal="center"/>
    </xf>
    <xf numFmtId="0" fontId="6" fillId="0" borderId="1" xfId="2" applyBorder="1" applyAlignment="1">
      <alignment horizontal="center"/>
    </xf>
    <xf numFmtId="0" fontId="5" fillId="0" borderId="5" xfId="2" applyFont="1" applyBorder="1" applyAlignment="1">
      <alignment horizontal="center" wrapText="1"/>
    </xf>
    <xf numFmtId="0" fontId="5" fillId="0" borderId="4" xfId="2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10" fillId="0" borderId="5" xfId="2" applyFont="1" applyBorder="1" applyAlignment="1">
      <alignment horizontal="center" wrapText="1"/>
    </xf>
    <xf numFmtId="0" fontId="5" fillId="0" borderId="1" xfId="2" applyFont="1" applyBorder="1" applyAlignment="1">
      <alignment horizontal="center" wrapText="1"/>
    </xf>
    <xf numFmtId="0" fontId="5" fillId="0" borderId="1" xfId="2" applyFont="1" applyBorder="1" applyAlignment="1">
      <alignment horizontal="center"/>
    </xf>
    <xf numFmtId="0" fontId="6" fillId="0" borderId="1" xfId="2" applyBorder="1" applyAlignment="1">
      <alignment horizontal="center"/>
    </xf>
    <xf numFmtId="0" fontId="5" fillId="0" borderId="5" xfId="2" applyFont="1" applyBorder="1" applyAlignment="1">
      <alignment horizontal="center" wrapText="1"/>
    </xf>
    <xf numFmtId="0" fontId="5" fillId="0" borderId="4" xfId="2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6" fillId="0" borderId="11" xfId="2" applyBorder="1"/>
    <xf numFmtId="0" fontId="6" fillId="0" borderId="11" xfId="2" applyFont="1" applyBorder="1" applyAlignment="1">
      <alignment horizontal="center" vertical="top" wrapText="1"/>
    </xf>
    <xf numFmtId="14" fontId="6" fillId="0" borderId="1" xfId="0" applyNumberFormat="1" applyFont="1" applyBorder="1" applyAlignment="1">
      <alignment horizontal="right" wrapText="1"/>
    </xf>
    <xf numFmtId="0" fontId="6" fillId="0" borderId="1" xfId="2" applyBorder="1" applyAlignment="1">
      <alignment horizontal="center"/>
    </xf>
    <xf numFmtId="164" fontId="5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2" fontId="5" fillId="0" borderId="0" xfId="0" applyNumberFormat="1" applyFont="1" applyFill="1" applyAlignment="1">
      <alignment horizontal="center"/>
    </xf>
    <xf numFmtId="0" fontId="5" fillId="0" borderId="4" xfId="2" applyFont="1" applyBorder="1" applyAlignment="1">
      <alignment horizontal="center"/>
    </xf>
    <xf numFmtId="0" fontId="5" fillId="0" borderId="9" xfId="2" applyFont="1" applyBorder="1" applyAlignment="1">
      <alignment horizontal="center"/>
    </xf>
    <xf numFmtId="0" fontId="6" fillId="0" borderId="9" xfId="2" applyBorder="1" applyAlignment="1">
      <alignment horizontal="center"/>
    </xf>
    <xf numFmtId="0" fontId="0" fillId="0" borderId="2" xfId="0" applyBorder="1" applyAlignment="1">
      <alignment horizontal="center"/>
    </xf>
    <xf numFmtId="0" fontId="10" fillId="0" borderId="3" xfId="2" applyFont="1" applyBorder="1" applyAlignment="1">
      <alignment horizontal="center" wrapText="1"/>
    </xf>
    <xf numFmtId="0" fontId="10" fillId="0" borderId="5" xfId="2" applyFont="1" applyBorder="1" applyAlignment="1">
      <alignment horizontal="center" wrapText="1"/>
    </xf>
    <xf numFmtId="0" fontId="6" fillId="0" borderId="5" xfId="2" applyBorder="1" applyAlignment="1"/>
    <xf numFmtId="0" fontId="5" fillId="0" borderId="1" xfId="2" applyFont="1" applyBorder="1" applyAlignment="1">
      <alignment horizontal="center" wrapText="1"/>
    </xf>
    <xf numFmtId="0" fontId="6" fillId="0" borderId="1" xfId="2" applyBorder="1" applyAlignment="1">
      <alignment horizontal="center" wrapText="1"/>
    </xf>
    <xf numFmtId="0" fontId="5" fillId="0" borderId="1" xfId="2" applyFont="1" applyBorder="1" applyAlignment="1">
      <alignment horizontal="center"/>
    </xf>
    <xf numFmtId="0" fontId="6" fillId="0" borderId="1" xfId="2" applyBorder="1" applyAlignment="1">
      <alignment horizontal="center"/>
    </xf>
    <xf numFmtId="0" fontId="5" fillId="0" borderId="3" xfId="2" applyFont="1" applyBorder="1" applyAlignment="1">
      <alignment horizontal="center" wrapText="1"/>
    </xf>
    <xf numFmtId="0" fontId="5" fillId="0" borderId="5" xfId="2" applyFont="1" applyBorder="1" applyAlignment="1">
      <alignment horizontal="center" wrapText="1"/>
    </xf>
    <xf numFmtId="0" fontId="0" fillId="0" borderId="9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5" fillId="0" borderId="4" xfId="2" applyFont="1" applyBorder="1" applyAlignment="1">
      <alignment horizontal="center" wrapText="1"/>
    </xf>
    <xf numFmtId="0" fontId="5" fillId="0" borderId="2" xfId="2" applyFont="1" applyBorder="1" applyAlignment="1">
      <alignment horizontal="center" wrapText="1"/>
    </xf>
    <xf numFmtId="0" fontId="19" fillId="5" borderId="33" xfId="4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22" fillId="5" borderId="28" xfId="4" applyFont="1" applyFill="1" applyBorder="1" applyAlignment="1">
      <alignment horizontal="left" vertical="center" wrapText="1"/>
    </xf>
    <xf numFmtId="0" fontId="22" fillId="5" borderId="29" xfId="4" applyFont="1" applyFill="1" applyBorder="1" applyAlignment="1">
      <alignment horizontal="left" vertical="center" wrapText="1"/>
    </xf>
    <xf numFmtId="0" fontId="19" fillId="5" borderId="22" xfId="4" applyFont="1" applyFill="1" applyBorder="1" applyAlignment="1">
      <alignment horizontal="center" vertical="center" wrapText="1"/>
    </xf>
    <xf numFmtId="0" fontId="21" fillId="5" borderId="17" xfId="4" applyFont="1" applyFill="1" applyBorder="1" applyAlignment="1">
      <alignment horizontal="center" vertical="center" wrapText="1"/>
    </xf>
    <xf numFmtId="0" fontId="22" fillId="5" borderId="22" xfId="4" applyFont="1" applyFill="1" applyBorder="1" applyAlignment="1">
      <alignment horizontal="center" vertical="center" wrapText="1"/>
    </xf>
    <xf numFmtId="0" fontId="4" fillId="5" borderId="17" xfId="4" applyFont="1" applyFill="1" applyBorder="1" applyAlignment="1">
      <alignment horizontal="center" vertical="center" wrapText="1"/>
    </xf>
    <xf numFmtId="0" fontId="27" fillId="5" borderId="52" xfId="4" applyFont="1" applyFill="1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50" xfId="0" applyBorder="1" applyAlignment="1">
      <alignment horizontal="center"/>
    </xf>
    <xf numFmtId="0" fontId="27" fillId="5" borderId="44" xfId="4" applyFont="1" applyFill="1" applyBorder="1" applyAlignment="1">
      <alignment horizontal="center" wrapText="1"/>
    </xf>
    <xf numFmtId="0" fontId="24" fillId="5" borderId="49" xfId="4" applyFont="1" applyFill="1" applyBorder="1" applyAlignment="1">
      <alignment horizontal="center" wrapText="1"/>
    </xf>
    <xf numFmtId="0" fontId="27" fillId="5" borderId="22" xfId="4" applyFont="1" applyFill="1" applyBorder="1" applyAlignment="1">
      <alignment horizontal="center" wrapText="1"/>
    </xf>
    <xf numFmtId="0" fontId="24" fillId="5" borderId="17" xfId="4" applyFont="1" applyFill="1" applyBorder="1" applyAlignment="1">
      <alignment horizontal="center" wrapText="1"/>
    </xf>
    <xf numFmtId="0" fontId="27" fillId="5" borderId="17" xfId="4" applyFont="1" applyFill="1" applyBorder="1" applyAlignment="1">
      <alignment horizontal="center" wrapText="1"/>
    </xf>
    <xf numFmtId="0" fontId="27" fillId="5" borderId="24" xfId="4" applyFont="1" applyFill="1" applyBorder="1" applyAlignment="1">
      <alignment horizontal="center" wrapText="1"/>
    </xf>
    <xf numFmtId="0" fontId="24" fillId="5" borderId="19" xfId="4" applyFont="1" applyFill="1" applyBorder="1" applyAlignment="1">
      <alignment horizontal="center" wrapText="1"/>
    </xf>
    <xf numFmtId="0" fontId="47" fillId="17" borderId="23" xfId="10" applyFont="1" applyFill="1" applyBorder="1" applyAlignment="1">
      <alignment horizontal="center" vertical="center"/>
    </xf>
    <xf numFmtId="0" fontId="47" fillId="17" borderId="22" xfId="10" applyFont="1" applyFill="1" applyBorder="1" applyAlignment="1">
      <alignment horizontal="center" vertical="center"/>
    </xf>
    <xf numFmtId="0" fontId="47" fillId="17" borderId="20" xfId="10" applyFont="1" applyFill="1" applyBorder="1" applyAlignment="1">
      <alignment horizontal="center" vertical="center"/>
    </xf>
    <xf numFmtId="0" fontId="17" fillId="0" borderId="23" xfId="0" applyFont="1" applyBorder="1" applyAlignment="1"/>
    <xf numFmtId="0" fontId="17" fillId="0" borderId="22" xfId="0" applyFont="1" applyBorder="1" applyAlignment="1"/>
    <xf numFmtId="0" fontId="17" fillId="0" borderId="20" xfId="0" applyFont="1" applyBorder="1" applyAlignment="1"/>
    <xf numFmtId="0" fontId="21" fillId="0" borderId="56" xfId="0" applyFont="1" applyBorder="1" applyAlignment="1"/>
    <xf numFmtId="0" fontId="21" fillId="0" borderId="1" xfId="0" applyFont="1" applyBorder="1" applyAlignment="1"/>
    <xf numFmtId="0" fontId="46" fillId="0" borderId="90" xfId="12" applyFont="1" applyBorder="1" applyAlignment="1">
      <alignment horizontal="right" vertical="center"/>
    </xf>
    <xf numFmtId="0" fontId="46" fillId="0" borderId="46" xfId="12" applyFont="1" applyBorder="1" applyAlignment="1">
      <alignment horizontal="right" vertical="center"/>
    </xf>
    <xf numFmtId="0" fontId="47" fillId="17" borderId="28" xfId="12" applyFont="1" applyFill="1" applyBorder="1" applyAlignment="1">
      <alignment horizontal="center" vertical="center"/>
    </xf>
    <xf numFmtId="0" fontId="47" fillId="17" borderId="41" xfId="12" applyFont="1" applyFill="1" applyBorder="1" applyAlignment="1">
      <alignment horizontal="center" vertical="center"/>
    </xf>
    <xf numFmtId="0" fontId="47" fillId="17" borderId="29" xfId="12" applyFont="1" applyFill="1" applyBorder="1" applyAlignment="1">
      <alignment horizontal="center" vertical="center"/>
    </xf>
    <xf numFmtId="0" fontId="47" fillId="17" borderId="89" xfId="12" applyFont="1" applyFill="1" applyBorder="1" applyAlignment="1">
      <alignment horizontal="center" vertical="center"/>
    </xf>
    <xf numFmtId="0" fontId="49" fillId="0" borderId="69" xfId="12" applyFont="1" applyBorder="1" applyAlignment="1">
      <alignment horizontal="left" vertical="center" indent="3"/>
    </xf>
    <xf numFmtId="0" fontId="49" fillId="0" borderId="7" xfId="12" applyFont="1" applyBorder="1" applyAlignment="1">
      <alignment horizontal="left" vertical="center" indent="3"/>
    </xf>
    <xf numFmtId="0" fontId="17" fillId="0" borderId="22" xfId="0" applyFont="1" applyBorder="1" applyAlignment="1">
      <alignment wrapText="1"/>
    </xf>
    <xf numFmtId="0" fontId="21" fillId="0" borderId="1" xfId="0" applyFont="1" applyBorder="1" applyAlignment="1">
      <alignment wrapText="1"/>
    </xf>
    <xf numFmtId="0" fontId="17" fillId="0" borderId="20" xfId="0" applyFont="1" applyBorder="1" applyAlignment="1">
      <alignment wrapText="1"/>
    </xf>
    <xf numFmtId="0" fontId="21" fillId="0" borderId="57" xfId="0" applyFont="1" applyBorder="1" applyAlignment="1">
      <alignment wrapText="1"/>
    </xf>
    <xf numFmtId="0" fontId="17" fillId="0" borderId="21" xfId="0" applyFont="1" applyBorder="1" applyAlignment="1"/>
    <xf numFmtId="0" fontId="44" fillId="0" borderId="0" xfId="11" applyFont="1" applyAlignment="1">
      <alignment horizontal="center" vertical="center"/>
    </xf>
    <xf numFmtId="0" fontId="49" fillId="0" borderId="53" xfId="12" applyFont="1" applyBorder="1" applyAlignment="1">
      <alignment horizontal="left" vertical="center" indent="3"/>
    </xf>
    <xf numFmtId="0" fontId="49" fillId="0" borderId="5" xfId="12" applyFont="1" applyBorder="1" applyAlignment="1">
      <alignment horizontal="left" vertical="center" indent="3"/>
    </xf>
    <xf numFmtId="1" fontId="49" fillId="0" borderId="0" xfId="12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49" fillId="0" borderId="56" xfId="12" applyFont="1" applyBorder="1" applyAlignment="1">
      <alignment horizontal="left" vertical="center" indent="3"/>
    </xf>
    <xf numFmtId="0" fontId="49" fillId="0" borderId="1" xfId="12" applyFont="1" applyBorder="1" applyAlignment="1">
      <alignment horizontal="left" vertical="center" indent="3"/>
    </xf>
    <xf numFmtId="2" fontId="50" fillId="0" borderId="29" xfId="12" applyNumberFormat="1" applyFont="1" applyBorder="1" applyAlignment="1">
      <alignment horizontal="right" vertical="center"/>
    </xf>
    <xf numFmtId="2" fontId="50" fillId="0" borderId="89" xfId="12" applyNumberFormat="1" applyFont="1" applyBorder="1" applyAlignment="1">
      <alignment horizontal="right" vertical="center"/>
    </xf>
    <xf numFmtId="0" fontId="55" fillId="0" borderId="0" xfId="10" applyFont="1" applyAlignment="1">
      <alignment horizontal="center" vertical="center"/>
    </xf>
    <xf numFmtId="0" fontId="56" fillId="0" borderId="0" xfId="10" applyFont="1" applyBorder="1" applyAlignment="1">
      <alignment vertical="center"/>
    </xf>
    <xf numFmtId="0" fontId="47" fillId="17" borderId="23" xfId="12" applyFont="1" applyFill="1" applyBorder="1" applyAlignment="1">
      <alignment horizontal="center" vertical="center"/>
    </xf>
    <xf numFmtId="0" fontId="47" fillId="17" borderId="22" xfId="12" applyFont="1" applyFill="1" applyBorder="1" applyAlignment="1">
      <alignment horizontal="center" vertical="center"/>
    </xf>
    <xf numFmtId="0" fontId="47" fillId="17" borderId="18" xfId="12" applyFont="1" applyFill="1" applyBorder="1" applyAlignment="1">
      <alignment horizontal="center" vertical="center"/>
    </xf>
    <xf numFmtId="0" fontId="47" fillId="17" borderId="17" xfId="12" applyFont="1" applyFill="1" applyBorder="1" applyAlignment="1">
      <alignment horizontal="center" vertical="center"/>
    </xf>
    <xf numFmtId="2" fontId="47" fillId="17" borderId="24" xfId="12" applyNumberFormat="1" applyFont="1" applyFill="1" applyBorder="1" applyAlignment="1">
      <alignment horizontal="center" vertical="center" wrapText="1"/>
    </xf>
    <xf numFmtId="2" fontId="47" fillId="17" borderId="19" xfId="12" applyNumberFormat="1" applyFont="1" applyFill="1" applyBorder="1" applyAlignment="1">
      <alignment horizontal="center" vertical="center" wrapText="1"/>
    </xf>
    <xf numFmtId="0" fontId="47" fillId="17" borderId="52" xfId="10" applyFont="1" applyFill="1" applyBorder="1" applyAlignment="1">
      <alignment horizontal="center" vertical="center"/>
    </xf>
    <xf numFmtId="0" fontId="47" fillId="17" borderId="51" xfId="10" applyFont="1" applyFill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2" fontId="47" fillId="17" borderId="51" xfId="12" applyNumberFormat="1" applyFont="1" applyFill="1" applyBorder="1" applyAlignment="1">
      <alignment horizontal="center" vertical="center" wrapText="1"/>
    </xf>
    <xf numFmtId="2" fontId="47" fillId="17" borderId="92" xfId="12" applyNumberFormat="1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39" fillId="0" borderId="11" xfId="7" applyFont="1" applyBorder="1" applyAlignment="1">
      <alignment horizontal="left" vertical="center"/>
    </xf>
    <xf numFmtId="0" fontId="39" fillId="0" borderId="11" xfId="7" applyFont="1" applyBorder="1" applyAlignment="1">
      <alignment vertical="center"/>
    </xf>
    <xf numFmtId="0" fontId="38" fillId="0" borderId="0" xfId="7" applyFont="1" applyAlignment="1">
      <alignment horizontal="center" wrapText="1"/>
    </xf>
    <xf numFmtId="0" fontId="33" fillId="6" borderId="67" xfId="7" applyFont="1" applyFill="1" applyBorder="1" applyAlignment="1">
      <alignment horizontal="center" vertical="center" wrapText="1"/>
    </xf>
    <xf numFmtId="0" fontId="33" fillId="0" borderId="67" xfId="7" applyFont="1" applyBorder="1" applyAlignment="1">
      <alignment horizontal="center" vertical="center" wrapText="1"/>
    </xf>
    <xf numFmtId="0" fontId="18" fillId="11" borderId="73" xfId="7" applyFont="1" applyFill="1" applyBorder="1" applyAlignment="1">
      <alignment horizontal="center" vertical="center" wrapText="1"/>
    </xf>
    <xf numFmtId="0" fontId="18" fillId="0" borderId="87" xfId="7" applyFont="1" applyBorder="1" applyAlignment="1">
      <alignment horizontal="center" vertical="center" wrapText="1"/>
    </xf>
    <xf numFmtId="0" fontId="18" fillId="0" borderId="74" xfId="7" applyFont="1" applyBorder="1" applyAlignment="1">
      <alignment horizontal="center" vertical="center" wrapText="1"/>
    </xf>
    <xf numFmtId="0" fontId="18" fillId="11" borderId="73" xfId="7" applyFont="1" applyFill="1" applyBorder="1" applyAlignment="1">
      <alignment horizontal="left" vertical="center" wrapText="1"/>
    </xf>
    <xf numFmtId="0" fontId="18" fillId="11" borderId="76" xfId="7" applyFont="1" applyFill="1" applyBorder="1" applyAlignment="1">
      <alignment horizontal="left" vertical="center" wrapText="1"/>
    </xf>
    <xf numFmtId="0" fontId="18" fillId="11" borderId="74" xfId="7" applyFont="1" applyFill="1" applyBorder="1" applyAlignment="1">
      <alignment horizontal="left" vertical="center" wrapText="1"/>
    </xf>
    <xf numFmtId="0" fontId="42" fillId="0" borderId="0" xfId="7" applyFont="1" applyAlignment="1">
      <alignment wrapText="1"/>
    </xf>
    <xf numFmtId="0" fontId="19" fillId="0" borderId="0" xfId="7" applyFont="1" applyAlignment="1">
      <alignment wrapText="1"/>
    </xf>
    <xf numFmtId="0" fontId="38" fillId="5" borderId="23" xfId="7" applyFont="1" applyFill="1" applyBorder="1" applyAlignment="1">
      <alignment horizontal="center" wrapText="1"/>
    </xf>
    <xf numFmtId="0" fontId="38" fillId="5" borderId="22" xfId="7" applyFont="1" applyFill="1" applyBorder="1" applyAlignment="1">
      <alignment horizontal="center"/>
    </xf>
    <xf numFmtId="0" fontId="38" fillId="5" borderId="20" xfId="7" applyFont="1" applyFill="1" applyBorder="1" applyAlignment="1">
      <alignment horizontal="center"/>
    </xf>
    <xf numFmtId="0" fontId="18" fillId="6" borderId="78" xfId="7" applyFont="1" applyFill="1" applyBorder="1" applyAlignment="1">
      <alignment horizontal="center" vertical="center" wrapText="1"/>
    </xf>
    <xf numFmtId="0" fontId="18" fillId="0" borderId="79" xfId="7" applyFont="1" applyBorder="1" applyAlignment="1">
      <alignment horizontal="center" vertical="center" wrapText="1"/>
    </xf>
    <xf numFmtId="0" fontId="18" fillId="0" borderId="47" xfId="7" applyFont="1" applyBorder="1" applyAlignment="1">
      <alignment horizontal="center" vertical="center" wrapText="1"/>
    </xf>
    <xf numFmtId="0" fontId="18" fillId="0" borderId="0" xfId="7" applyFont="1" applyBorder="1" applyAlignment="1">
      <alignment horizontal="center" vertical="center" wrapText="1"/>
    </xf>
    <xf numFmtId="0" fontId="18" fillId="0" borderId="10" xfId="7" applyFont="1" applyBorder="1" applyAlignment="1">
      <alignment horizontal="center" vertical="center" wrapText="1"/>
    </xf>
    <xf numFmtId="0" fontId="18" fillId="0" borderId="81" xfId="7" applyFont="1" applyBorder="1" applyAlignment="1">
      <alignment horizontal="center" vertical="center" wrapText="1"/>
    </xf>
    <xf numFmtId="0" fontId="18" fillId="0" borderId="82" xfId="7" applyFont="1" applyBorder="1" applyAlignment="1">
      <alignment horizontal="center" vertical="center" wrapText="1"/>
    </xf>
    <xf numFmtId="0" fontId="18" fillId="0" borderId="83" xfId="7" applyFont="1" applyBorder="1" applyAlignment="1">
      <alignment horizontal="center" vertical="center" wrapText="1"/>
    </xf>
    <xf numFmtId="0" fontId="18" fillId="9" borderId="11" xfId="7" applyFont="1" applyFill="1" applyBorder="1" applyAlignment="1">
      <alignment horizontal="center" vertical="center"/>
    </xf>
    <xf numFmtId="0" fontId="18" fillId="0" borderId="0" xfId="7" applyFont="1" applyBorder="1" applyAlignment="1">
      <alignment vertical="center"/>
    </xf>
    <xf numFmtId="0" fontId="18" fillId="0" borderId="10" xfId="7" applyFont="1" applyBorder="1" applyAlignment="1">
      <alignment vertical="center"/>
    </xf>
    <xf numFmtId="0" fontId="18" fillId="0" borderId="11" xfId="7" applyFont="1" applyBorder="1" applyAlignment="1">
      <alignment vertical="center"/>
    </xf>
    <xf numFmtId="0" fontId="18" fillId="0" borderId="84" xfId="7" applyFont="1" applyBorder="1" applyAlignment="1">
      <alignment vertical="center"/>
    </xf>
    <xf numFmtId="0" fontId="18" fillId="0" borderId="82" xfId="7" applyFont="1" applyBorder="1" applyAlignment="1">
      <alignment vertical="center"/>
    </xf>
    <xf numFmtId="0" fontId="18" fillId="0" borderId="83" xfId="7" applyFont="1" applyBorder="1" applyAlignment="1">
      <alignment vertical="center"/>
    </xf>
    <xf numFmtId="0" fontId="18" fillId="10" borderId="13" xfId="7" applyFont="1" applyFill="1" applyBorder="1" applyAlignment="1">
      <alignment horizontal="center" vertical="center"/>
    </xf>
    <xf numFmtId="0" fontId="18" fillId="0" borderId="14" xfId="7" applyFont="1" applyBorder="1" applyAlignment="1">
      <alignment vertical="center"/>
    </xf>
    <xf numFmtId="0" fontId="18" fillId="0" borderId="6" xfId="7" applyFont="1" applyBorder="1" applyAlignment="1">
      <alignment vertical="center"/>
    </xf>
    <xf numFmtId="0" fontId="18" fillId="13" borderId="13" xfId="7" applyFont="1" applyFill="1" applyBorder="1" applyAlignment="1">
      <alignment horizontal="center" vertical="center"/>
    </xf>
    <xf numFmtId="0" fontId="18" fillId="0" borderId="72" xfId="7" applyFont="1" applyBorder="1" applyAlignment="1">
      <alignment vertical="center"/>
    </xf>
    <xf numFmtId="0" fontId="18" fillId="0" borderId="12" xfId="7" applyFont="1" applyBorder="1" applyAlignment="1">
      <alignment vertical="center"/>
    </xf>
    <xf numFmtId="0" fontId="18" fillId="10" borderId="4" xfId="7" applyFont="1" applyFill="1" applyBorder="1" applyAlignment="1">
      <alignment horizontal="center" vertical="center"/>
    </xf>
    <xf numFmtId="0" fontId="18" fillId="0" borderId="9" xfId="7" applyFont="1" applyBorder="1" applyAlignment="1">
      <alignment vertical="center"/>
    </xf>
    <xf numFmtId="0" fontId="18" fillId="0" borderId="2" xfId="7" applyFont="1" applyBorder="1" applyAlignment="1">
      <alignment vertical="center"/>
    </xf>
    <xf numFmtId="0" fontId="18" fillId="14" borderId="13" xfId="7" applyFont="1" applyFill="1" applyBorder="1" applyAlignment="1">
      <alignment horizontal="center" vertical="center"/>
    </xf>
    <xf numFmtId="0" fontId="18" fillId="0" borderId="7" xfId="7" applyFont="1" applyBorder="1" applyAlignment="1">
      <alignment vertical="center"/>
    </xf>
    <xf numFmtId="0" fontId="18" fillId="13" borderId="85" xfId="7" applyFont="1" applyFill="1" applyBorder="1" applyAlignment="1">
      <alignment horizontal="center" vertical="center"/>
    </xf>
    <xf numFmtId="0" fontId="18" fillId="13" borderId="86" xfId="7" applyFont="1" applyFill="1" applyBorder="1" applyAlignment="1">
      <alignment vertical="center"/>
    </xf>
    <xf numFmtId="0" fontId="18" fillId="9" borderId="9" xfId="7" applyFont="1" applyFill="1" applyBorder="1" applyAlignment="1">
      <alignment horizontal="center" vertical="center"/>
    </xf>
    <xf numFmtId="0" fontId="18" fillId="0" borderId="9" xfId="7" applyFont="1" applyBorder="1" applyAlignment="1">
      <alignment horizontal="center" vertical="center"/>
    </xf>
    <xf numFmtId="0" fontId="18" fillId="0" borderId="2" xfId="7" applyFont="1" applyBorder="1" applyAlignment="1">
      <alignment horizontal="center" vertical="center"/>
    </xf>
    <xf numFmtId="0" fontId="18" fillId="13" borderId="4" xfId="7" applyFont="1" applyFill="1" applyBorder="1" applyAlignment="1">
      <alignment horizontal="center" vertical="center"/>
    </xf>
    <xf numFmtId="0" fontId="18" fillId="11" borderId="9" xfId="7" applyFont="1" applyFill="1" applyBorder="1" applyAlignment="1">
      <alignment horizontal="center" vertical="center"/>
    </xf>
    <xf numFmtId="0" fontId="18" fillId="0" borderId="70" xfId="7" applyFont="1" applyBorder="1" applyAlignment="1">
      <alignment vertical="center"/>
    </xf>
    <xf numFmtId="0" fontId="18" fillId="0" borderId="14" xfId="7" applyFont="1" applyBorder="1" applyAlignment="1">
      <alignment horizontal="center" vertical="center"/>
    </xf>
    <xf numFmtId="0" fontId="18" fillId="0" borderId="6" xfId="7" applyFont="1" applyBorder="1" applyAlignment="1">
      <alignment horizontal="center" vertical="center"/>
    </xf>
    <xf numFmtId="0" fontId="18" fillId="0" borderId="72" xfId="7" applyFont="1" applyBorder="1" applyAlignment="1">
      <alignment horizontal="center" vertical="center"/>
    </xf>
    <xf numFmtId="0" fontId="18" fillId="0" borderId="12" xfId="7" applyFont="1" applyBorder="1" applyAlignment="1">
      <alignment horizontal="center" vertical="center"/>
    </xf>
    <xf numFmtId="0" fontId="18" fillId="0" borderId="7" xfId="7" applyFont="1" applyBorder="1" applyAlignment="1">
      <alignment horizontal="center" vertical="center"/>
    </xf>
    <xf numFmtId="0" fontId="18" fillId="9" borderId="0" xfId="7" applyFont="1" applyFill="1" applyBorder="1" applyAlignment="1">
      <alignment horizontal="center" vertical="center"/>
    </xf>
    <xf numFmtId="0" fontId="18" fillId="14" borderId="4" xfId="7" applyFont="1" applyFill="1" applyBorder="1" applyAlignment="1">
      <alignment horizontal="center" vertical="center"/>
    </xf>
    <xf numFmtId="0" fontId="18" fillId="8" borderId="28" xfId="7" applyFont="1" applyFill="1" applyBorder="1" applyAlignment="1">
      <alignment horizontal="center" vertical="center"/>
    </xf>
    <xf numFmtId="0" fontId="18" fillId="8" borderId="43" xfId="7" applyFont="1" applyFill="1" applyBorder="1" applyAlignment="1">
      <alignment vertical="center"/>
    </xf>
    <xf numFmtId="0" fontId="18" fillId="8" borderId="41" xfId="7" applyFont="1" applyFill="1" applyBorder="1" applyAlignment="1">
      <alignment vertical="center"/>
    </xf>
    <xf numFmtId="0" fontId="18" fillId="8" borderId="69" xfId="7" applyFont="1" applyFill="1" applyBorder="1" applyAlignment="1">
      <alignment vertical="center"/>
    </xf>
    <xf numFmtId="0" fontId="18" fillId="8" borderId="12" xfId="7" applyFont="1" applyFill="1" applyBorder="1" applyAlignment="1">
      <alignment vertical="center"/>
    </xf>
    <xf numFmtId="0" fontId="18" fillId="8" borderId="7" xfId="7" applyFont="1" applyFill="1" applyBorder="1" applyAlignment="1">
      <alignment vertical="center"/>
    </xf>
    <xf numFmtId="0" fontId="18" fillId="9" borderId="24" xfId="7" applyFont="1" applyFill="1" applyBorder="1" applyAlignment="1">
      <alignment horizontal="center" vertical="center"/>
    </xf>
    <xf numFmtId="0" fontId="18" fillId="0" borderId="51" xfId="7" applyFont="1" applyBorder="1" applyAlignment="1">
      <alignment vertical="center"/>
    </xf>
    <xf numFmtId="0" fontId="18" fillId="0" borderId="21" xfId="7" applyFont="1" applyBorder="1" applyAlignment="1">
      <alignment vertical="center"/>
    </xf>
    <xf numFmtId="0" fontId="18" fillId="10" borderId="24" xfId="7" applyFont="1" applyFill="1" applyBorder="1" applyAlignment="1">
      <alignment horizontal="center" vertical="center"/>
    </xf>
    <xf numFmtId="0" fontId="18" fillId="11" borderId="24" xfId="7" applyFont="1" applyFill="1" applyBorder="1" applyAlignment="1">
      <alignment horizontal="center" vertical="center"/>
    </xf>
    <xf numFmtId="0" fontId="18" fillId="0" borderId="51" xfId="7" applyFont="1" applyBorder="1" applyAlignment="1">
      <alignment horizontal="center" vertical="center"/>
    </xf>
    <xf numFmtId="0" fontId="18" fillId="0" borderId="66" xfId="7" applyFont="1" applyBorder="1" applyAlignment="1">
      <alignment horizontal="center" vertical="center"/>
    </xf>
    <xf numFmtId="0" fontId="18" fillId="9" borderId="13" xfId="7" applyFont="1" applyFill="1" applyBorder="1" applyAlignment="1">
      <alignment horizontal="center" vertical="center"/>
    </xf>
    <xf numFmtId="0" fontId="18" fillId="11" borderId="4" xfId="7" applyFont="1" applyFill="1" applyBorder="1" applyAlignment="1">
      <alignment horizontal="center" vertical="center"/>
    </xf>
    <xf numFmtId="0" fontId="18" fillId="0" borderId="70" xfId="7" applyFont="1" applyBorder="1" applyAlignment="1">
      <alignment horizontal="center" vertical="center"/>
    </xf>
    <xf numFmtId="0" fontId="38" fillId="5" borderId="52" xfId="7" applyFont="1" applyFill="1" applyBorder="1" applyAlignment="1">
      <alignment horizontal="center" wrapText="1"/>
    </xf>
    <xf numFmtId="0" fontId="38" fillId="5" borderId="51" xfId="7" applyFont="1" applyFill="1" applyBorder="1" applyAlignment="1">
      <alignment horizontal="center" wrapText="1"/>
    </xf>
    <xf numFmtId="0" fontId="38" fillId="5" borderId="50" xfId="7" applyFont="1" applyFill="1" applyBorder="1" applyAlignment="1">
      <alignment horizontal="center" wrapText="1"/>
    </xf>
    <xf numFmtId="0" fontId="33" fillId="5" borderId="56" xfId="7" applyFont="1" applyFill="1" applyBorder="1" applyAlignment="1">
      <alignment horizontal="center" vertical="center" wrapText="1"/>
    </xf>
    <xf numFmtId="0" fontId="33" fillId="5" borderId="1" xfId="7" applyFont="1" applyFill="1" applyBorder="1" applyAlignment="1">
      <alignment horizontal="center" vertical="center" wrapText="1"/>
    </xf>
    <xf numFmtId="0" fontId="33" fillId="5" borderId="57" xfId="7" applyFont="1" applyFill="1" applyBorder="1" applyAlignment="1">
      <alignment horizontal="center" vertical="center" wrapText="1"/>
    </xf>
    <xf numFmtId="0" fontId="33" fillId="5" borderId="58" xfId="7" applyFont="1" applyFill="1" applyBorder="1" applyAlignment="1">
      <alignment vertical="top" wrapText="1"/>
    </xf>
    <xf numFmtId="0" fontId="0" fillId="0" borderId="29" xfId="0" applyBorder="1" applyAlignment="1">
      <alignment vertical="top" wrapText="1"/>
    </xf>
    <xf numFmtId="0" fontId="33" fillId="5" borderId="1" xfId="7" applyFont="1" applyFill="1" applyBorder="1" applyAlignment="1">
      <alignment vertical="top" wrapText="1"/>
    </xf>
    <xf numFmtId="0" fontId="0" fillId="0" borderId="17" xfId="0" applyBorder="1" applyAlignment="1">
      <alignment vertical="top" wrapText="1"/>
    </xf>
    <xf numFmtId="0" fontId="33" fillId="5" borderId="59" xfId="7" applyFont="1" applyFill="1" applyBorder="1" applyAlignment="1">
      <alignment vertical="top" wrapText="1"/>
    </xf>
    <xf numFmtId="0" fontId="0" fillId="0" borderId="45" xfId="0" applyBorder="1" applyAlignment="1">
      <alignment vertical="top" wrapText="1"/>
    </xf>
    <xf numFmtId="0" fontId="33" fillId="0" borderId="44" xfId="0" applyFont="1" applyBorder="1" applyAlignment="1">
      <alignment vertical="top" wrapText="1"/>
    </xf>
    <xf numFmtId="0" fontId="33" fillId="0" borderId="39" xfId="0" applyFont="1" applyBorder="1" applyAlignment="1">
      <alignment vertical="top" wrapText="1"/>
    </xf>
    <xf numFmtId="0" fontId="33" fillId="0" borderId="53" xfId="0" applyFont="1" applyBorder="1" applyAlignment="1">
      <alignment vertical="top" wrapText="1"/>
    </xf>
    <xf numFmtId="0" fontId="33" fillId="0" borderId="49" xfId="0" applyFont="1" applyBorder="1" applyAlignment="1">
      <alignment vertical="top" wrapText="1"/>
    </xf>
    <xf numFmtId="0" fontId="5" fillId="0" borderId="4" xfId="0" applyFont="1" applyBorder="1" applyAlignment="1">
      <alignment horizontal="center" wrapText="1"/>
    </xf>
    <xf numFmtId="0" fontId="5" fillId="0" borderId="9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2" fontId="0" fillId="0" borderId="0" xfId="0" applyNumberFormat="1"/>
  </cellXfs>
  <cellStyles count="85">
    <cellStyle name="Comma 2" xfId="1"/>
    <cellStyle name="Hyperlink 2" xfId="6"/>
    <cellStyle name="Normal" xfId="0" builtinId="0"/>
    <cellStyle name="Normal 2" xfId="2"/>
    <cellStyle name="Normal 2 2" xfId="3"/>
    <cellStyle name="Normal 2 2 10" xfId="15"/>
    <cellStyle name="Normal 2 2 11" xfId="16"/>
    <cellStyle name="Normal 2 2 12" xfId="17"/>
    <cellStyle name="Normal 2 2 13" xfId="18"/>
    <cellStyle name="Normal 2 2 14" xfId="19"/>
    <cellStyle name="Normal 2 2 15" xfId="20"/>
    <cellStyle name="Normal 2 2 2" xfId="21"/>
    <cellStyle name="Normal 2 2 3" xfId="22"/>
    <cellStyle name="Normal 2 2 4" xfId="23"/>
    <cellStyle name="Normal 2 2 5" xfId="24"/>
    <cellStyle name="Normal 2 2 6" xfId="25"/>
    <cellStyle name="Normal 2 2 7" xfId="26"/>
    <cellStyle name="Normal 2 2 8" xfId="27"/>
    <cellStyle name="Normal 2 2 9" xfId="28"/>
    <cellStyle name="Normal 2 3" xfId="4"/>
    <cellStyle name="Normal 2 3 10" xfId="29"/>
    <cellStyle name="Normal 2 3 11" xfId="30"/>
    <cellStyle name="Normal 2 3 12" xfId="31"/>
    <cellStyle name="Normal 2 3 13" xfId="32"/>
    <cellStyle name="Normal 2 3 14" xfId="33"/>
    <cellStyle name="Normal 2 3 2" xfId="34"/>
    <cellStyle name="Normal 2 3 3" xfId="35"/>
    <cellStyle name="Normal 2 3 4" xfId="36"/>
    <cellStyle name="Normal 2 3 5" xfId="37"/>
    <cellStyle name="Normal 2 3 6" xfId="38"/>
    <cellStyle name="Normal 2 3 7" xfId="39"/>
    <cellStyle name="Normal 2 3 8" xfId="40"/>
    <cellStyle name="Normal 2 3 9" xfId="41"/>
    <cellStyle name="Normal 2 4" xfId="9"/>
    <cellStyle name="Normal 2 4 10" xfId="42"/>
    <cellStyle name="Normal 2 4 11" xfId="43"/>
    <cellStyle name="Normal 2 4 12" xfId="44"/>
    <cellStyle name="Normal 2 4 13" xfId="45"/>
    <cellStyle name="Normal 2 4 14" xfId="46"/>
    <cellStyle name="Normal 2 4 15" xfId="47"/>
    <cellStyle name="Normal 2 4 16" xfId="48"/>
    <cellStyle name="Normal 2 4 17" xfId="49"/>
    <cellStyle name="Normal 2 4 18" xfId="50"/>
    <cellStyle name="Normal 2 4 2" xfId="14"/>
    <cellStyle name="Normal 2 4 2 10" xfId="51"/>
    <cellStyle name="Normal 2 4 2 11" xfId="52"/>
    <cellStyle name="Normal 2 4 2 12" xfId="53"/>
    <cellStyle name="Normal 2 4 2 13" xfId="54"/>
    <cellStyle name="Normal 2 4 2 14" xfId="55"/>
    <cellStyle name="Normal 2 4 2 15" xfId="56"/>
    <cellStyle name="Normal 2 4 2 2" xfId="57"/>
    <cellStyle name="Normal 2 4 2 3" xfId="58"/>
    <cellStyle name="Normal 2 4 2 4" xfId="59"/>
    <cellStyle name="Normal 2 4 2 5" xfId="60"/>
    <cellStyle name="Normal 2 4 2 6" xfId="61"/>
    <cellStyle name="Normal 2 4 2 7" xfId="62"/>
    <cellStyle name="Normal 2 4 2 8" xfId="63"/>
    <cellStyle name="Normal 2 4 2 9" xfId="64"/>
    <cellStyle name="Normal 2 4 3" xfId="13"/>
    <cellStyle name="Normal 2 4 3 10" xfId="65"/>
    <cellStyle name="Normal 2 4 3 11" xfId="66"/>
    <cellStyle name="Normal 2 4 3 12" xfId="67"/>
    <cellStyle name="Normal 2 4 3 13" xfId="68"/>
    <cellStyle name="Normal 2 4 3 14" xfId="69"/>
    <cellStyle name="Normal 2 4 3 2" xfId="70"/>
    <cellStyle name="Normal 2 4 3 3" xfId="71"/>
    <cellStyle name="Normal 2 4 3 4" xfId="72"/>
    <cellStyle name="Normal 2 4 3 5" xfId="73"/>
    <cellStyle name="Normal 2 4 3 6" xfId="74"/>
    <cellStyle name="Normal 2 4 3 7" xfId="75"/>
    <cellStyle name="Normal 2 4 3 8" xfId="76"/>
    <cellStyle name="Normal 2 4 3 9" xfId="77"/>
    <cellStyle name="Normal 2 4 4" xfId="78"/>
    <cellStyle name="Normal 2 4 5" xfId="79"/>
    <cellStyle name="Normal 2 4 6" xfId="80"/>
    <cellStyle name="Normal 2 4 7" xfId="81"/>
    <cellStyle name="Normal 2 4 8" xfId="82"/>
    <cellStyle name="Normal 2 4 9" xfId="83"/>
    <cellStyle name="Normal 3" xfId="7"/>
    <cellStyle name="Normal 4" xfId="84"/>
    <cellStyle name="Normal 5" xfId="10"/>
    <cellStyle name="Normal_AQ Calcs_ Viejo 111703" xfId="5"/>
    <cellStyle name="Normal_off-road equipment listing by phase - TL688 - URBEMIS input data" xfId="12"/>
    <cellStyle name="Normal_Shadowridge off-road equipment listing by phase - URBEMIS input data" xfId="11"/>
    <cellStyle name="Percent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388" Type="http://schemas.openxmlformats.org/officeDocument/2006/relationships/theme" Target="theme/theme1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styles" Target="styles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sharedStrings" Target="sharedStrings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calcChain" Target="calcChain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31"/>
  <sheetViews>
    <sheetView zoomScale="75" zoomScaleNormal="75" workbookViewId="0">
      <selection activeCell="E26" sqref="E26:M26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519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19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314</v>
      </c>
      <c r="B7" s="31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8</v>
      </c>
      <c r="P8" s="88">
        <v>125</v>
      </c>
      <c r="Q8" s="34">
        <f t="shared" ref="Q8:Y10" si="2">(E8*$N8*$O8)</f>
        <v>0.49946184642775621</v>
      </c>
      <c r="R8" s="26">
        <f t="shared" si="2"/>
        <v>2.4431746031746027</v>
      </c>
      <c r="S8" s="26">
        <f t="shared" si="2"/>
        <v>3.1176888888888881</v>
      </c>
      <c r="T8" s="26">
        <f t="shared" si="2"/>
        <v>4.4060015200662857E-3</v>
      </c>
      <c r="U8" s="26">
        <f t="shared" si="2"/>
        <v>0.19809523809523807</v>
      </c>
      <c r="V8" s="26">
        <f t="shared" si="2"/>
        <v>0.17630476190476188</v>
      </c>
      <c r="W8" s="26">
        <f t="shared" si="2"/>
        <v>375.60183859341714</v>
      </c>
      <c r="X8" s="26">
        <f t="shared" si="2"/>
        <v>5.4697471816927752E-2</v>
      </c>
      <c r="Y8" s="26">
        <f t="shared" si="2"/>
        <v>0.29618044444444436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9</v>
      </c>
      <c r="P9" s="363">
        <v>125</v>
      </c>
      <c r="Q9" s="34">
        <f t="shared" si="2"/>
        <v>1.0612998664693185</v>
      </c>
      <c r="R9" s="26">
        <f t="shared" si="2"/>
        <v>3.2860974016937274</v>
      </c>
      <c r="S9" s="26">
        <f t="shared" si="2"/>
        <v>7.8103317854039886</v>
      </c>
      <c r="T9" s="26">
        <f t="shared" si="2"/>
        <v>1.6865295748293957E-2</v>
      </c>
      <c r="U9" s="26">
        <f t="shared" si="2"/>
        <v>0.26137541066030878</v>
      </c>
      <c r="V9" s="26">
        <f t="shared" si="2"/>
        <v>0.23262411548767484</v>
      </c>
      <c r="W9" s="26">
        <f t="shared" si="2"/>
        <v>1498.908740620727</v>
      </c>
      <c r="X9" s="26">
        <f t="shared" si="2"/>
        <v>9.5759396799267066E-2</v>
      </c>
      <c r="Y9" s="26">
        <f t="shared" si="2"/>
        <v>0.74198151961337888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3</v>
      </c>
      <c r="P10" s="363">
        <v>125</v>
      </c>
      <c r="Q10" s="34">
        <f t="shared" si="2"/>
        <v>3.9051121312432671E-2</v>
      </c>
      <c r="R10" s="26">
        <f t="shared" si="2"/>
        <v>0.1468253968253968</v>
      </c>
      <c r="S10" s="26">
        <f t="shared" si="2"/>
        <v>0.13018518518518515</v>
      </c>
      <c r="T10" s="26">
        <f t="shared" si="2"/>
        <v>4.7652059865273245E-4</v>
      </c>
      <c r="U10" s="26">
        <f t="shared" si="2"/>
        <v>1.4682539682539681E-2</v>
      </c>
      <c r="V10" s="26">
        <f t="shared" si="2"/>
        <v>1.3067460317460314E-2</v>
      </c>
      <c r="W10" s="26">
        <f t="shared" si="2"/>
        <v>30.622980859093083</v>
      </c>
      <c r="X10" s="26">
        <f t="shared" si="2"/>
        <v>3.8388136396804665E-3</v>
      </c>
      <c r="Y10" s="26">
        <f t="shared" si="2"/>
        <v>1.236759259259259E-2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1.5998128342095075</v>
      </c>
      <c r="R11" s="101">
        <f t="shared" ref="R11:Y11" si="3">SUM(R8:R10)</f>
        <v>5.8760974016937269</v>
      </c>
      <c r="S11" s="101">
        <f t="shared" si="3"/>
        <v>11.058205859478063</v>
      </c>
      <c r="T11" s="101">
        <f t="shared" si="3"/>
        <v>2.1747817867012974E-2</v>
      </c>
      <c r="U11" s="101">
        <f t="shared" si="3"/>
        <v>0.47415318843808657</v>
      </c>
      <c r="V11" s="101">
        <f t="shared" si="3"/>
        <v>0.42199633770989703</v>
      </c>
      <c r="W11" s="101">
        <f t="shared" si="3"/>
        <v>1905.1335600732373</v>
      </c>
      <c r="X11" s="101">
        <f t="shared" si="3"/>
        <v>0.15429568225587528</v>
      </c>
      <c r="Y11" s="101">
        <f t="shared" si="3"/>
        <v>1.0505295566504158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87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7" t="s">
        <v>277</v>
      </c>
      <c r="B13" s="31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30"/>
      <c r="O13" s="30"/>
      <c r="P13" s="30"/>
      <c r="Q13" s="20"/>
      <c r="R13" s="20"/>
      <c r="S13" s="20"/>
      <c r="T13" s="20"/>
      <c r="U13" s="20"/>
      <c r="V13" s="20"/>
      <c r="W13" s="21"/>
      <c r="X13" s="20"/>
      <c r="Y13" s="20"/>
    </row>
    <row r="14" spans="1:25" s="3" customFormat="1">
      <c r="A14" s="24" t="s">
        <v>120</v>
      </c>
      <c r="B14" s="29" t="s">
        <v>27</v>
      </c>
      <c r="C14" s="22">
        <v>358</v>
      </c>
      <c r="D14" s="22">
        <v>0.4</v>
      </c>
      <c r="E14" s="108">
        <v>0.27937428148624566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0.82081128747795418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1.2776243386243384</v>
      </c>
      <c r="H14" s="108">
        <v>2.5998088533883764E-3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4.735449735449735E-2</v>
      </c>
      <c r="J14" s="100">
        <f t="shared" ref="J14" si="4">0.89*I14</f>
        <v>4.2145502645502646E-2</v>
      </c>
      <c r="K14" s="108">
        <v>264.8725636721183</v>
      </c>
      <c r="L14" s="108">
        <v>2.6451144743432839E-2</v>
      </c>
      <c r="M14" s="102">
        <f t="shared" ref="M14" si="5">0.095*G14</f>
        <v>0.12137431216931216</v>
      </c>
      <c r="N14" s="98">
        <v>1</v>
      </c>
      <c r="O14" s="87">
        <v>8</v>
      </c>
      <c r="P14" s="363">
        <v>10</v>
      </c>
      <c r="Q14" s="34">
        <f t="shared" ref="Q14:Y20" si="6">(E14*$N14*$O14)</f>
        <v>2.2349942518899653</v>
      </c>
      <c r="R14" s="26">
        <f t="shared" si="6"/>
        <v>6.5664902998236334</v>
      </c>
      <c r="S14" s="26">
        <f t="shared" si="6"/>
        <v>10.220994708994708</v>
      </c>
      <c r="T14" s="26">
        <f t="shared" si="6"/>
        <v>2.0798470827107011E-2</v>
      </c>
      <c r="U14" s="26">
        <f t="shared" si="6"/>
        <v>0.3788359788359788</v>
      </c>
      <c r="V14" s="26">
        <f t="shared" si="6"/>
        <v>0.33716402116402117</v>
      </c>
      <c r="W14" s="26">
        <f t="shared" si="6"/>
        <v>2118.9805093769464</v>
      </c>
      <c r="X14" s="26">
        <f t="shared" si="6"/>
        <v>0.21160915794746271</v>
      </c>
      <c r="Y14" s="26">
        <f t="shared" si="6"/>
        <v>0.97099449735449728</v>
      </c>
    </row>
    <row r="15" spans="1:25" s="3" customFormat="1">
      <c r="A15" s="24" t="s">
        <v>128</v>
      </c>
      <c r="B15" s="29" t="s">
        <v>27</v>
      </c>
      <c r="C15" s="22">
        <v>157</v>
      </c>
      <c r="D15" s="22">
        <v>0.38</v>
      </c>
      <c r="E15" s="550">
        <v>9.7211873502789536E-2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0.48664462081128745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0.54103044532627864</v>
      </c>
      <c r="H15" s="550">
        <v>2.2941884589860436E-3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2.8935626102292767E-2</v>
      </c>
      <c r="J15" s="551">
        <f t="shared" ref="J15:J18" si="7">0.89*I15</f>
        <v>2.5752707231040561E-2</v>
      </c>
      <c r="K15" s="552">
        <v>233.73537145870978</v>
      </c>
      <c r="L15" s="111">
        <v>9.4890670020510905E-3</v>
      </c>
      <c r="M15" s="553">
        <f t="shared" ref="M15:M18" si="8">0.095*G15</f>
        <v>5.1397892305996472E-2</v>
      </c>
      <c r="N15" s="98">
        <v>1</v>
      </c>
      <c r="O15" s="87">
        <v>8</v>
      </c>
      <c r="P15" s="363">
        <v>15</v>
      </c>
      <c r="Q15" s="34">
        <f t="shared" si="6"/>
        <v>0.77769498802231629</v>
      </c>
      <c r="R15" s="26">
        <f t="shared" si="6"/>
        <v>3.8931569664902996</v>
      </c>
      <c r="S15" s="26">
        <f t="shared" si="6"/>
        <v>4.3282435626102291</v>
      </c>
      <c r="T15" s="26">
        <f t="shared" si="6"/>
        <v>1.8353507671888349E-2</v>
      </c>
      <c r="U15" s="26">
        <f t="shared" si="6"/>
        <v>0.23148500881834214</v>
      </c>
      <c r="V15" s="26">
        <f t="shared" si="6"/>
        <v>0.20602165784832449</v>
      </c>
      <c r="W15" s="26">
        <f t="shared" si="6"/>
        <v>1869.8829716696782</v>
      </c>
      <c r="X15" s="26">
        <f t="shared" si="6"/>
        <v>7.5912536016408724E-2</v>
      </c>
      <c r="Y15" s="26">
        <f t="shared" si="6"/>
        <v>0.41118313844797177</v>
      </c>
    </row>
    <row r="16" spans="1:25" s="3" customFormat="1">
      <c r="A16" s="24" t="s">
        <v>278</v>
      </c>
      <c r="B16" s="29" t="s">
        <v>27</v>
      </c>
      <c r="C16" s="22">
        <v>157</v>
      </c>
      <c r="D16" s="22">
        <v>0.38</v>
      </c>
      <c r="E16" s="550">
        <v>9.7211873502789536E-2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0.48664462081128745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0.54103044532627864</v>
      </c>
      <c r="H16" s="550">
        <v>2.2941884589860436E-3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2.8935626102292767E-2</v>
      </c>
      <c r="J16" s="551">
        <f t="shared" ref="J16:J17" si="9">0.89*I16</f>
        <v>2.5752707231040561E-2</v>
      </c>
      <c r="K16" s="552">
        <v>233.73537145870978</v>
      </c>
      <c r="L16" s="111">
        <v>9.4890670020510905E-3</v>
      </c>
      <c r="M16" s="553">
        <f t="shared" ref="M16:M17" si="10">0.095*G16</f>
        <v>5.1397892305996472E-2</v>
      </c>
      <c r="N16" s="98">
        <v>1</v>
      </c>
      <c r="O16" s="87">
        <v>8</v>
      </c>
      <c r="P16" s="363">
        <v>15</v>
      </c>
      <c r="Q16" s="34">
        <f t="shared" si="6"/>
        <v>0.77769498802231629</v>
      </c>
      <c r="R16" s="26">
        <f t="shared" si="6"/>
        <v>3.8931569664902996</v>
      </c>
      <c r="S16" s="26">
        <f t="shared" si="6"/>
        <v>4.3282435626102291</v>
      </c>
      <c r="T16" s="26">
        <f t="shared" si="6"/>
        <v>1.8353507671888349E-2</v>
      </c>
      <c r="U16" s="26">
        <f t="shared" si="6"/>
        <v>0.23148500881834214</v>
      </c>
      <c r="V16" s="26">
        <f t="shared" si="6"/>
        <v>0.20602165784832449</v>
      </c>
      <c r="W16" s="26">
        <f t="shared" si="6"/>
        <v>1869.8829716696782</v>
      </c>
      <c r="X16" s="26">
        <f t="shared" si="6"/>
        <v>7.5912536016408724E-2</v>
      </c>
      <c r="Y16" s="26">
        <f t="shared" si="6"/>
        <v>0.41118313844797177</v>
      </c>
    </row>
    <row r="17" spans="1:25" s="3" customFormat="1">
      <c r="A17" s="24" t="s">
        <v>124</v>
      </c>
      <c r="B17" s="29" t="s">
        <v>27</v>
      </c>
      <c r="C17" s="97">
        <v>87</v>
      </c>
      <c r="D17" s="22">
        <v>0.37</v>
      </c>
      <c r="E17" s="102">
        <v>7.7253202863558038E-2</v>
      </c>
      <c r="F17" s="397">
        <f>IF($C17&lt;11,'Offroad Tiers EF (2)'!$AN$4*$C17*$D17,IF($C17&lt;25,'Offroad Tiers EF (2)'!$AN$5*$C17*$D17,IF($C17&lt;50,'Offroad Tiers EF (2)'!$AN$6*$C17*$D17,IF($C17&lt;75,'Offroad Tiers EF (2)'!$AN$7*$C17*$D17,IF($C17&lt;100,'Offroad Tiers EF (2)'!$AN$8*$C17*$D17,IF($C17&lt;175,'Offroad Tiers EF (2)'!$AN$9*$C17*$D17,IF($C17&lt;300,'Offroad Tiers EF (2)'!$AN$10*$C17*$D17,IF($C17&lt;600,'Offroad Tiers EF (2)'!$AN$11*$C17*$D17,"!"))))))))</f>
        <v>0.26257275132275132</v>
      </c>
      <c r="G17" s="397">
        <f>IF($C17&lt;11,'Offroad Tiers EF (2)'!$AM$4*$C17*$D17,IF($C17&lt;25,'Offroad Tiers EF (2)'!$AM$5*$C17*$D17,IF($C17&lt;50,'Offroad Tiers EF (2)'!$AM$6*$C17*$D17,IF($C17&lt;75,'Offroad Tiers EF (2)'!$AM$7*$C17*$D17,IF($C17&lt;100,'Offroad Tiers EF (2)'!$AM$8*$C17*$D17,IF($C17&lt;175,'Offroad Tiers EF (2)'!$AM$9*$C17*$D17,IF($C17&lt;300,'Offroad Tiers EF (2)'!$AM$10*$C17*$D17,IF($C17&lt;600,'Offroad Tiers EF (2)'!$AM$11*$C17*$D17,"!"))))))))</f>
        <v>0.33506412037037031</v>
      </c>
      <c r="H17" s="102">
        <v>6.910856115004858E-4</v>
      </c>
      <c r="I17" s="397">
        <f>IF($C17&lt;11,'Offroad Tiers EF (2)'!$AO$4*$C17*$D17,IF($C17&lt;25,'Offroad Tiers EF (2)'!$AO$5*$C17*$D17,IF($C17&lt;50,'Offroad Tiers EF (2)'!$AO$6*$C17*$D17,IF($C17&lt;75,'Offroad Tiers EF (2)'!$AO$7*$C17*$D17,IF($C17&lt;100,'Offroad Tiers EF (2)'!$AO$8*$C17*$D17,IF($C17&lt;175,'Offroad Tiers EF (2)'!$AO$9*$C17*$D17,IF($C17&lt;300,'Offroad Tiers EF (2)'!$AO$10*$C17*$D17,IF($C17&lt;600,'Offroad Tiers EF (2)'!$AO$11*$C17*$D17,"!"))))))))</f>
        <v>2.1289682539682539E-2</v>
      </c>
      <c r="J17" s="100">
        <f t="shared" si="9"/>
        <v>1.894781746031746E-2</v>
      </c>
      <c r="K17" s="103">
        <v>58.913505111712794</v>
      </c>
      <c r="L17" s="102">
        <v>7.5344751889799754E-3</v>
      </c>
      <c r="M17" s="102">
        <f t="shared" si="10"/>
        <v>3.1831091435185178E-2</v>
      </c>
      <c r="N17" s="98">
        <v>1</v>
      </c>
      <c r="O17" s="87">
        <v>8</v>
      </c>
      <c r="P17" s="363">
        <v>15</v>
      </c>
      <c r="Q17" s="34">
        <f t="shared" si="6"/>
        <v>0.6180256229084643</v>
      </c>
      <c r="R17" s="26">
        <f t="shared" si="6"/>
        <v>2.1005820105820106</v>
      </c>
      <c r="S17" s="26">
        <f t="shared" si="6"/>
        <v>2.6805129629629625</v>
      </c>
      <c r="T17" s="26">
        <f t="shared" si="6"/>
        <v>5.5286848920038864E-3</v>
      </c>
      <c r="U17" s="26">
        <f t="shared" si="6"/>
        <v>0.17031746031746031</v>
      </c>
      <c r="V17" s="26">
        <f t="shared" si="6"/>
        <v>0.15158253968253968</v>
      </c>
      <c r="W17" s="26">
        <f t="shared" si="6"/>
        <v>471.30804089370235</v>
      </c>
      <c r="X17" s="26">
        <f t="shared" si="6"/>
        <v>6.0275801511839804E-2</v>
      </c>
      <c r="Y17" s="26">
        <f t="shared" si="6"/>
        <v>0.25464873148148143</v>
      </c>
    </row>
    <row r="18" spans="1:25" s="3" customFormat="1">
      <c r="A18" s="24" t="s">
        <v>279</v>
      </c>
      <c r="B18" s="29" t="s">
        <v>27</v>
      </c>
      <c r="C18" s="97">
        <v>37</v>
      </c>
      <c r="D18" s="22">
        <v>0.37</v>
      </c>
      <c r="E18" s="102">
        <v>3.2313389441625637E-2</v>
      </c>
      <c r="F18" s="397">
        <f>IF($C18&lt;11,'Offroad Tiers EF (2)'!$AN$4*$C18*$D18,IF($C18&lt;25,'Offroad Tiers EF (2)'!$AN$5*$C18*$D18,IF($C18&lt;50,'Offroad Tiers EF (2)'!$AN$6*$C18*$D18,IF($C18&lt;75,'Offroad Tiers EF (2)'!$AN$7*$C18*$D18,IF($C18&lt;100,'Offroad Tiers EF (2)'!$AN$8*$C18*$D18,IF($C18&lt;175,'Offroad Tiers EF (2)'!$AN$9*$C18*$D18,IF($C18&lt;300,'Offroad Tiers EF (2)'!$AN$10*$C18*$D18,IF($C18&lt;600,'Offroad Tiers EF (2)'!$AN$11*$C18*$D18,"!"))))))))</f>
        <v>0.12374118165784832</v>
      </c>
      <c r="G18" s="397">
        <f>IF($C18&lt;11,'Offroad Tiers EF (2)'!$AM$4*$C18*$D18,IF($C18&lt;25,'Offroad Tiers EF (2)'!$AM$5*$C18*$D18,IF($C18&lt;50,'Offroad Tiers EF (2)'!$AM$6*$C18*$D18,IF($C18&lt;75,'Offroad Tiers EF (2)'!$AM$7*$C18*$D18,IF($C18&lt;100,'Offroad Tiers EF (2)'!$AM$8*$C18*$D18,IF($C18&lt;175,'Offroad Tiers EF (2)'!$AM$9*$C18*$D18,IF($C18&lt;300,'Offroad Tiers EF (2)'!$AM$10*$C18*$D18,IF($C18&lt;600,'Offroad Tiers EF (2)'!$AM$11*$C18*$D18,"!"))))))))</f>
        <v>0.16056172839506169</v>
      </c>
      <c r="H18" s="102">
        <v>3.2989906092678058E-4</v>
      </c>
      <c r="I18" s="397">
        <f>IF($C18&lt;11,'Offroad Tiers EF (2)'!$AO$4*$C18*$D18,IF($C18&lt;25,'Offroad Tiers EF (2)'!$AO$5*$C18*$D18,IF($C18&lt;50,'Offroad Tiers EF (2)'!$AO$6*$C18*$D18,IF($C18&lt;75,'Offroad Tiers EF (2)'!$AO$7*$C18*$D18,IF($C18&lt;100,'Offroad Tiers EF (2)'!$AO$8*$C18*$D18,IF($C18&lt;175,'Offroad Tiers EF (2)'!$AO$9*$C18*$D18,IF($C18&lt;300,'Offroad Tiers EF (2)'!$AO$10*$C18*$D18,IF($C18&lt;600,'Offroad Tiers EF (2)'!$AO$11*$C18*$D18,"!"))))))))</f>
        <v>1.3581349206349205E-2</v>
      </c>
      <c r="J18" s="100">
        <f t="shared" si="7"/>
        <v>1.2087400793650793E-2</v>
      </c>
      <c r="K18" s="103">
        <v>25.519156990664225</v>
      </c>
      <c r="L18" s="102">
        <v>3.413848047070189E-3</v>
      </c>
      <c r="M18" s="104">
        <f t="shared" si="8"/>
        <v>1.5253364197530862E-2</v>
      </c>
      <c r="N18" s="87">
        <v>1</v>
      </c>
      <c r="O18" s="87">
        <v>8</v>
      </c>
      <c r="P18" s="363">
        <v>15</v>
      </c>
      <c r="Q18" s="34">
        <f t="shared" si="6"/>
        <v>0.25850711553300509</v>
      </c>
      <c r="R18" s="26">
        <f t="shared" si="6"/>
        <v>0.98992945326278659</v>
      </c>
      <c r="S18" s="26">
        <f t="shared" si="6"/>
        <v>1.2844938271604935</v>
      </c>
      <c r="T18" s="26">
        <f t="shared" si="6"/>
        <v>2.6391924874142447E-3</v>
      </c>
      <c r="U18" s="26">
        <f t="shared" si="6"/>
        <v>0.10865079365079364</v>
      </c>
      <c r="V18" s="26">
        <f t="shared" si="6"/>
        <v>9.669920634920634E-2</v>
      </c>
      <c r="W18" s="26">
        <f t="shared" si="6"/>
        <v>204.1532559253138</v>
      </c>
      <c r="X18" s="26">
        <f t="shared" si="6"/>
        <v>2.7310784376561512E-2</v>
      </c>
      <c r="Y18" s="26">
        <f t="shared" si="6"/>
        <v>0.12202691358024689</v>
      </c>
    </row>
    <row r="19" spans="1:25" s="3" customFormat="1">
      <c r="A19" s="24" t="s">
        <v>280</v>
      </c>
      <c r="B19" s="29" t="s">
        <v>27</v>
      </c>
      <c r="C19" s="22">
        <v>87</v>
      </c>
      <c r="D19" s="22">
        <v>0.36</v>
      </c>
      <c r="E19" s="108">
        <v>5.2437519504869065E-2</v>
      </c>
      <c r="F19" s="397">
        <f>IF($C19&lt;11,'Offroad Tiers EF (2)'!$AN$4*$C19*$D19,IF($C19&lt;25,'Offroad Tiers EF (2)'!$AN$5*$C19*$D19,IF($C19&lt;50,'Offroad Tiers EF (2)'!$AN$6*$C19*$D19,IF($C19&lt;75,'Offroad Tiers EF (2)'!$AN$7*$C19*$D19,IF($C19&lt;100,'Offroad Tiers EF (2)'!$AN$8*$C19*$D19,IF($C19&lt;175,'Offroad Tiers EF (2)'!$AN$9*$C19*$D19,IF($C19&lt;300,'Offroad Tiers EF (2)'!$AN$10*$C19*$D19,IF($C19&lt;600,'Offroad Tiers EF (2)'!$AN$11*$C19*$D19,"!"))))))))</f>
        <v>0.25547619047619047</v>
      </c>
      <c r="G19" s="397">
        <f>IF($C19&lt;11,'Offroad Tiers EF (2)'!$AM$4*$C19*$D19,IF($C19&lt;25,'Offroad Tiers EF (2)'!$AM$5*$C19*$D19,IF($C19&lt;50,'Offroad Tiers EF (2)'!$AM$6*$C19*$D19,IF($C19&lt;75,'Offroad Tiers EF (2)'!$AM$7*$C19*$D19,IF($C19&lt;100,'Offroad Tiers EF (2)'!$AM$8*$C19*$D19,IF($C19&lt;175,'Offroad Tiers EF (2)'!$AM$9*$C19*$D19,IF($C19&lt;300,'Offroad Tiers EF (2)'!$AM$10*$C19*$D19,IF($C19&lt;600,'Offroad Tiers EF (2)'!$AM$11*$C19*$D19,"!"))))))))</f>
        <v>0.32600833333333323</v>
      </c>
      <c r="H19" s="108">
        <v>6.0679618797898508E-4</v>
      </c>
      <c r="I19" s="397">
        <f>IF($C19&lt;11,'Offroad Tiers EF (2)'!$AO$4*$C19*$D19,IF($C19&lt;25,'Offroad Tiers EF (2)'!$AO$5*$C19*$D19,IF($C19&lt;50,'Offroad Tiers EF (2)'!$AO$6*$C19*$D19,IF($C19&lt;75,'Offroad Tiers EF (2)'!$AO$7*$C19*$D19,IF($C19&lt;100,'Offroad Tiers EF (2)'!$AO$8*$C19*$D19,IF($C19&lt;175,'Offroad Tiers EF (2)'!$AO$9*$C19*$D19,IF($C19&lt;300,'Offroad Tiers EF (2)'!$AO$10*$C19*$D19,IF($C19&lt;600,'Offroad Tiers EF (2)'!$AO$11*$C19*$D19,"!"))))))))</f>
        <v>2.0714285714285713E-2</v>
      </c>
      <c r="J19" s="100">
        <v>1.8435714285714284E-2</v>
      </c>
      <c r="K19" s="108">
        <v>51.728016924248784</v>
      </c>
      <c r="L19" s="108">
        <v>5.2037096026823848E-3</v>
      </c>
      <c r="M19" s="102">
        <v>3.0970791666666657E-2</v>
      </c>
      <c r="N19" s="98">
        <v>1</v>
      </c>
      <c r="O19" s="87">
        <v>8</v>
      </c>
      <c r="P19" s="363">
        <v>15</v>
      </c>
      <c r="Q19" s="34">
        <f t="shared" si="6"/>
        <v>0.41950015603895252</v>
      </c>
      <c r="R19" s="26">
        <f t="shared" si="6"/>
        <v>2.0438095238095237</v>
      </c>
      <c r="S19" s="26">
        <f t="shared" si="6"/>
        <v>2.6080666666666659</v>
      </c>
      <c r="T19" s="26">
        <f t="shared" si="6"/>
        <v>4.8543695038318806E-3</v>
      </c>
      <c r="U19" s="26">
        <f t="shared" si="6"/>
        <v>0.1657142857142857</v>
      </c>
      <c r="V19" s="26">
        <f t="shared" si="6"/>
        <v>0.14748571428571428</v>
      </c>
      <c r="W19" s="26">
        <f t="shared" si="6"/>
        <v>413.82413539399028</v>
      </c>
      <c r="X19" s="26">
        <f t="shared" si="6"/>
        <v>4.1629676821459079E-2</v>
      </c>
      <c r="Y19" s="26">
        <f t="shared" si="6"/>
        <v>0.24776633333333326</v>
      </c>
    </row>
    <row r="20" spans="1:25" s="3" customFormat="1">
      <c r="A20" s="24" t="s">
        <v>126</v>
      </c>
      <c r="B20" s="29" t="s">
        <v>27</v>
      </c>
      <c r="C20" s="22">
        <v>175</v>
      </c>
      <c r="D20" s="22"/>
      <c r="E20" s="102">
        <v>0.11792220738547983</v>
      </c>
      <c r="F20" s="102">
        <v>0.36512193352152528</v>
      </c>
      <c r="G20" s="102">
        <v>0.86781464282266541</v>
      </c>
      <c r="H20" s="102">
        <v>1.8739217498104396E-3</v>
      </c>
      <c r="I20" s="102">
        <v>2.9041712295589866E-2</v>
      </c>
      <c r="J20" s="100">
        <f t="shared" ref="J20" si="11">0.89*I20</f>
        <v>2.5847123943074982E-2</v>
      </c>
      <c r="K20" s="103">
        <v>166.54541562452522</v>
      </c>
      <c r="L20" s="102">
        <v>1.063993297769634E-2</v>
      </c>
      <c r="M20" s="104">
        <f t="shared" ref="M20" si="12">0.095*G20</f>
        <v>8.2442391068153209E-2</v>
      </c>
      <c r="N20" s="98">
        <v>2</v>
      </c>
      <c r="O20" s="87">
        <v>8</v>
      </c>
      <c r="P20" s="363">
        <v>15</v>
      </c>
      <c r="Q20" s="34">
        <f t="shared" si="6"/>
        <v>1.8867553181676773</v>
      </c>
      <c r="R20" s="26">
        <f t="shared" si="6"/>
        <v>5.8419509363444044</v>
      </c>
      <c r="S20" s="26">
        <f t="shared" si="6"/>
        <v>13.885034285162646</v>
      </c>
      <c r="T20" s="26">
        <f t="shared" si="6"/>
        <v>2.9982747996967034E-2</v>
      </c>
      <c r="U20" s="26">
        <f t="shared" si="6"/>
        <v>0.46466739672943785</v>
      </c>
      <c r="V20" s="26">
        <f t="shared" si="6"/>
        <v>0.41355398308919972</v>
      </c>
      <c r="W20" s="26">
        <f t="shared" si="6"/>
        <v>2664.7266499924035</v>
      </c>
      <c r="X20" s="26">
        <f t="shared" si="6"/>
        <v>0.17023892764314144</v>
      </c>
      <c r="Y20" s="26">
        <f t="shared" si="6"/>
        <v>1.3190782570904513</v>
      </c>
    </row>
    <row r="21" spans="1:25" s="3" customFormat="1">
      <c r="A21" s="17" t="s">
        <v>28</v>
      </c>
      <c r="B21" s="31"/>
      <c r="C21" s="18"/>
      <c r="D21" s="22"/>
      <c r="E21" s="19"/>
      <c r="F21" s="19"/>
      <c r="G21" s="19"/>
      <c r="H21" s="19"/>
      <c r="I21" s="19"/>
      <c r="J21" s="19"/>
      <c r="K21" s="19"/>
      <c r="L21" s="19"/>
      <c r="M21" s="19"/>
      <c r="N21" s="30"/>
      <c r="O21" s="30"/>
      <c r="P21" s="30"/>
      <c r="Q21" s="20">
        <f t="shared" ref="Q21:Y21" si="13">SUM(Q14:Q20)</f>
        <v>6.9731724405826974</v>
      </c>
      <c r="R21" s="20">
        <f t="shared" si="13"/>
        <v>25.329076156802955</v>
      </c>
      <c r="S21" s="20">
        <f t="shared" si="13"/>
        <v>39.335589576167934</v>
      </c>
      <c r="T21" s="20">
        <f t="shared" si="13"/>
        <v>0.10051048105110075</v>
      </c>
      <c r="U21" s="20">
        <f t="shared" si="13"/>
        <v>1.7511559328846407</v>
      </c>
      <c r="V21" s="20">
        <f t="shared" si="13"/>
        <v>1.5585287802673302</v>
      </c>
      <c r="W21" s="20">
        <f t="shared" si="13"/>
        <v>9612.7585349217115</v>
      </c>
      <c r="X21" s="20">
        <f t="shared" si="13"/>
        <v>0.66288942033328202</v>
      </c>
      <c r="Y21" s="20">
        <f t="shared" si="13"/>
        <v>3.7368810097359542</v>
      </c>
    </row>
    <row r="22" spans="1:25" s="3" customFormat="1">
      <c r="A22" s="24"/>
      <c r="B22" s="29"/>
      <c r="C22" s="22"/>
      <c r="D22" s="22"/>
      <c r="E22" s="108"/>
      <c r="F22" s="108"/>
      <c r="G22" s="108"/>
      <c r="H22" s="108"/>
      <c r="I22" s="108"/>
      <c r="J22" s="100"/>
      <c r="K22" s="365"/>
      <c r="L22" s="110"/>
      <c r="M22" s="102"/>
      <c r="N22" s="98"/>
      <c r="O22" s="98"/>
      <c r="P22" s="363"/>
      <c r="Q22" s="34"/>
      <c r="R22" s="26"/>
      <c r="S22" s="26"/>
      <c r="T22" s="26"/>
      <c r="U22" s="26"/>
      <c r="V22" s="26"/>
      <c r="W22" s="26"/>
      <c r="X22" s="26"/>
      <c r="Y22" s="26"/>
    </row>
    <row r="23" spans="1:25" s="3" customFormat="1">
      <c r="A23" s="17" t="s">
        <v>281</v>
      </c>
      <c r="B23" s="90"/>
      <c r="C23" s="18"/>
      <c r="D23" s="22"/>
      <c r="E23" s="19"/>
      <c r="F23" s="19"/>
      <c r="G23" s="19"/>
      <c r="H23" s="19"/>
      <c r="I23" s="19"/>
      <c r="J23" s="19"/>
      <c r="K23" s="19"/>
      <c r="L23" s="19"/>
      <c r="M23" s="19"/>
      <c r="N23" s="30"/>
      <c r="O23" s="30"/>
      <c r="P23" s="30"/>
      <c r="Q23" s="20"/>
      <c r="R23" s="20"/>
      <c r="S23" s="27"/>
      <c r="T23" s="20"/>
      <c r="U23" s="20"/>
      <c r="V23" s="20"/>
      <c r="W23" s="21"/>
      <c r="X23" s="20"/>
      <c r="Y23" s="20"/>
    </row>
    <row r="24" spans="1:25" s="3" customFormat="1">
      <c r="A24" s="100" t="s">
        <v>120</v>
      </c>
      <c r="B24" s="29" t="s">
        <v>27</v>
      </c>
      <c r="C24" s="22">
        <v>358</v>
      </c>
      <c r="D24" s="22">
        <v>0.4</v>
      </c>
      <c r="E24" s="108">
        <v>0.27937428148624566</v>
      </c>
      <c r="F24" s="397">
        <f>IF($C24&lt;11,'Offroad Tiers EF (2)'!$AN$4*$C24*$D24,IF($C24&lt;25,'Offroad Tiers EF (2)'!$AN$5*$C24*$D24,IF($C24&lt;50,'Offroad Tiers EF (2)'!$AN$6*$C24*$D24,IF($C24&lt;75,'Offroad Tiers EF (2)'!$AN$7*$C24*$D24,IF($C24&lt;100,'Offroad Tiers EF (2)'!$AN$8*$C24*$D24,IF($C24&lt;175,'Offroad Tiers EF (2)'!$AN$9*$C24*$D24,IF($C24&lt;300,'Offroad Tiers EF (2)'!$AN$10*$C24*$D24,IF($C24&lt;600,'Offroad Tiers EF (2)'!$AN$11*$C24*$D24,"!"))))))))</f>
        <v>0.82081128747795418</v>
      </c>
      <c r="G24" s="397">
        <f>IF($C24&lt;11,'Offroad Tiers EF (2)'!$AM$4*$C24*$D24,IF($C24&lt;25,'Offroad Tiers EF (2)'!$AM$5*$C24*$D24,IF($C24&lt;50,'Offroad Tiers EF (2)'!$AM$6*$C24*$D24,IF($C24&lt;75,'Offroad Tiers EF (2)'!$AM$7*$C24*$D24,IF($C24&lt;100,'Offroad Tiers EF (2)'!$AM$8*$C24*$D24,IF($C24&lt;175,'Offroad Tiers EF (2)'!$AM$9*$C24*$D24,IF($C24&lt;300,'Offroad Tiers EF (2)'!$AM$10*$C24*$D24,IF($C24&lt;600,'Offroad Tiers EF (2)'!$AM$11*$C24*$D24,"!"))))))))</f>
        <v>1.2776243386243384</v>
      </c>
      <c r="H24" s="108">
        <v>2.5998088533883764E-3</v>
      </c>
      <c r="I24" s="397">
        <f>IF($C24&lt;11,'Offroad Tiers EF (2)'!$AO$4*$C24*$D24,IF($C24&lt;25,'Offroad Tiers EF (2)'!$AO$5*$C24*$D24,IF($C24&lt;50,'Offroad Tiers EF (2)'!$AO$6*$C24*$D24,IF($C24&lt;75,'Offroad Tiers EF (2)'!$AO$7*$C24*$D24,IF($C24&lt;100,'Offroad Tiers EF (2)'!$AO$8*$C24*$D24,IF($C24&lt;175,'Offroad Tiers EF (2)'!$AO$9*$C24*$D24,IF($C24&lt;300,'Offroad Tiers EF (2)'!$AO$10*$C24*$D24,IF($C24&lt;600,'Offroad Tiers EF (2)'!$AO$11*$C24*$D24,"!"))))))))</f>
        <v>4.735449735449735E-2</v>
      </c>
      <c r="J24" s="100">
        <f t="shared" ref="J24:J28" si="14">0.89*I24</f>
        <v>4.2145502645502646E-2</v>
      </c>
      <c r="K24" s="108">
        <v>264.8725636721183</v>
      </c>
      <c r="L24" s="108">
        <v>2.6451144743432839E-2</v>
      </c>
      <c r="M24" s="102">
        <f t="shared" ref="M24:M28" si="15">0.095*G24</f>
        <v>0.12137431216931216</v>
      </c>
      <c r="N24" s="98">
        <v>1</v>
      </c>
      <c r="O24" s="87">
        <v>8</v>
      </c>
      <c r="P24" s="363">
        <v>75</v>
      </c>
      <c r="Q24" s="34">
        <f t="shared" ref="Q24:Y28" si="16">(E24*$N24*$O24)</f>
        <v>2.2349942518899653</v>
      </c>
      <c r="R24" s="26">
        <f t="shared" si="16"/>
        <v>6.5664902998236334</v>
      </c>
      <c r="S24" s="26">
        <f t="shared" si="16"/>
        <v>10.220994708994708</v>
      </c>
      <c r="T24" s="26">
        <f t="shared" si="16"/>
        <v>2.0798470827107011E-2</v>
      </c>
      <c r="U24" s="26">
        <f t="shared" si="16"/>
        <v>0.3788359788359788</v>
      </c>
      <c r="V24" s="26">
        <f t="shared" si="16"/>
        <v>0.33716402116402117</v>
      </c>
      <c r="W24" s="26">
        <f t="shared" si="16"/>
        <v>2118.9805093769464</v>
      </c>
      <c r="X24" s="26">
        <f t="shared" si="16"/>
        <v>0.21160915794746271</v>
      </c>
      <c r="Y24" s="26">
        <f t="shared" si="16"/>
        <v>0.97099449735449728</v>
      </c>
    </row>
    <row r="25" spans="1:25" s="3" customFormat="1">
      <c r="A25" s="100" t="s">
        <v>121</v>
      </c>
      <c r="B25" s="29" t="s">
        <v>27</v>
      </c>
      <c r="C25" s="22">
        <v>162</v>
      </c>
      <c r="D25" s="22">
        <v>0.41</v>
      </c>
      <c r="E25" s="108">
        <v>0.12153885438656534</v>
      </c>
      <c r="F25" s="397">
        <f>IF($C25&lt;11,'Offroad Tiers EF (2)'!$AN$4*$C25*$D25,IF($C25&lt;25,'Offroad Tiers EF (2)'!$AN$5*$C25*$D25,IF($C25&lt;50,'Offroad Tiers EF (2)'!$AN$6*$C25*$D25,IF($C25&lt;75,'Offroad Tiers EF (2)'!$AN$7*$C25*$D25,IF($C25&lt;100,'Offroad Tiers EF (2)'!$AN$8*$C25*$D25,IF($C25&lt;175,'Offroad Tiers EF (2)'!$AN$9*$C25*$D25,IF($C25&lt;300,'Offroad Tiers EF (2)'!$AN$10*$C25*$D25,IF($C25&lt;600,'Offroad Tiers EF (2)'!$AN$11*$C25*$D25,"!"))))))))</f>
        <v>0.5417857142857142</v>
      </c>
      <c r="G25" s="397">
        <f>IF($C25&lt;11,'Offroad Tiers EF (2)'!$AM$4*$C25*$D25,IF($C25&lt;25,'Offroad Tiers EF (2)'!$AM$5*$C25*$D25,IF($C25&lt;50,'Offroad Tiers EF (2)'!$AM$6*$C25*$D25,IF($C25&lt;75,'Offroad Tiers EF (2)'!$AM$7*$C25*$D25,IF($C25&lt;100,'Offroad Tiers EF (2)'!$AM$8*$C25*$D25,IF($C25&lt;175,'Offroad Tiers EF (2)'!$AM$9*$C25*$D25,IF($C25&lt;300,'Offroad Tiers EF (2)'!$AM$10*$C25*$D25,IF($C25&lt;600,'Offroad Tiers EF (2)'!$AM$11*$C25*$D25,"!"))))))))</f>
        <v>0.60233392857142853</v>
      </c>
      <c r="H25" s="108">
        <v>1.3943296443626662E-3</v>
      </c>
      <c r="I25" s="397">
        <f>IF($C25&lt;11,'Offroad Tiers EF (2)'!$AO$4*$C25*$D25,IF($C25&lt;25,'Offroad Tiers EF (2)'!$AO$5*$C25*$D25,IF($C25&lt;50,'Offroad Tiers EF (2)'!$AO$6*$C25*$D25,IF($C25&lt;75,'Offroad Tiers EF (2)'!$AO$7*$C25*$D25,IF($C25&lt;100,'Offroad Tiers EF (2)'!$AO$8*$C25*$D25,IF($C25&lt;175,'Offroad Tiers EF (2)'!$AO$9*$C25*$D25,IF($C25&lt;300,'Offroad Tiers EF (2)'!$AO$10*$C25*$D25,IF($C25&lt;600,'Offroad Tiers EF (2)'!$AO$11*$C25*$D25,"!"))))))))</f>
        <v>3.2214285714285709E-2</v>
      </c>
      <c r="J25" s="100">
        <f t="shared" si="14"/>
        <v>2.8670714285714282E-2</v>
      </c>
      <c r="K25" s="365">
        <v>123.92149503712022</v>
      </c>
      <c r="L25" s="23">
        <v>1.1720218383966691E-2</v>
      </c>
      <c r="M25" s="102">
        <f t="shared" si="15"/>
        <v>5.7221723214285709E-2</v>
      </c>
      <c r="N25" s="98">
        <v>1</v>
      </c>
      <c r="O25" s="87">
        <v>8</v>
      </c>
      <c r="P25" s="363">
        <v>75</v>
      </c>
      <c r="Q25" s="34">
        <f t="shared" si="16"/>
        <v>0.9723108350925227</v>
      </c>
      <c r="R25" s="26">
        <f t="shared" si="16"/>
        <v>4.3342857142857136</v>
      </c>
      <c r="S25" s="26">
        <f t="shared" si="16"/>
        <v>4.8186714285714283</v>
      </c>
      <c r="T25" s="26">
        <f t="shared" si="16"/>
        <v>1.115463715490133E-2</v>
      </c>
      <c r="U25" s="26">
        <f t="shared" si="16"/>
        <v>0.25771428571428567</v>
      </c>
      <c r="V25" s="26">
        <f t="shared" si="16"/>
        <v>0.22936571428571426</v>
      </c>
      <c r="W25" s="26">
        <f t="shared" si="16"/>
        <v>991.37196029696179</v>
      </c>
      <c r="X25" s="26">
        <f t="shared" si="16"/>
        <v>9.3761747071733528E-2</v>
      </c>
      <c r="Y25" s="26">
        <f t="shared" si="16"/>
        <v>0.45777378571428567</v>
      </c>
    </row>
    <row r="26" spans="1:25" s="3" customFormat="1">
      <c r="A26" s="100" t="s">
        <v>123</v>
      </c>
      <c r="B26" s="29" t="s">
        <v>27</v>
      </c>
      <c r="C26" s="22">
        <v>84</v>
      </c>
      <c r="D26" s="22">
        <v>0.38</v>
      </c>
      <c r="E26" s="102">
        <v>7.9534395197012789E-2</v>
      </c>
      <c r="F26" s="397">
        <f>IF($C26&lt;11,'Offroad Tiers EF (2)'!$AN$4*$C26*$D26,IF($C26&lt;25,'Offroad Tiers EF (2)'!$AN$5*$C26*$D26,IF($C26&lt;50,'Offroad Tiers EF (2)'!$AN$6*$C26*$D26,IF($C26&lt;75,'Offroad Tiers EF (2)'!$AN$7*$C26*$D26,IF($C26&lt;100,'Offroad Tiers EF (2)'!$AN$8*$C26*$D26,IF($C26&lt;175,'Offroad Tiers EF (2)'!$AN$9*$C26*$D26,IF($C26&lt;300,'Offroad Tiers EF (2)'!$AN$10*$C26*$D26,IF($C26&lt;600,'Offroad Tiers EF (2)'!$AN$11*$C26*$D26,"!"))))))))</f>
        <v>0.26037037037037036</v>
      </c>
      <c r="G26" s="397">
        <f>IF($C26&lt;11,'Offroad Tiers EF (2)'!$AM$4*$C26*$D26,IF($C26&lt;25,'Offroad Tiers EF (2)'!$AM$5*$C26*$D26,IF($C26&lt;50,'Offroad Tiers EF (2)'!$AM$6*$C26*$D26,IF($C26&lt;75,'Offroad Tiers EF (2)'!$AM$7*$C26*$D26,IF($C26&lt;100,'Offroad Tiers EF (2)'!$AM$8*$C26*$D26,IF($C26&lt;175,'Offroad Tiers EF (2)'!$AM$9*$C26*$D26,IF($C26&lt;300,'Offroad Tiers EF (2)'!$AM$10*$C26*$D26,IF($C26&lt;600,'Offroad Tiers EF (2)'!$AM$11*$C26*$D26,"!"))))))))</f>
        <v>0.33225370370370361</v>
      </c>
      <c r="H26" s="102">
        <v>6.9196834691909377E-4</v>
      </c>
      <c r="I26" s="397">
        <f>IF($C26&lt;11,'Offroad Tiers EF (2)'!$AO$4*$C26*$D26,IF($C26&lt;25,'Offroad Tiers EF (2)'!$AO$5*$C26*$D26,IF($C26&lt;50,'Offroad Tiers EF (2)'!$AO$6*$C26*$D26,IF($C26&lt;75,'Offroad Tiers EF (2)'!$AO$7*$C26*$D26,IF($C26&lt;100,'Offroad Tiers EF (2)'!$AO$8*$C26*$D26,IF($C26&lt;175,'Offroad Tiers EF (2)'!$AO$9*$C26*$D26,IF($C26&lt;300,'Offroad Tiers EF (2)'!$AO$10*$C26*$D26,IF($C26&lt;600,'Offroad Tiers EF (2)'!$AO$11*$C26*$D26,"!"))))))))</f>
        <v>2.1111111111111112E-2</v>
      </c>
      <c r="J26" s="100">
        <f t="shared" si="14"/>
        <v>1.878888888888889E-2</v>
      </c>
      <c r="K26" s="103">
        <v>58.988746640295226</v>
      </c>
      <c r="L26" s="102">
        <v>7.7311979659905822E-3</v>
      </c>
      <c r="M26" s="102">
        <f t="shared" si="15"/>
        <v>3.1564101851851843E-2</v>
      </c>
      <c r="N26" s="363">
        <v>1</v>
      </c>
      <c r="O26" s="87">
        <v>8</v>
      </c>
      <c r="P26" s="363">
        <v>75</v>
      </c>
      <c r="Q26" s="34">
        <f t="shared" si="16"/>
        <v>0.63627516157610231</v>
      </c>
      <c r="R26" s="26">
        <f t="shared" si="16"/>
        <v>2.0829629629629629</v>
      </c>
      <c r="S26" s="26">
        <f t="shared" si="16"/>
        <v>2.6580296296296289</v>
      </c>
      <c r="T26" s="26">
        <f t="shared" si="16"/>
        <v>5.5357467753527501E-3</v>
      </c>
      <c r="U26" s="26">
        <f t="shared" si="16"/>
        <v>0.16888888888888889</v>
      </c>
      <c r="V26" s="26">
        <f t="shared" si="16"/>
        <v>0.15031111111111112</v>
      </c>
      <c r="W26" s="26">
        <f t="shared" si="16"/>
        <v>471.90997312236181</v>
      </c>
      <c r="X26" s="26">
        <f t="shared" si="16"/>
        <v>6.1849583727924658E-2</v>
      </c>
      <c r="Y26" s="26">
        <f t="shared" si="16"/>
        <v>0.25251281481481475</v>
      </c>
    </row>
    <row r="27" spans="1:25" s="3" customFormat="1">
      <c r="A27" s="100" t="s">
        <v>282</v>
      </c>
      <c r="B27" s="29" t="s">
        <v>27</v>
      </c>
      <c r="C27" s="97">
        <v>37</v>
      </c>
      <c r="D27" s="22">
        <v>0.37</v>
      </c>
      <c r="E27" s="102">
        <v>3.2313389441625637E-2</v>
      </c>
      <c r="F27" s="397">
        <f>IF($C27&lt;11,'Offroad Tiers EF (2)'!$AN$4*$C27*$D27,IF($C27&lt;25,'Offroad Tiers EF (2)'!$AN$5*$C27*$D27,IF($C27&lt;50,'Offroad Tiers EF (2)'!$AN$6*$C27*$D27,IF($C27&lt;75,'Offroad Tiers EF (2)'!$AN$7*$C27*$D27,IF($C27&lt;100,'Offroad Tiers EF (2)'!$AN$8*$C27*$D27,IF($C27&lt;175,'Offroad Tiers EF (2)'!$AN$9*$C27*$D27,IF($C27&lt;300,'Offroad Tiers EF (2)'!$AN$10*$C27*$D27,IF($C27&lt;600,'Offroad Tiers EF (2)'!$AN$11*$C27*$D27,"!"))))))))</f>
        <v>0.12374118165784832</v>
      </c>
      <c r="G27" s="397">
        <f>IF($C27&lt;11,'Offroad Tiers EF (2)'!$AM$4*$C27*$D27,IF($C27&lt;25,'Offroad Tiers EF (2)'!$AM$5*$C27*$D27,IF($C27&lt;50,'Offroad Tiers EF (2)'!$AM$6*$C27*$D27,IF($C27&lt;75,'Offroad Tiers EF (2)'!$AM$7*$C27*$D27,IF($C27&lt;100,'Offroad Tiers EF (2)'!$AM$8*$C27*$D27,IF($C27&lt;175,'Offroad Tiers EF (2)'!$AM$9*$C27*$D27,IF($C27&lt;300,'Offroad Tiers EF (2)'!$AM$10*$C27*$D27,IF($C27&lt;600,'Offroad Tiers EF (2)'!$AM$11*$C27*$D27,"!"))))))))</f>
        <v>0.16056172839506169</v>
      </c>
      <c r="H27" s="102">
        <v>3.2989906092678058E-4</v>
      </c>
      <c r="I27" s="397">
        <f>IF($C27&lt;11,'Offroad Tiers EF (2)'!$AO$4*$C27*$D27,IF($C27&lt;25,'Offroad Tiers EF (2)'!$AO$5*$C27*$D27,IF($C27&lt;50,'Offroad Tiers EF (2)'!$AO$6*$C27*$D27,IF($C27&lt;75,'Offroad Tiers EF (2)'!$AO$7*$C27*$D27,IF($C27&lt;100,'Offroad Tiers EF (2)'!$AO$8*$C27*$D27,IF($C27&lt;175,'Offroad Tiers EF (2)'!$AO$9*$C27*$D27,IF($C27&lt;300,'Offroad Tiers EF (2)'!$AO$10*$C27*$D27,IF($C27&lt;600,'Offroad Tiers EF (2)'!$AO$11*$C27*$D27,"!"))))))))</f>
        <v>1.3581349206349205E-2</v>
      </c>
      <c r="J27" s="100">
        <f t="shared" si="14"/>
        <v>1.2087400793650793E-2</v>
      </c>
      <c r="K27" s="103">
        <v>25.519156990664225</v>
      </c>
      <c r="L27" s="102">
        <v>3.413848047070189E-3</v>
      </c>
      <c r="M27" s="104">
        <f t="shared" si="15"/>
        <v>1.5253364197530862E-2</v>
      </c>
      <c r="N27" s="87">
        <v>1</v>
      </c>
      <c r="O27" s="87">
        <v>8</v>
      </c>
      <c r="P27" s="363">
        <v>75</v>
      </c>
      <c r="Q27" s="34">
        <f t="shared" si="16"/>
        <v>0.25850711553300509</v>
      </c>
      <c r="R27" s="26">
        <f t="shared" si="16"/>
        <v>0.98992945326278659</v>
      </c>
      <c r="S27" s="26">
        <f t="shared" si="16"/>
        <v>1.2844938271604935</v>
      </c>
      <c r="T27" s="26">
        <f t="shared" si="16"/>
        <v>2.6391924874142447E-3</v>
      </c>
      <c r="U27" s="26">
        <f t="shared" si="16"/>
        <v>0.10865079365079364</v>
      </c>
      <c r="V27" s="26">
        <f t="shared" si="16"/>
        <v>9.669920634920634E-2</v>
      </c>
      <c r="W27" s="26">
        <f t="shared" si="16"/>
        <v>204.1532559253138</v>
      </c>
      <c r="X27" s="26">
        <f t="shared" si="16"/>
        <v>2.7310784376561512E-2</v>
      </c>
      <c r="Y27" s="26">
        <f t="shared" si="16"/>
        <v>0.12202691358024689</v>
      </c>
    </row>
    <row r="28" spans="1:25" s="3" customFormat="1">
      <c r="A28" s="100" t="s">
        <v>126</v>
      </c>
      <c r="B28" s="29" t="s">
        <v>27</v>
      </c>
      <c r="C28" s="22">
        <v>175</v>
      </c>
      <c r="D28" s="22"/>
      <c r="E28" s="102">
        <v>0.11792220738547983</v>
      </c>
      <c r="F28" s="102">
        <v>0.36512193352152528</v>
      </c>
      <c r="G28" s="102">
        <v>0.86781464282266541</v>
      </c>
      <c r="H28" s="102">
        <v>1.8739217498104396E-3</v>
      </c>
      <c r="I28" s="102">
        <v>2.9041712295589866E-2</v>
      </c>
      <c r="J28" s="100">
        <f t="shared" si="14"/>
        <v>2.5847123943074982E-2</v>
      </c>
      <c r="K28" s="103">
        <v>166.54541562452522</v>
      </c>
      <c r="L28" s="102">
        <v>1.063993297769634E-2</v>
      </c>
      <c r="M28" s="104">
        <f t="shared" si="15"/>
        <v>8.2442391068153209E-2</v>
      </c>
      <c r="N28" s="98">
        <v>2</v>
      </c>
      <c r="O28" s="87">
        <v>8</v>
      </c>
      <c r="P28" s="363">
        <v>75</v>
      </c>
      <c r="Q28" s="34">
        <f t="shared" si="16"/>
        <v>1.8867553181676773</v>
      </c>
      <c r="R28" s="26">
        <f t="shared" si="16"/>
        <v>5.8419509363444044</v>
      </c>
      <c r="S28" s="26">
        <f t="shared" si="16"/>
        <v>13.885034285162646</v>
      </c>
      <c r="T28" s="26">
        <f t="shared" si="16"/>
        <v>2.9982747996967034E-2</v>
      </c>
      <c r="U28" s="26">
        <f t="shared" si="16"/>
        <v>0.46466739672943785</v>
      </c>
      <c r="V28" s="26">
        <f t="shared" si="16"/>
        <v>0.41355398308919972</v>
      </c>
      <c r="W28" s="26">
        <f t="shared" si="16"/>
        <v>2664.7266499924035</v>
      </c>
      <c r="X28" s="26">
        <f t="shared" si="16"/>
        <v>0.17023892764314144</v>
      </c>
      <c r="Y28" s="26">
        <f t="shared" si="16"/>
        <v>1.3190782570904513</v>
      </c>
    </row>
    <row r="29" spans="1:25" s="3" customFormat="1">
      <c r="A29" s="11" t="s">
        <v>28</v>
      </c>
      <c r="B29" s="31"/>
      <c r="C29" s="18"/>
      <c r="D29" s="22"/>
      <c r="E29" s="19"/>
      <c r="F29" s="19"/>
      <c r="G29" s="19"/>
      <c r="H29" s="19"/>
      <c r="I29" s="19"/>
      <c r="J29" s="19"/>
      <c r="K29" s="19"/>
      <c r="L29" s="19"/>
      <c r="M29" s="19"/>
      <c r="N29" s="30"/>
      <c r="O29" s="30"/>
      <c r="P29" s="364"/>
      <c r="Q29" s="20">
        <f t="shared" ref="Q29:Y29" si="17">SUM(Q24:Q28)</f>
        <v>5.9888426822592722</v>
      </c>
      <c r="R29" s="20">
        <f t="shared" si="17"/>
        <v>19.815619366679503</v>
      </c>
      <c r="S29" s="27">
        <f t="shared" si="17"/>
        <v>32.867223879518903</v>
      </c>
      <c r="T29" s="20">
        <f t="shared" si="17"/>
        <v>7.011079524174238E-2</v>
      </c>
      <c r="U29" s="20">
        <f t="shared" si="17"/>
        <v>1.378757343819385</v>
      </c>
      <c r="V29" s="20">
        <f t="shared" si="17"/>
        <v>1.2270940359992526</v>
      </c>
      <c r="W29" s="20">
        <f t="shared" si="17"/>
        <v>6451.1423487139873</v>
      </c>
      <c r="X29" s="20">
        <f t="shared" si="17"/>
        <v>0.56477020076682383</v>
      </c>
      <c r="Y29" s="20">
        <f t="shared" si="17"/>
        <v>3.1223862685542958</v>
      </c>
    </row>
    <row r="30" spans="1:25" s="3" customFormat="1">
      <c r="A30" s="11"/>
      <c r="B30" s="31"/>
      <c r="C30" s="18"/>
      <c r="D30" s="22"/>
      <c r="E30" s="19"/>
      <c r="F30" s="19"/>
      <c r="G30" s="19"/>
      <c r="H30" s="19"/>
      <c r="I30" s="19"/>
      <c r="J30" s="19"/>
      <c r="K30" s="19"/>
      <c r="L30" s="19"/>
      <c r="M30" s="19"/>
      <c r="N30" s="30"/>
      <c r="O30" s="375"/>
      <c r="P30" s="364"/>
      <c r="Q30" s="20"/>
      <c r="R30" s="20"/>
      <c r="S30" s="27"/>
      <c r="T30" s="20"/>
      <c r="U30" s="20"/>
      <c r="V30" s="20"/>
      <c r="W30" s="21"/>
      <c r="X30" s="20"/>
      <c r="Y30" s="20"/>
    </row>
    <row r="31" spans="1:25" s="3" customFormat="1">
      <c r="A31" s="17" t="s">
        <v>365</v>
      </c>
      <c r="B31" s="31"/>
      <c r="C31" s="18"/>
      <c r="D31" s="22"/>
      <c r="E31" s="19"/>
      <c r="F31" s="19"/>
      <c r="G31" s="19"/>
      <c r="H31" s="19"/>
      <c r="I31" s="19"/>
      <c r="J31" s="19"/>
      <c r="K31" s="19"/>
      <c r="L31" s="19"/>
      <c r="M31" s="19"/>
      <c r="N31" s="30"/>
      <c r="O31" s="30"/>
      <c r="P31" s="364"/>
      <c r="Q31" s="20">
        <f>Q11+Q21+Q29</f>
        <v>14.561827957051477</v>
      </c>
      <c r="R31" s="20">
        <f t="shared" ref="R31:Y31" si="18">R11+R21+R29</f>
        <v>51.020792925176181</v>
      </c>
      <c r="S31" s="20">
        <f t="shared" si="18"/>
        <v>83.261019315164901</v>
      </c>
      <c r="T31" s="20">
        <f t="shared" si="18"/>
        <v>0.19236909415985609</v>
      </c>
      <c r="U31" s="20">
        <f t="shared" si="18"/>
        <v>3.6040664651421119</v>
      </c>
      <c r="V31" s="20">
        <f t="shared" si="18"/>
        <v>3.2076191539764798</v>
      </c>
      <c r="W31" s="20">
        <f t="shared" si="18"/>
        <v>17969.034443708937</v>
      </c>
      <c r="X31" s="20">
        <f t="shared" si="18"/>
        <v>1.3819553033559813</v>
      </c>
      <c r="Y31" s="20">
        <f t="shared" si="18"/>
        <v>7.909796834940666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31"/>
  <sheetViews>
    <sheetView zoomScale="75" zoomScaleNormal="75" workbookViewId="0">
      <selection activeCell="A35" sqref="A35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528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64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314</v>
      </c>
      <c r="B7" s="571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8</v>
      </c>
      <c r="P8" s="88">
        <v>125</v>
      </c>
      <c r="Q8" s="34">
        <f t="shared" ref="Q8:Y10" si="2">(E8*$N8*$O8)</f>
        <v>0.49946184642775621</v>
      </c>
      <c r="R8" s="26">
        <f t="shared" si="2"/>
        <v>2.4431746031746027</v>
      </c>
      <c r="S8" s="26">
        <f t="shared" si="2"/>
        <v>3.1176888888888881</v>
      </c>
      <c r="T8" s="26">
        <f t="shared" si="2"/>
        <v>4.4060015200662857E-3</v>
      </c>
      <c r="U8" s="26">
        <f t="shared" si="2"/>
        <v>0.19809523809523807</v>
      </c>
      <c r="V8" s="26">
        <f t="shared" si="2"/>
        <v>0.17630476190476188</v>
      </c>
      <c r="W8" s="26">
        <f t="shared" si="2"/>
        <v>375.60183859341714</v>
      </c>
      <c r="X8" s="26">
        <f t="shared" si="2"/>
        <v>5.4697471816927752E-2</v>
      </c>
      <c r="Y8" s="26">
        <f t="shared" si="2"/>
        <v>0.29618044444444436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9</v>
      </c>
      <c r="P9" s="363">
        <v>125</v>
      </c>
      <c r="Q9" s="34">
        <f t="shared" si="2"/>
        <v>1.0612998664693185</v>
      </c>
      <c r="R9" s="26">
        <f t="shared" si="2"/>
        <v>3.2860974016937274</v>
      </c>
      <c r="S9" s="26">
        <f t="shared" si="2"/>
        <v>7.8103317854039886</v>
      </c>
      <c r="T9" s="26">
        <f t="shared" si="2"/>
        <v>1.6865295748293957E-2</v>
      </c>
      <c r="U9" s="26">
        <f t="shared" si="2"/>
        <v>0.26137541066030878</v>
      </c>
      <c r="V9" s="26">
        <f t="shared" si="2"/>
        <v>0.23262411548767484</v>
      </c>
      <c r="W9" s="26">
        <f t="shared" si="2"/>
        <v>1498.908740620727</v>
      </c>
      <c r="X9" s="26">
        <f t="shared" si="2"/>
        <v>9.5759396799267066E-2</v>
      </c>
      <c r="Y9" s="26">
        <f t="shared" si="2"/>
        <v>0.74198151961337888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3</v>
      </c>
      <c r="P10" s="363">
        <v>125</v>
      </c>
      <c r="Q10" s="34">
        <f t="shared" si="2"/>
        <v>3.9051121312432671E-2</v>
      </c>
      <c r="R10" s="26">
        <f t="shared" si="2"/>
        <v>0.1468253968253968</v>
      </c>
      <c r="S10" s="26">
        <f t="shared" si="2"/>
        <v>0.13018518518518515</v>
      </c>
      <c r="T10" s="26">
        <f t="shared" si="2"/>
        <v>4.7652059865273245E-4</v>
      </c>
      <c r="U10" s="26">
        <f t="shared" si="2"/>
        <v>1.4682539682539681E-2</v>
      </c>
      <c r="V10" s="26">
        <f t="shared" si="2"/>
        <v>1.3067460317460314E-2</v>
      </c>
      <c r="W10" s="26">
        <f t="shared" si="2"/>
        <v>30.622980859093083</v>
      </c>
      <c r="X10" s="26">
        <f t="shared" si="2"/>
        <v>3.8388136396804665E-3</v>
      </c>
      <c r="Y10" s="26">
        <f t="shared" si="2"/>
        <v>1.236759259259259E-2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1.5998128342095075</v>
      </c>
      <c r="R11" s="101">
        <f t="shared" ref="R11:Y11" si="3">SUM(R8:R10)</f>
        <v>5.8760974016937269</v>
      </c>
      <c r="S11" s="101">
        <f t="shared" si="3"/>
        <v>11.058205859478063</v>
      </c>
      <c r="T11" s="101">
        <f t="shared" si="3"/>
        <v>2.1747817867012974E-2</v>
      </c>
      <c r="U11" s="101">
        <f t="shared" si="3"/>
        <v>0.47415318843808657</v>
      </c>
      <c r="V11" s="101">
        <f t="shared" si="3"/>
        <v>0.42199633770989703</v>
      </c>
      <c r="W11" s="101">
        <f t="shared" si="3"/>
        <v>1905.1335600732373</v>
      </c>
      <c r="X11" s="101">
        <f t="shared" si="3"/>
        <v>0.15429568225587528</v>
      </c>
      <c r="Y11" s="101">
        <f t="shared" si="3"/>
        <v>1.0505295566504158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87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7" t="s">
        <v>281</v>
      </c>
      <c r="B13" s="90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30"/>
      <c r="O13" s="30"/>
      <c r="P13" s="30"/>
      <c r="Q13" s="20"/>
      <c r="R13" s="20"/>
      <c r="S13" s="27"/>
      <c r="T13" s="20"/>
      <c r="U13" s="20"/>
      <c r="V13" s="20"/>
      <c r="W13" s="21"/>
      <c r="X13" s="20"/>
      <c r="Y13" s="20"/>
    </row>
    <row r="14" spans="1:25" s="3" customFormat="1">
      <c r="A14" s="100" t="s">
        <v>120</v>
      </c>
      <c r="B14" s="29" t="s">
        <v>27</v>
      </c>
      <c r="C14" s="22">
        <v>358</v>
      </c>
      <c r="D14" s="22">
        <v>0.4</v>
      </c>
      <c r="E14" s="108">
        <v>0.27937428148624566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0.82081128747795418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1.2776243386243384</v>
      </c>
      <c r="H14" s="108">
        <v>2.5998088533883764E-3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4.735449735449735E-2</v>
      </c>
      <c r="J14" s="100">
        <f t="shared" ref="J14:J19" si="4">0.89*I14</f>
        <v>4.2145502645502646E-2</v>
      </c>
      <c r="K14" s="108">
        <v>264.8725636721183</v>
      </c>
      <c r="L14" s="108">
        <v>2.6451144743432839E-2</v>
      </c>
      <c r="M14" s="102">
        <f t="shared" ref="M14:M19" si="5">0.095*G14</f>
        <v>0.12137431216931216</v>
      </c>
      <c r="N14" s="98">
        <v>1</v>
      </c>
      <c r="O14" s="87">
        <v>8</v>
      </c>
      <c r="P14" s="363">
        <v>75</v>
      </c>
      <c r="Q14" s="34">
        <f t="shared" ref="Q14:Y19" si="6">(E14*$N14*$O14)</f>
        <v>2.2349942518899653</v>
      </c>
      <c r="R14" s="26">
        <f t="shared" si="6"/>
        <v>6.5664902998236334</v>
      </c>
      <c r="S14" s="26">
        <f t="shared" si="6"/>
        <v>10.220994708994708</v>
      </c>
      <c r="T14" s="26">
        <f t="shared" si="6"/>
        <v>2.0798470827107011E-2</v>
      </c>
      <c r="U14" s="26">
        <f t="shared" si="6"/>
        <v>0.3788359788359788</v>
      </c>
      <c r="V14" s="26">
        <f t="shared" si="6"/>
        <v>0.33716402116402117</v>
      </c>
      <c r="W14" s="26">
        <f t="shared" si="6"/>
        <v>2118.9805093769464</v>
      </c>
      <c r="X14" s="26">
        <f t="shared" si="6"/>
        <v>0.21160915794746271</v>
      </c>
      <c r="Y14" s="26">
        <f t="shared" si="6"/>
        <v>0.97099449735449728</v>
      </c>
    </row>
    <row r="15" spans="1:25" s="3" customFormat="1">
      <c r="A15" s="100" t="s">
        <v>121</v>
      </c>
      <c r="B15" s="29" t="s">
        <v>27</v>
      </c>
      <c r="C15" s="22">
        <v>162</v>
      </c>
      <c r="D15" s="22">
        <v>0.41</v>
      </c>
      <c r="E15" s="108">
        <v>0.12153885438656534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0.5417857142857142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0.60233392857142853</v>
      </c>
      <c r="H15" s="108">
        <v>1.3943296443626662E-3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3.2214285714285709E-2</v>
      </c>
      <c r="J15" s="100">
        <f t="shared" si="4"/>
        <v>2.8670714285714282E-2</v>
      </c>
      <c r="K15" s="365">
        <v>123.92149503712022</v>
      </c>
      <c r="L15" s="23">
        <v>1.1720218383966691E-2</v>
      </c>
      <c r="M15" s="102">
        <f t="shared" si="5"/>
        <v>5.7221723214285709E-2</v>
      </c>
      <c r="N15" s="98">
        <v>1</v>
      </c>
      <c r="O15" s="87">
        <v>8</v>
      </c>
      <c r="P15" s="363">
        <v>75</v>
      </c>
      <c r="Q15" s="34">
        <f t="shared" si="6"/>
        <v>0.9723108350925227</v>
      </c>
      <c r="R15" s="26">
        <f t="shared" si="6"/>
        <v>4.3342857142857136</v>
      </c>
      <c r="S15" s="26">
        <f t="shared" si="6"/>
        <v>4.8186714285714283</v>
      </c>
      <c r="T15" s="26">
        <f t="shared" si="6"/>
        <v>1.115463715490133E-2</v>
      </c>
      <c r="U15" s="26">
        <f t="shared" si="6"/>
        <v>0.25771428571428567</v>
      </c>
      <c r="V15" s="26">
        <f t="shared" si="6"/>
        <v>0.22936571428571426</v>
      </c>
      <c r="W15" s="26">
        <f t="shared" si="6"/>
        <v>991.37196029696179</v>
      </c>
      <c r="X15" s="26">
        <f t="shared" si="6"/>
        <v>9.3761747071733528E-2</v>
      </c>
      <c r="Y15" s="26">
        <f t="shared" si="6"/>
        <v>0.45777378571428567</v>
      </c>
    </row>
    <row r="16" spans="1:25" s="3" customFormat="1">
      <c r="A16" s="100" t="s">
        <v>122</v>
      </c>
      <c r="B16" s="29" t="s">
        <v>27</v>
      </c>
      <c r="C16" s="22">
        <v>356</v>
      </c>
      <c r="D16" s="22">
        <v>0.48</v>
      </c>
      <c r="E16" s="108">
        <v>0.27361983606105278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0.97947089947089949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1.5245841269841265</v>
      </c>
      <c r="H16" s="108">
        <v>3.1549250027299411E-3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5.65079365079365E-2</v>
      </c>
      <c r="J16" s="100">
        <f t="shared" si="4"/>
        <v>5.0292063492063485E-2</v>
      </c>
      <c r="K16" s="108">
        <v>321.42842594638495</v>
      </c>
      <c r="L16" s="108">
        <v>2.6010420981454316E-2</v>
      </c>
      <c r="M16" s="102">
        <f t="shared" si="5"/>
        <v>0.14483549206349203</v>
      </c>
      <c r="N16" s="98">
        <v>2</v>
      </c>
      <c r="O16" s="98">
        <v>8</v>
      </c>
      <c r="P16" s="99">
        <f>2*22</f>
        <v>44</v>
      </c>
      <c r="Q16" s="34">
        <f t="shared" si="6"/>
        <v>4.3779173769768445</v>
      </c>
      <c r="R16" s="26">
        <f t="shared" si="6"/>
        <v>15.671534391534392</v>
      </c>
      <c r="S16" s="26">
        <f t="shared" si="6"/>
        <v>24.393346031746024</v>
      </c>
      <c r="T16" s="26">
        <f t="shared" si="6"/>
        <v>5.0478800043679058E-2</v>
      </c>
      <c r="U16" s="26">
        <f t="shared" si="6"/>
        <v>0.904126984126984</v>
      </c>
      <c r="V16" s="26">
        <f t="shared" si="6"/>
        <v>0.80467301587301576</v>
      </c>
      <c r="W16" s="26">
        <f t="shared" si="6"/>
        <v>5142.8548151421592</v>
      </c>
      <c r="X16" s="26">
        <f t="shared" si="6"/>
        <v>0.41616673570326906</v>
      </c>
      <c r="Y16" s="26">
        <f t="shared" si="6"/>
        <v>2.3173678730158724</v>
      </c>
    </row>
    <row r="17" spans="1:32" s="3" customFormat="1">
      <c r="A17" s="100" t="s">
        <v>123</v>
      </c>
      <c r="B17" s="29" t="s">
        <v>27</v>
      </c>
      <c r="C17" s="22">
        <v>84</v>
      </c>
      <c r="D17" s="22">
        <v>0.38</v>
      </c>
      <c r="E17" s="102">
        <v>7.9534395197012789E-2</v>
      </c>
      <c r="F17" s="397">
        <f>IF($C17&lt;11,'Offroad Tiers EF (2)'!$AN$4*$C17*$D17,IF($C17&lt;25,'Offroad Tiers EF (2)'!$AN$5*$C17*$D17,IF($C17&lt;50,'Offroad Tiers EF (2)'!$AN$6*$C17*$D17,IF($C17&lt;75,'Offroad Tiers EF (2)'!$AN$7*$C17*$D17,IF($C17&lt;100,'Offroad Tiers EF (2)'!$AN$8*$C17*$D17,IF($C17&lt;175,'Offroad Tiers EF (2)'!$AN$9*$C17*$D17,IF($C17&lt;300,'Offroad Tiers EF (2)'!$AN$10*$C17*$D17,IF($C17&lt;600,'Offroad Tiers EF (2)'!$AN$11*$C17*$D17,"!"))))))))</f>
        <v>0.26037037037037036</v>
      </c>
      <c r="G17" s="397">
        <f>IF($C17&lt;11,'Offroad Tiers EF (2)'!$AM$4*$C17*$D17,IF($C17&lt;25,'Offroad Tiers EF (2)'!$AM$5*$C17*$D17,IF($C17&lt;50,'Offroad Tiers EF (2)'!$AM$6*$C17*$D17,IF($C17&lt;75,'Offroad Tiers EF (2)'!$AM$7*$C17*$D17,IF($C17&lt;100,'Offroad Tiers EF (2)'!$AM$8*$C17*$D17,IF($C17&lt;175,'Offroad Tiers EF (2)'!$AM$9*$C17*$D17,IF($C17&lt;300,'Offroad Tiers EF (2)'!$AM$10*$C17*$D17,IF($C17&lt;600,'Offroad Tiers EF (2)'!$AM$11*$C17*$D17,"!"))))))))</f>
        <v>0.33225370370370361</v>
      </c>
      <c r="H17" s="102">
        <v>6.9196834691909377E-4</v>
      </c>
      <c r="I17" s="397">
        <f>IF($C17&lt;11,'Offroad Tiers EF (2)'!$AO$4*$C17*$D17,IF($C17&lt;25,'Offroad Tiers EF (2)'!$AO$5*$C17*$D17,IF($C17&lt;50,'Offroad Tiers EF (2)'!$AO$6*$C17*$D17,IF($C17&lt;75,'Offroad Tiers EF (2)'!$AO$7*$C17*$D17,IF($C17&lt;100,'Offroad Tiers EF (2)'!$AO$8*$C17*$D17,IF($C17&lt;175,'Offroad Tiers EF (2)'!$AO$9*$C17*$D17,IF($C17&lt;300,'Offroad Tiers EF (2)'!$AO$10*$C17*$D17,IF($C17&lt;600,'Offroad Tiers EF (2)'!$AO$11*$C17*$D17,"!"))))))))</f>
        <v>2.1111111111111112E-2</v>
      </c>
      <c r="J17" s="100">
        <f t="shared" si="4"/>
        <v>1.878888888888889E-2</v>
      </c>
      <c r="K17" s="103">
        <v>58.988746640295226</v>
      </c>
      <c r="L17" s="102">
        <v>7.7311979659905822E-3</v>
      </c>
      <c r="M17" s="102">
        <f t="shared" si="5"/>
        <v>3.1564101851851843E-2</v>
      </c>
      <c r="N17" s="363">
        <v>1</v>
      </c>
      <c r="O17" s="87">
        <v>8</v>
      </c>
      <c r="P17" s="363">
        <v>75</v>
      </c>
      <c r="Q17" s="34">
        <f t="shared" si="6"/>
        <v>0.63627516157610231</v>
      </c>
      <c r="R17" s="26">
        <f t="shared" si="6"/>
        <v>2.0829629629629629</v>
      </c>
      <c r="S17" s="26">
        <f t="shared" si="6"/>
        <v>2.6580296296296289</v>
      </c>
      <c r="T17" s="26">
        <f t="shared" si="6"/>
        <v>5.5357467753527501E-3</v>
      </c>
      <c r="U17" s="26">
        <f t="shared" si="6"/>
        <v>0.16888888888888889</v>
      </c>
      <c r="V17" s="26">
        <f t="shared" si="6"/>
        <v>0.15031111111111112</v>
      </c>
      <c r="W17" s="26">
        <f t="shared" si="6"/>
        <v>471.90997312236181</v>
      </c>
      <c r="X17" s="26">
        <f t="shared" si="6"/>
        <v>6.1849583727924658E-2</v>
      </c>
      <c r="Y17" s="26">
        <f t="shared" si="6"/>
        <v>0.25251281481481475</v>
      </c>
    </row>
    <row r="18" spans="1:32" s="3" customFormat="1">
      <c r="A18" s="100" t="s">
        <v>282</v>
      </c>
      <c r="B18" s="29" t="s">
        <v>27</v>
      </c>
      <c r="C18" s="97">
        <v>37</v>
      </c>
      <c r="D18" s="22">
        <v>0.37</v>
      </c>
      <c r="E18" s="102">
        <v>3.2313389441625637E-2</v>
      </c>
      <c r="F18" s="397">
        <f>IF($C18&lt;11,'Offroad Tiers EF (2)'!$AN$4*$C18*$D18,IF($C18&lt;25,'Offroad Tiers EF (2)'!$AN$5*$C18*$D18,IF($C18&lt;50,'Offroad Tiers EF (2)'!$AN$6*$C18*$D18,IF($C18&lt;75,'Offroad Tiers EF (2)'!$AN$7*$C18*$D18,IF($C18&lt;100,'Offroad Tiers EF (2)'!$AN$8*$C18*$D18,IF($C18&lt;175,'Offroad Tiers EF (2)'!$AN$9*$C18*$D18,IF($C18&lt;300,'Offroad Tiers EF (2)'!$AN$10*$C18*$D18,IF($C18&lt;600,'Offroad Tiers EF (2)'!$AN$11*$C18*$D18,"!"))))))))</f>
        <v>0.12374118165784832</v>
      </c>
      <c r="G18" s="397">
        <f>IF($C18&lt;11,'Offroad Tiers EF (2)'!$AM$4*$C18*$D18,IF($C18&lt;25,'Offroad Tiers EF (2)'!$AM$5*$C18*$D18,IF($C18&lt;50,'Offroad Tiers EF (2)'!$AM$6*$C18*$D18,IF($C18&lt;75,'Offroad Tiers EF (2)'!$AM$7*$C18*$D18,IF($C18&lt;100,'Offroad Tiers EF (2)'!$AM$8*$C18*$D18,IF($C18&lt;175,'Offroad Tiers EF (2)'!$AM$9*$C18*$D18,IF($C18&lt;300,'Offroad Tiers EF (2)'!$AM$10*$C18*$D18,IF($C18&lt;600,'Offroad Tiers EF (2)'!$AM$11*$C18*$D18,"!"))))))))</f>
        <v>0.16056172839506169</v>
      </c>
      <c r="H18" s="102">
        <v>3.2989906092678058E-4</v>
      </c>
      <c r="I18" s="397">
        <f>IF($C18&lt;11,'Offroad Tiers EF (2)'!$AO$4*$C18*$D18,IF($C18&lt;25,'Offroad Tiers EF (2)'!$AO$5*$C18*$D18,IF($C18&lt;50,'Offroad Tiers EF (2)'!$AO$6*$C18*$D18,IF($C18&lt;75,'Offroad Tiers EF (2)'!$AO$7*$C18*$D18,IF($C18&lt;100,'Offroad Tiers EF (2)'!$AO$8*$C18*$D18,IF($C18&lt;175,'Offroad Tiers EF (2)'!$AO$9*$C18*$D18,IF($C18&lt;300,'Offroad Tiers EF (2)'!$AO$10*$C18*$D18,IF($C18&lt;600,'Offroad Tiers EF (2)'!$AO$11*$C18*$D18,"!"))))))))</f>
        <v>1.3581349206349205E-2</v>
      </c>
      <c r="J18" s="100">
        <f t="shared" si="4"/>
        <v>1.2087400793650793E-2</v>
      </c>
      <c r="K18" s="103">
        <v>25.519156990664225</v>
      </c>
      <c r="L18" s="102">
        <v>3.413848047070189E-3</v>
      </c>
      <c r="M18" s="104">
        <f t="shared" si="5"/>
        <v>1.5253364197530862E-2</v>
      </c>
      <c r="N18" s="87">
        <v>1</v>
      </c>
      <c r="O18" s="87">
        <v>8</v>
      </c>
      <c r="P18" s="363">
        <v>75</v>
      </c>
      <c r="Q18" s="34">
        <f t="shared" si="6"/>
        <v>0.25850711553300509</v>
      </c>
      <c r="R18" s="26">
        <f t="shared" si="6"/>
        <v>0.98992945326278659</v>
      </c>
      <c r="S18" s="26">
        <f t="shared" si="6"/>
        <v>1.2844938271604935</v>
      </c>
      <c r="T18" s="26">
        <f t="shared" si="6"/>
        <v>2.6391924874142447E-3</v>
      </c>
      <c r="U18" s="26">
        <f t="shared" si="6"/>
        <v>0.10865079365079364</v>
      </c>
      <c r="V18" s="26">
        <f t="shared" si="6"/>
        <v>9.669920634920634E-2</v>
      </c>
      <c r="W18" s="26">
        <f t="shared" si="6"/>
        <v>204.1532559253138</v>
      </c>
      <c r="X18" s="26">
        <f t="shared" si="6"/>
        <v>2.7310784376561512E-2</v>
      </c>
      <c r="Y18" s="26">
        <f t="shared" si="6"/>
        <v>0.12202691358024689</v>
      </c>
    </row>
    <row r="19" spans="1:32" s="3" customFormat="1">
      <c r="A19" s="100" t="s">
        <v>126</v>
      </c>
      <c r="B19" s="29" t="s">
        <v>27</v>
      </c>
      <c r="C19" s="22">
        <v>175</v>
      </c>
      <c r="D19" s="22"/>
      <c r="E19" s="102">
        <v>0.11792220738547983</v>
      </c>
      <c r="F19" s="102">
        <v>0.36512193352152528</v>
      </c>
      <c r="G19" s="102">
        <v>0.86781464282266541</v>
      </c>
      <c r="H19" s="102">
        <v>1.8739217498104396E-3</v>
      </c>
      <c r="I19" s="102">
        <v>2.9041712295589866E-2</v>
      </c>
      <c r="J19" s="100">
        <f t="shared" si="4"/>
        <v>2.5847123943074982E-2</v>
      </c>
      <c r="K19" s="103">
        <v>166.54541562452522</v>
      </c>
      <c r="L19" s="102">
        <v>1.063993297769634E-2</v>
      </c>
      <c r="M19" s="104">
        <f t="shared" si="5"/>
        <v>8.2442391068153209E-2</v>
      </c>
      <c r="N19" s="98">
        <v>2</v>
      </c>
      <c r="O19" s="87">
        <v>8</v>
      </c>
      <c r="P19" s="363">
        <v>75</v>
      </c>
      <c r="Q19" s="34">
        <f t="shared" si="6"/>
        <v>1.8867553181676773</v>
      </c>
      <c r="R19" s="26">
        <f t="shared" si="6"/>
        <v>5.8419509363444044</v>
      </c>
      <c r="S19" s="26">
        <f t="shared" si="6"/>
        <v>13.885034285162646</v>
      </c>
      <c r="T19" s="26">
        <f t="shared" si="6"/>
        <v>2.9982747996967034E-2</v>
      </c>
      <c r="U19" s="26">
        <f t="shared" si="6"/>
        <v>0.46466739672943785</v>
      </c>
      <c r="V19" s="26">
        <f t="shared" si="6"/>
        <v>0.41355398308919972</v>
      </c>
      <c r="W19" s="26">
        <f t="shared" si="6"/>
        <v>2664.7266499924035</v>
      </c>
      <c r="X19" s="26">
        <f t="shared" si="6"/>
        <v>0.17023892764314144</v>
      </c>
      <c r="Y19" s="26">
        <f t="shared" si="6"/>
        <v>1.3190782570904513</v>
      </c>
    </row>
    <row r="20" spans="1:32" s="3" customFormat="1">
      <c r="A20" s="11" t="s">
        <v>28</v>
      </c>
      <c r="B20" s="571"/>
      <c r="C20" s="18"/>
      <c r="D20" s="22"/>
      <c r="E20" s="19"/>
      <c r="F20" s="19"/>
      <c r="G20" s="19"/>
      <c r="H20" s="19"/>
      <c r="I20" s="19"/>
      <c r="J20" s="19"/>
      <c r="K20" s="19"/>
      <c r="L20" s="19"/>
      <c r="M20" s="19"/>
      <c r="N20" s="30"/>
      <c r="O20" s="30"/>
      <c r="P20" s="364"/>
      <c r="Q20" s="20">
        <f t="shared" ref="Q20:Y20" si="7">SUM(Q14:Q19)</f>
        <v>10.366760059236118</v>
      </c>
      <c r="R20" s="20">
        <f t="shared" si="7"/>
        <v>35.487153758213893</v>
      </c>
      <c r="S20" s="27">
        <f t="shared" si="7"/>
        <v>57.260569911264938</v>
      </c>
      <c r="T20" s="20">
        <f t="shared" si="7"/>
        <v>0.12058959528542143</v>
      </c>
      <c r="U20" s="20">
        <f t="shared" si="7"/>
        <v>2.2828843279463689</v>
      </c>
      <c r="V20" s="20">
        <f t="shared" si="7"/>
        <v>2.0317670518722681</v>
      </c>
      <c r="W20" s="20">
        <f t="shared" si="7"/>
        <v>11593.997163856147</v>
      </c>
      <c r="X20" s="20">
        <f t="shared" si="7"/>
        <v>0.98093693647009295</v>
      </c>
      <c r="Y20" s="20">
        <f t="shared" si="7"/>
        <v>5.4397541415701678</v>
      </c>
    </row>
    <row r="21" spans="1:32" s="3" customFormat="1">
      <c r="A21" s="11"/>
      <c r="B21" s="571"/>
      <c r="C21" s="18"/>
      <c r="D21" s="22"/>
      <c r="E21" s="19"/>
      <c r="F21" s="19"/>
      <c r="G21" s="19"/>
      <c r="H21" s="19"/>
      <c r="I21" s="19"/>
      <c r="J21" s="19"/>
      <c r="K21" s="19"/>
      <c r="L21" s="19"/>
      <c r="M21" s="19"/>
      <c r="N21" s="30"/>
      <c r="O21" s="375"/>
      <c r="P21" s="364"/>
      <c r="Q21" s="20"/>
      <c r="R21" s="20"/>
      <c r="S21" s="27"/>
      <c r="T21" s="20"/>
      <c r="U21" s="20"/>
      <c r="V21" s="20"/>
      <c r="W21" s="21"/>
      <c r="X21" s="20"/>
      <c r="Y21" s="20"/>
    </row>
    <row r="22" spans="1:32" s="3" customFormat="1">
      <c r="A22" s="11" t="s">
        <v>275</v>
      </c>
      <c r="B22" s="90"/>
      <c r="C22" s="18"/>
      <c r="D22" s="22"/>
      <c r="E22" s="19"/>
      <c r="F22" s="19"/>
      <c r="G22" s="19"/>
      <c r="H22" s="19"/>
      <c r="I22" s="19"/>
      <c r="J22" s="19"/>
      <c r="K22" s="19"/>
      <c r="L22" s="19"/>
      <c r="M22" s="19"/>
      <c r="N22" s="30"/>
      <c r="O22" s="87"/>
      <c r="P22" s="363"/>
      <c r="Q22" s="20"/>
      <c r="R22" s="20"/>
      <c r="S22" s="27"/>
      <c r="T22" s="20"/>
      <c r="U22" s="20"/>
      <c r="V22" s="20"/>
      <c r="W22" s="21"/>
      <c r="X22" s="20"/>
      <c r="Y22" s="20"/>
    </row>
    <row r="23" spans="1:32" s="3" customFormat="1">
      <c r="A23" s="100" t="s">
        <v>120</v>
      </c>
      <c r="B23" s="29" t="s">
        <v>27</v>
      </c>
      <c r="C23" s="22">
        <v>358</v>
      </c>
      <c r="D23" s="22">
        <v>0.4</v>
      </c>
      <c r="E23" s="108">
        <v>0.27937428148624566</v>
      </c>
      <c r="F23" s="397">
        <f>IF($C23&lt;11,'Offroad Tiers EF (2)'!$AN$4*$C23*$D23,IF($C23&lt;25,'Offroad Tiers EF (2)'!$AN$5*$C23*$D23,IF($C23&lt;50,'Offroad Tiers EF (2)'!$AN$6*$C23*$D23,IF($C23&lt;75,'Offroad Tiers EF (2)'!$AN$7*$C23*$D23,IF($C23&lt;100,'Offroad Tiers EF (2)'!$AN$8*$C23*$D23,IF($C23&lt;175,'Offroad Tiers EF (2)'!$AN$9*$C23*$D23,IF($C23&lt;300,'Offroad Tiers EF (2)'!$AN$10*$C23*$D23,IF($C23&lt;600,'Offroad Tiers EF (2)'!$AN$11*$C23*$D23,"!"))))))))</f>
        <v>0.82081128747795418</v>
      </c>
      <c r="G23" s="397">
        <f>IF($C23&lt;11,'Offroad Tiers EF (2)'!$AM$4*$C23*$D23,IF($C23&lt;25,'Offroad Tiers EF (2)'!$AM$5*$C23*$D23,IF($C23&lt;50,'Offroad Tiers EF (2)'!$AM$6*$C23*$D23,IF($C23&lt;75,'Offroad Tiers EF (2)'!$AM$7*$C23*$D23,IF($C23&lt;100,'Offroad Tiers EF (2)'!$AM$8*$C23*$D23,IF($C23&lt;175,'Offroad Tiers EF (2)'!$AM$9*$C23*$D23,IF($C23&lt;300,'Offroad Tiers EF (2)'!$AM$10*$C23*$D23,IF($C23&lt;600,'Offroad Tiers EF (2)'!$AM$11*$C23*$D23,"!"))))))))</f>
        <v>1.2776243386243384</v>
      </c>
      <c r="H23" s="108">
        <v>2.5998088533883764E-3</v>
      </c>
      <c r="I23" s="397">
        <f>IF($C23&lt;11,'Offroad Tiers EF (2)'!$AO$4*$C23*$D23,IF($C23&lt;25,'Offroad Tiers EF (2)'!$AO$5*$C23*$D23,IF($C23&lt;50,'Offroad Tiers EF (2)'!$AO$6*$C23*$D23,IF($C23&lt;75,'Offroad Tiers EF (2)'!$AO$7*$C23*$D23,IF($C23&lt;100,'Offroad Tiers EF (2)'!$AO$8*$C23*$D23,IF($C23&lt;175,'Offroad Tiers EF (2)'!$AO$9*$C23*$D23,IF($C23&lt;300,'Offroad Tiers EF (2)'!$AO$10*$C23*$D23,IF($C23&lt;600,'Offroad Tiers EF (2)'!$AO$11*$C23*$D23,"!"))))))))</f>
        <v>4.735449735449735E-2</v>
      </c>
      <c r="J23" s="100">
        <f t="shared" ref="J23:J29" si="8">0.89*I23</f>
        <v>4.2145502645502646E-2</v>
      </c>
      <c r="K23" s="108">
        <v>264.8725636721183</v>
      </c>
      <c r="L23" s="108">
        <v>2.6451144743432839E-2</v>
      </c>
      <c r="M23" s="102">
        <f t="shared" ref="M23:M29" si="9">0.095*G23</f>
        <v>0.12137431216931216</v>
      </c>
      <c r="N23" s="88">
        <v>1</v>
      </c>
      <c r="O23" s="88">
        <v>8</v>
      </c>
      <c r="P23" s="367">
        <v>30</v>
      </c>
      <c r="Q23" s="26">
        <f t="shared" ref="Q23:Y29" si="10">(E23*$N23*$O23)</f>
        <v>2.2349942518899653</v>
      </c>
      <c r="R23" s="26">
        <f t="shared" si="10"/>
        <v>6.5664902998236334</v>
      </c>
      <c r="S23" s="26">
        <f t="shared" si="10"/>
        <v>10.220994708994708</v>
      </c>
      <c r="T23" s="26">
        <f t="shared" si="10"/>
        <v>2.0798470827107011E-2</v>
      </c>
      <c r="U23" s="26">
        <f t="shared" si="10"/>
        <v>0.3788359788359788</v>
      </c>
      <c r="V23" s="26">
        <f t="shared" si="10"/>
        <v>0.33716402116402117</v>
      </c>
      <c r="W23" s="26">
        <f t="shared" si="10"/>
        <v>2118.9805093769464</v>
      </c>
      <c r="X23" s="26">
        <f t="shared" si="10"/>
        <v>0.21160915794746271</v>
      </c>
      <c r="Y23" s="26">
        <f t="shared" si="10"/>
        <v>0.97099449735449728</v>
      </c>
    </row>
    <row r="24" spans="1:32" s="3" customFormat="1">
      <c r="A24" s="100" t="s">
        <v>121</v>
      </c>
      <c r="B24" s="29" t="s">
        <v>27</v>
      </c>
      <c r="C24" s="22">
        <v>162</v>
      </c>
      <c r="D24" s="22">
        <v>0.41</v>
      </c>
      <c r="E24" s="108">
        <v>0.12153885438656534</v>
      </c>
      <c r="F24" s="397">
        <f>IF($C24&lt;11,'Offroad Tiers EF (2)'!$AN$4*$C24*$D24,IF($C24&lt;25,'Offroad Tiers EF (2)'!$AN$5*$C24*$D24,IF($C24&lt;50,'Offroad Tiers EF (2)'!$AN$6*$C24*$D24,IF($C24&lt;75,'Offroad Tiers EF (2)'!$AN$7*$C24*$D24,IF($C24&lt;100,'Offroad Tiers EF (2)'!$AN$8*$C24*$D24,IF($C24&lt;175,'Offroad Tiers EF (2)'!$AN$9*$C24*$D24,IF($C24&lt;300,'Offroad Tiers EF (2)'!$AN$10*$C24*$D24,IF($C24&lt;600,'Offroad Tiers EF (2)'!$AN$11*$C24*$D24,"!"))))))))</f>
        <v>0.5417857142857142</v>
      </c>
      <c r="G24" s="397">
        <f>IF($C24&lt;11,'Offroad Tiers EF (2)'!$AM$4*$C24*$D24,IF($C24&lt;25,'Offroad Tiers EF (2)'!$AM$5*$C24*$D24,IF($C24&lt;50,'Offroad Tiers EF (2)'!$AM$6*$C24*$D24,IF($C24&lt;75,'Offroad Tiers EF (2)'!$AM$7*$C24*$D24,IF($C24&lt;100,'Offroad Tiers EF (2)'!$AM$8*$C24*$D24,IF($C24&lt;175,'Offroad Tiers EF (2)'!$AM$9*$C24*$D24,IF($C24&lt;300,'Offroad Tiers EF (2)'!$AM$10*$C24*$D24,IF($C24&lt;600,'Offroad Tiers EF (2)'!$AM$11*$C24*$D24,"!"))))))))</f>
        <v>0.60233392857142853</v>
      </c>
      <c r="H24" s="108">
        <v>1.3943296443626662E-3</v>
      </c>
      <c r="I24" s="397">
        <f>IF($C24&lt;11,'Offroad Tiers EF (2)'!$AO$4*$C24*$D24,IF($C24&lt;25,'Offroad Tiers EF (2)'!$AO$5*$C24*$D24,IF($C24&lt;50,'Offroad Tiers EF (2)'!$AO$6*$C24*$D24,IF($C24&lt;75,'Offroad Tiers EF (2)'!$AO$7*$C24*$D24,IF($C24&lt;100,'Offroad Tiers EF (2)'!$AO$8*$C24*$D24,IF($C24&lt;175,'Offroad Tiers EF (2)'!$AO$9*$C24*$D24,IF($C24&lt;300,'Offroad Tiers EF (2)'!$AO$10*$C24*$D24,IF($C24&lt;600,'Offroad Tiers EF (2)'!$AO$11*$C24*$D24,"!"))))))))</f>
        <v>3.2214285714285709E-2</v>
      </c>
      <c r="J24" s="100">
        <f t="shared" si="8"/>
        <v>2.8670714285714282E-2</v>
      </c>
      <c r="K24" s="365">
        <v>123.92149503712022</v>
      </c>
      <c r="L24" s="23">
        <v>1.1720218383966691E-2</v>
      </c>
      <c r="M24" s="102">
        <f t="shared" si="9"/>
        <v>5.7221723214285709E-2</v>
      </c>
      <c r="N24" s="88">
        <v>1</v>
      </c>
      <c r="O24" s="88">
        <v>8</v>
      </c>
      <c r="P24" s="367">
        <v>30</v>
      </c>
      <c r="Q24" s="26">
        <f t="shared" si="10"/>
        <v>0.9723108350925227</v>
      </c>
      <c r="R24" s="26">
        <f t="shared" si="10"/>
        <v>4.3342857142857136</v>
      </c>
      <c r="S24" s="26">
        <f t="shared" si="10"/>
        <v>4.8186714285714283</v>
      </c>
      <c r="T24" s="26">
        <f t="shared" si="10"/>
        <v>1.115463715490133E-2</v>
      </c>
      <c r="U24" s="26">
        <f t="shared" si="10"/>
        <v>0.25771428571428567</v>
      </c>
      <c r="V24" s="26">
        <f t="shared" si="10"/>
        <v>0.22936571428571426</v>
      </c>
      <c r="W24" s="26">
        <f t="shared" si="10"/>
        <v>991.37196029696179</v>
      </c>
      <c r="X24" s="26">
        <f t="shared" si="10"/>
        <v>9.3761747071733528E-2</v>
      </c>
      <c r="Y24" s="26">
        <f t="shared" si="10"/>
        <v>0.45777378571428567</v>
      </c>
    </row>
    <row r="25" spans="1:32" s="3" customFormat="1">
      <c r="A25" s="100" t="s">
        <v>124</v>
      </c>
      <c r="B25" s="29" t="s">
        <v>27</v>
      </c>
      <c r="C25" s="97">
        <v>87</v>
      </c>
      <c r="D25" s="22">
        <v>0.37</v>
      </c>
      <c r="E25" s="102">
        <v>7.7253202863558038E-2</v>
      </c>
      <c r="F25" s="397">
        <f>IF($C25&lt;11,'Offroad Tiers EF (2)'!$AN$4*$C25*$D25,IF($C25&lt;25,'Offroad Tiers EF (2)'!$AN$5*$C25*$D25,IF($C25&lt;50,'Offroad Tiers EF (2)'!$AN$6*$C25*$D25,IF($C25&lt;75,'Offroad Tiers EF (2)'!$AN$7*$C25*$D25,IF($C25&lt;100,'Offroad Tiers EF (2)'!$AN$8*$C25*$D25,IF($C25&lt;175,'Offroad Tiers EF (2)'!$AN$9*$C25*$D25,IF($C25&lt;300,'Offroad Tiers EF (2)'!$AN$10*$C25*$D25,IF($C25&lt;600,'Offroad Tiers EF (2)'!$AN$11*$C25*$D25,"!"))))))))</f>
        <v>0.26257275132275132</v>
      </c>
      <c r="G25" s="397">
        <f>IF($C25&lt;11,'Offroad Tiers EF (2)'!$AM$4*$C25*$D25,IF($C25&lt;25,'Offroad Tiers EF (2)'!$AM$5*$C25*$D25,IF($C25&lt;50,'Offroad Tiers EF (2)'!$AM$6*$C25*$D25,IF($C25&lt;75,'Offroad Tiers EF (2)'!$AM$7*$C25*$D25,IF($C25&lt;100,'Offroad Tiers EF (2)'!$AM$8*$C25*$D25,IF($C25&lt;175,'Offroad Tiers EF (2)'!$AM$9*$C25*$D25,IF($C25&lt;300,'Offroad Tiers EF (2)'!$AM$10*$C25*$D25,IF($C25&lt;600,'Offroad Tiers EF (2)'!$AM$11*$C25*$D25,"!"))))))))</f>
        <v>0.33506412037037031</v>
      </c>
      <c r="H25" s="102">
        <v>6.910856115004858E-4</v>
      </c>
      <c r="I25" s="397">
        <f>IF($C25&lt;11,'Offroad Tiers EF (2)'!$AO$4*$C25*$D25,IF($C25&lt;25,'Offroad Tiers EF (2)'!$AO$5*$C25*$D25,IF($C25&lt;50,'Offroad Tiers EF (2)'!$AO$6*$C25*$D25,IF($C25&lt;75,'Offroad Tiers EF (2)'!$AO$7*$C25*$D25,IF($C25&lt;100,'Offroad Tiers EF (2)'!$AO$8*$C25*$D25,IF($C25&lt;175,'Offroad Tiers EF (2)'!$AO$9*$C25*$D25,IF($C25&lt;300,'Offroad Tiers EF (2)'!$AO$10*$C25*$D25,IF($C25&lt;600,'Offroad Tiers EF (2)'!$AO$11*$C25*$D25,"!"))))))))</f>
        <v>2.1289682539682539E-2</v>
      </c>
      <c r="J25" s="100">
        <f t="shared" si="8"/>
        <v>1.894781746031746E-2</v>
      </c>
      <c r="K25" s="103">
        <v>58.913505111712794</v>
      </c>
      <c r="L25" s="102">
        <v>7.5344751889799754E-3</v>
      </c>
      <c r="M25" s="102">
        <f t="shared" si="9"/>
        <v>3.1831091435185178E-2</v>
      </c>
      <c r="N25" s="88">
        <v>1</v>
      </c>
      <c r="O25" s="88">
        <v>8</v>
      </c>
      <c r="P25" s="367">
        <v>30</v>
      </c>
      <c r="Q25" s="26">
        <f t="shared" si="10"/>
        <v>0.6180256229084643</v>
      </c>
      <c r="R25" s="26">
        <f t="shared" si="10"/>
        <v>2.1005820105820106</v>
      </c>
      <c r="S25" s="26">
        <f t="shared" si="10"/>
        <v>2.6805129629629625</v>
      </c>
      <c r="T25" s="26">
        <f t="shared" si="10"/>
        <v>5.5286848920038864E-3</v>
      </c>
      <c r="U25" s="26">
        <f t="shared" si="10"/>
        <v>0.17031746031746031</v>
      </c>
      <c r="V25" s="26">
        <f t="shared" si="10"/>
        <v>0.15158253968253968</v>
      </c>
      <c r="W25" s="26">
        <f t="shared" si="10"/>
        <v>471.30804089370235</v>
      </c>
      <c r="X25" s="26">
        <f t="shared" si="10"/>
        <v>6.0275801511839804E-2</v>
      </c>
      <c r="Y25" s="26">
        <f t="shared" si="10"/>
        <v>0.25464873148148143</v>
      </c>
    </row>
    <row r="26" spans="1:32" s="3" customFormat="1">
      <c r="A26" s="100" t="s">
        <v>122</v>
      </c>
      <c r="B26" s="29" t="s">
        <v>27</v>
      </c>
      <c r="C26" s="22">
        <v>356</v>
      </c>
      <c r="D26" s="22">
        <v>0.48</v>
      </c>
      <c r="E26" s="108">
        <v>0.27361983606105278</v>
      </c>
      <c r="F26" s="397">
        <f>IF($C26&lt;11,'Offroad Tiers EF (2)'!$AN$4*$C26*$D26,IF($C26&lt;25,'Offroad Tiers EF (2)'!$AN$5*$C26*$D26,IF($C26&lt;50,'Offroad Tiers EF (2)'!$AN$6*$C26*$D26,IF($C26&lt;75,'Offroad Tiers EF (2)'!$AN$7*$C26*$D26,IF($C26&lt;100,'Offroad Tiers EF (2)'!$AN$8*$C26*$D26,IF($C26&lt;175,'Offroad Tiers EF (2)'!$AN$9*$C26*$D26,IF($C26&lt;300,'Offroad Tiers EF (2)'!$AN$10*$C26*$D26,IF($C26&lt;600,'Offroad Tiers EF (2)'!$AN$11*$C26*$D26,"!"))))))))</f>
        <v>0.97947089947089949</v>
      </c>
      <c r="G26" s="397">
        <f>IF($C26&lt;11,'Offroad Tiers EF (2)'!$AM$4*$C26*$D26,IF($C26&lt;25,'Offroad Tiers EF (2)'!$AM$5*$C26*$D26,IF($C26&lt;50,'Offroad Tiers EF (2)'!$AM$6*$C26*$D26,IF($C26&lt;75,'Offroad Tiers EF (2)'!$AM$7*$C26*$D26,IF($C26&lt;100,'Offroad Tiers EF (2)'!$AM$8*$C26*$D26,IF($C26&lt;175,'Offroad Tiers EF (2)'!$AM$9*$C26*$D26,IF($C26&lt;300,'Offroad Tiers EF (2)'!$AM$10*$C26*$D26,IF($C26&lt;600,'Offroad Tiers EF (2)'!$AM$11*$C26*$D26,"!"))))))))</f>
        <v>1.5245841269841265</v>
      </c>
      <c r="H26" s="108">
        <v>3.1549250027299411E-3</v>
      </c>
      <c r="I26" s="397">
        <f>IF($C26&lt;11,'Offroad Tiers EF (2)'!$AO$4*$C26*$D26,IF($C26&lt;25,'Offroad Tiers EF (2)'!$AO$5*$C26*$D26,IF($C26&lt;50,'Offroad Tiers EF (2)'!$AO$6*$C26*$D26,IF($C26&lt;75,'Offroad Tiers EF (2)'!$AO$7*$C26*$D26,IF($C26&lt;100,'Offroad Tiers EF (2)'!$AO$8*$C26*$D26,IF($C26&lt;175,'Offroad Tiers EF (2)'!$AO$9*$C26*$D26,IF($C26&lt;300,'Offroad Tiers EF (2)'!$AO$10*$C26*$D26,IF($C26&lt;600,'Offroad Tiers EF (2)'!$AO$11*$C26*$D26,"!"))))))))</f>
        <v>5.65079365079365E-2</v>
      </c>
      <c r="J26" s="100">
        <f t="shared" si="8"/>
        <v>5.0292063492063485E-2</v>
      </c>
      <c r="K26" s="108">
        <v>321.42842594638495</v>
      </c>
      <c r="L26" s="108">
        <v>2.6010420981454316E-2</v>
      </c>
      <c r="M26" s="102">
        <f t="shared" si="9"/>
        <v>0.14483549206349203</v>
      </c>
      <c r="N26" s="98">
        <v>2</v>
      </c>
      <c r="O26" s="98">
        <v>8</v>
      </c>
      <c r="P26" s="99">
        <f>2*22</f>
        <v>44</v>
      </c>
      <c r="Q26" s="34">
        <f t="shared" si="10"/>
        <v>4.3779173769768445</v>
      </c>
      <c r="R26" s="26">
        <f t="shared" si="10"/>
        <v>15.671534391534392</v>
      </c>
      <c r="S26" s="26">
        <f t="shared" si="10"/>
        <v>24.393346031746024</v>
      </c>
      <c r="T26" s="26">
        <f t="shared" si="10"/>
        <v>5.0478800043679058E-2</v>
      </c>
      <c r="U26" s="26">
        <f t="shared" si="10"/>
        <v>0.904126984126984</v>
      </c>
      <c r="V26" s="26">
        <f t="shared" si="10"/>
        <v>0.80467301587301576</v>
      </c>
      <c r="W26" s="26">
        <f t="shared" si="10"/>
        <v>5142.8548151421592</v>
      </c>
      <c r="X26" s="26">
        <f t="shared" si="10"/>
        <v>0.41616673570326906</v>
      </c>
      <c r="Y26" s="26">
        <f t="shared" si="10"/>
        <v>2.3173678730158724</v>
      </c>
    </row>
    <row r="27" spans="1:32" s="3" customFormat="1">
      <c r="A27" s="100" t="s">
        <v>123</v>
      </c>
      <c r="B27" s="29" t="s">
        <v>27</v>
      </c>
      <c r="C27" s="22">
        <v>84</v>
      </c>
      <c r="D27" s="22">
        <v>0.38</v>
      </c>
      <c r="E27" s="102">
        <v>7.9534395197012789E-2</v>
      </c>
      <c r="F27" s="397">
        <f>IF($C27&lt;11,'Offroad Tiers EF (2)'!$AN$4*$C27*$D27,IF($C27&lt;25,'Offroad Tiers EF (2)'!$AN$5*$C27*$D27,IF($C27&lt;50,'Offroad Tiers EF (2)'!$AN$6*$C27*$D27,IF($C27&lt;75,'Offroad Tiers EF (2)'!$AN$7*$C27*$D27,IF($C27&lt;100,'Offroad Tiers EF (2)'!$AN$8*$C27*$D27,IF($C27&lt;175,'Offroad Tiers EF (2)'!$AN$9*$C27*$D27,IF($C27&lt;300,'Offroad Tiers EF (2)'!$AN$10*$C27*$D27,IF($C27&lt;600,'Offroad Tiers EF (2)'!$AN$11*$C27*$D27,"!"))))))))</f>
        <v>0.26037037037037036</v>
      </c>
      <c r="G27" s="397">
        <f>IF($C27&lt;11,'Offroad Tiers EF (2)'!$AM$4*$C27*$D27,IF($C27&lt;25,'Offroad Tiers EF (2)'!$AM$5*$C27*$D27,IF($C27&lt;50,'Offroad Tiers EF (2)'!$AM$6*$C27*$D27,IF($C27&lt;75,'Offroad Tiers EF (2)'!$AM$7*$C27*$D27,IF($C27&lt;100,'Offroad Tiers EF (2)'!$AM$8*$C27*$D27,IF($C27&lt;175,'Offroad Tiers EF (2)'!$AM$9*$C27*$D27,IF($C27&lt;300,'Offroad Tiers EF (2)'!$AM$10*$C27*$D27,IF($C27&lt;600,'Offroad Tiers EF (2)'!$AM$11*$C27*$D27,"!"))))))))</f>
        <v>0.33225370370370361</v>
      </c>
      <c r="H27" s="102">
        <v>6.9196834691909377E-4</v>
      </c>
      <c r="I27" s="397">
        <f>IF($C27&lt;11,'Offroad Tiers EF (2)'!$AO$4*$C27*$D27,IF($C27&lt;25,'Offroad Tiers EF (2)'!$AO$5*$C27*$D27,IF($C27&lt;50,'Offroad Tiers EF (2)'!$AO$6*$C27*$D27,IF($C27&lt;75,'Offroad Tiers EF (2)'!$AO$7*$C27*$D27,IF($C27&lt;100,'Offroad Tiers EF (2)'!$AO$8*$C27*$D27,IF($C27&lt;175,'Offroad Tiers EF (2)'!$AO$9*$C27*$D27,IF($C27&lt;300,'Offroad Tiers EF (2)'!$AO$10*$C27*$D27,IF($C27&lt;600,'Offroad Tiers EF (2)'!$AO$11*$C27*$D27,"!"))))))))</f>
        <v>2.1111111111111112E-2</v>
      </c>
      <c r="J27" s="100">
        <f t="shared" si="8"/>
        <v>1.878888888888889E-2</v>
      </c>
      <c r="K27" s="103">
        <v>58.988746640295226</v>
      </c>
      <c r="L27" s="102">
        <v>7.7311979659905822E-3</v>
      </c>
      <c r="M27" s="102">
        <f t="shared" si="9"/>
        <v>3.1564101851851843E-2</v>
      </c>
      <c r="N27" s="363">
        <v>1</v>
      </c>
      <c r="O27" s="87">
        <v>8</v>
      </c>
      <c r="P27" s="363">
        <v>75</v>
      </c>
      <c r="Q27" s="34">
        <f t="shared" si="10"/>
        <v>0.63627516157610231</v>
      </c>
      <c r="R27" s="26">
        <f t="shared" si="10"/>
        <v>2.0829629629629629</v>
      </c>
      <c r="S27" s="26">
        <f t="shared" si="10"/>
        <v>2.6580296296296289</v>
      </c>
      <c r="T27" s="26">
        <f t="shared" si="10"/>
        <v>5.5357467753527501E-3</v>
      </c>
      <c r="U27" s="26">
        <f t="shared" si="10"/>
        <v>0.16888888888888889</v>
      </c>
      <c r="V27" s="26">
        <f t="shared" si="10"/>
        <v>0.15031111111111112</v>
      </c>
      <c r="W27" s="26">
        <f t="shared" si="10"/>
        <v>471.90997312236181</v>
      </c>
      <c r="X27" s="26">
        <f t="shared" si="10"/>
        <v>6.1849583727924658E-2</v>
      </c>
      <c r="Y27" s="26">
        <f t="shared" si="10"/>
        <v>0.25251281481481475</v>
      </c>
    </row>
    <row r="28" spans="1:32" s="3" customFormat="1">
      <c r="A28" s="100" t="s">
        <v>126</v>
      </c>
      <c r="B28" s="29" t="s">
        <v>27</v>
      </c>
      <c r="C28" s="22">
        <v>175</v>
      </c>
      <c r="D28" s="22"/>
      <c r="E28" s="102">
        <v>0.11792220738547983</v>
      </c>
      <c r="F28" s="102">
        <v>0.36512193352152528</v>
      </c>
      <c r="G28" s="102">
        <v>0.86781464282266541</v>
      </c>
      <c r="H28" s="102">
        <v>1.8739217498104396E-3</v>
      </c>
      <c r="I28" s="102">
        <v>2.9041712295589866E-2</v>
      </c>
      <c r="J28" s="100">
        <f t="shared" si="8"/>
        <v>2.5847123943074982E-2</v>
      </c>
      <c r="K28" s="103">
        <v>166.54541562452522</v>
      </c>
      <c r="L28" s="102">
        <v>1.063993297769634E-2</v>
      </c>
      <c r="M28" s="104">
        <f t="shared" si="9"/>
        <v>8.2442391068153209E-2</v>
      </c>
      <c r="N28" s="88">
        <v>1</v>
      </c>
      <c r="O28" s="88">
        <v>8</v>
      </c>
      <c r="P28" s="367">
        <v>30</v>
      </c>
      <c r="Q28" s="26">
        <f t="shared" si="10"/>
        <v>0.94337765908383864</v>
      </c>
      <c r="R28" s="26">
        <f t="shared" si="10"/>
        <v>2.9209754681722022</v>
      </c>
      <c r="S28" s="26">
        <f t="shared" si="10"/>
        <v>6.9425171425813232</v>
      </c>
      <c r="T28" s="26">
        <f t="shared" si="10"/>
        <v>1.4991373998483517E-2</v>
      </c>
      <c r="U28" s="26">
        <f t="shared" si="10"/>
        <v>0.23233369836471893</v>
      </c>
      <c r="V28" s="26">
        <f t="shared" si="10"/>
        <v>0.20677699154459986</v>
      </c>
      <c r="W28" s="26">
        <f t="shared" si="10"/>
        <v>1332.3633249962018</v>
      </c>
      <c r="X28" s="26">
        <f t="shared" si="10"/>
        <v>8.5119463821570721E-2</v>
      </c>
      <c r="Y28" s="26">
        <f t="shared" si="10"/>
        <v>0.65953912854522567</v>
      </c>
    </row>
    <row r="29" spans="1:32" s="6" customFormat="1">
      <c r="A29" s="100" t="s">
        <v>293</v>
      </c>
      <c r="B29" s="29" t="s">
        <v>27</v>
      </c>
      <c r="C29" s="97">
        <v>157</v>
      </c>
      <c r="D29" s="22">
        <v>0.38</v>
      </c>
      <c r="E29" s="550">
        <v>9.7211873502789536E-2</v>
      </c>
      <c r="F29" s="397">
        <f>IF($C29&lt;11,'Offroad Tiers EF (2)'!$AN$4*$C29*$D29,IF($C29&lt;25,'Offroad Tiers EF (2)'!$AN$5*$C29*$D29,IF($C29&lt;50,'Offroad Tiers EF (2)'!$AN$6*$C29*$D29,IF($C29&lt;75,'Offroad Tiers EF (2)'!$AN$7*$C29*$D29,IF($C29&lt;100,'Offroad Tiers EF (2)'!$AN$8*$C29*$D29,IF($C29&lt;175,'Offroad Tiers EF (2)'!$AN$9*$C29*$D29,IF($C29&lt;300,'Offroad Tiers EF (2)'!$AN$10*$C29*$D29,IF($C29&lt;600,'Offroad Tiers EF (2)'!$AN$11*$C29*$D29,"!"))))))))</f>
        <v>0.48664462081128745</v>
      </c>
      <c r="G29" s="397">
        <f>IF($C29&lt;11,'Offroad Tiers EF (2)'!$AM$4*$C29*$D29,IF($C29&lt;25,'Offroad Tiers EF (2)'!$AM$5*$C29*$D29,IF($C29&lt;50,'Offroad Tiers EF (2)'!$AM$6*$C29*$D29,IF($C29&lt;75,'Offroad Tiers EF (2)'!$AM$7*$C29*$D29,IF($C29&lt;100,'Offroad Tiers EF (2)'!$AM$8*$C29*$D29,IF($C29&lt;175,'Offroad Tiers EF (2)'!$AM$9*$C29*$D29,IF($C29&lt;300,'Offroad Tiers EF (2)'!$AM$10*$C29*$D29,IF($C29&lt;600,'Offroad Tiers EF (2)'!$AM$11*$C29*$D29,"!"))))))))</f>
        <v>0.54103044532627864</v>
      </c>
      <c r="H29" s="550">
        <v>1.2626852382997586E-3</v>
      </c>
      <c r="I29" s="397">
        <f>IF($C29&lt;11,'Offroad Tiers EF (2)'!$AO$4*$C29*$D29,IF($C29&lt;25,'Offroad Tiers EF (2)'!$AO$5*$C29*$D29,IF($C29&lt;50,'Offroad Tiers EF (2)'!$AO$6*$C29*$D29,IF($C29&lt;75,'Offroad Tiers EF (2)'!$AO$7*$C29*$D29,IF($C29&lt;100,'Offroad Tiers EF (2)'!$AO$8*$C29*$D29,IF($C29&lt;175,'Offroad Tiers EF (2)'!$AO$9*$C29*$D29,IF($C29&lt;300,'Offroad Tiers EF (2)'!$AO$10*$C29*$D29,IF($C29&lt;600,'Offroad Tiers EF (2)'!$AO$11*$C29*$D29,"!"))))))))</f>
        <v>2.8935626102292767E-2</v>
      </c>
      <c r="J29" s="551">
        <f t="shared" si="8"/>
        <v>2.5752707231040561E-2</v>
      </c>
      <c r="K29" s="552">
        <v>112.22156581723891</v>
      </c>
      <c r="L29" s="111">
        <v>9.4890670020510905E-3</v>
      </c>
      <c r="M29" s="553">
        <f t="shared" si="9"/>
        <v>5.1397892305996472E-2</v>
      </c>
      <c r="N29" s="554">
        <v>2</v>
      </c>
      <c r="O29" s="88">
        <v>2</v>
      </c>
      <c r="P29" s="88">
        <v>15</v>
      </c>
      <c r="Q29" s="26">
        <f t="shared" si="10"/>
        <v>0.38884749401115815</v>
      </c>
      <c r="R29" s="26">
        <f t="shared" si="10"/>
        <v>1.9465784832451498</v>
      </c>
      <c r="S29" s="26">
        <f t="shared" si="10"/>
        <v>2.1641217813051146</v>
      </c>
      <c r="T29" s="26">
        <f t="shared" si="10"/>
        <v>5.0507409531990342E-3</v>
      </c>
      <c r="U29" s="26">
        <f t="shared" si="10"/>
        <v>0.11574250440917107</v>
      </c>
      <c r="V29" s="26">
        <f t="shared" si="10"/>
        <v>0.10301082892416225</v>
      </c>
      <c r="W29" s="26">
        <f t="shared" si="10"/>
        <v>448.88626326895564</v>
      </c>
      <c r="X29" s="26">
        <f t="shared" si="10"/>
        <v>3.7956268008204362E-2</v>
      </c>
      <c r="Y29" s="26">
        <f t="shared" si="10"/>
        <v>0.20559156922398589</v>
      </c>
      <c r="AF29" s="7"/>
    </row>
    <row r="30" spans="1:32">
      <c r="A30" s="17" t="s">
        <v>28</v>
      </c>
      <c r="B30" s="29"/>
      <c r="C30" s="22"/>
      <c r="D30" s="22"/>
      <c r="E30" s="23"/>
      <c r="F30" s="23"/>
      <c r="G30" s="23"/>
      <c r="H30" s="23"/>
      <c r="I30" s="23"/>
      <c r="J30" s="100"/>
      <c r="K30" s="365"/>
      <c r="L30" s="23"/>
      <c r="M30" s="102"/>
      <c r="N30" s="30"/>
      <c r="O30" s="98"/>
      <c r="P30" s="363"/>
      <c r="Q30" s="101">
        <f t="shared" ref="Q30:Y30" si="11">SUM(Q22:Q29)</f>
        <v>10.171748401538895</v>
      </c>
      <c r="R30" s="101">
        <f t="shared" si="11"/>
        <v>35.623409330606066</v>
      </c>
      <c r="S30" s="101">
        <f t="shared" si="11"/>
        <v>53.878193685791189</v>
      </c>
      <c r="T30" s="101">
        <f t="shared" si="11"/>
        <v>0.11353845464472659</v>
      </c>
      <c r="U30" s="101">
        <f t="shared" si="11"/>
        <v>2.2279598006574877</v>
      </c>
      <c r="V30" s="101">
        <f t="shared" si="11"/>
        <v>1.9828842225851639</v>
      </c>
      <c r="W30" s="101">
        <f t="shared" si="11"/>
        <v>10977.67488709729</v>
      </c>
      <c r="X30" s="101">
        <f t="shared" si="11"/>
        <v>0.96673875779200491</v>
      </c>
      <c r="Y30" s="101">
        <f t="shared" si="11"/>
        <v>5.1184284001501634</v>
      </c>
    </row>
    <row r="31" spans="1:32">
      <c r="A31" s="17" t="s">
        <v>365</v>
      </c>
      <c r="B31" s="571"/>
      <c r="C31" s="18"/>
      <c r="D31" s="22"/>
      <c r="E31" s="19"/>
      <c r="F31" s="19"/>
      <c r="G31" s="19"/>
      <c r="H31" s="19"/>
      <c r="I31" s="19"/>
      <c r="J31" s="19"/>
      <c r="K31" s="19"/>
      <c r="L31" s="19"/>
      <c r="M31" s="19"/>
      <c r="N31" s="30"/>
      <c r="O31" s="30"/>
      <c r="P31" s="364"/>
      <c r="Q31" s="20">
        <f t="shared" ref="Q31:Y31" si="12">Q11+Q20+Q30</f>
        <v>22.138321294984522</v>
      </c>
      <c r="R31" s="20">
        <f t="shared" si="12"/>
        <v>76.986660490513685</v>
      </c>
      <c r="S31" s="20">
        <f t="shared" si="12"/>
        <v>122.19696945653419</v>
      </c>
      <c r="T31" s="20">
        <f t="shared" si="12"/>
        <v>0.25587586779716098</v>
      </c>
      <c r="U31" s="20">
        <f t="shared" si="12"/>
        <v>4.9849973170419428</v>
      </c>
      <c r="V31" s="20">
        <f t="shared" si="12"/>
        <v>4.4366476121673291</v>
      </c>
      <c r="W31" s="20">
        <f t="shared" si="12"/>
        <v>24476.805611026677</v>
      </c>
      <c r="X31" s="20">
        <f t="shared" si="12"/>
        <v>2.1019713765179731</v>
      </c>
      <c r="Y31" s="20">
        <f t="shared" si="12"/>
        <v>11.608712098370747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8"/>
  <sheetViews>
    <sheetView zoomScale="75" zoomScaleNormal="75" workbookViewId="0">
      <selection activeCell="B24" sqref="B24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618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398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100" t="s">
        <v>287</v>
      </c>
      <c r="B14" s="97" t="s">
        <v>27</v>
      </c>
      <c r="C14" s="97">
        <v>37</v>
      </c>
      <c r="D14" s="22">
        <v>0.37</v>
      </c>
      <c r="E14" s="102">
        <v>3.2313389441625637E-2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0.12374118165784832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0.16056172839506169</v>
      </c>
      <c r="H14" s="102">
        <v>3.2989906092678058E-4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1.3581349206349205E-2</v>
      </c>
      <c r="J14" s="100">
        <f t="shared" ref="J14:J16" si="4">0.89*I14</f>
        <v>1.2087400793650793E-2</v>
      </c>
      <c r="K14" s="103">
        <v>25.519156990664225</v>
      </c>
      <c r="L14" s="102">
        <v>3.413848047070189E-3</v>
      </c>
      <c r="M14" s="104">
        <f t="shared" ref="M14:M16" si="5">0.095*G14</f>
        <v>1.5253364197530862E-2</v>
      </c>
      <c r="N14" s="88">
        <v>1</v>
      </c>
      <c r="O14" s="88">
        <v>1</v>
      </c>
      <c r="P14" s="367">
        <v>75</v>
      </c>
      <c r="Q14" s="26">
        <f t="shared" ref="Q14:Y16" si="6">(E14*$N14*$O14)</f>
        <v>3.2313389441625637E-2</v>
      </c>
      <c r="R14" s="26">
        <f t="shared" si="6"/>
        <v>0.12374118165784832</v>
      </c>
      <c r="S14" s="26">
        <f t="shared" si="6"/>
        <v>0.16056172839506169</v>
      </c>
      <c r="T14" s="26">
        <f t="shared" si="6"/>
        <v>3.2989906092678058E-4</v>
      </c>
      <c r="U14" s="26">
        <f t="shared" si="6"/>
        <v>1.3581349206349205E-2</v>
      </c>
      <c r="V14" s="26">
        <f t="shared" si="6"/>
        <v>1.2087400793650793E-2</v>
      </c>
      <c r="W14" s="26">
        <f t="shared" si="6"/>
        <v>25.519156990664225</v>
      </c>
      <c r="X14" s="26">
        <f t="shared" si="6"/>
        <v>3.413848047070189E-3</v>
      </c>
      <c r="Y14" s="26">
        <f t="shared" si="6"/>
        <v>1.5253364197530862E-2</v>
      </c>
    </row>
    <row r="15" spans="1:25" s="3" customFormat="1">
      <c r="A15" s="100" t="s">
        <v>292</v>
      </c>
      <c r="B15" s="22" t="s">
        <v>27</v>
      </c>
      <c r="C15" s="97">
        <v>69</v>
      </c>
      <c r="D15" s="22">
        <v>0.5</v>
      </c>
      <c r="E15" s="102">
        <v>0.10796897189848784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0.2814153439153439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0.40462962962962956</v>
      </c>
      <c r="H15" s="102">
        <v>7.6125329247041284E-4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2.2817460317460316E-2</v>
      </c>
      <c r="J15" s="100">
        <f t="shared" si="4"/>
        <v>2.030753968253968E-2</v>
      </c>
      <c r="K15" s="103">
        <v>64.895144949977833</v>
      </c>
      <c r="L15" s="102">
        <v>1.0324742188913067E-2</v>
      </c>
      <c r="M15" s="104">
        <f t="shared" si="5"/>
        <v>3.8439814814814809E-2</v>
      </c>
      <c r="N15" s="87">
        <v>1</v>
      </c>
      <c r="O15" s="87">
        <v>6</v>
      </c>
      <c r="P15" s="88">
        <f>8*22</f>
        <v>176</v>
      </c>
      <c r="Q15" s="34">
        <f t="shared" si="6"/>
        <v>0.64781383139092696</v>
      </c>
      <c r="R15" s="26">
        <f t="shared" si="6"/>
        <v>1.6884920634920633</v>
      </c>
      <c r="S15" s="26">
        <f t="shared" si="6"/>
        <v>2.4277777777777771</v>
      </c>
      <c r="T15" s="26">
        <f t="shared" si="6"/>
        <v>4.567519754822477E-3</v>
      </c>
      <c r="U15" s="26">
        <f t="shared" si="6"/>
        <v>0.13690476190476189</v>
      </c>
      <c r="V15" s="26">
        <f t="shared" si="6"/>
        <v>0.12184523809523809</v>
      </c>
      <c r="W15" s="26">
        <f t="shared" si="6"/>
        <v>389.370869699867</v>
      </c>
      <c r="X15" s="26">
        <f t="shared" si="6"/>
        <v>6.1948453133478402E-2</v>
      </c>
      <c r="Y15" s="26">
        <f t="shared" si="6"/>
        <v>0.23063888888888884</v>
      </c>
    </row>
    <row r="16" spans="1:25" s="3" customFormat="1">
      <c r="A16" s="100" t="s">
        <v>126</v>
      </c>
      <c r="B16" s="22" t="s">
        <v>27</v>
      </c>
      <c r="C16" s="22">
        <v>175</v>
      </c>
      <c r="D16" s="22"/>
      <c r="E16" s="102">
        <v>0.11792220738547983</v>
      </c>
      <c r="F16" s="102">
        <v>0.36512193352152528</v>
      </c>
      <c r="G16" s="102">
        <v>0.86781464282266541</v>
      </c>
      <c r="H16" s="102">
        <v>1.8739217498104396E-3</v>
      </c>
      <c r="I16" s="102">
        <v>2.9041712295589866E-2</v>
      </c>
      <c r="J16" s="100">
        <f t="shared" si="4"/>
        <v>2.5847123943074982E-2</v>
      </c>
      <c r="K16" s="103">
        <v>166.54541562452522</v>
      </c>
      <c r="L16" s="102">
        <v>1.063993297769634E-2</v>
      </c>
      <c r="M16" s="104">
        <f t="shared" si="5"/>
        <v>8.2442391068153209E-2</v>
      </c>
      <c r="N16" s="88">
        <v>1</v>
      </c>
      <c r="O16" s="88">
        <v>3</v>
      </c>
      <c r="P16" s="367">
        <v>40</v>
      </c>
      <c r="Q16" s="26">
        <f t="shared" si="6"/>
        <v>0.3537666221564395</v>
      </c>
      <c r="R16" s="26">
        <f t="shared" si="6"/>
        <v>1.0953658005645759</v>
      </c>
      <c r="S16" s="26">
        <f t="shared" si="6"/>
        <v>2.6034439284679962</v>
      </c>
      <c r="T16" s="26">
        <f t="shared" si="6"/>
        <v>5.6217652494313184E-3</v>
      </c>
      <c r="U16" s="26">
        <f t="shared" si="6"/>
        <v>8.7125136886769594E-2</v>
      </c>
      <c r="V16" s="26">
        <f t="shared" si="6"/>
        <v>7.754137182922495E-2</v>
      </c>
      <c r="W16" s="26">
        <f t="shared" si="6"/>
        <v>499.63624687357566</v>
      </c>
      <c r="X16" s="26">
        <f t="shared" si="6"/>
        <v>3.1919798933089022E-2</v>
      </c>
      <c r="Y16" s="26">
        <f t="shared" si="6"/>
        <v>0.24732717320445963</v>
      </c>
    </row>
    <row r="17" spans="1:25" s="3" customFormat="1">
      <c r="A17" s="17" t="s">
        <v>28</v>
      </c>
      <c r="B17" s="97"/>
      <c r="C17" s="22"/>
      <c r="D17" s="22"/>
      <c r="E17" s="23"/>
      <c r="F17" s="23"/>
      <c r="G17" s="23"/>
      <c r="H17" s="23"/>
      <c r="I17" s="23"/>
      <c r="J17" s="24"/>
      <c r="K17" s="25"/>
      <c r="L17" s="23"/>
      <c r="M17" s="23"/>
      <c r="N17" s="88"/>
      <c r="O17" s="88"/>
      <c r="P17" s="88"/>
      <c r="Q17" s="27">
        <f t="shared" ref="Q17:Y17" si="7">SUM(Q14:Q16)</f>
        <v>1.0338938429889921</v>
      </c>
      <c r="R17" s="27">
        <f t="shared" si="7"/>
        <v>2.9075990457144876</v>
      </c>
      <c r="S17" s="27">
        <f t="shared" si="7"/>
        <v>5.1917834346408345</v>
      </c>
      <c r="T17" s="27">
        <f t="shared" si="7"/>
        <v>1.0519184065180577E-2</v>
      </c>
      <c r="U17" s="27">
        <f t="shared" si="7"/>
        <v>0.23761124799788069</v>
      </c>
      <c r="V17" s="27">
        <f t="shared" si="7"/>
        <v>0.21147401071811384</v>
      </c>
      <c r="W17" s="27">
        <f t="shared" si="7"/>
        <v>914.52627356410687</v>
      </c>
      <c r="X17" s="27">
        <f t="shared" si="7"/>
        <v>9.728210011363761E-2</v>
      </c>
      <c r="Y17" s="27">
        <f t="shared" si="7"/>
        <v>0.49321942629087934</v>
      </c>
    </row>
    <row r="18" spans="1:25">
      <c r="A18" s="17" t="s">
        <v>365</v>
      </c>
      <c r="B18" s="549"/>
      <c r="C18" s="18"/>
      <c r="D18" s="22"/>
      <c r="E18" s="19"/>
      <c r="F18" s="19"/>
      <c r="G18" s="19"/>
      <c r="H18" s="19"/>
      <c r="I18" s="19"/>
      <c r="J18" s="19"/>
      <c r="K18" s="19"/>
      <c r="L18" s="19"/>
      <c r="M18" s="19"/>
      <c r="N18" s="30"/>
      <c r="O18" s="30"/>
      <c r="P18" s="364"/>
      <c r="Q18" s="20">
        <f>Q11+Q17</f>
        <v>1.7484709660805895</v>
      </c>
      <c r="R18" s="20">
        <f t="shared" ref="R18:Y18" si="8">R11+R17</f>
        <v>5.8617582566728821</v>
      </c>
      <c r="S18" s="20">
        <f t="shared" si="8"/>
        <v>9.6128398807799904</v>
      </c>
      <c r="T18" s="20">
        <f t="shared" si="8"/>
        <v>1.8842250301258457E-2</v>
      </c>
      <c r="U18" s="20">
        <f t="shared" si="8"/>
        <v>0.48341954031392814</v>
      </c>
      <c r="V18" s="20">
        <f t="shared" si="8"/>
        <v>0.43024339087939606</v>
      </c>
      <c r="W18" s="20">
        <f t="shared" si="8"/>
        <v>1610.9797660491349</v>
      </c>
      <c r="X18" s="20">
        <f t="shared" si="8"/>
        <v>0.16982190630420735</v>
      </c>
      <c r="Y18" s="20">
        <f t="shared" si="8"/>
        <v>0.91321978867409925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0"/>
  <sheetViews>
    <sheetView zoomScale="75" workbookViewId="0">
      <selection activeCell="B21" sqref="B21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619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C9*(F9)*$B$351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C10*(F10)*$B$351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334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C14*(F14)*$B$293</f>
        <v>0</v>
      </c>
      <c r="AA14" s="50">
        <f>Z14*0.21</f>
        <v>0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0.19978255106729004</v>
      </c>
      <c r="U15" s="81">
        <f t="shared" si="1"/>
        <v>0.36881875565943734</v>
      </c>
      <c r="V15" s="81">
        <f t="shared" si="1"/>
        <v>4.50613455258927E-2</v>
      </c>
      <c r="W15" s="81">
        <f t="shared" si="1"/>
        <v>2.7797226812149543E-3</v>
      </c>
      <c r="X15" s="81">
        <f t="shared" si="1"/>
        <v>7.2738929740302244E-2</v>
      </c>
      <c r="Y15" s="81">
        <f t="shared" si="1"/>
        <v>4.8332197965954803E-2</v>
      </c>
      <c r="Z15" s="81">
        <f t="shared" si="1"/>
        <v>0</v>
      </c>
      <c r="AA15" s="81">
        <f t="shared" si="1"/>
        <v>0</v>
      </c>
      <c r="AB15" s="81">
        <f t="shared" si="1"/>
        <v>193.62821118051326</v>
      </c>
      <c r="AC15" s="81">
        <f t="shared" si="1"/>
        <v>1.1064496871488068E-2</v>
      </c>
      <c r="AD15" s="81">
        <f t="shared" si="1"/>
        <v>4.9599802576000274E-3</v>
      </c>
    </row>
    <row r="16" spans="1:30">
      <c r="A16" s="75" t="s">
        <v>388</v>
      </c>
      <c r="B16" s="74"/>
      <c r="C16" s="112"/>
      <c r="D16" s="112"/>
      <c r="E16" s="74"/>
      <c r="F16" s="74"/>
      <c r="G16" s="547"/>
      <c r="H16" s="41"/>
      <c r="I16" s="41"/>
      <c r="J16" s="41"/>
      <c r="K16" s="544"/>
      <c r="L16" s="544"/>
      <c r="M16" s="544"/>
      <c r="N16" s="544"/>
      <c r="O16" s="544"/>
      <c r="P16" s="544"/>
      <c r="Q16" s="41"/>
      <c r="R16" s="544"/>
      <c r="S16" s="544"/>
      <c r="T16" s="81">
        <f>T11+T15</f>
        <v>0.49061979389018751</v>
      </c>
      <c r="U16" s="81">
        <f t="shared" ref="U16:AD16" si="2">U11+U15</f>
        <v>1.4300149922750218</v>
      </c>
      <c r="V16" s="81">
        <f t="shared" si="2"/>
        <v>0.11388583001311323</v>
      </c>
      <c r="W16" s="81">
        <f t="shared" si="2"/>
        <v>6.0588351957901118E-3</v>
      </c>
      <c r="X16" s="81">
        <f t="shared" si="2"/>
        <v>0.13898901638518027</v>
      </c>
      <c r="Y16" s="81">
        <f t="shared" si="2"/>
        <v>9.4510281595063333E-2</v>
      </c>
      <c r="Z16" s="81">
        <f t="shared" si="2"/>
        <v>0</v>
      </c>
      <c r="AA16" s="81">
        <f t="shared" si="2"/>
        <v>0</v>
      </c>
      <c r="AB16" s="81">
        <f t="shared" si="2"/>
        <v>592.16432649433523</v>
      </c>
      <c r="AC16" s="81">
        <f t="shared" si="2"/>
        <v>1.9283796835273176E-2</v>
      </c>
      <c r="AD16" s="81">
        <f t="shared" si="2"/>
        <v>1.5168881387478891E-2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368" spans="1:1" ht="25.5">
      <c r="A368" s="82" t="s">
        <v>109</v>
      </c>
    </row>
    <row r="370" spans="1:2">
      <c r="A370" s="36" t="s">
        <v>81</v>
      </c>
    </row>
    <row r="371" spans="1:2">
      <c r="A371" s="36" t="s">
        <v>82</v>
      </c>
    </row>
    <row r="372" spans="1:2">
      <c r="A372" s="36" t="s">
        <v>83</v>
      </c>
    </row>
    <row r="373" spans="1:2">
      <c r="A373" s="37" t="s">
        <v>96</v>
      </c>
    </row>
    <row r="374" spans="1:2">
      <c r="A374" s="36" t="s">
        <v>85</v>
      </c>
    </row>
    <row r="375" spans="1:2">
      <c r="A375" s="36" t="s">
        <v>86</v>
      </c>
    </row>
    <row r="376" spans="1:2">
      <c r="A376" s="36" t="s">
        <v>87</v>
      </c>
    </row>
    <row r="377" spans="1:2">
      <c r="A377" s="36" t="s">
        <v>0</v>
      </c>
    </row>
    <row r="378" spans="1:2">
      <c r="A378" s="37" t="s">
        <v>97</v>
      </c>
      <c r="B378" s="36">
        <f>(0.016*(0.03/2)^0.65*(2/3)^1.5)-0.00047</f>
        <v>9.8123053326417428E-5</v>
      </c>
    </row>
    <row r="379" spans="1:2">
      <c r="A379" s="37" t="s">
        <v>98</v>
      </c>
      <c r="B379" s="36">
        <f>(0.016*(0.03/2)^0.65*(13/3)^1.5)-0.00047</f>
        <v>8.9448292388582783E-3</v>
      </c>
    </row>
    <row r="380" spans="1:2">
      <c r="A380" s="37" t="s">
        <v>99</v>
      </c>
      <c r="B38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B90" sqref="B90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620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334</v>
      </c>
      <c r="B5" s="45" t="s">
        <v>102</v>
      </c>
      <c r="C5" s="46">
        <v>11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54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545" t="s">
        <v>55</v>
      </c>
      <c r="G88" s="545" t="s">
        <v>73</v>
      </c>
      <c r="H88" s="545" t="s">
        <v>74</v>
      </c>
      <c r="I88" s="545" t="s">
        <v>58</v>
      </c>
      <c r="J88" s="545" t="s">
        <v>59</v>
      </c>
      <c r="K88" s="545" t="s">
        <v>60</v>
      </c>
      <c r="L88" s="544" t="s">
        <v>75</v>
      </c>
      <c r="M88" s="544" t="s">
        <v>76</v>
      </c>
      <c r="N88" s="544" t="s">
        <v>61</v>
      </c>
      <c r="O88" s="544" t="s">
        <v>62</v>
      </c>
      <c r="P88" s="544" t="s">
        <v>63</v>
      </c>
      <c r="AN88" s="38"/>
      <c r="AZ88" s="36"/>
    </row>
    <row r="89" spans="1:52" ht="25.5">
      <c r="A89" s="44" t="str">
        <f t="shared" ref="A89:C90" si="52">A4</f>
        <v>Substation General Construction</v>
      </c>
      <c r="B89" s="45" t="str">
        <f t="shared" si="52"/>
        <v>Light-Duty Truck, catalyst</v>
      </c>
      <c r="C89" s="46">
        <f t="shared" si="52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53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si="52"/>
        <v>Substation Below Grade Construction</v>
      </c>
      <c r="B90" s="45" t="str">
        <f t="shared" si="52"/>
        <v>Light-Duty Truck, catalyst</v>
      </c>
      <c r="C90" s="46">
        <f t="shared" si="52"/>
        <v>11</v>
      </c>
      <c r="D90" s="46">
        <v>35</v>
      </c>
      <c r="E90" s="46">
        <v>80</v>
      </c>
      <c r="F90" s="50">
        <f>C5*($E5*$F5+($G5))/453.59</f>
        <v>5.34291324469012</v>
      </c>
      <c r="G90" s="50">
        <f>C5*($E5*$H5+($I5))/453.59</f>
        <v>0.48037723023815809</v>
      </c>
      <c r="H90" s="50">
        <f>C5*(($E5*$J5)+($K5)+($L5)+($E5*$N5)+(($M5+$O5)))/453.59</f>
        <v>0.55549978356348662</v>
      </c>
      <c r="I90" s="50">
        <f>C5*($E5*$P5+($Q5))/453.59</f>
        <v>7.9947672987667768E-3</v>
      </c>
      <c r="J90" s="50">
        <f>C5*(($E5*($R5+$T5+$U5))+($S5))/453.59</f>
        <v>9.3764995007286869E-2</v>
      </c>
      <c r="K90" s="50">
        <f>$C5*(($E5*($V5+$X5+$Y5))+($W5))/453.59</f>
        <v>4.0832058566784561E-2</v>
      </c>
      <c r="L90" s="50">
        <f>$B$22*C5*(E5+6)</f>
        <v>9.2824408446790893E-2</v>
      </c>
      <c r="M90" s="50">
        <f t="shared" si="53"/>
        <v>3.8058007463184267E-2</v>
      </c>
      <c r="N90" s="50">
        <f>C5*($E5*$Z5+($AA5))/453.59</f>
        <v>609.65934398642787</v>
      </c>
      <c r="O90" s="50">
        <f>C5*($E5*$AB5+($AC5))/453.59</f>
        <v>3.4875229279332738E-2</v>
      </c>
      <c r="P90" s="50">
        <f>C5*($E5*$AD5+($AE5))/453.59</f>
        <v>6.3482319052276956E-2</v>
      </c>
      <c r="AN90" s="38"/>
      <c r="AZ90" s="36"/>
    </row>
    <row r="91" spans="1:52">
      <c r="A91" s="61" t="s">
        <v>389</v>
      </c>
      <c r="B91" s="40"/>
      <c r="C91" s="40"/>
      <c r="D91" s="40"/>
      <c r="E91" s="40"/>
      <c r="F91" s="81">
        <f t="shared" ref="F91:P91" si="54">SUM(F89:F90)</f>
        <v>6.8000714023328799</v>
      </c>
      <c r="G91" s="81">
        <f t="shared" si="54"/>
        <v>0.61138920212129211</v>
      </c>
      <c r="H91" s="81">
        <f t="shared" si="54"/>
        <v>0.70699972453534654</v>
      </c>
      <c r="I91" s="81">
        <f t="shared" si="54"/>
        <v>1.0175158380248624E-2</v>
      </c>
      <c r="J91" s="81">
        <f t="shared" si="54"/>
        <v>0.11933726637291056</v>
      </c>
      <c r="K91" s="81">
        <f t="shared" si="54"/>
        <v>5.1968074539543989E-2</v>
      </c>
      <c r="L91" s="81">
        <f t="shared" si="54"/>
        <v>0.11814015620500659</v>
      </c>
      <c r="M91" s="81">
        <f t="shared" si="54"/>
        <v>4.8437464044052705E-2</v>
      </c>
      <c r="N91" s="81">
        <f t="shared" si="54"/>
        <v>775.93007416454452</v>
      </c>
      <c r="O91" s="81">
        <f t="shared" si="54"/>
        <v>4.4386655446423486E-2</v>
      </c>
      <c r="P91" s="81">
        <f t="shared" si="54"/>
        <v>8.079567879380703E-2</v>
      </c>
      <c r="AN91" s="38"/>
      <c r="AZ91" s="36"/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8"/>
  <sheetViews>
    <sheetView zoomScale="75" zoomScaleNormal="75" workbookViewId="0">
      <selection activeCell="A30" sqref="A30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621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398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100" t="s">
        <v>287</v>
      </c>
      <c r="B14" s="97" t="s">
        <v>27</v>
      </c>
      <c r="C14" s="97">
        <v>37</v>
      </c>
      <c r="D14" s="22">
        <v>0.37</v>
      </c>
      <c r="E14" s="102">
        <v>3.2313389441625637E-2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0.12374118165784832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0.16056172839506169</v>
      </c>
      <c r="H14" s="102">
        <v>3.2989906092678058E-4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1.3581349206349205E-2</v>
      </c>
      <c r="J14" s="100">
        <f t="shared" ref="J14:J16" si="4">0.89*I14</f>
        <v>1.2087400793650793E-2</v>
      </c>
      <c r="K14" s="103">
        <v>25.519156990664225</v>
      </c>
      <c r="L14" s="102">
        <v>3.413848047070189E-3</v>
      </c>
      <c r="M14" s="104">
        <f t="shared" ref="M14:M16" si="5">0.095*G14</f>
        <v>1.5253364197530862E-2</v>
      </c>
      <c r="N14" s="88">
        <v>1</v>
      </c>
      <c r="O14" s="88">
        <v>1</v>
      </c>
      <c r="P14" s="367">
        <v>75</v>
      </c>
      <c r="Q14" s="26">
        <f t="shared" ref="Q14:Y16" si="6">(E14*$N14*$O14)</f>
        <v>3.2313389441625637E-2</v>
      </c>
      <c r="R14" s="26">
        <f t="shared" si="6"/>
        <v>0.12374118165784832</v>
      </c>
      <c r="S14" s="26">
        <f t="shared" si="6"/>
        <v>0.16056172839506169</v>
      </c>
      <c r="T14" s="26">
        <f t="shared" si="6"/>
        <v>3.2989906092678058E-4</v>
      </c>
      <c r="U14" s="26">
        <f t="shared" si="6"/>
        <v>1.3581349206349205E-2</v>
      </c>
      <c r="V14" s="26">
        <f t="shared" si="6"/>
        <v>1.2087400793650793E-2</v>
      </c>
      <c r="W14" s="26">
        <f t="shared" si="6"/>
        <v>25.519156990664225</v>
      </c>
      <c r="X14" s="26">
        <f t="shared" si="6"/>
        <v>3.413848047070189E-3</v>
      </c>
      <c r="Y14" s="26">
        <f t="shared" si="6"/>
        <v>1.5253364197530862E-2</v>
      </c>
    </row>
    <row r="15" spans="1:25" s="3" customFormat="1">
      <c r="A15" s="100" t="s">
        <v>292</v>
      </c>
      <c r="B15" s="22" t="s">
        <v>27</v>
      </c>
      <c r="C15" s="97">
        <v>69</v>
      </c>
      <c r="D15" s="22">
        <v>0.5</v>
      </c>
      <c r="E15" s="102">
        <v>0.10796897189848784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0.2814153439153439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0.40462962962962956</v>
      </c>
      <c r="H15" s="102">
        <v>7.6125329247041284E-4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2.2817460317460316E-2</v>
      </c>
      <c r="J15" s="100">
        <f t="shared" si="4"/>
        <v>2.030753968253968E-2</v>
      </c>
      <c r="K15" s="103">
        <v>64.895144949977833</v>
      </c>
      <c r="L15" s="102">
        <v>1.0324742188913067E-2</v>
      </c>
      <c r="M15" s="104">
        <f t="shared" si="5"/>
        <v>3.8439814814814809E-2</v>
      </c>
      <c r="N15" s="87">
        <v>1</v>
      </c>
      <c r="O15" s="87">
        <v>6</v>
      </c>
      <c r="P15" s="88">
        <f>8*22</f>
        <v>176</v>
      </c>
      <c r="Q15" s="34">
        <f t="shared" si="6"/>
        <v>0.64781383139092696</v>
      </c>
      <c r="R15" s="26">
        <f t="shared" si="6"/>
        <v>1.6884920634920633</v>
      </c>
      <c r="S15" s="26">
        <f t="shared" si="6"/>
        <v>2.4277777777777771</v>
      </c>
      <c r="T15" s="26">
        <f t="shared" si="6"/>
        <v>4.567519754822477E-3</v>
      </c>
      <c r="U15" s="26">
        <f t="shared" si="6"/>
        <v>0.13690476190476189</v>
      </c>
      <c r="V15" s="26">
        <f t="shared" si="6"/>
        <v>0.12184523809523809</v>
      </c>
      <c r="W15" s="26">
        <f t="shared" si="6"/>
        <v>389.370869699867</v>
      </c>
      <c r="X15" s="26">
        <f t="shared" si="6"/>
        <v>6.1948453133478402E-2</v>
      </c>
      <c r="Y15" s="26">
        <f t="shared" si="6"/>
        <v>0.23063888888888884</v>
      </c>
    </row>
    <row r="16" spans="1:25" s="3" customFormat="1">
      <c r="A16" s="100" t="s">
        <v>126</v>
      </c>
      <c r="B16" s="22" t="s">
        <v>27</v>
      </c>
      <c r="C16" s="22">
        <v>175</v>
      </c>
      <c r="D16" s="22"/>
      <c r="E16" s="102">
        <v>0.11792220738547983</v>
      </c>
      <c r="F16" s="102">
        <v>0.36512193352152528</v>
      </c>
      <c r="G16" s="102">
        <v>0.86781464282266541</v>
      </c>
      <c r="H16" s="102">
        <v>1.8739217498104396E-3</v>
      </c>
      <c r="I16" s="102">
        <v>2.9041712295589866E-2</v>
      </c>
      <c r="J16" s="100">
        <f t="shared" si="4"/>
        <v>2.5847123943074982E-2</v>
      </c>
      <c r="K16" s="103">
        <v>166.54541562452522</v>
      </c>
      <c r="L16" s="102">
        <v>1.063993297769634E-2</v>
      </c>
      <c r="M16" s="104">
        <f t="shared" si="5"/>
        <v>8.2442391068153209E-2</v>
      </c>
      <c r="N16" s="88">
        <v>1</v>
      </c>
      <c r="O16" s="88">
        <v>3</v>
      </c>
      <c r="P16" s="367">
        <v>40</v>
      </c>
      <c r="Q16" s="26">
        <f t="shared" si="6"/>
        <v>0.3537666221564395</v>
      </c>
      <c r="R16" s="26">
        <f t="shared" si="6"/>
        <v>1.0953658005645759</v>
      </c>
      <c r="S16" s="26">
        <f t="shared" si="6"/>
        <v>2.6034439284679962</v>
      </c>
      <c r="T16" s="26">
        <f t="shared" si="6"/>
        <v>5.6217652494313184E-3</v>
      </c>
      <c r="U16" s="26">
        <f t="shared" si="6"/>
        <v>8.7125136886769594E-2</v>
      </c>
      <c r="V16" s="26">
        <f t="shared" si="6"/>
        <v>7.754137182922495E-2</v>
      </c>
      <c r="W16" s="26">
        <f t="shared" si="6"/>
        <v>499.63624687357566</v>
      </c>
      <c r="X16" s="26">
        <f t="shared" si="6"/>
        <v>3.1919798933089022E-2</v>
      </c>
      <c r="Y16" s="26">
        <f t="shared" si="6"/>
        <v>0.24732717320445963</v>
      </c>
    </row>
    <row r="17" spans="1:25" s="3" customFormat="1">
      <c r="A17" s="17" t="s">
        <v>28</v>
      </c>
      <c r="B17" s="97"/>
      <c r="C17" s="22"/>
      <c r="D17" s="22"/>
      <c r="E17" s="23"/>
      <c r="F17" s="23"/>
      <c r="G17" s="23"/>
      <c r="H17" s="23"/>
      <c r="I17" s="23"/>
      <c r="J17" s="24"/>
      <c r="K17" s="25"/>
      <c r="L17" s="23"/>
      <c r="M17" s="23"/>
      <c r="N17" s="88"/>
      <c r="O17" s="88"/>
      <c r="P17" s="88"/>
      <c r="Q17" s="27">
        <f t="shared" ref="Q17:Y17" si="7">SUM(Q14:Q16)</f>
        <v>1.0338938429889921</v>
      </c>
      <c r="R17" s="27">
        <f t="shared" si="7"/>
        <v>2.9075990457144876</v>
      </c>
      <c r="S17" s="27">
        <f t="shared" si="7"/>
        <v>5.1917834346408345</v>
      </c>
      <c r="T17" s="27">
        <f t="shared" si="7"/>
        <v>1.0519184065180577E-2</v>
      </c>
      <c r="U17" s="27">
        <f t="shared" si="7"/>
        <v>0.23761124799788069</v>
      </c>
      <c r="V17" s="27">
        <f t="shared" si="7"/>
        <v>0.21147401071811384</v>
      </c>
      <c r="W17" s="27">
        <f t="shared" si="7"/>
        <v>914.52627356410687</v>
      </c>
      <c r="X17" s="27">
        <f t="shared" si="7"/>
        <v>9.728210011363761E-2</v>
      </c>
      <c r="Y17" s="27">
        <f t="shared" si="7"/>
        <v>0.49321942629087934</v>
      </c>
    </row>
    <row r="18" spans="1:25">
      <c r="A18" s="17" t="s">
        <v>499</v>
      </c>
      <c r="B18" s="549"/>
      <c r="C18" s="18"/>
      <c r="D18" s="22"/>
      <c r="E18" s="19"/>
      <c r="F18" s="19"/>
      <c r="G18" s="19"/>
      <c r="H18" s="19"/>
      <c r="I18" s="19"/>
      <c r="J18" s="19"/>
      <c r="K18" s="19"/>
      <c r="L18" s="19"/>
      <c r="M18" s="19"/>
      <c r="N18" s="30"/>
      <c r="O18" s="30"/>
      <c r="P18" s="364"/>
      <c r="Q18" s="20">
        <f>Q11+Q17</f>
        <v>1.7484709660805895</v>
      </c>
      <c r="R18" s="20">
        <f t="shared" ref="R18:Y18" si="8">R11+R17</f>
        <v>5.8617582566728821</v>
      </c>
      <c r="S18" s="20">
        <f t="shared" si="8"/>
        <v>9.6128398807799904</v>
      </c>
      <c r="T18" s="20">
        <f t="shared" si="8"/>
        <v>1.8842250301258457E-2</v>
      </c>
      <c r="U18" s="20">
        <f t="shared" si="8"/>
        <v>0.48341954031392814</v>
      </c>
      <c r="V18" s="20">
        <f t="shared" si="8"/>
        <v>0.43024339087939606</v>
      </c>
      <c r="W18" s="20">
        <f t="shared" si="8"/>
        <v>1610.9797660491349</v>
      </c>
      <c r="X18" s="20">
        <f t="shared" si="8"/>
        <v>0.16982190630420735</v>
      </c>
      <c r="Y18" s="20">
        <f t="shared" si="8"/>
        <v>0.91321978867409925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0"/>
  <sheetViews>
    <sheetView zoomScale="75" workbookViewId="0">
      <selection activeCell="B24" sqref="B24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622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C9*(F9)*$B$338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C10*(F10)*$B$338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334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C14*(F14)*$B$280</f>
        <v>0</v>
      </c>
      <c r="AA14" s="50">
        <f>Z14*0.21</f>
        <v>0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0.19978255106729004</v>
      </c>
      <c r="U15" s="81">
        <f t="shared" si="1"/>
        <v>0.36881875565943734</v>
      </c>
      <c r="V15" s="81">
        <f t="shared" si="1"/>
        <v>4.50613455258927E-2</v>
      </c>
      <c r="W15" s="81">
        <f t="shared" si="1"/>
        <v>2.7797226812149543E-3</v>
      </c>
      <c r="X15" s="81">
        <f t="shared" si="1"/>
        <v>7.2738929740302244E-2</v>
      </c>
      <c r="Y15" s="81">
        <f t="shared" si="1"/>
        <v>4.8332197965954803E-2</v>
      </c>
      <c r="Z15" s="81">
        <f t="shared" si="1"/>
        <v>0</v>
      </c>
      <c r="AA15" s="81">
        <f t="shared" si="1"/>
        <v>0</v>
      </c>
      <c r="AB15" s="81">
        <f t="shared" si="1"/>
        <v>193.62821118051326</v>
      </c>
      <c r="AC15" s="81">
        <f t="shared" si="1"/>
        <v>1.1064496871488068E-2</v>
      </c>
      <c r="AD15" s="81">
        <f t="shared" si="1"/>
        <v>4.9599802576000274E-3</v>
      </c>
    </row>
    <row r="16" spans="1:30">
      <c r="A16" s="75" t="s">
        <v>388</v>
      </c>
      <c r="B16" s="74"/>
      <c r="C16" s="112"/>
      <c r="D16" s="112"/>
      <c r="E16" s="74"/>
      <c r="F16" s="74"/>
      <c r="G16" s="547"/>
      <c r="H16" s="41"/>
      <c r="I16" s="41"/>
      <c r="J16" s="41"/>
      <c r="K16" s="544"/>
      <c r="L16" s="544"/>
      <c r="M16" s="544"/>
      <c r="N16" s="544"/>
      <c r="O16" s="544"/>
      <c r="P16" s="544"/>
      <c r="Q16" s="41"/>
      <c r="R16" s="544"/>
      <c r="S16" s="544"/>
      <c r="T16" s="81">
        <f>T11+T15</f>
        <v>0.49061979389018751</v>
      </c>
      <c r="U16" s="81">
        <f t="shared" ref="U16:AD16" si="2">U11+U15</f>
        <v>1.4300149922750218</v>
      </c>
      <c r="V16" s="81">
        <f t="shared" si="2"/>
        <v>0.11388583001311323</v>
      </c>
      <c r="W16" s="81">
        <f t="shared" si="2"/>
        <v>6.0588351957901118E-3</v>
      </c>
      <c r="X16" s="81">
        <f t="shared" si="2"/>
        <v>0.13898901638518027</v>
      </c>
      <c r="Y16" s="81">
        <f t="shared" si="2"/>
        <v>9.4510281595063333E-2</v>
      </c>
      <c r="Z16" s="81">
        <f t="shared" si="2"/>
        <v>0</v>
      </c>
      <c r="AA16" s="81">
        <f t="shared" si="2"/>
        <v>0</v>
      </c>
      <c r="AB16" s="81">
        <f t="shared" si="2"/>
        <v>592.16432649433523</v>
      </c>
      <c r="AC16" s="81">
        <f t="shared" si="2"/>
        <v>1.9283796835273176E-2</v>
      </c>
      <c r="AD16" s="81">
        <f t="shared" si="2"/>
        <v>1.5168881387478891E-2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368" spans="1:1" ht="25.5">
      <c r="A368" s="82" t="s">
        <v>109</v>
      </c>
    </row>
    <row r="370" spans="1:2">
      <c r="A370" s="36" t="s">
        <v>81</v>
      </c>
    </row>
    <row r="371" spans="1:2">
      <c r="A371" s="36" t="s">
        <v>82</v>
      </c>
    </row>
    <row r="372" spans="1:2">
      <c r="A372" s="36" t="s">
        <v>83</v>
      </c>
    </row>
    <row r="373" spans="1:2">
      <c r="A373" s="37" t="s">
        <v>96</v>
      </c>
    </row>
    <row r="374" spans="1:2">
      <c r="A374" s="36" t="s">
        <v>85</v>
      </c>
    </row>
    <row r="375" spans="1:2">
      <c r="A375" s="36" t="s">
        <v>86</v>
      </c>
    </row>
    <row r="376" spans="1:2">
      <c r="A376" s="36" t="s">
        <v>87</v>
      </c>
    </row>
    <row r="377" spans="1:2">
      <c r="A377" s="36" t="s">
        <v>0</v>
      </c>
    </row>
    <row r="378" spans="1:2">
      <c r="A378" s="37" t="s">
        <v>97</v>
      </c>
      <c r="B378" s="36">
        <f>(0.016*(0.03/2)^0.65*(2/3)^1.5)-0.00047</f>
        <v>9.8123053326417428E-5</v>
      </c>
    </row>
    <row r="379" spans="1:2">
      <c r="A379" s="37" t="s">
        <v>98</v>
      </c>
      <c r="B379" s="36">
        <f>(0.016*(0.03/2)^0.65*(13/3)^1.5)-0.00047</f>
        <v>8.9448292388582783E-3</v>
      </c>
    </row>
    <row r="380" spans="1:2">
      <c r="A380" s="37" t="s">
        <v>99</v>
      </c>
      <c r="B38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B99" sqref="B99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623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334</v>
      </c>
      <c r="B5" s="45" t="s">
        <v>102</v>
      </c>
      <c r="C5" s="46">
        <v>10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54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545" t="s">
        <v>55</v>
      </c>
      <c r="G88" s="545" t="s">
        <v>73</v>
      </c>
      <c r="H88" s="545" t="s">
        <v>74</v>
      </c>
      <c r="I88" s="545" t="s">
        <v>58</v>
      </c>
      <c r="J88" s="545" t="s">
        <v>59</v>
      </c>
      <c r="K88" s="545" t="s">
        <v>60</v>
      </c>
      <c r="L88" s="544" t="s">
        <v>75</v>
      </c>
      <c r="M88" s="544" t="s">
        <v>76</v>
      </c>
      <c r="N88" s="544" t="s">
        <v>61</v>
      </c>
      <c r="O88" s="544" t="s">
        <v>62</v>
      </c>
      <c r="P88" s="544" t="s">
        <v>63</v>
      </c>
      <c r="AN88" s="38"/>
      <c r="AZ88" s="36"/>
    </row>
    <row r="89" spans="1:52" ht="25.5">
      <c r="A89" s="44" t="str">
        <f t="shared" ref="A89:C89" si="52">A4</f>
        <v>Substation General Construction</v>
      </c>
      <c r="B89" s="45" t="str">
        <f t="shared" si="52"/>
        <v>Light-Duty Truck, catalyst</v>
      </c>
      <c r="C89" s="46">
        <f t="shared" si="52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53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ref="A90:C90" si="54">A5</f>
        <v>Substation Below Grade Construction</v>
      </c>
      <c r="B90" s="45" t="str">
        <f t="shared" si="54"/>
        <v>Light-Duty Truck, catalyst</v>
      </c>
      <c r="C90" s="46">
        <f t="shared" si="54"/>
        <v>10</v>
      </c>
      <c r="D90" s="46">
        <v>35</v>
      </c>
      <c r="E90" s="46">
        <v>80</v>
      </c>
      <c r="F90" s="50">
        <f>C5*($E5*$F5+($G5))/453.59</f>
        <v>4.8571938588092012</v>
      </c>
      <c r="G90" s="50">
        <f>C5*($E5*$H5+($I5))/453.59</f>
        <v>0.43670657294378012</v>
      </c>
      <c r="H90" s="50">
        <f>C5*(($E5*$J5)+($K5)+($L5)+($E5*$N5)+(($M5+$O5)))/453.59</f>
        <v>0.50499980323953331</v>
      </c>
      <c r="I90" s="50">
        <f>C5*($E5*$P5+($Q5))/453.59</f>
        <v>7.2679702716061598E-3</v>
      </c>
      <c r="J90" s="50">
        <f>C5*(($E5*($R5+$T5+$U5))+($S5))/453.59</f>
        <v>8.5240904552078958E-2</v>
      </c>
      <c r="K90" s="50">
        <f>$C5*(($E5*($V5+$X5+$Y5))+($W5))/453.59</f>
        <v>3.7120053242531412E-2</v>
      </c>
      <c r="L90" s="50">
        <f>$B$22*C5*(E5+6)</f>
        <v>8.438582586071898E-2</v>
      </c>
      <c r="M90" s="50">
        <f t="shared" si="53"/>
        <v>3.4598188602894778E-2</v>
      </c>
      <c r="N90" s="50">
        <f>C5*($E5*$Z5+($AA5))/453.59</f>
        <v>554.23576726038891</v>
      </c>
      <c r="O90" s="50">
        <f>C5*($E5*$AB5+($AC5))/453.59</f>
        <v>3.1704753890302494E-2</v>
      </c>
      <c r="P90" s="50">
        <f>C5*($E5*$AD5+($AE5))/453.59</f>
        <v>5.7711199138433596E-2</v>
      </c>
      <c r="AN90" s="38"/>
      <c r="AZ90" s="36"/>
    </row>
    <row r="91" spans="1:52">
      <c r="A91" s="61" t="s">
        <v>389</v>
      </c>
      <c r="B91" s="40"/>
      <c r="C91" s="40"/>
      <c r="D91" s="40"/>
      <c r="E91" s="40"/>
      <c r="F91" s="81">
        <f t="shared" ref="F91:P91" si="55">SUM(F89:F90)</f>
        <v>6.3143520164519611</v>
      </c>
      <c r="G91" s="81">
        <f t="shared" si="55"/>
        <v>0.5677185448269142</v>
      </c>
      <c r="H91" s="81">
        <f t="shared" si="55"/>
        <v>0.65649974421139334</v>
      </c>
      <c r="I91" s="81">
        <f t="shared" si="55"/>
        <v>9.4483613530880074E-3</v>
      </c>
      <c r="J91" s="81">
        <f t="shared" si="55"/>
        <v>0.11081317591770265</v>
      </c>
      <c r="K91" s="81">
        <f t="shared" si="55"/>
        <v>4.8256069215290839E-2</v>
      </c>
      <c r="L91" s="81">
        <f t="shared" si="55"/>
        <v>0.10970157361893468</v>
      </c>
      <c r="M91" s="81">
        <f t="shared" si="55"/>
        <v>4.497764518376321E-2</v>
      </c>
      <c r="N91" s="81">
        <f t="shared" si="55"/>
        <v>720.50649743850568</v>
      </c>
      <c r="O91" s="81">
        <f t="shared" si="55"/>
        <v>4.1216180057393241E-2</v>
      </c>
      <c r="P91" s="81">
        <f t="shared" si="55"/>
        <v>7.5024558879963676E-2</v>
      </c>
      <c r="AN91" s="38"/>
      <c r="AZ91" s="36"/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9"/>
  <sheetViews>
    <sheetView zoomScale="75" zoomScaleNormal="75" workbookViewId="0">
      <selection activeCell="Q50" sqref="Q50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624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398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100" t="s">
        <v>287</v>
      </c>
      <c r="B14" s="97" t="s">
        <v>27</v>
      </c>
      <c r="C14" s="97">
        <v>37</v>
      </c>
      <c r="D14" s="22">
        <v>0.37</v>
      </c>
      <c r="E14" s="102">
        <v>3.2313389441625637E-2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0.12374118165784832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0.16056172839506169</v>
      </c>
      <c r="H14" s="102">
        <v>3.2989906092678058E-4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1.3581349206349205E-2</v>
      </c>
      <c r="J14" s="100">
        <f t="shared" ref="J14:J17" si="4">0.89*I14</f>
        <v>1.2087400793650793E-2</v>
      </c>
      <c r="K14" s="103">
        <v>25.519156990664225</v>
      </c>
      <c r="L14" s="102">
        <v>3.413848047070189E-3</v>
      </c>
      <c r="M14" s="104">
        <f t="shared" ref="M14:M17" si="5">0.095*G14</f>
        <v>1.5253364197530862E-2</v>
      </c>
      <c r="N14" s="88">
        <v>1</v>
      </c>
      <c r="O14" s="88">
        <v>1</v>
      </c>
      <c r="P14" s="367">
        <v>75</v>
      </c>
      <c r="Q14" s="26">
        <f t="shared" ref="Q14:Y17" si="6">(E14*$N14*$O14)</f>
        <v>3.2313389441625637E-2</v>
      </c>
      <c r="R14" s="26">
        <f t="shared" si="6"/>
        <v>0.12374118165784832</v>
      </c>
      <c r="S14" s="26">
        <f t="shared" si="6"/>
        <v>0.16056172839506169</v>
      </c>
      <c r="T14" s="26">
        <f t="shared" si="6"/>
        <v>3.2989906092678058E-4</v>
      </c>
      <c r="U14" s="26">
        <f t="shared" si="6"/>
        <v>1.3581349206349205E-2</v>
      </c>
      <c r="V14" s="26">
        <f t="shared" si="6"/>
        <v>1.2087400793650793E-2</v>
      </c>
      <c r="W14" s="26">
        <f t="shared" si="6"/>
        <v>25.519156990664225</v>
      </c>
      <c r="X14" s="26">
        <f t="shared" si="6"/>
        <v>3.413848047070189E-3</v>
      </c>
      <c r="Y14" s="26">
        <f t="shared" si="6"/>
        <v>1.5253364197530862E-2</v>
      </c>
    </row>
    <row r="15" spans="1:25" s="3" customFormat="1">
      <c r="A15" s="100" t="s">
        <v>292</v>
      </c>
      <c r="B15" s="22" t="s">
        <v>27</v>
      </c>
      <c r="C15" s="97">
        <v>69</v>
      </c>
      <c r="D15" s="22">
        <v>0.5</v>
      </c>
      <c r="E15" s="102">
        <v>0.10796897189848784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0.2814153439153439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0.40462962962962956</v>
      </c>
      <c r="H15" s="102">
        <v>7.6125329247041284E-4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2.2817460317460316E-2</v>
      </c>
      <c r="J15" s="100">
        <f t="shared" si="4"/>
        <v>2.030753968253968E-2</v>
      </c>
      <c r="K15" s="103">
        <v>64.895144949977833</v>
      </c>
      <c r="L15" s="102">
        <v>1.0324742188913067E-2</v>
      </c>
      <c r="M15" s="104">
        <f t="shared" si="5"/>
        <v>3.8439814814814809E-2</v>
      </c>
      <c r="N15" s="87">
        <v>1</v>
      </c>
      <c r="O15" s="87">
        <v>6</v>
      </c>
      <c r="P15" s="88">
        <f>8*22</f>
        <v>176</v>
      </c>
      <c r="Q15" s="34">
        <f t="shared" si="6"/>
        <v>0.64781383139092696</v>
      </c>
      <c r="R15" s="26">
        <f t="shared" si="6"/>
        <v>1.6884920634920633</v>
      </c>
      <c r="S15" s="26">
        <f t="shared" si="6"/>
        <v>2.4277777777777771</v>
      </c>
      <c r="T15" s="26">
        <f t="shared" si="6"/>
        <v>4.567519754822477E-3</v>
      </c>
      <c r="U15" s="26">
        <f t="shared" si="6"/>
        <v>0.13690476190476189</v>
      </c>
      <c r="V15" s="26">
        <f t="shared" si="6"/>
        <v>0.12184523809523809</v>
      </c>
      <c r="W15" s="26">
        <f t="shared" si="6"/>
        <v>389.370869699867</v>
      </c>
      <c r="X15" s="26">
        <f t="shared" si="6"/>
        <v>6.1948453133478402E-2</v>
      </c>
      <c r="Y15" s="26">
        <f t="shared" si="6"/>
        <v>0.23063888888888884</v>
      </c>
    </row>
    <row r="16" spans="1:25" s="3" customFormat="1">
      <c r="A16" s="100" t="s">
        <v>124</v>
      </c>
      <c r="B16" s="29" t="s">
        <v>27</v>
      </c>
      <c r="C16" s="97">
        <v>87</v>
      </c>
      <c r="D16" s="22">
        <v>0.37</v>
      </c>
      <c r="E16" s="102">
        <v>7.7253202863558038E-2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0.26257275132275132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0.33506412037037031</v>
      </c>
      <c r="H16" s="102">
        <v>6.910856115004858E-4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2.1289682539682539E-2</v>
      </c>
      <c r="J16" s="100">
        <f t="shared" si="4"/>
        <v>1.894781746031746E-2</v>
      </c>
      <c r="K16" s="103">
        <v>58.913505111712794</v>
      </c>
      <c r="L16" s="102">
        <v>7.5344751889799754E-3</v>
      </c>
      <c r="M16" s="102">
        <f t="shared" si="5"/>
        <v>3.1831091435185178E-2</v>
      </c>
      <c r="N16" s="98">
        <v>1</v>
      </c>
      <c r="O16" s="87">
        <v>8</v>
      </c>
      <c r="P16" s="363">
        <v>15</v>
      </c>
      <c r="Q16" s="34">
        <f t="shared" si="6"/>
        <v>0.6180256229084643</v>
      </c>
      <c r="R16" s="26">
        <f t="shared" si="6"/>
        <v>2.1005820105820106</v>
      </c>
      <c r="S16" s="26">
        <f t="shared" si="6"/>
        <v>2.6805129629629625</v>
      </c>
      <c r="T16" s="26">
        <f t="shared" si="6"/>
        <v>5.5286848920038864E-3</v>
      </c>
      <c r="U16" s="26">
        <f t="shared" si="6"/>
        <v>0.17031746031746031</v>
      </c>
      <c r="V16" s="26">
        <f t="shared" si="6"/>
        <v>0.15158253968253968</v>
      </c>
      <c r="W16" s="26">
        <f t="shared" si="6"/>
        <v>471.30804089370235</v>
      </c>
      <c r="X16" s="26">
        <f t="shared" si="6"/>
        <v>6.0275801511839804E-2</v>
      </c>
      <c r="Y16" s="26">
        <f t="shared" si="6"/>
        <v>0.25464873148148143</v>
      </c>
    </row>
    <row r="17" spans="1:25" s="3" customFormat="1">
      <c r="A17" s="100" t="s">
        <v>126</v>
      </c>
      <c r="B17" s="22" t="s">
        <v>27</v>
      </c>
      <c r="C17" s="22">
        <v>175</v>
      </c>
      <c r="D17" s="22"/>
      <c r="E17" s="102">
        <v>0.11792220738547983</v>
      </c>
      <c r="F17" s="102">
        <v>0.36512193352152528</v>
      </c>
      <c r="G17" s="102">
        <v>0.86781464282266541</v>
      </c>
      <c r="H17" s="102">
        <v>1.8739217498104396E-3</v>
      </c>
      <c r="I17" s="102">
        <v>2.9041712295589866E-2</v>
      </c>
      <c r="J17" s="100">
        <f t="shared" si="4"/>
        <v>2.5847123943074982E-2</v>
      </c>
      <c r="K17" s="103">
        <v>166.54541562452522</v>
      </c>
      <c r="L17" s="102">
        <v>1.063993297769634E-2</v>
      </c>
      <c r="M17" s="104">
        <f t="shared" si="5"/>
        <v>8.2442391068153209E-2</v>
      </c>
      <c r="N17" s="88">
        <v>1</v>
      </c>
      <c r="O17" s="88">
        <v>3</v>
      </c>
      <c r="P17" s="367">
        <v>40</v>
      </c>
      <c r="Q17" s="26">
        <f t="shared" si="6"/>
        <v>0.3537666221564395</v>
      </c>
      <c r="R17" s="26">
        <f t="shared" si="6"/>
        <v>1.0953658005645759</v>
      </c>
      <c r="S17" s="26">
        <f t="shared" si="6"/>
        <v>2.6034439284679962</v>
      </c>
      <c r="T17" s="26">
        <f t="shared" si="6"/>
        <v>5.6217652494313184E-3</v>
      </c>
      <c r="U17" s="26">
        <f t="shared" si="6"/>
        <v>8.7125136886769594E-2</v>
      </c>
      <c r="V17" s="26">
        <f t="shared" si="6"/>
        <v>7.754137182922495E-2</v>
      </c>
      <c r="W17" s="26">
        <f t="shared" si="6"/>
        <v>499.63624687357566</v>
      </c>
      <c r="X17" s="26">
        <f t="shared" si="6"/>
        <v>3.1919798933089022E-2</v>
      </c>
      <c r="Y17" s="26">
        <f t="shared" si="6"/>
        <v>0.24732717320445963</v>
      </c>
    </row>
    <row r="18" spans="1:25">
      <c r="A18" s="17" t="s">
        <v>28</v>
      </c>
      <c r="B18" s="97"/>
      <c r="C18" s="22"/>
      <c r="D18" s="22"/>
      <c r="E18" s="23"/>
      <c r="F18" s="23"/>
      <c r="G18" s="23"/>
      <c r="H18" s="23"/>
      <c r="I18" s="23"/>
      <c r="J18" s="24"/>
      <c r="K18" s="25"/>
      <c r="L18" s="23"/>
      <c r="M18" s="23"/>
      <c r="N18" s="88"/>
      <c r="O18" s="88"/>
      <c r="P18" s="88"/>
      <c r="Q18" s="27">
        <f t="shared" ref="Q18:Y18" si="7">SUM(Q14:Q17)</f>
        <v>1.6519194658974565</v>
      </c>
      <c r="R18" s="27">
        <f t="shared" si="7"/>
        <v>5.0081810562964977</v>
      </c>
      <c r="S18" s="27">
        <f t="shared" si="7"/>
        <v>7.8722963976037974</v>
      </c>
      <c r="T18" s="27">
        <f t="shared" si="7"/>
        <v>1.6047868957184463E-2</v>
      </c>
      <c r="U18" s="27">
        <f t="shared" si="7"/>
        <v>0.407928708315341</v>
      </c>
      <c r="V18" s="27">
        <f t="shared" si="7"/>
        <v>0.36305655040065349</v>
      </c>
      <c r="W18" s="27">
        <f t="shared" si="7"/>
        <v>1385.8343144578091</v>
      </c>
      <c r="X18" s="27">
        <f t="shared" si="7"/>
        <v>0.15755790162547742</v>
      </c>
      <c r="Y18" s="27">
        <f t="shared" si="7"/>
        <v>0.74786815777236082</v>
      </c>
    </row>
    <row r="19" spans="1:25">
      <c r="A19" s="17" t="s">
        <v>499</v>
      </c>
      <c r="B19" s="549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30"/>
      <c r="O19" s="30"/>
      <c r="P19" s="364"/>
      <c r="Q19" s="20">
        <f>Q11+Q18</f>
        <v>2.3664965889890537</v>
      </c>
      <c r="R19" s="20">
        <f t="shared" ref="R19:Y19" si="8">R11+R18</f>
        <v>7.9623402672548913</v>
      </c>
      <c r="S19" s="20">
        <f t="shared" si="8"/>
        <v>12.293352843742955</v>
      </c>
      <c r="T19" s="20">
        <f t="shared" si="8"/>
        <v>2.4370935193262343E-2</v>
      </c>
      <c r="U19" s="20">
        <f t="shared" si="8"/>
        <v>0.65373700063138851</v>
      </c>
      <c r="V19" s="20">
        <f t="shared" si="8"/>
        <v>0.58182593056193577</v>
      </c>
      <c r="W19" s="20">
        <f t="shared" si="8"/>
        <v>2082.2878069428371</v>
      </c>
      <c r="X19" s="20">
        <f t="shared" si="8"/>
        <v>0.23009770781604716</v>
      </c>
      <c r="Y19" s="20">
        <f t="shared" si="8"/>
        <v>1.1678685201555807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0"/>
  <sheetViews>
    <sheetView zoomScale="75" workbookViewId="0">
      <selection activeCell="B23" sqref="B23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625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C9*(F9)*$B$326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C10*(F10)*$B$326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334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C14*(F14)*$B$268</f>
        <v>0</v>
      </c>
      <c r="AA14" s="50">
        <f>Z14*0.21</f>
        <v>0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0.19978255106729004</v>
      </c>
      <c r="U15" s="81">
        <f t="shared" si="1"/>
        <v>0.36881875565943734</v>
      </c>
      <c r="V15" s="81">
        <f t="shared" si="1"/>
        <v>4.50613455258927E-2</v>
      </c>
      <c r="W15" s="81">
        <f t="shared" si="1"/>
        <v>2.7797226812149543E-3</v>
      </c>
      <c r="X15" s="81">
        <f t="shared" si="1"/>
        <v>7.2738929740302244E-2</v>
      </c>
      <c r="Y15" s="81">
        <f t="shared" si="1"/>
        <v>4.8332197965954803E-2</v>
      </c>
      <c r="Z15" s="81">
        <f t="shared" si="1"/>
        <v>0</v>
      </c>
      <c r="AA15" s="81">
        <f t="shared" si="1"/>
        <v>0</v>
      </c>
      <c r="AB15" s="81">
        <f t="shared" si="1"/>
        <v>193.62821118051326</v>
      </c>
      <c r="AC15" s="81">
        <f t="shared" si="1"/>
        <v>1.1064496871488068E-2</v>
      </c>
      <c r="AD15" s="81">
        <f t="shared" si="1"/>
        <v>4.9599802576000274E-3</v>
      </c>
    </row>
    <row r="16" spans="1:30">
      <c r="A16" s="75" t="s">
        <v>388</v>
      </c>
      <c r="B16" s="74"/>
      <c r="C16" s="112"/>
      <c r="D16" s="112"/>
      <c r="E16" s="74"/>
      <c r="F16" s="74"/>
      <c r="G16" s="547"/>
      <c r="H16" s="41"/>
      <c r="I16" s="41"/>
      <c r="J16" s="41"/>
      <c r="K16" s="544"/>
      <c r="L16" s="544"/>
      <c r="M16" s="544"/>
      <c r="N16" s="544"/>
      <c r="O16" s="544"/>
      <c r="P16" s="544"/>
      <c r="Q16" s="41"/>
      <c r="R16" s="544"/>
      <c r="S16" s="544"/>
      <c r="T16" s="81">
        <f>T11+T15</f>
        <v>0.49061979389018751</v>
      </c>
      <c r="U16" s="81">
        <f t="shared" ref="U16:AD16" si="2">U11+U15</f>
        <v>1.4300149922750218</v>
      </c>
      <c r="V16" s="81">
        <f t="shared" si="2"/>
        <v>0.11388583001311323</v>
      </c>
      <c r="W16" s="81">
        <f t="shared" si="2"/>
        <v>6.0588351957901118E-3</v>
      </c>
      <c r="X16" s="81">
        <f t="shared" si="2"/>
        <v>0.13898901638518027</v>
      </c>
      <c r="Y16" s="81">
        <f t="shared" si="2"/>
        <v>9.4510281595063333E-2</v>
      </c>
      <c r="Z16" s="81">
        <f t="shared" si="2"/>
        <v>0</v>
      </c>
      <c r="AA16" s="81">
        <f t="shared" si="2"/>
        <v>0</v>
      </c>
      <c r="AB16" s="81">
        <f t="shared" si="2"/>
        <v>592.16432649433523</v>
      </c>
      <c r="AC16" s="81">
        <f t="shared" si="2"/>
        <v>1.9283796835273176E-2</v>
      </c>
      <c r="AD16" s="81">
        <f t="shared" si="2"/>
        <v>1.5168881387478891E-2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368" spans="1:1" ht="25.5">
      <c r="A368" s="82" t="s">
        <v>109</v>
      </c>
    </row>
    <row r="370" spans="1:2">
      <c r="A370" s="36" t="s">
        <v>81</v>
      </c>
    </row>
    <row r="371" spans="1:2">
      <c r="A371" s="36" t="s">
        <v>82</v>
      </c>
    </row>
    <row r="372" spans="1:2">
      <c r="A372" s="36" t="s">
        <v>83</v>
      </c>
    </row>
    <row r="373" spans="1:2">
      <c r="A373" s="37" t="s">
        <v>96</v>
      </c>
    </row>
    <row r="374" spans="1:2">
      <c r="A374" s="36" t="s">
        <v>85</v>
      </c>
    </row>
    <row r="375" spans="1:2">
      <c r="A375" s="36" t="s">
        <v>86</v>
      </c>
    </row>
    <row r="376" spans="1:2">
      <c r="A376" s="36" t="s">
        <v>87</v>
      </c>
    </row>
    <row r="377" spans="1:2">
      <c r="A377" s="36" t="s">
        <v>0</v>
      </c>
    </row>
    <row r="378" spans="1:2">
      <c r="A378" s="37" t="s">
        <v>97</v>
      </c>
      <c r="B378" s="36">
        <f>(0.016*(0.03/2)^0.65*(2/3)^1.5)-0.00047</f>
        <v>9.8123053326417428E-5</v>
      </c>
    </row>
    <row r="379" spans="1:2">
      <c r="A379" s="37" t="s">
        <v>98</v>
      </c>
      <c r="B379" s="36">
        <f>(0.016*(0.03/2)^0.65*(13/3)^1.5)-0.00047</f>
        <v>8.9448292388582783E-3</v>
      </c>
    </row>
    <row r="380" spans="1:2">
      <c r="A380" s="37" t="s">
        <v>99</v>
      </c>
      <c r="B38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topLeftCell="A6" zoomScale="85" zoomScaleNormal="85" workbookViewId="0">
      <selection activeCell="M106" sqref="M106:M118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626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334</v>
      </c>
      <c r="B5" s="45" t="s">
        <v>102</v>
      </c>
      <c r="C5" s="46">
        <v>10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54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545" t="s">
        <v>55</v>
      </c>
      <c r="G88" s="545" t="s">
        <v>73</v>
      </c>
      <c r="H88" s="545" t="s">
        <v>74</v>
      </c>
      <c r="I88" s="545" t="s">
        <v>58</v>
      </c>
      <c r="J88" s="545" t="s">
        <v>59</v>
      </c>
      <c r="K88" s="545" t="s">
        <v>60</v>
      </c>
      <c r="L88" s="544" t="s">
        <v>75</v>
      </c>
      <c r="M88" s="544" t="s">
        <v>76</v>
      </c>
      <c r="N88" s="544" t="s">
        <v>61</v>
      </c>
      <c r="O88" s="544" t="s">
        <v>62</v>
      </c>
      <c r="P88" s="544" t="s">
        <v>63</v>
      </c>
      <c r="AN88" s="38"/>
      <c r="AZ88" s="36"/>
    </row>
    <row r="89" spans="1:52" ht="25.5">
      <c r="A89" s="44" t="str">
        <f>A4</f>
        <v>Substation General Construction</v>
      </c>
      <c r="B89" s="45" t="str">
        <f>B4</f>
        <v>Light-Duty Truck, catalyst</v>
      </c>
      <c r="C89" s="46">
        <f>C4</f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52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ref="A90:C90" si="53">A5</f>
        <v>Substation Below Grade Construction</v>
      </c>
      <c r="B90" s="45" t="str">
        <f t="shared" si="53"/>
        <v>Light-Duty Truck, catalyst</v>
      </c>
      <c r="C90" s="46">
        <f t="shared" si="53"/>
        <v>10</v>
      </c>
      <c r="D90" s="46">
        <v>35</v>
      </c>
      <c r="E90" s="46">
        <v>80</v>
      </c>
      <c r="F90" s="50">
        <f>C5*($E5*$F5+($G5))/453.59</f>
        <v>4.8571938588092012</v>
      </c>
      <c r="G90" s="50">
        <f>C5*($E5*$H5+($I5))/453.59</f>
        <v>0.43670657294378012</v>
      </c>
      <c r="H90" s="50">
        <f>C5*(($E5*$J5)+($K5)+($L5)+($E5*$N5)+(($M5+$O5)))/453.59</f>
        <v>0.50499980323953331</v>
      </c>
      <c r="I90" s="50">
        <f>C5*($E5*$P5+($Q5))/453.59</f>
        <v>7.2679702716061598E-3</v>
      </c>
      <c r="J90" s="50">
        <f>C5*(($E5*($R5+$T5+$U5))+($S5))/453.59</f>
        <v>8.5240904552078958E-2</v>
      </c>
      <c r="K90" s="50">
        <f>$C5*(($E5*($V5+$X5+$Y5))+($W5))/453.59</f>
        <v>3.7120053242531412E-2</v>
      </c>
      <c r="L90" s="50">
        <f>$B$22*C5*(E5+6)</f>
        <v>8.438582586071898E-2</v>
      </c>
      <c r="M90" s="50">
        <f t="shared" si="52"/>
        <v>3.4598188602894778E-2</v>
      </c>
      <c r="N90" s="50">
        <f>C5*($E5*$Z5+($AA5))/453.59</f>
        <v>554.23576726038891</v>
      </c>
      <c r="O90" s="50">
        <f>C5*($E5*$AB5+($AC5))/453.59</f>
        <v>3.1704753890302494E-2</v>
      </c>
      <c r="P90" s="50">
        <f>C5*($E5*$AD5+($AE5))/453.59</f>
        <v>5.7711199138433596E-2</v>
      </c>
      <c r="AN90" s="38"/>
      <c r="AZ90" s="36"/>
    </row>
    <row r="91" spans="1:52">
      <c r="A91" s="61" t="s">
        <v>389</v>
      </c>
      <c r="B91" s="40"/>
      <c r="C91" s="40"/>
      <c r="D91" s="40"/>
      <c r="E91" s="40"/>
      <c r="F91" s="81">
        <f t="shared" ref="F91:P91" si="54">SUM(F89:F90)</f>
        <v>6.3143520164519611</v>
      </c>
      <c r="G91" s="81">
        <f t="shared" si="54"/>
        <v>0.5677185448269142</v>
      </c>
      <c r="H91" s="81">
        <f t="shared" si="54"/>
        <v>0.65649974421139334</v>
      </c>
      <c r="I91" s="81">
        <f t="shared" si="54"/>
        <v>9.4483613530880074E-3</v>
      </c>
      <c r="J91" s="81">
        <f t="shared" si="54"/>
        <v>0.11081317591770265</v>
      </c>
      <c r="K91" s="81">
        <f t="shared" si="54"/>
        <v>4.8256069215290839E-2</v>
      </c>
      <c r="L91" s="81">
        <f t="shared" si="54"/>
        <v>0.10970157361893468</v>
      </c>
      <c r="M91" s="81">
        <f t="shared" si="54"/>
        <v>4.497764518376321E-2</v>
      </c>
      <c r="N91" s="81">
        <f t="shared" si="54"/>
        <v>720.50649743850568</v>
      </c>
      <c r="O91" s="81">
        <f t="shared" si="54"/>
        <v>4.1216180057393241E-2</v>
      </c>
      <c r="P91" s="81">
        <f t="shared" si="54"/>
        <v>7.5024558879963676E-2</v>
      </c>
      <c r="AN91" s="38"/>
      <c r="AZ91" s="36"/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4"/>
  <sheetViews>
    <sheetView zoomScale="75" zoomScaleNormal="75" workbookViewId="0">
      <selection activeCell="A26" sqref="A26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627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398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100" t="s">
        <v>287</v>
      </c>
      <c r="B14" s="97" t="s">
        <v>27</v>
      </c>
      <c r="C14" s="97">
        <v>37</v>
      </c>
      <c r="D14" s="22">
        <v>0.37</v>
      </c>
      <c r="E14" s="102">
        <v>3.2313389441625637E-2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0.12374118165784832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0.16056172839506169</v>
      </c>
      <c r="H14" s="102">
        <v>3.2989906092678058E-4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1.3581349206349205E-2</v>
      </c>
      <c r="J14" s="100">
        <f t="shared" ref="J14:J17" si="4">0.89*I14</f>
        <v>1.2087400793650793E-2</v>
      </c>
      <c r="K14" s="103">
        <v>25.519156990664225</v>
      </c>
      <c r="L14" s="102">
        <v>3.413848047070189E-3</v>
      </c>
      <c r="M14" s="104">
        <f t="shared" ref="M14:M17" si="5">0.095*G14</f>
        <v>1.5253364197530862E-2</v>
      </c>
      <c r="N14" s="88">
        <v>1</v>
      </c>
      <c r="O14" s="88">
        <v>1</v>
      </c>
      <c r="P14" s="367">
        <v>75</v>
      </c>
      <c r="Q14" s="26">
        <f t="shared" ref="Q14:Y17" si="6">(E14*$N14*$O14)</f>
        <v>3.2313389441625637E-2</v>
      </c>
      <c r="R14" s="26">
        <f t="shared" si="6"/>
        <v>0.12374118165784832</v>
      </c>
      <c r="S14" s="26">
        <f t="shared" si="6"/>
        <v>0.16056172839506169</v>
      </c>
      <c r="T14" s="26">
        <f t="shared" si="6"/>
        <v>3.2989906092678058E-4</v>
      </c>
      <c r="U14" s="26">
        <f t="shared" si="6"/>
        <v>1.3581349206349205E-2</v>
      </c>
      <c r="V14" s="26">
        <f t="shared" si="6"/>
        <v>1.2087400793650793E-2</v>
      </c>
      <c r="W14" s="26">
        <f t="shared" si="6"/>
        <v>25.519156990664225</v>
      </c>
      <c r="X14" s="26">
        <f t="shared" si="6"/>
        <v>3.413848047070189E-3</v>
      </c>
      <c r="Y14" s="26">
        <f t="shared" si="6"/>
        <v>1.5253364197530862E-2</v>
      </c>
    </row>
    <row r="15" spans="1:25" s="3" customFormat="1">
      <c r="A15" s="100" t="s">
        <v>292</v>
      </c>
      <c r="B15" s="22" t="s">
        <v>27</v>
      </c>
      <c r="C15" s="97">
        <v>69</v>
      </c>
      <c r="D15" s="22">
        <v>0.5</v>
      </c>
      <c r="E15" s="102">
        <v>0.10796897189848784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0.2814153439153439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0.40462962962962956</v>
      </c>
      <c r="H15" s="102">
        <v>7.6125329247041284E-4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2.2817460317460316E-2</v>
      </c>
      <c r="J15" s="100">
        <f t="shared" si="4"/>
        <v>2.030753968253968E-2</v>
      </c>
      <c r="K15" s="103">
        <v>64.895144949977833</v>
      </c>
      <c r="L15" s="102">
        <v>1.0324742188913067E-2</v>
      </c>
      <c r="M15" s="104">
        <f t="shared" si="5"/>
        <v>3.8439814814814809E-2</v>
      </c>
      <c r="N15" s="87">
        <v>1</v>
      </c>
      <c r="O15" s="87">
        <v>6</v>
      </c>
      <c r="P15" s="88">
        <f>8*22</f>
        <v>176</v>
      </c>
      <c r="Q15" s="34">
        <f t="shared" si="6"/>
        <v>0.64781383139092696</v>
      </c>
      <c r="R15" s="26">
        <f t="shared" si="6"/>
        <v>1.6884920634920633</v>
      </c>
      <c r="S15" s="26">
        <f t="shared" si="6"/>
        <v>2.4277777777777771</v>
      </c>
      <c r="T15" s="26">
        <f t="shared" si="6"/>
        <v>4.567519754822477E-3</v>
      </c>
      <c r="U15" s="26">
        <f t="shared" si="6"/>
        <v>0.13690476190476189</v>
      </c>
      <c r="V15" s="26">
        <f t="shared" si="6"/>
        <v>0.12184523809523809</v>
      </c>
      <c r="W15" s="26">
        <f t="shared" si="6"/>
        <v>389.370869699867</v>
      </c>
      <c r="X15" s="26">
        <f t="shared" si="6"/>
        <v>6.1948453133478402E-2</v>
      </c>
      <c r="Y15" s="26">
        <f t="shared" si="6"/>
        <v>0.23063888888888884</v>
      </c>
    </row>
    <row r="16" spans="1:25" s="3" customFormat="1">
      <c r="A16" s="100" t="s">
        <v>124</v>
      </c>
      <c r="B16" s="29" t="s">
        <v>27</v>
      </c>
      <c r="C16" s="97">
        <v>87</v>
      </c>
      <c r="D16" s="22">
        <v>0.37</v>
      </c>
      <c r="E16" s="102">
        <v>7.7253202863558038E-2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0.26257275132275132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0.33506412037037031</v>
      </c>
      <c r="H16" s="102">
        <v>6.910856115004858E-4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2.1289682539682539E-2</v>
      </c>
      <c r="J16" s="100">
        <f t="shared" si="4"/>
        <v>1.894781746031746E-2</v>
      </c>
      <c r="K16" s="103">
        <v>58.913505111712794</v>
      </c>
      <c r="L16" s="102">
        <v>7.5344751889799754E-3</v>
      </c>
      <c r="M16" s="102">
        <f t="shared" si="5"/>
        <v>3.1831091435185178E-2</v>
      </c>
      <c r="N16" s="98">
        <v>1</v>
      </c>
      <c r="O16" s="87">
        <v>8</v>
      </c>
      <c r="P16" s="363">
        <v>15</v>
      </c>
      <c r="Q16" s="34">
        <f t="shared" si="6"/>
        <v>0.6180256229084643</v>
      </c>
      <c r="R16" s="26">
        <f t="shared" si="6"/>
        <v>2.1005820105820106</v>
      </c>
      <c r="S16" s="26">
        <f t="shared" si="6"/>
        <v>2.6805129629629625</v>
      </c>
      <c r="T16" s="26">
        <f t="shared" si="6"/>
        <v>5.5286848920038864E-3</v>
      </c>
      <c r="U16" s="26">
        <f t="shared" si="6"/>
        <v>0.17031746031746031</v>
      </c>
      <c r="V16" s="26">
        <f t="shared" si="6"/>
        <v>0.15158253968253968</v>
      </c>
      <c r="W16" s="26">
        <f t="shared" si="6"/>
        <v>471.30804089370235</v>
      </c>
      <c r="X16" s="26">
        <f t="shared" si="6"/>
        <v>6.0275801511839804E-2</v>
      </c>
      <c r="Y16" s="26">
        <f t="shared" si="6"/>
        <v>0.25464873148148143</v>
      </c>
    </row>
    <row r="17" spans="1:25" s="3" customFormat="1">
      <c r="A17" s="100" t="s">
        <v>126</v>
      </c>
      <c r="B17" s="22" t="s">
        <v>27</v>
      </c>
      <c r="C17" s="22">
        <v>175</v>
      </c>
      <c r="D17" s="22"/>
      <c r="E17" s="102">
        <v>0.11792220738547983</v>
      </c>
      <c r="F17" s="102">
        <v>0.36512193352152528</v>
      </c>
      <c r="G17" s="102">
        <v>0.86781464282266541</v>
      </c>
      <c r="H17" s="102">
        <v>1.8739217498104396E-3</v>
      </c>
      <c r="I17" s="102">
        <v>2.9041712295589866E-2</v>
      </c>
      <c r="J17" s="100">
        <f t="shared" si="4"/>
        <v>2.5847123943074982E-2</v>
      </c>
      <c r="K17" s="103">
        <v>166.54541562452522</v>
      </c>
      <c r="L17" s="102">
        <v>1.063993297769634E-2</v>
      </c>
      <c r="M17" s="104">
        <f t="shared" si="5"/>
        <v>8.2442391068153209E-2</v>
      </c>
      <c r="N17" s="88">
        <v>1</v>
      </c>
      <c r="O17" s="88">
        <v>3</v>
      </c>
      <c r="P17" s="367">
        <v>40</v>
      </c>
      <c r="Q17" s="26">
        <f t="shared" si="6"/>
        <v>0.3537666221564395</v>
      </c>
      <c r="R17" s="26">
        <f t="shared" si="6"/>
        <v>1.0953658005645759</v>
      </c>
      <c r="S17" s="26">
        <f t="shared" si="6"/>
        <v>2.6034439284679962</v>
      </c>
      <c r="T17" s="26">
        <f t="shared" si="6"/>
        <v>5.6217652494313184E-3</v>
      </c>
      <c r="U17" s="26">
        <f t="shared" si="6"/>
        <v>8.7125136886769594E-2</v>
      </c>
      <c r="V17" s="26">
        <f t="shared" si="6"/>
        <v>7.754137182922495E-2</v>
      </c>
      <c r="W17" s="26">
        <f t="shared" si="6"/>
        <v>499.63624687357566</v>
      </c>
      <c r="X17" s="26">
        <f t="shared" si="6"/>
        <v>3.1919798933089022E-2</v>
      </c>
      <c r="Y17" s="26">
        <f t="shared" si="6"/>
        <v>0.24732717320445963</v>
      </c>
    </row>
    <row r="18" spans="1:25" s="3" customFormat="1">
      <c r="A18" s="17" t="s">
        <v>28</v>
      </c>
      <c r="B18" s="97"/>
      <c r="C18" s="22"/>
      <c r="D18" s="22"/>
      <c r="E18" s="23"/>
      <c r="F18" s="23"/>
      <c r="G18" s="23"/>
      <c r="H18" s="23"/>
      <c r="I18" s="23"/>
      <c r="J18" s="24"/>
      <c r="K18" s="25"/>
      <c r="L18" s="23"/>
      <c r="M18" s="23"/>
      <c r="N18" s="88"/>
      <c r="O18" s="88"/>
      <c r="P18" s="88"/>
      <c r="Q18" s="27">
        <f t="shared" ref="Q18:Y18" si="7">SUM(Q14:Q17)</f>
        <v>1.6519194658974565</v>
      </c>
      <c r="R18" s="27">
        <f t="shared" si="7"/>
        <v>5.0081810562964977</v>
      </c>
      <c r="S18" s="27">
        <f t="shared" si="7"/>
        <v>7.8722963976037974</v>
      </c>
      <c r="T18" s="27">
        <f t="shared" si="7"/>
        <v>1.6047868957184463E-2</v>
      </c>
      <c r="U18" s="27">
        <f t="shared" si="7"/>
        <v>0.407928708315341</v>
      </c>
      <c r="V18" s="27">
        <f t="shared" si="7"/>
        <v>0.36305655040065349</v>
      </c>
      <c r="W18" s="27">
        <f t="shared" si="7"/>
        <v>1385.8343144578091</v>
      </c>
      <c r="X18" s="27">
        <f t="shared" si="7"/>
        <v>0.15755790162547742</v>
      </c>
      <c r="Y18" s="27">
        <f t="shared" si="7"/>
        <v>0.74786815777236082</v>
      </c>
    </row>
    <row r="19" spans="1:25" s="3" customFormat="1">
      <c r="A19" s="17"/>
      <c r="B19" s="97"/>
      <c r="C19" s="22"/>
      <c r="D19" s="22"/>
      <c r="E19" s="23"/>
      <c r="F19" s="23"/>
      <c r="G19" s="23"/>
      <c r="H19" s="23"/>
      <c r="I19" s="23"/>
      <c r="J19" s="24"/>
      <c r="K19" s="25"/>
      <c r="L19" s="23"/>
      <c r="M19" s="23"/>
      <c r="N19" s="88"/>
      <c r="O19" s="88"/>
      <c r="P19" s="88"/>
      <c r="Q19" s="27"/>
      <c r="R19" s="27"/>
      <c r="S19" s="27"/>
      <c r="T19" s="27"/>
      <c r="U19" s="27"/>
      <c r="V19" s="27"/>
      <c r="W19" s="27"/>
      <c r="X19" s="27"/>
      <c r="Y19" s="27"/>
    </row>
    <row r="20" spans="1:25">
      <c r="A20" s="11" t="s">
        <v>399</v>
      </c>
      <c r="B20" s="22"/>
      <c r="C20" s="18"/>
      <c r="D20" s="22"/>
      <c r="E20" s="19"/>
      <c r="F20" s="19"/>
      <c r="G20" s="19"/>
      <c r="H20" s="19"/>
      <c r="I20" s="19"/>
      <c r="J20" s="19"/>
      <c r="K20" s="19"/>
      <c r="L20" s="19"/>
      <c r="M20" s="19"/>
      <c r="N20" s="11"/>
      <c r="O20" s="11"/>
      <c r="P20" s="11"/>
      <c r="Q20" s="27"/>
      <c r="R20" s="27"/>
      <c r="S20" s="27"/>
      <c r="T20" s="27"/>
      <c r="U20" s="27"/>
      <c r="V20" s="27"/>
      <c r="W20" s="28"/>
      <c r="X20" s="27"/>
      <c r="Y20" s="27"/>
    </row>
    <row r="21" spans="1:25">
      <c r="A21" s="24" t="s">
        <v>400</v>
      </c>
      <c r="B21" s="29" t="s">
        <v>27</v>
      </c>
      <c r="C21" s="97">
        <v>235</v>
      </c>
      <c r="D21" s="97"/>
      <c r="E21" s="102">
        <v>0.11792220738547983</v>
      </c>
      <c r="F21" s="102">
        <v>0.36512193352152528</v>
      </c>
      <c r="G21" s="102">
        <v>0.86781464282266541</v>
      </c>
      <c r="H21" s="102">
        <v>1.8739217498104396E-3</v>
      </c>
      <c r="I21" s="102">
        <v>2.9041712295589866E-2</v>
      </c>
      <c r="J21" s="100">
        <f t="shared" ref="J21:J22" si="8">0.89*I21</f>
        <v>2.5847123943074982E-2</v>
      </c>
      <c r="K21" s="103">
        <v>166.54541562452522</v>
      </c>
      <c r="L21" s="102">
        <v>1.063993297769634E-2</v>
      </c>
      <c r="M21" s="104">
        <f t="shared" ref="M21:M22" si="9">0.095*G21</f>
        <v>8.2442391068153209E-2</v>
      </c>
      <c r="N21" s="98">
        <v>1</v>
      </c>
      <c r="O21" s="87">
        <v>8</v>
      </c>
      <c r="P21" s="88">
        <v>4</v>
      </c>
      <c r="Q21" s="34">
        <f t="shared" ref="Q21:Y22" si="10">(E21*$N21*$O21)</f>
        <v>0.94337765908383864</v>
      </c>
      <c r="R21" s="26">
        <f t="shared" si="10"/>
        <v>2.9209754681722022</v>
      </c>
      <c r="S21" s="26">
        <f t="shared" si="10"/>
        <v>6.9425171425813232</v>
      </c>
      <c r="T21" s="26">
        <f t="shared" si="10"/>
        <v>1.4991373998483517E-2</v>
      </c>
      <c r="U21" s="26">
        <f t="shared" si="10"/>
        <v>0.23233369836471893</v>
      </c>
      <c r="V21" s="26">
        <f t="shared" si="10"/>
        <v>0.20677699154459986</v>
      </c>
      <c r="W21" s="26">
        <f t="shared" si="10"/>
        <v>1332.3633249962018</v>
      </c>
      <c r="X21" s="26">
        <f t="shared" si="10"/>
        <v>8.5119463821570721E-2</v>
      </c>
      <c r="Y21" s="26">
        <f t="shared" si="10"/>
        <v>0.65953912854522567</v>
      </c>
    </row>
    <row r="22" spans="1:25">
      <c r="A22" s="24" t="s">
        <v>297</v>
      </c>
      <c r="B22" s="29" t="s">
        <v>27</v>
      </c>
      <c r="C22" s="97">
        <v>235</v>
      </c>
      <c r="D22" s="97"/>
      <c r="E22" s="102">
        <v>0.11792220738547983</v>
      </c>
      <c r="F22" s="102">
        <v>0.36512193352152528</v>
      </c>
      <c r="G22" s="102">
        <v>0.86781464282266541</v>
      </c>
      <c r="H22" s="102">
        <v>1.8739217498104396E-3</v>
      </c>
      <c r="I22" s="102">
        <v>2.9041712295589866E-2</v>
      </c>
      <c r="J22" s="100">
        <f t="shared" si="8"/>
        <v>2.5847123943074982E-2</v>
      </c>
      <c r="K22" s="103">
        <v>166.54541562452522</v>
      </c>
      <c r="L22" s="102">
        <v>1.063993297769634E-2</v>
      </c>
      <c r="M22" s="104">
        <f t="shared" si="9"/>
        <v>8.2442391068153209E-2</v>
      </c>
      <c r="N22" s="98">
        <v>1</v>
      </c>
      <c r="O22" s="87">
        <v>8</v>
      </c>
      <c r="P22" s="88">
        <v>4</v>
      </c>
      <c r="Q22" s="34">
        <f t="shared" si="10"/>
        <v>0.94337765908383864</v>
      </c>
      <c r="R22" s="26">
        <f t="shared" si="10"/>
        <v>2.9209754681722022</v>
      </c>
      <c r="S22" s="26">
        <f t="shared" si="10"/>
        <v>6.9425171425813232</v>
      </c>
      <c r="T22" s="26">
        <f t="shared" si="10"/>
        <v>1.4991373998483517E-2</v>
      </c>
      <c r="U22" s="26">
        <f t="shared" si="10"/>
        <v>0.23233369836471893</v>
      </c>
      <c r="V22" s="26">
        <f t="shared" si="10"/>
        <v>0.20677699154459986</v>
      </c>
      <c r="W22" s="26">
        <f t="shared" si="10"/>
        <v>1332.3633249962018</v>
      </c>
      <c r="X22" s="26">
        <f t="shared" si="10"/>
        <v>8.5119463821570721E-2</v>
      </c>
      <c r="Y22" s="26">
        <f t="shared" si="10"/>
        <v>0.65953912854522567</v>
      </c>
    </row>
    <row r="23" spans="1:25">
      <c r="A23" s="17" t="s">
        <v>28</v>
      </c>
      <c r="B23" s="97"/>
      <c r="C23" s="22"/>
      <c r="D23" s="22"/>
      <c r="E23" s="23"/>
      <c r="F23" s="23"/>
      <c r="G23" s="23"/>
      <c r="H23" s="23"/>
      <c r="I23" s="23"/>
      <c r="J23" s="24"/>
      <c r="K23" s="25"/>
      <c r="L23" s="23"/>
      <c r="M23" s="23"/>
      <c r="N23" s="88"/>
      <c r="O23" s="88"/>
      <c r="P23" s="88"/>
      <c r="Q23" s="27">
        <f t="shared" ref="Q23:Y23" si="11">SUM(Q21:Q22)</f>
        <v>1.8867553181676773</v>
      </c>
      <c r="R23" s="27">
        <f t="shared" si="11"/>
        <v>5.8419509363444044</v>
      </c>
      <c r="S23" s="27">
        <f t="shared" si="11"/>
        <v>13.885034285162646</v>
      </c>
      <c r="T23" s="27">
        <f t="shared" si="11"/>
        <v>2.9982747996967034E-2</v>
      </c>
      <c r="U23" s="27">
        <f t="shared" si="11"/>
        <v>0.46466739672943785</v>
      </c>
      <c r="V23" s="27">
        <f t="shared" si="11"/>
        <v>0.41355398308919972</v>
      </c>
      <c r="W23" s="27">
        <f t="shared" si="11"/>
        <v>2664.7266499924035</v>
      </c>
      <c r="X23" s="27">
        <f t="shared" si="11"/>
        <v>0.17023892764314144</v>
      </c>
      <c r="Y23" s="27">
        <f t="shared" si="11"/>
        <v>1.3190782570904513</v>
      </c>
    </row>
    <row r="24" spans="1:25">
      <c r="A24" s="17" t="s">
        <v>499</v>
      </c>
      <c r="B24" s="549"/>
      <c r="C24" s="18"/>
      <c r="D24" s="22"/>
      <c r="E24" s="19"/>
      <c r="F24" s="19"/>
      <c r="G24" s="19"/>
      <c r="H24" s="19"/>
      <c r="I24" s="19"/>
      <c r="J24" s="19"/>
      <c r="K24" s="19"/>
      <c r="L24" s="19"/>
      <c r="M24" s="19"/>
      <c r="N24" s="30"/>
      <c r="O24" s="30"/>
      <c r="P24" s="364"/>
      <c r="Q24" s="20">
        <f>Q11+Q18+Q23</f>
        <v>4.2532519071567307</v>
      </c>
      <c r="R24" s="20">
        <f t="shared" ref="R24:Y24" si="12">R11+R18+R23</f>
        <v>13.804291203599295</v>
      </c>
      <c r="S24" s="20">
        <f t="shared" si="12"/>
        <v>26.178387128905602</v>
      </c>
      <c r="T24" s="20">
        <f t="shared" si="12"/>
        <v>5.4353683190229374E-2</v>
      </c>
      <c r="U24" s="20">
        <f t="shared" si="12"/>
        <v>1.1184043973608264</v>
      </c>
      <c r="V24" s="20">
        <f t="shared" si="12"/>
        <v>0.99537991365113543</v>
      </c>
      <c r="W24" s="20">
        <f t="shared" si="12"/>
        <v>4747.0144569352406</v>
      </c>
      <c r="X24" s="20">
        <f t="shared" si="12"/>
        <v>0.40033663545918863</v>
      </c>
      <c r="Y24" s="20">
        <f t="shared" si="12"/>
        <v>2.4869467772460321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5"/>
  <sheetViews>
    <sheetView zoomScale="75" workbookViewId="0">
      <selection activeCell="A25" sqref="A25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2.855468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529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70" t="s">
        <v>55</v>
      </c>
      <c r="H6" s="570" t="s">
        <v>56</v>
      </c>
      <c r="I6" s="566" t="s">
        <v>57</v>
      </c>
      <c r="J6" s="570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70" t="s">
        <v>61</v>
      </c>
      <c r="R6" s="566" t="s">
        <v>62</v>
      </c>
      <c r="S6" s="566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69" t="s">
        <v>69</v>
      </c>
      <c r="H7" s="41" t="s">
        <v>69</v>
      </c>
      <c r="I7" s="41" t="s">
        <v>69</v>
      </c>
      <c r="J7" s="41" t="s">
        <v>69</v>
      </c>
      <c r="K7" s="566" t="s">
        <v>69</v>
      </c>
      <c r="L7" s="566" t="s">
        <v>71</v>
      </c>
      <c r="M7" s="566" t="s">
        <v>72</v>
      </c>
      <c r="N7" s="566" t="s">
        <v>69</v>
      </c>
      <c r="O7" s="566" t="s">
        <v>71</v>
      </c>
      <c r="P7" s="566" t="s">
        <v>72</v>
      </c>
      <c r="Q7" s="41" t="s">
        <v>69</v>
      </c>
      <c r="R7" s="566" t="s">
        <v>69</v>
      </c>
      <c r="S7" s="566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69"/>
      <c r="H8" s="41"/>
      <c r="I8" s="41"/>
      <c r="J8" s="41"/>
      <c r="K8" s="566"/>
      <c r="L8" s="566"/>
      <c r="M8" s="566"/>
      <c r="N8" s="566"/>
      <c r="O8" s="566"/>
      <c r="P8" s="566"/>
      <c r="Q8" s="41"/>
      <c r="R8" s="566"/>
      <c r="S8" s="566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C9*(F9)*$B$383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68">
        <v>3.59998119015979E-2</v>
      </c>
      <c r="M10" s="568">
        <v>6.1739677411240299E-2</v>
      </c>
      <c r="N10" s="106">
        <v>6.5945508986370194E-2</v>
      </c>
      <c r="O10" s="568">
        <v>2.9999843251331498E-3</v>
      </c>
      <c r="P10" s="568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C10*(F10)*$B$383</f>
        <v>7.8498442661133934E-3</v>
      </c>
      <c r="AA10" s="50">
        <f>Z10*0.21</f>
        <v>1.6484672958838125E-3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69"/>
      <c r="H11" s="41"/>
      <c r="I11" s="41"/>
      <c r="J11" s="41"/>
      <c r="K11" s="566"/>
      <c r="L11" s="566"/>
      <c r="M11" s="566"/>
      <c r="N11" s="566"/>
      <c r="O11" s="566"/>
      <c r="P11" s="566"/>
      <c r="Q11" s="41"/>
      <c r="R11" s="566"/>
      <c r="S11" s="566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2.5511993864868531E-2</v>
      </c>
      <c r="AA11" s="81">
        <f t="shared" si="0"/>
        <v>5.3575187116223916E-3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69"/>
      <c r="H12" s="41"/>
      <c r="I12" s="41"/>
      <c r="J12" s="41"/>
      <c r="K12" s="566"/>
      <c r="L12" s="566"/>
      <c r="M12" s="566"/>
      <c r="N12" s="566"/>
      <c r="O12" s="566"/>
      <c r="P12" s="566"/>
      <c r="Q12" s="41"/>
      <c r="R12" s="566"/>
      <c r="S12" s="566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330</v>
      </c>
      <c r="B13" s="74"/>
      <c r="C13" s="112"/>
      <c r="D13" s="112"/>
      <c r="E13" s="74"/>
      <c r="F13" s="74"/>
      <c r="G13" s="569"/>
      <c r="H13" s="41"/>
      <c r="I13" s="41"/>
      <c r="J13" s="41"/>
      <c r="K13" s="566"/>
      <c r="L13" s="566"/>
      <c r="M13" s="566"/>
      <c r="N13" s="566"/>
      <c r="O13" s="566"/>
      <c r="P13" s="566"/>
      <c r="Q13" s="41"/>
      <c r="R13" s="566"/>
      <c r="S13" s="566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12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0.39956510213458007</v>
      </c>
      <c r="U14" s="50">
        <f>C14*($F14*$H14)/453.59</f>
        <v>0.73763751131887467</v>
      </c>
      <c r="V14" s="50">
        <f>C14*(($F14*$I14))/453.59</f>
        <v>9.01226910517854E-2</v>
      </c>
      <c r="W14" s="50">
        <f>C14*($F14*$J14)/453.59</f>
        <v>5.5594453624299087E-3</v>
      </c>
      <c r="X14" s="50">
        <f>C14*(($F14*($K14+$L14+$M14)))/453.59</f>
        <v>0.14547785948060449</v>
      </c>
      <c r="Y14" s="50">
        <f>C14*(($F14*($N14+$O14+$P14)))/453.59</f>
        <v>9.6664395931909605E-2</v>
      </c>
      <c r="Z14" s="50">
        <f>C14*(F14)*$B$383</f>
        <v>7.0648598395020551E-2</v>
      </c>
      <c r="AA14" s="50">
        <f>Z14*0.21</f>
        <v>1.4836205662954315E-2</v>
      </c>
      <c r="AB14" s="50">
        <f>C14*(($F14*($Q14)))/453.59</f>
        <v>387.25642236102652</v>
      </c>
      <c r="AC14" s="50">
        <f>C14*(($F14*($R14)))/453.59</f>
        <v>2.2128993742976135E-2</v>
      </c>
      <c r="AD14" s="50">
        <f>C14*(($F14*($S14)))/453.59</f>
        <v>9.9199605152000547E-3</v>
      </c>
    </row>
    <row r="15" spans="1:30">
      <c r="A15" s="75" t="s">
        <v>28</v>
      </c>
      <c r="B15" s="74"/>
      <c r="C15" s="112"/>
      <c r="D15" s="112"/>
      <c r="E15" s="74"/>
      <c r="F15" s="74"/>
      <c r="G15" s="569"/>
      <c r="H15" s="41"/>
      <c r="I15" s="41"/>
      <c r="J15" s="41"/>
      <c r="K15" s="566"/>
      <c r="L15" s="566"/>
      <c r="M15" s="566"/>
      <c r="N15" s="566"/>
      <c r="O15" s="566"/>
      <c r="P15" s="566"/>
      <c r="Q15" s="41"/>
      <c r="R15" s="566"/>
      <c r="S15" s="566"/>
      <c r="T15" s="81">
        <f t="shared" ref="T15:AD15" si="1">SUM(T14:T14)</f>
        <v>0.39956510213458007</v>
      </c>
      <c r="U15" s="81">
        <f t="shared" si="1"/>
        <v>0.73763751131887467</v>
      </c>
      <c r="V15" s="81">
        <f t="shared" si="1"/>
        <v>9.01226910517854E-2</v>
      </c>
      <c r="W15" s="81">
        <f t="shared" si="1"/>
        <v>5.5594453624299087E-3</v>
      </c>
      <c r="X15" s="81">
        <f t="shared" si="1"/>
        <v>0.14547785948060449</v>
      </c>
      <c r="Y15" s="81">
        <f t="shared" si="1"/>
        <v>9.6664395931909605E-2</v>
      </c>
      <c r="Z15" s="81">
        <f t="shared" si="1"/>
        <v>7.0648598395020551E-2</v>
      </c>
      <c r="AA15" s="81">
        <f t="shared" si="1"/>
        <v>1.4836205662954315E-2</v>
      </c>
      <c r="AB15" s="81">
        <f t="shared" si="1"/>
        <v>387.25642236102652</v>
      </c>
      <c r="AC15" s="81">
        <f t="shared" si="1"/>
        <v>2.2128993742976135E-2</v>
      </c>
      <c r="AD15" s="81">
        <f t="shared" si="1"/>
        <v>9.9199605152000547E-3</v>
      </c>
    </row>
    <row r="16" spans="1:30">
      <c r="A16" s="565"/>
      <c r="B16" s="74"/>
      <c r="C16" s="112"/>
      <c r="D16" s="112"/>
      <c r="E16" s="74"/>
      <c r="F16" s="74"/>
      <c r="G16" s="569"/>
      <c r="H16" s="41"/>
      <c r="I16" s="41"/>
      <c r="J16" s="41"/>
      <c r="K16" s="566"/>
      <c r="L16" s="566"/>
      <c r="M16" s="566"/>
      <c r="N16" s="566"/>
      <c r="O16" s="566"/>
      <c r="P16" s="566"/>
      <c r="Q16" s="41"/>
      <c r="R16" s="566"/>
      <c r="S16" s="566"/>
      <c r="T16" s="61"/>
      <c r="U16" s="61"/>
      <c r="V16" s="61"/>
      <c r="W16" s="61"/>
      <c r="X16" s="61"/>
      <c r="Y16" s="61"/>
      <c r="Z16" s="62"/>
      <c r="AA16" s="62"/>
      <c r="AB16" s="62"/>
      <c r="AC16" s="62"/>
      <c r="AD16" s="62"/>
    </row>
    <row r="17" spans="1:30">
      <c r="A17" s="114" t="s">
        <v>337</v>
      </c>
      <c r="B17" s="74"/>
      <c r="C17" s="112"/>
      <c r="D17" s="112"/>
      <c r="E17" s="74"/>
      <c r="F17" s="74"/>
      <c r="G17" s="569"/>
      <c r="H17" s="41"/>
      <c r="I17" s="41"/>
      <c r="J17" s="41"/>
      <c r="K17" s="566"/>
      <c r="L17" s="566"/>
      <c r="M17" s="566"/>
      <c r="N17" s="566"/>
      <c r="O17" s="566"/>
      <c r="P17" s="566"/>
      <c r="Q17" s="41"/>
      <c r="R17" s="566"/>
      <c r="S17" s="566"/>
      <c r="T17" s="61"/>
      <c r="U17" s="61"/>
      <c r="V17" s="61"/>
      <c r="W17" s="61"/>
      <c r="X17" s="61"/>
      <c r="Y17" s="61"/>
      <c r="Z17" s="62"/>
      <c r="AA17" s="62"/>
      <c r="AB17" s="62"/>
      <c r="AC17" s="62"/>
      <c r="AD17" s="62"/>
    </row>
    <row r="18" spans="1:30">
      <c r="A18" s="78" t="s">
        <v>320</v>
      </c>
      <c r="B18" s="76" t="s">
        <v>95</v>
      </c>
      <c r="C18" s="79">
        <v>8</v>
      </c>
      <c r="D18" s="77"/>
      <c r="E18" s="77">
        <v>35</v>
      </c>
      <c r="F18" s="77">
        <v>60</v>
      </c>
      <c r="G18" s="106">
        <v>0.25172046482947802</v>
      </c>
      <c r="H18" s="106">
        <v>0.464701387165456</v>
      </c>
      <c r="I18" s="106">
        <v>5.6776043658582402E-2</v>
      </c>
      <c r="J18" s="106">
        <v>3.5023733638119199E-3</v>
      </c>
      <c r="K18" s="106">
        <v>4.6899256897933901E-2</v>
      </c>
      <c r="L18" s="47">
        <v>7.99995847163921E-3</v>
      </c>
      <c r="M18" s="47">
        <v>3.6749815577381599E-2</v>
      </c>
      <c r="N18" s="106">
        <v>4.3147317248333997E-2</v>
      </c>
      <c r="O18" s="47">
        <v>1.9999896145790402E-3</v>
      </c>
      <c r="P18" s="47">
        <v>1.57499200131354E-2</v>
      </c>
      <c r="Q18" s="106">
        <v>243.966167526025</v>
      </c>
      <c r="R18" s="47">
        <f>0.000057143*Q18</f>
        <v>1.3940958710939646E-2</v>
      </c>
      <c r="S18" s="80">
        <f>0.000025616*Q18</f>
        <v>6.2494373473466567E-3</v>
      </c>
      <c r="T18" s="50">
        <f>C18*($F18*$G18)/453.59</f>
        <v>0.26637673475638673</v>
      </c>
      <c r="U18" s="50">
        <f>C18*($F18*$H18)/453.59</f>
        <v>0.49175834087924974</v>
      </c>
      <c r="V18" s="50">
        <f>C18*(($F18*$I18))/453.59</f>
        <v>6.0081794034523593E-2</v>
      </c>
      <c r="W18" s="50">
        <f>C18*($F18*$J18)/453.59</f>
        <v>3.7062969082866061E-3</v>
      </c>
      <c r="X18" s="50">
        <f>C18*(($F18*($K18+$L18+$M18)))/453.59</f>
        <v>9.698523965373633E-2</v>
      </c>
      <c r="Y18" s="50">
        <f>C18*(($F18*($N18+$O18+$P18)))/453.59</f>
        <v>6.444293062127307E-2</v>
      </c>
      <c r="Z18" s="50">
        <f>C18*(F18)*$B$383</f>
        <v>4.7099065596680367E-2</v>
      </c>
      <c r="AA18" s="50">
        <f>Z18*0.21</f>
        <v>9.8908037753028775E-3</v>
      </c>
      <c r="AB18" s="50">
        <f>C18*(($F18*($Q18)))/453.59</f>
        <v>258.17094824068437</v>
      </c>
      <c r="AC18" s="50">
        <f>C18*(($F18*($R18)))/453.59</f>
        <v>1.4752662495317424E-2</v>
      </c>
      <c r="AD18" s="50">
        <f>C18*(($F18*($S18)))/453.59</f>
        <v>6.6133070101333695E-3</v>
      </c>
    </row>
    <row r="19" spans="1:30">
      <c r="A19" s="78" t="s">
        <v>51</v>
      </c>
      <c r="B19" s="76" t="s">
        <v>105</v>
      </c>
      <c r="C19" s="374">
        <v>4</v>
      </c>
      <c r="D19" s="77"/>
      <c r="E19" s="77">
        <v>35</v>
      </c>
      <c r="F19" s="77">
        <v>80</v>
      </c>
      <c r="G19" s="106">
        <v>1.08263976628415</v>
      </c>
      <c r="H19" s="106">
        <v>4.9712718909585103</v>
      </c>
      <c r="I19" s="106">
        <v>0.26248012575016899</v>
      </c>
      <c r="J19" s="106">
        <v>1.0711818E-2</v>
      </c>
      <c r="K19" s="106">
        <v>7.1679901072141505E-2</v>
      </c>
      <c r="L19" s="568">
        <v>3.59998119015979E-2</v>
      </c>
      <c r="M19" s="568">
        <v>6.1739677411240299E-2</v>
      </c>
      <c r="N19" s="106">
        <v>6.5945508986370194E-2</v>
      </c>
      <c r="O19" s="568">
        <v>2.9999843251331498E-3</v>
      </c>
      <c r="P19" s="568">
        <v>5.5859708133979398E-2</v>
      </c>
      <c r="Q19" s="106">
        <v>1710.7260798814</v>
      </c>
      <c r="R19" s="47">
        <v>1.5235246282551899E-2</v>
      </c>
      <c r="S19" s="80">
        <f>0.000025616*Q19</f>
        <v>4.3821959262241944E-2</v>
      </c>
      <c r="T19" s="50">
        <f>C19*($F19*$G19)/453.59</f>
        <v>0.76378386915700969</v>
      </c>
      <c r="U19" s="50">
        <f>C19*($F19*$H19)/453.59</f>
        <v>3.5071474351434633</v>
      </c>
      <c r="V19" s="50">
        <f>C19*(($F19*$I19))/453.59</f>
        <v>0.18517524689709669</v>
      </c>
      <c r="W19" s="50">
        <f>C19*($F19*$J19)/453.59</f>
        <v>7.5570046958707204E-3</v>
      </c>
      <c r="X19" s="50">
        <f>C19*(($F19*($K19+$L19+$M19)))/453.59</f>
        <v>0.11952248709890763</v>
      </c>
      <c r="Y19" s="50">
        <f>C19*(($F19*($N19+$O19+$P19)))/453.59</f>
        <v>8.8047938584524532E-2</v>
      </c>
      <c r="Z19" s="50">
        <f>C19*(F19)*$B$383</f>
        <v>3.1399377064453574E-2</v>
      </c>
      <c r="AA19" s="50">
        <f>Z19*0.21</f>
        <v>6.59386918353525E-3</v>
      </c>
      <c r="AB19" s="50">
        <f>C19*(($F19*($Q19)))/453.59</f>
        <v>1206.8880388942614</v>
      </c>
      <c r="AC19" s="50">
        <f>C19*(($F19*($R19)))/453.59</f>
        <v>1.0748206112164309E-2</v>
      </c>
      <c r="AD19" s="50">
        <f>C19*(($F19*($S19)))/453.59</f>
        <v>3.0915644004315401E-2</v>
      </c>
    </row>
    <row r="20" spans="1:30">
      <c r="A20" s="75" t="s">
        <v>28</v>
      </c>
      <c r="B20" s="74"/>
      <c r="C20" s="112"/>
      <c r="D20" s="112"/>
      <c r="E20" s="74"/>
      <c r="F20" s="74"/>
      <c r="G20" s="569"/>
      <c r="H20" s="41"/>
      <c r="I20" s="41"/>
      <c r="J20" s="41"/>
      <c r="K20" s="566"/>
      <c r="L20" s="566"/>
      <c r="M20" s="566"/>
      <c r="N20" s="566"/>
      <c r="O20" s="566"/>
      <c r="P20" s="566"/>
      <c r="Q20" s="41"/>
      <c r="R20" s="566"/>
      <c r="S20" s="566"/>
      <c r="T20" s="81">
        <f>SUM(T18:T19)</f>
        <v>1.0301606039133964</v>
      </c>
      <c r="U20" s="81">
        <f t="shared" ref="U20:AD20" si="2">SUM(U18:U19)</f>
        <v>3.9989057760227129</v>
      </c>
      <c r="V20" s="81">
        <f t="shared" si="2"/>
        <v>0.24525704093162029</v>
      </c>
      <c r="W20" s="81">
        <f t="shared" si="2"/>
        <v>1.1263301604157326E-2</v>
      </c>
      <c r="X20" s="81">
        <f t="shared" si="2"/>
        <v>0.21650772675264396</v>
      </c>
      <c r="Y20" s="81">
        <f t="shared" si="2"/>
        <v>0.1524908692057976</v>
      </c>
      <c r="Z20" s="81">
        <f t="shared" si="2"/>
        <v>7.8498442661133941E-2</v>
      </c>
      <c r="AA20" s="81">
        <f t="shared" si="2"/>
        <v>1.6484672958838126E-2</v>
      </c>
      <c r="AB20" s="81">
        <f t="shared" si="2"/>
        <v>1465.0589871349457</v>
      </c>
      <c r="AC20" s="81">
        <f t="shared" si="2"/>
        <v>2.5500868607481735E-2</v>
      </c>
      <c r="AD20" s="81">
        <f t="shared" si="2"/>
        <v>3.7528951014448773E-2</v>
      </c>
    </row>
    <row r="21" spans="1:30">
      <c r="A21" s="75" t="s">
        <v>388</v>
      </c>
      <c r="B21" s="74"/>
      <c r="C21" s="112"/>
      <c r="D21" s="112"/>
      <c r="E21" s="74"/>
      <c r="F21" s="74"/>
      <c r="G21" s="569"/>
      <c r="H21" s="41"/>
      <c r="I21" s="41"/>
      <c r="J21" s="41"/>
      <c r="K21" s="566"/>
      <c r="L21" s="566"/>
      <c r="M21" s="566"/>
      <c r="N21" s="566"/>
      <c r="O21" s="566"/>
      <c r="P21" s="566"/>
      <c r="Q21" s="41"/>
      <c r="R21" s="566"/>
      <c r="S21" s="566"/>
      <c r="T21" s="81">
        <f>T11+T15+T20</f>
        <v>1.720562948870874</v>
      </c>
      <c r="U21" s="81">
        <f t="shared" ref="U21:AD21" si="3">U11+U15+U20</f>
        <v>5.7977395239571718</v>
      </c>
      <c r="V21" s="81">
        <f t="shared" si="3"/>
        <v>0.40420421647062621</v>
      </c>
      <c r="W21" s="81">
        <f t="shared" si="3"/>
        <v>2.0101859481162394E-2</v>
      </c>
      <c r="X21" s="81">
        <f t="shared" si="3"/>
        <v>0.42823567287812647</v>
      </c>
      <c r="Y21" s="81">
        <f t="shared" si="3"/>
        <v>0.29533334876681572</v>
      </c>
      <c r="Z21" s="81">
        <f t="shared" si="3"/>
        <v>0.17465903492102303</v>
      </c>
      <c r="AA21" s="81">
        <f t="shared" si="3"/>
        <v>3.6678397333414832E-2</v>
      </c>
      <c r="AB21" s="81">
        <f t="shared" si="3"/>
        <v>2250.8515248097942</v>
      </c>
      <c r="AC21" s="81">
        <f t="shared" si="3"/>
        <v>5.584916231424298E-2</v>
      </c>
      <c r="AD21" s="81">
        <f t="shared" si="3"/>
        <v>5.7657812659527692E-2</v>
      </c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25" spans="1:30">
      <c r="A25" s="370"/>
      <c r="B25" s="371"/>
      <c r="C25" s="372"/>
      <c r="D25" s="372"/>
      <c r="E25" s="371"/>
      <c r="F25" s="371"/>
      <c r="G25" s="373"/>
      <c r="H25" s="373"/>
      <c r="I25" s="373"/>
      <c r="J25" s="373"/>
      <c r="K25" s="373"/>
      <c r="L25" s="373"/>
      <c r="M25" s="373"/>
      <c r="N25" s="373"/>
      <c r="O25" s="373"/>
      <c r="P25" s="373"/>
      <c r="Q25" s="373"/>
      <c r="R25" s="373"/>
      <c r="S25" s="373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</row>
    <row r="373" spans="1:2" ht="25.5">
      <c r="A373" s="82" t="s">
        <v>109</v>
      </c>
    </row>
    <row r="375" spans="1:2">
      <c r="A375" s="36" t="s">
        <v>81</v>
      </c>
    </row>
    <row r="376" spans="1:2">
      <c r="A376" s="36" t="s">
        <v>82</v>
      </c>
    </row>
    <row r="377" spans="1:2">
      <c r="A377" s="36" t="s">
        <v>83</v>
      </c>
    </row>
    <row r="378" spans="1:2">
      <c r="A378" s="37" t="s">
        <v>96</v>
      </c>
    </row>
    <row r="379" spans="1:2">
      <c r="A379" s="36" t="s">
        <v>85</v>
      </c>
    </row>
    <row r="380" spans="1:2">
      <c r="A380" s="36" t="s">
        <v>86</v>
      </c>
    </row>
    <row r="381" spans="1:2">
      <c r="A381" s="36" t="s">
        <v>87</v>
      </c>
    </row>
    <row r="382" spans="1:2">
      <c r="A382" s="36" t="s">
        <v>0</v>
      </c>
    </row>
    <row r="383" spans="1:2">
      <c r="A383" s="37" t="s">
        <v>97</v>
      </c>
      <c r="B383" s="36">
        <f>(0.016*(0.03/2)^0.65*(2/3)^1.5)-0.00047</f>
        <v>9.8123053326417428E-5</v>
      </c>
    </row>
    <row r="384" spans="1:2">
      <c r="A384" s="37" t="s">
        <v>98</v>
      </c>
      <c r="B384" s="36">
        <f>(0.016*(0.03/2)^0.65*(13/3)^1.5)-0.00047</f>
        <v>8.9448292388582783E-3</v>
      </c>
    </row>
    <row r="385" spans="1:2">
      <c r="A385" s="37" t="s">
        <v>99</v>
      </c>
      <c r="B385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4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628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C9*(F9)*$B$318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C10*(F10)*$B$318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334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C14*(F14)*$B$260</f>
        <v>0</v>
      </c>
      <c r="AA14" s="50">
        <f>Z14*0.21</f>
        <v>0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0.19978255106729004</v>
      </c>
      <c r="U15" s="81">
        <f t="shared" si="1"/>
        <v>0.36881875565943734</v>
      </c>
      <c r="V15" s="81">
        <f t="shared" si="1"/>
        <v>4.50613455258927E-2</v>
      </c>
      <c r="W15" s="81">
        <f t="shared" si="1"/>
        <v>2.7797226812149543E-3</v>
      </c>
      <c r="X15" s="81">
        <f t="shared" si="1"/>
        <v>7.2738929740302244E-2</v>
      </c>
      <c r="Y15" s="81">
        <f t="shared" si="1"/>
        <v>4.8332197965954803E-2</v>
      </c>
      <c r="Z15" s="81">
        <f t="shared" si="1"/>
        <v>0</v>
      </c>
      <c r="AA15" s="81">
        <f t="shared" si="1"/>
        <v>0</v>
      </c>
      <c r="AB15" s="81">
        <f t="shared" si="1"/>
        <v>193.62821118051326</v>
      </c>
      <c r="AC15" s="81">
        <f t="shared" si="1"/>
        <v>1.1064496871488068E-2</v>
      </c>
      <c r="AD15" s="81">
        <f t="shared" si="1"/>
        <v>4.9599802576000274E-3</v>
      </c>
    </row>
    <row r="16" spans="1:30">
      <c r="A16" s="75"/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</row>
    <row r="17" spans="1:30">
      <c r="A17" s="114" t="s">
        <v>336</v>
      </c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61"/>
      <c r="U17" s="61"/>
      <c r="V17" s="61"/>
      <c r="W17" s="61"/>
      <c r="X17" s="61"/>
      <c r="Y17" s="61"/>
      <c r="Z17" s="62"/>
      <c r="AA17" s="62"/>
      <c r="AB17" s="62"/>
      <c r="AC17" s="62"/>
      <c r="AD17" s="62"/>
    </row>
    <row r="18" spans="1:30">
      <c r="A18" s="78" t="s">
        <v>320</v>
      </c>
      <c r="B18" s="76" t="s">
        <v>95</v>
      </c>
      <c r="C18" s="79">
        <v>3</v>
      </c>
      <c r="D18" s="77"/>
      <c r="E18" s="77">
        <v>35</v>
      </c>
      <c r="F18" s="77">
        <v>60</v>
      </c>
      <c r="G18" s="106">
        <v>0.25172046482947802</v>
      </c>
      <c r="H18" s="106">
        <v>0.464701387165456</v>
      </c>
      <c r="I18" s="106">
        <v>5.6776043658582402E-2</v>
      </c>
      <c r="J18" s="106">
        <v>3.5023733638119199E-3</v>
      </c>
      <c r="K18" s="106">
        <v>4.6899256897933901E-2</v>
      </c>
      <c r="L18" s="47">
        <v>7.99995847163921E-3</v>
      </c>
      <c r="M18" s="47">
        <v>3.6749815577381599E-2</v>
      </c>
      <c r="N18" s="106">
        <v>4.3147317248333997E-2</v>
      </c>
      <c r="O18" s="47">
        <v>1.9999896145790402E-3</v>
      </c>
      <c r="P18" s="47">
        <v>1.57499200131354E-2</v>
      </c>
      <c r="Q18" s="106">
        <v>243.966167526025</v>
      </c>
      <c r="R18" s="47">
        <f>0.000057143*Q18</f>
        <v>1.3940958710939646E-2</v>
      </c>
      <c r="S18" s="80">
        <f>0.000025616*Q18</f>
        <v>6.2494373473466567E-3</v>
      </c>
      <c r="T18" s="50">
        <f>C18*($F18*$G18)/453.59</f>
        <v>9.9891275533645019E-2</v>
      </c>
      <c r="U18" s="50">
        <f>C18*($F18*$H18)/453.59</f>
        <v>0.18440937782971867</v>
      </c>
      <c r="V18" s="50">
        <f>C18*(($F18*$I18))/453.59</f>
        <v>2.253067276294635E-2</v>
      </c>
      <c r="W18" s="50">
        <f>C18*($F18*$J18)/453.59</f>
        <v>1.3898613406074772E-3</v>
      </c>
      <c r="X18" s="50">
        <f>C18*(($F18*($K18+$L18+$M18)))/453.59</f>
        <v>3.6369464870151122E-2</v>
      </c>
      <c r="Y18" s="50">
        <f>C18*(($F18*($N18+$O18+$P18)))/453.59</f>
        <v>2.4166098982977401E-2</v>
      </c>
      <c r="Z18" s="50">
        <f>C18*(F18)*$B$343</f>
        <v>0</v>
      </c>
      <c r="AA18" s="50">
        <f>Z18*0.21</f>
        <v>0</v>
      </c>
      <c r="AB18" s="50">
        <f>C18*(($F18*($Q18)))/453.59</f>
        <v>96.814105590256631</v>
      </c>
      <c r="AC18" s="50">
        <f>C18*(($F18*($R18)))/453.59</f>
        <v>5.5322484357440338E-3</v>
      </c>
      <c r="AD18" s="50">
        <f>C18*(($F18*($S18)))/453.59</f>
        <v>2.4799901288000137E-3</v>
      </c>
    </row>
    <row r="19" spans="1:30">
      <c r="A19" s="75" t="s">
        <v>28</v>
      </c>
      <c r="B19" s="74"/>
      <c r="C19" s="112"/>
      <c r="D19" s="112"/>
      <c r="E19" s="74"/>
      <c r="F19" s="74"/>
      <c r="G19" s="577"/>
      <c r="H19" s="41"/>
      <c r="I19" s="41"/>
      <c r="J19" s="41"/>
      <c r="K19" s="574"/>
      <c r="L19" s="574"/>
      <c r="M19" s="574"/>
      <c r="N19" s="574"/>
      <c r="O19" s="574"/>
      <c r="P19" s="574"/>
      <c r="Q19" s="41"/>
      <c r="R19" s="574"/>
      <c r="S19" s="574"/>
      <c r="T19" s="81">
        <f t="shared" ref="T19:AD19" si="2">SUM(T18:T18)</f>
        <v>9.9891275533645019E-2</v>
      </c>
      <c r="U19" s="81">
        <f t="shared" si="2"/>
        <v>0.18440937782971867</v>
      </c>
      <c r="V19" s="81">
        <f t="shared" si="2"/>
        <v>2.253067276294635E-2</v>
      </c>
      <c r="W19" s="81">
        <f t="shared" si="2"/>
        <v>1.3898613406074772E-3</v>
      </c>
      <c r="X19" s="81">
        <f t="shared" si="2"/>
        <v>3.6369464870151122E-2</v>
      </c>
      <c r="Y19" s="81">
        <f t="shared" si="2"/>
        <v>2.4166098982977401E-2</v>
      </c>
      <c r="Z19" s="81">
        <f t="shared" si="2"/>
        <v>0</v>
      </c>
      <c r="AA19" s="81">
        <f t="shared" si="2"/>
        <v>0</v>
      </c>
      <c r="AB19" s="81">
        <f t="shared" si="2"/>
        <v>96.814105590256631</v>
      </c>
      <c r="AC19" s="81">
        <f t="shared" si="2"/>
        <v>5.5322484357440338E-3</v>
      </c>
      <c r="AD19" s="81">
        <f t="shared" si="2"/>
        <v>2.4799901288000137E-3</v>
      </c>
    </row>
    <row r="20" spans="1:30">
      <c r="A20" s="75" t="s">
        <v>388</v>
      </c>
      <c r="B20" s="74"/>
      <c r="C20" s="112"/>
      <c r="D20" s="112"/>
      <c r="E20" s="74"/>
      <c r="F20" s="74"/>
      <c r="G20" s="547"/>
      <c r="H20" s="41"/>
      <c r="I20" s="41"/>
      <c r="J20" s="41"/>
      <c r="K20" s="544"/>
      <c r="L20" s="544"/>
      <c r="M20" s="544"/>
      <c r="N20" s="544"/>
      <c r="O20" s="544"/>
      <c r="P20" s="544"/>
      <c r="Q20" s="41"/>
      <c r="R20" s="544"/>
      <c r="S20" s="544"/>
      <c r="T20" s="81">
        <f>T11+T15+T19</f>
        <v>0.59051106942383247</v>
      </c>
      <c r="U20" s="81">
        <f t="shared" ref="U20:AD20" si="3">U11+U15+U19</f>
        <v>1.6144243701047405</v>
      </c>
      <c r="V20" s="81">
        <f t="shared" si="3"/>
        <v>0.13641650277605957</v>
      </c>
      <c r="W20" s="81">
        <f t="shared" si="3"/>
        <v>7.448696536397589E-3</v>
      </c>
      <c r="X20" s="81">
        <f t="shared" si="3"/>
        <v>0.17535848125533138</v>
      </c>
      <c r="Y20" s="81">
        <f t="shared" si="3"/>
        <v>0.11867638057804074</v>
      </c>
      <c r="Z20" s="81">
        <f t="shared" si="3"/>
        <v>0</v>
      </c>
      <c r="AA20" s="81">
        <f t="shared" si="3"/>
        <v>0</v>
      </c>
      <c r="AB20" s="81">
        <f t="shared" si="3"/>
        <v>688.97843208459187</v>
      </c>
      <c r="AC20" s="81">
        <f t="shared" si="3"/>
        <v>2.4816045271017211E-2</v>
      </c>
      <c r="AD20" s="81">
        <f t="shared" si="3"/>
        <v>1.7648871516278905E-2</v>
      </c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372" spans="1:2" ht="25.5">
      <c r="A372" s="82" t="s">
        <v>109</v>
      </c>
    </row>
    <row r="374" spans="1:2">
      <c r="A374" s="36" t="s">
        <v>81</v>
      </c>
    </row>
    <row r="375" spans="1:2">
      <c r="A375" s="36" t="s">
        <v>82</v>
      </c>
    </row>
    <row r="376" spans="1:2">
      <c r="A376" s="36" t="s">
        <v>83</v>
      </c>
    </row>
    <row r="377" spans="1:2">
      <c r="A377" s="37" t="s">
        <v>96</v>
      </c>
    </row>
    <row r="378" spans="1:2">
      <c r="A378" s="36" t="s">
        <v>85</v>
      </c>
    </row>
    <row r="379" spans="1:2">
      <c r="A379" s="36" t="s">
        <v>86</v>
      </c>
    </row>
    <row r="380" spans="1:2">
      <c r="A380" s="36" t="s">
        <v>87</v>
      </c>
    </row>
    <row r="381" spans="1:2">
      <c r="A381" s="36" t="s">
        <v>0</v>
      </c>
    </row>
    <row r="382" spans="1:2">
      <c r="A382" s="37" t="s">
        <v>97</v>
      </c>
      <c r="B382" s="36">
        <f>(0.016*(0.03/2)^0.65*(2/3)^1.5)-0.00047</f>
        <v>9.8123053326417428E-5</v>
      </c>
    </row>
    <row r="383" spans="1:2">
      <c r="A383" s="37" t="s">
        <v>98</v>
      </c>
      <c r="B383" s="36">
        <f>(0.016*(0.03/2)^0.65*(13/3)^1.5)-0.00047</f>
        <v>8.9448292388582783E-3</v>
      </c>
    </row>
    <row r="384" spans="1:2">
      <c r="A384" s="37" t="s">
        <v>99</v>
      </c>
      <c r="B384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629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334</v>
      </c>
      <c r="B5" s="45" t="s">
        <v>102</v>
      </c>
      <c r="C5" s="46">
        <v>10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336</v>
      </c>
      <c r="B6" s="45" t="s">
        <v>102</v>
      </c>
      <c r="C6" s="46">
        <v>5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ref="AC6" si="2">0.000049261*AA6</f>
        <v>2.2095931710230707E-2</v>
      </c>
      <c r="AD6" s="49">
        <v>3.2599999999999997E-2</v>
      </c>
      <c r="AE6" s="47">
        <f t="shared" ref="AE6" si="3">0.000021675*AA6</f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546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4">AG$11*$AC16</f>
        <v>#REF!</v>
      </c>
      <c r="AH16" s="36" t="e">
        <f t="shared" si="4"/>
        <v>#REF!</v>
      </c>
      <c r="AI16" s="36" t="e">
        <f t="shared" si="4"/>
        <v>#REF!</v>
      </c>
      <c r="AJ16" s="36" t="e">
        <f t="shared" si="4"/>
        <v>#REF!</v>
      </c>
      <c r="AK16" s="36" t="e">
        <f t="shared" si="4"/>
        <v>#REF!</v>
      </c>
      <c r="AL16" s="36" t="e">
        <f t="shared" si="4"/>
        <v>#REF!</v>
      </c>
      <c r="AM16" s="36" t="e">
        <f t="shared" si="4"/>
        <v>#REF!</v>
      </c>
      <c r="AN16" s="36" t="e">
        <f t="shared" si="4"/>
        <v>#REF!</v>
      </c>
      <c r="AO16" s="36" t="e">
        <f t="shared" si="4"/>
        <v>#REF!</v>
      </c>
      <c r="AQ16" s="38"/>
      <c r="AR16" s="36" t="e">
        <f>AR$11*$AC16</f>
        <v>#REF!</v>
      </c>
      <c r="AS16" s="36" t="e">
        <f t="shared" ref="AS16:BA24" si="5">AS$11*$AC16</f>
        <v>#REF!</v>
      </c>
      <c r="AT16" s="36" t="e">
        <f t="shared" si="5"/>
        <v>#REF!</v>
      </c>
      <c r="AU16" s="36" t="e">
        <f t="shared" si="5"/>
        <v>#REF!</v>
      </c>
      <c r="AV16" s="36" t="e">
        <f t="shared" si="5"/>
        <v>#REF!</v>
      </c>
      <c r="AW16" s="36" t="e">
        <f t="shared" si="5"/>
        <v>#REF!</v>
      </c>
      <c r="AX16" s="36" t="e">
        <f t="shared" si="5"/>
        <v>#REF!</v>
      </c>
      <c r="AY16" s="36" t="e">
        <f t="shared" si="5"/>
        <v>#REF!</v>
      </c>
      <c r="AZ16" s="36" t="e">
        <f t="shared" si="5"/>
        <v>#REF!</v>
      </c>
      <c r="BA16" s="36" t="e">
        <f t="shared" si="5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6">AF$11*$AC17</f>
        <v>#REF!</v>
      </c>
      <c r="AG17" s="36" t="e">
        <f t="shared" si="4"/>
        <v>#REF!</v>
      </c>
      <c r="AH17" s="36" t="e">
        <f t="shared" si="4"/>
        <v>#REF!</v>
      </c>
      <c r="AI17" s="36" t="e">
        <f t="shared" si="4"/>
        <v>#REF!</v>
      </c>
      <c r="AJ17" s="36" t="e">
        <f t="shared" si="4"/>
        <v>#REF!</v>
      </c>
      <c r="AK17" s="36" t="e">
        <f t="shared" si="4"/>
        <v>#REF!</v>
      </c>
      <c r="AL17" s="36" t="e">
        <f t="shared" si="4"/>
        <v>#REF!</v>
      </c>
      <c r="AM17" s="36" t="e">
        <f t="shared" si="4"/>
        <v>#REF!</v>
      </c>
      <c r="AN17" s="36" t="e">
        <f t="shared" si="4"/>
        <v>#REF!</v>
      </c>
      <c r="AO17" s="36" t="e">
        <f t="shared" si="4"/>
        <v>#REF!</v>
      </c>
      <c r="AQ17" s="38"/>
      <c r="AR17" s="36" t="e">
        <f t="shared" ref="AR17:AR24" si="7">AR$11*$AC17</f>
        <v>#REF!</v>
      </c>
      <c r="AS17" s="36" t="e">
        <f t="shared" si="5"/>
        <v>#REF!</v>
      </c>
      <c r="AT17" s="36" t="e">
        <f t="shared" si="5"/>
        <v>#REF!</v>
      </c>
      <c r="AU17" s="36" t="e">
        <f t="shared" si="5"/>
        <v>#REF!</v>
      </c>
      <c r="AV17" s="36" t="e">
        <f t="shared" si="5"/>
        <v>#REF!</v>
      </c>
      <c r="AW17" s="36" t="e">
        <f t="shared" si="5"/>
        <v>#REF!</v>
      </c>
      <c r="AX17" s="36" t="e">
        <f t="shared" si="5"/>
        <v>#REF!</v>
      </c>
      <c r="AY17" s="36" t="e">
        <f t="shared" si="5"/>
        <v>#REF!</v>
      </c>
      <c r="AZ17" s="36" t="e">
        <f t="shared" si="5"/>
        <v>#REF!</v>
      </c>
      <c r="BA17" s="36" t="e">
        <f t="shared" si="5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6"/>
        <v>#REF!</v>
      </c>
      <c r="AG18" s="36" t="e">
        <f t="shared" si="4"/>
        <v>#REF!</v>
      </c>
      <c r="AH18" s="36" t="e">
        <f t="shared" si="4"/>
        <v>#REF!</v>
      </c>
      <c r="AI18" s="36" t="e">
        <f t="shared" si="4"/>
        <v>#REF!</v>
      </c>
      <c r="AJ18" s="36" t="e">
        <f t="shared" si="4"/>
        <v>#REF!</v>
      </c>
      <c r="AK18" s="36" t="e">
        <f t="shared" si="4"/>
        <v>#REF!</v>
      </c>
      <c r="AL18" s="36" t="e">
        <f t="shared" si="4"/>
        <v>#REF!</v>
      </c>
      <c r="AM18" s="36" t="e">
        <f t="shared" si="4"/>
        <v>#REF!</v>
      </c>
      <c r="AN18" s="36" t="e">
        <f t="shared" si="4"/>
        <v>#REF!</v>
      </c>
      <c r="AO18" s="36" t="e">
        <f t="shared" si="4"/>
        <v>#REF!</v>
      </c>
      <c r="AQ18" s="38"/>
      <c r="AR18" s="36" t="e">
        <f t="shared" si="7"/>
        <v>#REF!</v>
      </c>
      <c r="AS18" s="36" t="e">
        <f t="shared" si="5"/>
        <v>#REF!</v>
      </c>
      <c r="AT18" s="36" t="e">
        <f t="shared" si="5"/>
        <v>#REF!</v>
      </c>
      <c r="AU18" s="36" t="e">
        <f t="shared" si="5"/>
        <v>#REF!</v>
      </c>
      <c r="AV18" s="36" t="e">
        <f t="shared" si="5"/>
        <v>#REF!</v>
      </c>
      <c r="AW18" s="36" t="e">
        <f t="shared" si="5"/>
        <v>#REF!</v>
      </c>
      <c r="AX18" s="36" t="e">
        <f t="shared" si="5"/>
        <v>#REF!</v>
      </c>
      <c r="AY18" s="36" t="e">
        <f t="shared" si="5"/>
        <v>#REF!</v>
      </c>
      <c r="AZ18" s="36" t="e">
        <f t="shared" si="5"/>
        <v>#REF!</v>
      </c>
      <c r="BA18" s="36" t="e">
        <f t="shared" si="5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6"/>
        <v>#REF!</v>
      </c>
      <c r="AG19" s="36" t="e">
        <f t="shared" si="4"/>
        <v>#REF!</v>
      </c>
      <c r="AH19" s="36" t="e">
        <f t="shared" si="4"/>
        <v>#REF!</v>
      </c>
      <c r="AI19" s="36" t="e">
        <f t="shared" si="4"/>
        <v>#REF!</v>
      </c>
      <c r="AJ19" s="36" t="e">
        <f t="shared" si="4"/>
        <v>#REF!</v>
      </c>
      <c r="AK19" s="36" t="e">
        <f t="shared" si="4"/>
        <v>#REF!</v>
      </c>
      <c r="AL19" s="36" t="e">
        <f t="shared" si="4"/>
        <v>#REF!</v>
      </c>
      <c r="AM19" s="36" t="e">
        <f t="shared" si="4"/>
        <v>#REF!</v>
      </c>
      <c r="AN19" s="36" t="e">
        <f t="shared" si="4"/>
        <v>#REF!</v>
      </c>
      <c r="AO19" s="36" t="e">
        <f t="shared" si="4"/>
        <v>#REF!</v>
      </c>
      <c r="AQ19" s="38"/>
      <c r="AR19" s="36" t="e">
        <f t="shared" si="7"/>
        <v>#REF!</v>
      </c>
      <c r="AS19" s="36" t="e">
        <f t="shared" si="5"/>
        <v>#REF!</v>
      </c>
      <c r="AT19" s="36" t="e">
        <f t="shared" si="5"/>
        <v>#REF!</v>
      </c>
      <c r="AU19" s="36" t="e">
        <f t="shared" si="5"/>
        <v>#REF!</v>
      </c>
      <c r="AV19" s="36" t="e">
        <f t="shared" si="5"/>
        <v>#REF!</v>
      </c>
      <c r="AW19" s="36" t="e">
        <f t="shared" si="5"/>
        <v>#REF!</v>
      </c>
      <c r="AX19" s="36" t="e">
        <f t="shared" si="5"/>
        <v>#REF!</v>
      </c>
      <c r="AY19" s="36" t="e">
        <f t="shared" si="5"/>
        <v>#REF!</v>
      </c>
      <c r="AZ19" s="36" t="e">
        <f t="shared" si="5"/>
        <v>#REF!</v>
      </c>
      <c r="BA19" s="36" t="e">
        <f t="shared" si="5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6"/>
        <v>#REF!</v>
      </c>
      <c r="AG20" s="36" t="e">
        <f t="shared" si="4"/>
        <v>#REF!</v>
      </c>
      <c r="AH20" s="36" t="e">
        <f t="shared" si="4"/>
        <v>#REF!</v>
      </c>
      <c r="AI20" s="36" t="e">
        <f t="shared" si="4"/>
        <v>#REF!</v>
      </c>
      <c r="AJ20" s="36" t="e">
        <f t="shared" si="4"/>
        <v>#REF!</v>
      </c>
      <c r="AK20" s="36" t="e">
        <f t="shared" si="4"/>
        <v>#REF!</v>
      </c>
      <c r="AL20" s="36" t="e">
        <f t="shared" si="4"/>
        <v>#REF!</v>
      </c>
      <c r="AM20" s="36" t="e">
        <f t="shared" si="4"/>
        <v>#REF!</v>
      </c>
      <c r="AN20" s="36" t="e">
        <f t="shared" si="4"/>
        <v>#REF!</v>
      </c>
      <c r="AO20" s="36" t="e">
        <f t="shared" si="4"/>
        <v>#REF!</v>
      </c>
      <c r="AQ20" s="38"/>
      <c r="AR20" s="36" t="e">
        <f t="shared" si="7"/>
        <v>#REF!</v>
      </c>
      <c r="AS20" s="36" t="e">
        <f t="shared" si="5"/>
        <v>#REF!</v>
      </c>
      <c r="AT20" s="36" t="e">
        <f t="shared" si="5"/>
        <v>#REF!</v>
      </c>
      <c r="AU20" s="36" t="e">
        <f t="shared" si="5"/>
        <v>#REF!</v>
      </c>
      <c r="AV20" s="36" t="e">
        <f t="shared" si="5"/>
        <v>#REF!</v>
      </c>
      <c r="AW20" s="36" t="e">
        <f t="shared" si="5"/>
        <v>#REF!</v>
      </c>
      <c r="AX20" s="36" t="e">
        <f t="shared" si="5"/>
        <v>#REF!</v>
      </c>
      <c r="AY20" s="36" t="e">
        <f t="shared" si="5"/>
        <v>#REF!</v>
      </c>
      <c r="AZ20" s="36" t="e">
        <f t="shared" si="5"/>
        <v>#REF!</v>
      </c>
      <c r="BA20" s="36" t="e">
        <f t="shared" si="5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6"/>
        <v>#REF!</v>
      </c>
      <c r="AG21" s="36" t="e">
        <f t="shared" si="4"/>
        <v>#REF!</v>
      </c>
      <c r="AH21" s="36" t="e">
        <f t="shared" si="4"/>
        <v>#REF!</v>
      </c>
      <c r="AI21" s="36" t="e">
        <f t="shared" si="4"/>
        <v>#REF!</v>
      </c>
      <c r="AJ21" s="36" t="e">
        <f t="shared" si="4"/>
        <v>#REF!</v>
      </c>
      <c r="AK21" s="36" t="e">
        <f t="shared" si="4"/>
        <v>#REF!</v>
      </c>
      <c r="AL21" s="36" t="e">
        <f t="shared" si="4"/>
        <v>#REF!</v>
      </c>
      <c r="AM21" s="36" t="e">
        <f t="shared" si="4"/>
        <v>#REF!</v>
      </c>
      <c r="AN21" s="36" t="e">
        <f t="shared" si="4"/>
        <v>#REF!</v>
      </c>
      <c r="AO21" s="36" t="e">
        <f t="shared" si="4"/>
        <v>#REF!</v>
      </c>
      <c r="AQ21" s="38"/>
      <c r="AR21" s="36" t="e">
        <f t="shared" si="7"/>
        <v>#REF!</v>
      </c>
      <c r="AS21" s="36" t="e">
        <f t="shared" si="5"/>
        <v>#REF!</v>
      </c>
      <c r="AT21" s="36" t="e">
        <f t="shared" si="5"/>
        <v>#REF!</v>
      </c>
      <c r="AU21" s="36" t="e">
        <f t="shared" si="5"/>
        <v>#REF!</v>
      </c>
      <c r="AV21" s="36" t="e">
        <f t="shared" si="5"/>
        <v>#REF!</v>
      </c>
      <c r="AW21" s="36" t="e">
        <f t="shared" si="5"/>
        <v>#REF!</v>
      </c>
      <c r="AX21" s="36" t="e">
        <f t="shared" si="5"/>
        <v>#REF!</v>
      </c>
      <c r="AY21" s="36" t="e">
        <f t="shared" si="5"/>
        <v>#REF!</v>
      </c>
      <c r="AZ21" s="36" t="e">
        <f t="shared" si="5"/>
        <v>#REF!</v>
      </c>
      <c r="BA21" s="36" t="e">
        <f t="shared" si="5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6"/>
        <v>#REF!</v>
      </c>
      <c r="AG22" s="36" t="e">
        <f t="shared" si="4"/>
        <v>#REF!</v>
      </c>
      <c r="AH22" s="36" t="e">
        <f t="shared" si="4"/>
        <v>#REF!</v>
      </c>
      <c r="AI22" s="36" t="e">
        <f t="shared" si="4"/>
        <v>#REF!</v>
      </c>
      <c r="AJ22" s="36" t="e">
        <f t="shared" si="4"/>
        <v>#REF!</v>
      </c>
      <c r="AK22" s="36" t="e">
        <f t="shared" si="4"/>
        <v>#REF!</v>
      </c>
      <c r="AL22" s="36" t="e">
        <f t="shared" si="4"/>
        <v>#REF!</v>
      </c>
      <c r="AM22" s="36" t="e">
        <f t="shared" si="4"/>
        <v>#REF!</v>
      </c>
      <c r="AN22" s="36" t="e">
        <f t="shared" si="4"/>
        <v>#REF!</v>
      </c>
      <c r="AO22" s="36" t="e">
        <f t="shared" si="4"/>
        <v>#REF!</v>
      </c>
      <c r="AQ22" s="38"/>
      <c r="AR22" s="36" t="e">
        <f t="shared" si="7"/>
        <v>#REF!</v>
      </c>
      <c r="AS22" s="36" t="e">
        <f t="shared" si="5"/>
        <v>#REF!</v>
      </c>
      <c r="AT22" s="36" t="e">
        <f t="shared" si="5"/>
        <v>#REF!</v>
      </c>
      <c r="AU22" s="36" t="e">
        <f t="shared" si="5"/>
        <v>#REF!</v>
      </c>
      <c r="AV22" s="36" t="e">
        <f t="shared" si="5"/>
        <v>#REF!</v>
      </c>
      <c r="AW22" s="36" t="e">
        <f t="shared" si="5"/>
        <v>#REF!</v>
      </c>
      <c r="AX22" s="36" t="e">
        <f t="shared" si="5"/>
        <v>#REF!</v>
      </c>
      <c r="AY22" s="36" t="e">
        <f t="shared" si="5"/>
        <v>#REF!</v>
      </c>
      <c r="AZ22" s="36" t="e">
        <f t="shared" si="5"/>
        <v>#REF!</v>
      </c>
      <c r="BA22" s="36" t="e">
        <f t="shared" si="5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6"/>
        <v>#REF!</v>
      </c>
      <c r="AG23" s="36" t="e">
        <f t="shared" si="4"/>
        <v>#REF!</v>
      </c>
      <c r="AH23" s="36" t="e">
        <f t="shared" si="4"/>
        <v>#REF!</v>
      </c>
      <c r="AI23" s="36" t="e">
        <f t="shared" si="4"/>
        <v>#REF!</v>
      </c>
      <c r="AJ23" s="36" t="e">
        <f t="shared" si="4"/>
        <v>#REF!</v>
      </c>
      <c r="AK23" s="36" t="e">
        <f t="shared" si="4"/>
        <v>#REF!</v>
      </c>
      <c r="AL23" s="36" t="e">
        <f t="shared" si="4"/>
        <v>#REF!</v>
      </c>
      <c r="AM23" s="36" t="e">
        <f t="shared" si="4"/>
        <v>#REF!</v>
      </c>
      <c r="AN23" s="36" t="e">
        <f t="shared" si="4"/>
        <v>#REF!</v>
      </c>
      <c r="AO23" s="36" t="e">
        <f t="shared" si="4"/>
        <v>#REF!</v>
      </c>
      <c r="AQ23" s="38"/>
      <c r="AR23" s="36" t="e">
        <f t="shared" si="7"/>
        <v>#REF!</v>
      </c>
      <c r="AS23" s="36" t="e">
        <f t="shared" si="5"/>
        <v>#REF!</v>
      </c>
      <c r="AT23" s="36" t="e">
        <f t="shared" si="5"/>
        <v>#REF!</v>
      </c>
      <c r="AU23" s="36" t="e">
        <f t="shared" si="5"/>
        <v>#REF!</v>
      </c>
      <c r="AV23" s="36" t="e">
        <f t="shared" si="5"/>
        <v>#REF!</v>
      </c>
      <c r="AW23" s="36" t="e">
        <f t="shared" si="5"/>
        <v>#REF!</v>
      </c>
      <c r="AX23" s="36" t="e">
        <f t="shared" si="5"/>
        <v>#REF!</v>
      </c>
      <c r="AY23" s="36" t="e">
        <f t="shared" si="5"/>
        <v>#REF!</v>
      </c>
      <c r="AZ23" s="36" t="e">
        <f t="shared" si="5"/>
        <v>#REF!</v>
      </c>
      <c r="BA23" s="36" t="e">
        <f t="shared" si="5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6"/>
        <v>#REF!</v>
      </c>
      <c r="AG24" s="36" t="e">
        <f t="shared" si="4"/>
        <v>#REF!</v>
      </c>
      <c r="AH24" s="36" t="e">
        <f t="shared" si="4"/>
        <v>#REF!</v>
      </c>
      <c r="AI24" s="36" t="e">
        <f t="shared" si="4"/>
        <v>#REF!</v>
      </c>
      <c r="AJ24" s="36" t="e">
        <f t="shared" si="4"/>
        <v>#REF!</v>
      </c>
      <c r="AK24" s="36" t="e">
        <f t="shared" si="4"/>
        <v>#REF!</v>
      </c>
      <c r="AL24" s="36" t="e">
        <f t="shared" si="4"/>
        <v>#REF!</v>
      </c>
      <c r="AM24" s="36" t="e">
        <f t="shared" si="4"/>
        <v>#REF!</v>
      </c>
      <c r="AN24" s="36" t="e">
        <f t="shared" si="4"/>
        <v>#REF!</v>
      </c>
      <c r="AO24" s="36" t="e">
        <f t="shared" si="4"/>
        <v>#REF!</v>
      </c>
      <c r="AQ24" s="38"/>
      <c r="AR24" s="36" t="e">
        <f t="shared" si="7"/>
        <v>#REF!</v>
      </c>
      <c r="AS24" s="36" t="e">
        <f t="shared" si="5"/>
        <v>#REF!</v>
      </c>
      <c r="AT24" s="36" t="e">
        <f t="shared" si="5"/>
        <v>#REF!</v>
      </c>
      <c r="AU24" s="36" t="e">
        <f t="shared" si="5"/>
        <v>#REF!</v>
      </c>
      <c r="AV24" s="36" t="e">
        <f t="shared" si="5"/>
        <v>#REF!</v>
      </c>
      <c r="AW24" s="36" t="e">
        <f t="shared" si="5"/>
        <v>#REF!</v>
      </c>
      <c r="AX24" s="36" t="e">
        <f t="shared" si="5"/>
        <v>#REF!</v>
      </c>
      <c r="AY24" s="36" t="e">
        <f t="shared" si="5"/>
        <v>#REF!</v>
      </c>
      <c r="AZ24" s="36" t="e">
        <f t="shared" si="5"/>
        <v>#REF!</v>
      </c>
      <c r="BA24" s="36" t="e">
        <f t="shared" si="5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8">AF$11*$AC27</f>
        <v>#REF!</v>
      </c>
      <c r="AG27" s="36" t="e">
        <f t="shared" si="8"/>
        <v>#REF!</v>
      </c>
      <c r="AH27" s="36" t="e">
        <f t="shared" si="8"/>
        <v>#REF!</v>
      </c>
      <c r="AI27" s="36" t="e">
        <f t="shared" si="8"/>
        <v>#REF!</v>
      </c>
      <c r="AJ27" s="36" t="e">
        <f t="shared" si="8"/>
        <v>#REF!</v>
      </c>
      <c r="AK27" s="36" t="e">
        <f t="shared" si="8"/>
        <v>#REF!</v>
      </c>
      <c r="AL27" s="36" t="e">
        <f t="shared" si="8"/>
        <v>#REF!</v>
      </c>
      <c r="AM27" s="36" t="e">
        <f t="shared" si="8"/>
        <v>#REF!</v>
      </c>
      <c r="AN27" s="36" t="e">
        <f t="shared" si="8"/>
        <v>#REF!</v>
      </c>
      <c r="AO27" s="36" t="e">
        <f t="shared" si="8"/>
        <v>#REF!</v>
      </c>
      <c r="AQ27" s="38"/>
      <c r="AR27" s="36" t="e">
        <f t="shared" ref="AR27:BA35" si="9">AR$11*$AC27</f>
        <v>#REF!</v>
      </c>
      <c r="AS27" s="36" t="e">
        <f t="shared" si="9"/>
        <v>#REF!</v>
      </c>
      <c r="AT27" s="36" t="e">
        <f t="shared" si="9"/>
        <v>#REF!</v>
      </c>
      <c r="AU27" s="36" t="e">
        <f t="shared" si="9"/>
        <v>#REF!</v>
      </c>
      <c r="AV27" s="36" t="e">
        <f t="shared" si="9"/>
        <v>#REF!</v>
      </c>
      <c r="AW27" s="36" t="e">
        <f t="shared" si="9"/>
        <v>#REF!</v>
      </c>
      <c r="AX27" s="36" t="e">
        <f t="shared" si="9"/>
        <v>#REF!</v>
      </c>
      <c r="AY27" s="36" t="e">
        <f t="shared" si="9"/>
        <v>#REF!</v>
      </c>
      <c r="AZ27" s="36" t="e">
        <f t="shared" si="9"/>
        <v>#REF!</v>
      </c>
      <c r="BA27" s="36" t="e">
        <f t="shared" si="9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8"/>
        <v>#REF!</v>
      </c>
      <c r="AG28" s="36" t="e">
        <f t="shared" si="8"/>
        <v>#REF!</v>
      </c>
      <c r="AH28" s="36" t="e">
        <f t="shared" si="8"/>
        <v>#REF!</v>
      </c>
      <c r="AI28" s="36" t="e">
        <f t="shared" si="8"/>
        <v>#REF!</v>
      </c>
      <c r="AJ28" s="36" t="e">
        <f t="shared" si="8"/>
        <v>#REF!</v>
      </c>
      <c r="AK28" s="36" t="e">
        <f t="shared" si="8"/>
        <v>#REF!</v>
      </c>
      <c r="AL28" s="36" t="e">
        <f t="shared" si="8"/>
        <v>#REF!</v>
      </c>
      <c r="AM28" s="36" t="e">
        <f t="shared" si="8"/>
        <v>#REF!</v>
      </c>
      <c r="AN28" s="36" t="e">
        <f t="shared" si="8"/>
        <v>#REF!</v>
      </c>
      <c r="AO28" s="36" t="e">
        <f t="shared" si="8"/>
        <v>#REF!</v>
      </c>
      <c r="AQ28" s="38"/>
      <c r="AR28" s="36" t="e">
        <f t="shared" si="9"/>
        <v>#REF!</v>
      </c>
      <c r="AS28" s="36" t="e">
        <f t="shared" si="9"/>
        <v>#REF!</v>
      </c>
      <c r="AT28" s="36" t="e">
        <f t="shared" si="9"/>
        <v>#REF!</v>
      </c>
      <c r="AU28" s="36" t="e">
        <f t="shared" si="9"/>
        <v>#REF!</v>
      </c>
      <c r="AV28" s="36" t="e">
        <f t="shared" si="9"/>
        <v>#REF!</v>
      </c>
      <c r="AW28" s="36" t="e">
        <f t="shared" si="9"/>
        <v>#REF!</v>
      </c>
      <c r="AX28" s="36" t="e">
        <f t="shared" si="9"/>
        <v>#REF!</v>
      </c>
      <c r="AY28" s="36" t="e">
        <f t="shared" si="9"/>
        <v>#REF!</v>
      </c>
      <c r="AZ28" s="36" t="e">
        <f t="shared" si="9"/>
        <v>#REF!</v>
      </c>
      <c r="BA28" s="36" t="e">
        <f t="shared" si="9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8"/>
        <v>#REF!</v>
      </c>
      <c r="AG29" s="36" t="e">
        <f t="shared" si="8"/>
        <v>#REF!</v>
      </c>
      <c r="AH29" s="36" t="e">
        <f t="shared" si="8"/>
        <v>#REF!</v>
      </c>
      <c r="AI29" s="36" t="e">
        <f t="shared" si="8"/>
        <v>#REF!</v>
      </c>
      <c r="AJ29" s="36" t="e">
        <f t="shared" si="8"/>
        <v>#REF!</v>
      </c>
      <c r="AK29" s="36" t="e">
        <f t="shared" si="8"/>
        <v>#REF!</v>
      </c>
      <c r="AL29" s="36" t="e">
        <f t="shared" si="8"/>
        <v>#REF!</v>
      </c>
      <c r="AM29" s="36" t="e">
        <f t="shared" si="8"/>
        <v>#REF!</v>
      </c>
      <c r="AN29" s="36" t="e">
        <f t="shared" si="8"/>
        <v>#REF!</v>
      </c>
      <c r="AO29" s="36" t="e">
        <f t="shared" si="8"/>
        <v>#REF!</v>
      </c>
      <c r="AQ29" s="38"/>
      <c r="AR29" s="36" t="e">
        <f t="shared" si="9"/>
        <v>#REF!</v>
      </c>
      <c r="AS29" s="36" t="e">
        <f t="shared" si="9"/>
        <v>#REF!</v>
      </c>
      <c r="AT29" s="36" t="e">
        <f t="shared" si="9"/>
        <v>#REF!</v>
      </c>
      <c r="AU29" s="36" t="e">
        <f t="shared" si="9"/>
        <v>#REF!</v>
      </c>
      <c r="AV29" s="36" t="e">
        <f t="shared" si="9"/>
        <v>#REF!</v>
      </c>
      <c r="AW29" s="36" t="e">
        <f t="shared" si="9"/>
        <v>#REF!</v>
      </c>
      <c r="AX29" s="36" t="e">
        <f t="shared" si="9"/>
        <v>#REF!</v>
      </c>
      <c r="AY29" s="36" t="e">
        <f t="shared" si="9"/>
        <v>#REF!</v>
      </c>
      <c r="AZ29" s="36" t="e">
        <f t="shared" si="9"/>
        <v>#REF!</v>
      </c>
      <c r="BA29" s="36" t="e">
        <f t="shared" si="9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8"/>
        <v>#REF!</v>
      </c>
      <c r="AG30" s="36" t="e">
        <f t="shared" si="8"/>
        <v>#REF!</v>
      </c>
      <c r="AH30" s="36" t="e">
        <f t="shared" si="8"/>
        <v>#REF!</v>
      </c>
      <c r="AI30" s="36" t="e">
        <f t="shared" si="8"/>
        <v>#REF!</v>
      </c>
      <c r="AJ30" s="36" t="e">
        <f t="shared" si="8"/>
        <v>#REF!</v>
      </c>
      <c r="AK30" s="36" t="e">
        <f t="shared" si="8"/>
        <v>#REF!</v>
      </c>
      <c r="AL30" s="36" t="e">
        <f t="shared" si="8"/>
        <v>#REF!</v>
      </c>
      <c r="AM30" s="36" t="e">
        <f t="shared" si="8"/>
        <v>#REF!</v>
      </c>
      <c r="AN30" s="36" t="e">
        <f t="shared" si="8"/>
        <v>#REF!</v>
      </c>
      <c r="AO30" s="36" t="e">
        <f t="shared" si="8"/>
        <v>#REF!</v>
      </c>
      <c r="AQ30" s="38"/>
      <c r="AR30" s="36" t="e">
        <f t="shared" si="9"/>
        <v>#REF!</v>
      </c>
      <c r="AS30" s="36" t="e">
        <f t="shared" si="9"/>
        <v>#REF!</v>
      </c>
      <c r="AT30" s="36" t="e">
        <f t="shared" si="9"/>
        <v>#REF!</v>
      </c>
      <c r="AU30" s="36" t="e">
        <f t="shared" si="9"/>
        <v>#REF!</v>
      </c>
      <c r="AV30" s="36" t="e">
        <f t="shared" si="9"/>
        <v>#REF!</v>
      </c>
      <c r="AW30" s="36" t="e">
        <f t="shared" si="9"/>
        <v>#REF!</v>
      </c>
      <c r="AX30" s="36" t="e">
        <f t="shared" si="9"/>
        <v>#REF!</v>
      </c>
      <c r="AY30" s="36" t="e">
        <f t="shared" si="9"/>
        <v>#REF!</v>
      </c>
      <c r="AZ30" s="36" t="e">
        <f t="shared" si="9"/>
        <v>#REF!</v>
      </c>
      <c r="BA30" s="36" t="e">
        <f t="shared" si="9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8"/>
        <v>#REF!</v>
      </c>
      <c r="AG31" s="36" t="e">
        <f t="shared" si="8"/>
        <v>#REF!</v>
      </c>
      <c r="AH31" s="36" t="e">
        <f t="shared" si="8"/>
        <v>#REF!</v>
      </c>
      <c r="AI31" s="36" t="e">
        <f t="shared" si="8"/>
        <v>#REF!</v>
      </c>
      <c r="AJ31" s="36" t="e">
        <f t="shared" si="8"/>
        <v>#REF!</v>
      </c>
      <c r="AK31" s="36" t="e">
        <f t="shared" si="8"/>
        <v>#REF!</v>
      </c>
      <c r="AL31" s="36" t="e">
        <f t="shared" si="8"/>
        <v>#REF!</v>
      </c>
      <c r="AM31" s="36" t="e">
        <f t="shared" si="8"/>
        <v>#REF!</v>
      </c>
      <c r="AN31" s="36" t="e">
        <f t="shared" si="8"/>
        <v>#REF!</v>
      </c>
      <c r="AO31" s="36" t="e">
        <f t="shared" si="8"/>
        <v>#REF!</v>
      </c>
      <c r="AQ31" s="38"/>
      <c r="AR31" s="36" t="e">
        <f t="shared" si="9"/>
        <v>#REF!</v>
      </c>
      <c r="AS31" s="36" t="e">
        <f t="shared" si="9"/>
        <v>#REF!</v>
      </c>
      <c r="AT31" s="36" t="e">
        <f t="shared" si="9"/>
        <v>#REF!</v>
      </c>
      <c r="AU31" s="36" t="e">
        <f t="shared" si="9"/>
        <v>#REF!</v>
      </c>
      <c r="AV31" s="36" t="e">
        <f t="shared" si="9"/>
        <v>#REF!</v>
      </c>
      <c r="AW31" s="36" t="e">
        <f t="shared" si="9"/>
        <v>#REF!</v>
      </c>
      <c r="AX31" s="36" t="e">
        <f t="shared" si="9"/>
        <v>#REF!</v>
      </c>
      <c r="AY31" s="36" t="e">
        <f t="shared" si="9"/>
        <v>#REF!</v>
      </c>
      <c r="AZ31" s="36" t="e">
        <f t="shared" si="9"/>
        <v>#REF!</v>
      </c>
      <c r="BA31" s="36" t="e">
        <f t="shared" si="9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8"/>
        <v>#REF!</v>
      </c>
      <c r="AG32" s="36" t="e">
        <f t="shared" si="8"/>
        <v>#REF!</v>
      </c>
      <c r="AH32" s="36" t="e">
        <f t="shared" si="8"/>
        <v>#REF!</v>
      </c>
      <c r="AI32" s="36" t="e">
        <f t="shared" si="8"/>
        <v>#REF!</v>
      </c>
      <c r="AJ32" s="36" t="e">
        <f t="shared" si="8"/>
        <v>#REF!</v>
      </c>
      <c r="AK32" s="36" t="e">
        <f t="shared" si="8"/>
        <v>#REF!</v>
      </c>
      <c r="AL32" s="36" t="e">
        <f t="shared" si="8"/>
        <v>#REF!</v>
      </c>
      <c r="AM32" s="36" t="e">
        <f t="shared" si="8"/>
        <v>#REF!</v>
      </c>
      <c r="AN32" s="36" t="e">
        <f t="shared" si="8"/>
        <v>#REF!</v>
      </c>
      <c r="AO32" s="36" t="e">
        <f t="shared" si="8"/>
        <v>#REF!</v>
      </c>
      <c r="AQ32" s="38"/>
      <c r="AR32" s="36" t="e">
        <f t="shared" si="9"/>
        <v>#REF!</v>
      </c>
      <c r="AS32" s="36" t="e">
        <f t="shared" si="9"/>
        <v>#REF!</v>
      </c>
      <c r="AT32" s="36" t="e">
        <f t="shared" si="9"/>
        <v>#REF!</v>
      </c>
      <c r="AU32" s="36" t="e">
        <f t="shared" si="9"/>
        <v>#REF!</v>
      </c>
      <c r="AV32" s="36" t="e">
        <f t="shared" si="9"/>
        <v>#REF!</v>
      </c>
      <c r="AW32" s="36" t="e">
        <f t="shared" si="9"/>
        <v>#REF!</v>
      </c>
      <c r="AX32" s="36" t="e">
        <f t="shared" si="9"/>
        <v>#REF!</v>
      </c>
      <c r="AY32" s="36" t="e">
        <f t="shared" si="9"/>
        <v>#REF!</v>
      </c>
      <c r="AZ32" s="36" t="e">
        <f t="shared" si="9"/>
        <v>#REF!</v>
      </c>
      <c r="BA32" s="36" t="e">
        <f t="shared" si="9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8"/>
        <v>#REF!</v>
      </c>
      <c r="AG33" s="36" t="e">
        <f t="shared" si="8"/>
        <v>#REF!</v>
      </c>
      <c r="AH33" s="36" t="e">
        <f t="shared" si="8"/>
        <v>#REF!</v>
      </c>
      <c r="AI33" s="36" t="e">
        <f t="shared" si="8"/>
        <v>#REF!</v>
      </c>
      <c r="AJ33" s="36" t="e">
        <f t="shared" si="8"/>
        <v>#REF!</v>
      </c>
      <c r="AK33" s="36" t="e">
        <f t="shared" si="8"/>
        <v>#REF!</v>
      </c>
      <c r="AL33" s="36" t="e">
        <f t="shared" si="8"/>
        <v>#REF!</v>
      </c>
      <c r="AM33" s="36" t="e">
        <f t="shared" si="8"/>
        <v>#REF!</v>
      </c>
      <c r="AN33" s="36" t="e">
        <f t="shared" si="8"/>
        <v>#REF!</v>
      </c>
      <c r="AO33" s="36" t="e">
        <f t="shared" si="8"/>
        <v>#REF!</v>
      </c>
      <c r="AQ33" s="38"/>
      <c r="AR33" s="36" t="e">
        <f t="shared" si="9"/>
        <v>#REF!</v>
      </c>
      <c r="AS33" s="36" t="e">
        <f t="shared" si="9"/>
        <v>#REF!</v>
      </c>
      <c r="AT33" s="36" t="e">
        <f t="shared" si="9"/>
        <v>#REF!</v>
      </c>
      <c r="AU33" s="36" t="e">
        <f t="shared" si="9"/>
        <v>#REF!</v>
      </c>
      <c r="AV33" s="36" t="e">
        <f t="shared" si="9"/>
        <v>#REF!</v>
      </c>
      <c r="AW33" s="36" t="e">
        <f t="shared" si="9"/>
        <v>#REF!</v>
      </c>
      <c r="AX33" s="36" t="e">
        <f t="shared" si="9"/>
        <v>#REF!</v>
      </c>
      <c r="AY33" s="36" t="e">
        <f t="shared" si="9"/>
        <v>#REF!</v>
      </c>
      <c r="AZ33" s="36" t="e">
        <f t="shared" si="9"/>
        <v>#REF!</v>
      </c>
      <c r="BA33" s="36" t="e">
        <f t="shared" si="9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8"/>
        <v>#REF!</v>
      </c>
      <c r="AG34" s="36" t="e">
        <f t="shared" si="8"/>
        <v>#REF!</v>
      </c>
      <c r="AH34" s="36" t="e">
        <f t="shared" si="8"/>
        <v>#REF!</v>
      </c>
      <c r="AI34" s="36" t="e">
        <f t="shared" si="8"/>
        <v>#REF!</v>
      </c>
      <c r="AJ34" s="36" t="e">
        <f t="shared" si="8"/>
        <v>#REF!</v>
      </c>
      <c r="AK34" s="36" t="e">
        <f t="shared" si="8"/>
        <v>#REF!</v>
      </c>
      <c r="AL34" s="36" t="e">
        <f t="shared" si="8"/>
        <v>#REF!</v>
      </c>
      <c r="AM34" s="36" t="e">
        <f t="shared" si="8"/>
        <v>#REF!</v>
      </c>
      <c r="AN34" s="36" t="e">
        <f t="shared" si="8"/>
        <v>#REF!</v>
      </c>
      <c r="AO34" s="36" t="e">
        <f t="shared" si="8"/>
        <v>#REF!</v>
      </c>
      <c r="AQ34" s="38"/>
      <c r="AR34" s="36" t="e">
        <f t="shared" si="9"/>
        <v>#REF!</v>
      </c>
      <c r="AS34" s="36" t="e">
        <f t="shared" si="9"/>
        <v>#REF!</v>
      </c>
      <c r="AT34" s="36" t="e">
        <f t="shared" si="9"/>
        <v>#REF!</v>
      </c>
      <c r="AU34" s="36" t="e">
        <f t="shared" si="9"/>
        <v>#REF!</v>
      </c>
      <c r="AV34" s="36" t="e">
        <f t="shared" si="9"/>
        <v>#REF!</v>
      </c>
      <c r="AW34" s="36" t="e">
        <f t="shared" si="9"/>
        <v>#REF!</v>
      </c>
      <c r="AX34" s="36" t="e">
        <f t="shared" si="9"/>
        <v>#REF!</v>
      </c>
      <c r="AY34" s="36" t="e">
        <f t="shared" si="9"/>
        <v>#REF!</v>
      </c>
      <c r="AZ34" s="36" t="e">
        <f t="shared" si="9"/>
        <v>#REF!</v>
      </c>
      <c r="BA34" s="36" t="e">
        <f t="shared" si="9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8"/>
        <v>#REF!</v>
      </c>
      <c r="AG35" s="36" t="e">
        <f t="shared" si="8"/>
        <v>#REF!</v>
      </c>
      <c r="AH35" s="36" t="e">
        <f t="shared" si="8"/>
        <v>#REF!</v>
      </c>
      <c r="AI35" s="36" t="e">
        <f t="shared" si="8"/>
        <v>#REF!</v>
      </c>
      <c r="AJ35" s="36" t="e">
        <f t="shared" si="8"/>
        <v>#REF!</v>
      </c>
      <c r="AK35" s="36" t="e">
        <f t="shared" si="8"/>
        <v>#REF!</v>
      </c>
      <c r="AL35" s="36" t="e">
        <f t="shared" si="8"/>
        <v>#REF!</v>
      </c>
      <c r="AM35" s="36" t="e">
        <f t="shared" si="8"/>
        <v>#REF!</v>
      </c>
      <c r="AN35" s="36" t="e">
        <f t="shared" si="8"/>
        <v>#REF!</v>
      </c>
      <c r="AO35" s="36" t="e">
        <f t="shared" si="8"/>
        <v>#REF!</v>
      </c>
      <c r="AQ35" s="38"/>
      <c r="AR35" s="36" t="e">
        <f t="shared" si="9"/>
        <v>#REF!</v>
      </c>
      <c r="AS35" s="36" t="e">
        <f t="shared" si="9"/>
        <v>#REF!</v>
      </c>
      <c r="AT35" s="36" t="e">
        <f t="shared" si="9"/>
        <v>#REF!</v>
      </c>
      <c r="AU35" s="36" t="e">
        <f t="shared" si="9"/>
        <v>#REF!</v>
      </c>
      <c r="AV35" s="36" t="e">
        <f t="shared" si="9"/>
        <v>#REF!</v>
      </c>
      <c r="AW35" s="36" t="e">
        <f t="shared" si="9"/>
        <v>#REF!</v>
      </c>
      <c r="AX35" s="36" t="e">
        <f t="shared" si="9"/>
        <v>#REF!</v>
      </c>
      <c r="AY35" s="36" t="e">
        <f t="shared" si="9"/>
        <v>#REF!</v>
      </c>
      <c r="AZ35" s="36" t="e">
        <f t="shared" si="9"/>
        <v>#REF!</v>
      </c>
      <c r="BA35" s="36" t="e">
        <f t="shared" si="9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10">AF$11*$AC38</f>
        <v>#REF!</v>
      </c>
      <c r="AG38" s="36" t="e">
        <f t="shared" si="10"/>
        <v>#REF!</v>
      </c>
      <c r="AH38" s="36" t="e">
        <f t="shared" si="10"/>
        <v>#REF!</v>
      </c>
      <c r="AI38" s="36" t="e">
        <f t="shared" si="10"/>
        <v>#REF!</v>
      </c>
      <c r="AJ38" s="36" t="e">
        <f t="shared" si="10"/>
        <v>#REF!</v>
      </c>
      <c r="AK38" s="36" t="e">
        <f t="shared" si="10"/>
        <v>#REF!</v>
      </c>
      <c r="AL38" s="36" t="e">
        <f t="shared" si="10"/>
        <v>#REF!</v>
      </c>
      <c r="AM38" s="36" t="e">
        <f t="shared" si="10"/>
        <v>#REF!</v>
      </c>
      <c r="AN38" s="36" t="e">
        <f t="shared" si="10"/>
        <v>#REF!</v>
      </c>
      <c r="AO38" s="36" t="e">
        <f t="shared" si="10"/>
        <v>#REF!</v>
      </c>
      <c r="AQ38" s="38"/>
      <c r="AR38" s="36" t="e">
        <f t="shared" ref="AR38:BA46" si="11">AR$11*$AC38</f>
        <v>#REF!</v>
      </c>
      <c r="AS38" s="36" t="e">
        <f t="shared" si="11"/>
        <v>#REF!</v>
      </c>
      <c r="AT38" s="36" t="e">
        <f t="shared" si="11"/>
        <v>#REF!</v>
      </c>
      <c r="AU38" s="36" t="e">
        <f t="shared" si="11"/>
        <v>#REF!</v>
      </c>
      <c r="AV38" s="36" t="e">
        <f t="shared" si="11"/>
        <v>#REF!</v>
      </c>
      <c r="AW38" s="36" t="e">
        <f t="shared" si="11"/>
        <v>#REF!</v>
      </c>
      <c r="AX38" s="36" t="e">
        <f t="shared" si="11"/>
        <v>#REF!</v>
      </c>
      <c r="AY38" s="36" t="e">
        <f t="shared" si="11"/>
        <v>#REF!</v>
      </c>
      <c r="AZ38" s="36" t="e">
        <f t="shared" si="11"/>
        <v>#REF!</v>
      </c>
      <c r="BA38" s="36" t="e">
        <f t="shared" si="11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10"/>
        <v>#REF!</v>
      </c>
      <c r="AG39" s="36" t="e">
        <f t="shared" si="10"/>
        <v>#REF!</v>
      </c>
      <c r="AH39" s="36" t="e">
        <f t="shared" si="10"/>
        <v>#REF!</v>
      </c>
      <c r="AI39" s="36" t="e">
        <f t="shared" si="10"/>
        <v>#REF!</v>
      </c>
      <c r="AJ39" s="36" t="e">
        <f t="shared" si="10"/>
        <v>#REF!</v>
      </c>
      <c r="AK39" s="36" t="e">
        <f t="shared" si="10"/>
        <v>#REF!</v>
      </c>
      <c r="AL39" s="36" t="e">
        <f t="shared" si="10"/>
        <v>#REF!</v>
      </c>
      <c r="AM39" s="36" t="e">
        <f t="shared" si="10"/>
        <v>#REF!</v>
      </c>
      <c r="AN39" s="36" t="e">
        <f t="shared" si="10"/>
        <v>#REF!</v>
      </c>
      <c r="AO39" s="36" t="e">
        <f t="shared" si="10"/>
        <v>#REF!</v>
      </c>
      <c r="AQ39" s="38"/>
      <c r="AR39" s="36" t="e">
        <f t="shared" si="11"/>
        <v>#REF!</v>
      </c>
      <c r="AS39" s="36" t="e">
        <f t="shared" si="11"/>
        <v>#REF!</v>
      </c>
      <c r="AT39" s="36" t="e">
        <f t="shared" si="11"/>
        <v>#REF!</v>
      </c>
      <c r="AU39" s="36" t="e">
        <f t="shared" si="11"/>
        <v>#REF!</v>
      </c>
      <c r="AV39" s="36" t="e">
        <f t="shared" si="11"/>
        <v>#REF!</v>
      </c>
      <c r="AW39" s="36" t="e">
        <f t="shared" si="11"/>
        <v>#REF!</v>
      </c>
      <c r="AX39" s="36" t="e">
        <f t="shared" si="11"/>
        <v>#REF!</v>
      </c>
      <c r="AY39" s="36" t="e">
        <f t="shared" si="11"/>
        <v>#REF!</v>
      </c>
      <c r="AZ39" s="36" t="e">
        <f t="shared" si="11"/>
        <v>#REF!</v>
      </c>
      <c r="BA39" s="36" t="e">
        <f t="shared" si="11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10"/>
        <v>#REF!</v>
      </c>
      <c r="AG40" s="36" t="e">
        <f t="shared" si="10"/>
        <v>#REF!</v>
      </c>
      <c r="AH40" s="36" t="e">
        <f t="shared" si="10"/>
        <v>#REF!</v>
      </c>
      <c r="AI40" s="36" t="e">
        <f t="shared" si="10"/>
        <v>#REF!</v>
      </c>
      <c r="AJ40" s="36" t="e">
        <f t="shared" si="10"/>
        <v>#REF!</v>
      </c>
      <c r="AK40" s="36" t="e">
        <f t="shared" si="10"/>
        <v>#REF!</v>
      </c>
      <c r="AL40" s="36" t="e">
        <f t="shared" si="10"/>
        <v>#REF!</v>
      </c>
      <c r="AM40" s="36" t="e">
        <f t="shared" si="10"/>
        <v>#REF!</v>
      </c>
      <c r="AN40" s="36" t="e">
        <f t="shared" si="10"/>
        <v>#REF!</v>
      </c>
      <c r="AO40" s="36" t="e">
        <f t="shared" si="10"/>
        <v>#REF!</v>
      </c>
      <c r="AQ40" s="38"/>
      <c r="AR40" s="36" t="e">
        <f t="shared" si="11"/>
        <v>#REF!</v>
      </c>
      <c r="AS40" s="36" t="e">
        <f t="shared" si="11"/>
        <v>#REF!</v>
      </c>
      <c r="AT40" s="36" t="e">
        <f t="shared" si="11"/>
        <v>#REF!</v>
      </c>
      <c r="AU40" s="36" t="e">
        <f t="shared" si="11"/>
        <v>#REF!</v>
      </c>
      <c r="AV40" s="36" t="e">
        <f t="shared" si="11"/>
        <v>#REF!</v>
      </c>
      <c r="AW40" s="36" t="e">
        <f t="shared" si="11"/>
        <v>#REF!</v>
      </c>
      <c r="AX40" s="36" t="e">
        <f t="shared" si="11"/>
        <v>#REF!</v>
      </c>
      <c r="AY40" s="36" t="e">
        <f t="shared" si="11"/>
        <v>#REF!</v>
      </c>
      <c r="AZ40" s="36" t="e">
        <f t="shared" si="11"/>
        <v>#REF!</v>
      </c>
      <c r="BA40" s="36" t="e">
        <f t="shared" si="11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10"/>
        <v>#REF!</v>
      </c>
      <c r="AG41" s="36" t="e">
        <f t="shared" si="10"/>
        <v>#REF!</v>
      </c>
      <c r="AH41" s="36" t="e">
        <f t="shared" si="10"/>
        <v>#REF!</v>
      </c>
      <c r="AI41" s="36" t="e">
        <f t="shared" si="10"/>
        <v>#REF!</v>
      </c>
      <c r="AJ41" s="36" t="e">
        <f t="shared" si="10"/>
        <v>#REF!</v>
      </c>
      <c r="AK41" s="36" t="e">
        <f t="shared" si="10"/>
        <v>#REF!</v>
      </c>
      <c r="AL41" s="36" t="e">
        <f t="shared" si="10"/>
        <v>#REF!</v>
      </c>
      <c r="AM41" s="36" t="e">
        <f t="shared" si="10"/>
        <v>#REF!</v>
      </c>
      <c r="AN41" s="36" t="e">
        <f t="shared" si="10"/>
        <v>#REF!</v>
      </c>
      <c r="AO41" s="36" t="e">
        <f t="shared" si="10"/>
        <v>#REF!</v>
      </c>
      <c r="AQ41" s="38"/>
      <c r="AR41" s="36" t="e">
        <f t="shared" si="11"/>
        <v>#REF!</v>
      </c>
      <c r="AS41" s="36" t="e">
        <f t="shared" si="11"/>
        <v>#REF!</v>
      </c>
      <c r="AT41" s="36" t="e">
        <f t="shared" si="11"/>
        <v>#REF!</v>
      </c>
      <c r="AU41" s="36" t="e">
        <f t="shared" si="11"/>
        <v>#REF!</v>
      </c>
      <c r="AV41" s="36" t="e">
        <f t="shared" si="11"/>
        <v>#REF!</v>
      </c>
      <c r="AW41" s="36" t="e">
        <f t="shared" si="11"/>
        <v>#REF!</v>
      </c>
      <c r="AX41" s="36" t="e">
        <f t="shared" si="11"/>
        <v>#REF!</v>
      </c>
      <c r="AY41" s="36" t="e">
        <f t="shared" si="11"/>
        <v>#REF!</v>
      </c>
      <c r="AZ41" s="36" t="e">
        <f t="shared" si="11"/>
        <v>#REF!</v>
      </c>
      <c r="BA41" s="36" t="e">
        <f t="shared" si="11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10"/>
        <v>#REF!</v>
      </c>
      <c r="AG42" s="36" t="e">
        <f t="shared" si="10"/>
        <v>#REF!</v>
      </c>
      <c r="AH42" s="36" t="e">
        <f t="shared" si="10"/>
        <v>#REF!</v>
      </c>
      <c r="AI42" s="36" t="e">
        <f t="shared" si="10"/>
        <v>#REF!</v>
      </c>
      <c r="AJ42" s="36" t="e">
        <f t="shared" si="10"/>
        <v>#REF!</v>
      </c>
      <c r="AK42" s="36" t="e">
        <f t="shared" si="10"/>
        <v>#REF!</v>
      </c>
      <c r="AL42" s="36" t="e">
        <f t="shared" si="10"/>
        <v>#REF!</v>
      </c>
      <c r="AM42" s="36" t="e">
        <f t="shared" si="10"/>
        <v>#REF!</v>
      </c>
      <c r="AN42" s="36" t="e">
        <f t="shared" si="10"/>
        <v>#REF!</v>
      </c>
      <c r="AO42" s="36" t="e">
        <f t="shared" si="10"/>
        <v>#REF!</v>
      </c>
      <c r="AQ42" s="38"/>
      <c r="AR42" s="36" t="e">
        <f t="shared" si="11"/>
        <v>#REF!</v>
      </c>
      <c r="AS42" s="36" t="e">
        <f t="shared" si="11"/>
        <v>#REF!</v>
      </c>
      <c r="AT42" s="36" t="e">
        <f t="shared" si="11"/>
        <v>#REF!</v>
      </c>
      <c r="AU42" s="36" t="e">
        <f t="shared" si="11"/>
        <v>#REF!</v>
      </c>
      <c r="AV42" s="36" t="e">
        <f t="shared" si="11"/>
        <v>#REF!</v>
      </c>
      <c r="AW42" s="36" t="e">
        <f t="shared" si="11"/>
        <v>#REF!</v>
      </c>
      <c r="AX42" s="36" t="e">
        <f t="shared" si="11"/>
        <v>#REF!</v>
      </c>
      <c r="AY42" s="36" t="e">
        <f t="shared" si="11"/>
        <v>#REF!</v>
      </c>
      <c r="AZ42" s="36" t="e">
        <f t="shared" si="11"/>
        <v>#REF!</v>
      </c>
      <c r="BA42" s="36" t="e">
        <f t="shared" si="11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10"/>
        <v>#REF!</v>
      </c>
      <c r="AG43" s="36" t="e">
        <f t="shared" si="10"/>
        <v>#REF!</v>
      </c>
      <c r="AH43" s="36" t="e">
        <f t="shared" si="10"/>
        <v>#REF!</v>
      </c>
      <c r="AI43" s="36" t="e">
        <f t="shared" si="10"/>
        <v>#REF!</v>
      </c>
      <c r="AJ43" s="36" t="e">
        <f t="shared" si="10"/>
        <v>#REF!</v>
      </c>
      <c r="AK43" s="36" t="e">
        <f t="shared" si="10"/>
        <v>#REF!</v>
      </c>
      <c r="AL43" s="36" t="e">
        <f t="shared" si="10"/>
        <v>#REF!</v>
      </c>
      <c r="AM43" s="36" t="e">
        <f t="shared" si="10"/>
        <v>#REF!</v>
      </c>
      <c r="AN43" s="36" t="e">
        <f t="shared" si="10"/>
        <v>#REF!</v>
      </c>
      <c r="AO43" s="36" t="e">
        <f t="shared" si="10"/>
        <v>#REF!</v>
      </c>
      <c r="AQ43" s="38"/>
      <c r="AR43" s="36" t="e">
        <f t="shared" si="11"/>
        <v>#REF!</v>
      </c>
      <c r="AS43" s="36" t="e">
        <f t="shared" si="11"/>
        <v>#REF!</v>
      </c>
      <c r="AT43" s="36" t="e">
        <f t="shared" si="11"/>
        <v>#REF!</v>
      </c>
      <c r="AU43" s="36" t="e">
        <f t="shared" si="11"/>
        <v>#REF!</v>
      </c>
      <c r="AV43" s="36" t="e">
        <f t="shared" si="11"/>
        <v>#REF!</v>
      </c>
      <c r="AW43" s="36" t="e">
        <f t="shared" si="11"/>
        <v>#REF!</v>
      </c>
      <c r="AX43" s="36" t="e">
        <f t="shared" si="11"/>
        <v>#REF!</v>
      </c>
      <c r="AY43" s="36" t="e">
        <f t="shared" si="11"/>
        <v>#REF!</v>
      </c>
      <c r="AZ43" s="36" t="e">
        <f t="shared" si="11"/>
        <v>#REF!</v>
      </c>
      <c r="BA43" s="36" t="e">
        <f t="shared" si="11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10"/>
        <v>#REF!</v>
      </c>
      <c r="AG44" s="36" t="e">
        <f t="shared" si="10"/>
        <v>#REF!</v>
      </c>
      <c r="AH44" s="36" t="e">
        <f t="shared" si="10"/>
        <v>#REF!</v>
      </c>
      <c r="AI44" s="36" t="e">
        <f t="shared" si="10"/>
        <v>#REF!</v>
      </c>
      <c r="AJ44" s="36" t="e">
        <f t="shared" si="10"/>
        <v>#REF!</v>
      </c>
      <c r="AK44" s="36" t="e">
        <f t="shared" si="10"/>
        <v>#REF!</v>
      </c>
      <c r="AL44" s="36" t="e">
        <f t="shared" si="10"/>
        <v>#REF!</v>
      </c>
      <c r="AM44" s="36" t="e">
        <f t="shared" si="10"/>
        <v>#REF!</v>
      </c>
      <c r="AN44" s="36" t="e">
        <f t="shared" si="10"/>
        <v>#REF!</v>
      </c>
      <c r="AO44" s="36" t="e">
        <f t="shared" si="10"/>
        <v>#REF!</v>
      </c>
      <c r="AQ44" s="38"/>
      <c r="AR44" s="36" t="e">
        <f t="shared" si="11"/>
        <v>#REF!</v>
      </c>
      <c r="AS44" s="36" t="e">
        <f t="shared" si="11"/>
        <v>#REF!</v>
      </c>
      <c r="AT44" s="36" t="e">
        <f t="shared" si="11"/>
        <v>#REF!</v>
      </c>
      <c r="AU44" s="36" t="e">
        <f t="shared" si="11"/>
        <v>#REF!</v>
      </c>
      <c r="AV44" s="36" t="e">
        <f t="shared" si="11"/>
        <v>#REF!</v>
      </c>
      <c r="AW44" s="36" t="e">
        <f t="shared" si="11"/>
        <v>#REF!</v>
      </c>
      <c r="AX44" s="36" t="e">
        <f t="shared" si="11"/>
        <v>#REF!</v>
      </c>
      <c r="AY44" s="36" t="e">
        <f t="shared" si="11"/>
        <v>#REF!</v>
      </c>
      <c r="AZ44" s="36" t="e">
        <f t="shared" si="11"/>
        <v>#REF!</v>
      </c>
      <c r="BA44" s="36" t="e">
        <f t="shared" si="11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10"/>
        <v>#REF!</v>
      </c>
      <c r="AG45" s="36" t="e">
        <f t="shared" si="10"/>
        <v>#REF!</v>
      </c>
      <c r="AH45" s="36" t="e">
        <f t="shared" si="10"/>
        <v>#REF!</v>
      </c>
      <c r="AI45" s="36" t="e">
        <f t="shared" si="10"/>
        <v>#REF!</v>
      </c>
      <c r="AJ45" s="36" t="e">
        <f t="shared" si="10"/>
        <v>#REF!</v>
      </c>
      <c r="AK45" s="36" t="e">
        <f t="shared" si="10"/>
        <v>#REF!</v>
      </c>
      <c r="AL45" s="36" t="e">
        <f t="shared" si="10"/>
        <v>#REF!</v>
      </c>
      <c r="AM45" s="36" t="e">
        <f t="shared" si="10"/>
        <v>#REF!</v>
      </c>
      <c r="AN45" s="36" t="e">
        <f t="shared" si="10"/>
        <v>#REF!</v>
      </c>
      <c r="AO45" s="36" t="e">
        <f t="shared" si="10"/>
        <v>#REF!</v>
      </c>
      <c r="AQ45" s="38"/>
      <c r="AR45" s="36" t="e">
        <f t="shared" si="11"/>
        <v>#REF!</v>
      </c>
      <c r="AS45" s="36" t="e">
        <f t="shared" si="11"/>
        <v>#REF!</v>
      </c>
      <c r="AT45" s="36" t="e">
        <f t="shared" si="11"/>
        <v>#REF!</v>
      </c>
      <c r="AU45" s="36" t="e">
        <f t="shared" si="11"/>
        <v>#REF!</v>
      </c>
      <c r="AV45" s="36" t="e">
        <f t="shared" si="11"/>
        <v>#REF!</v>
      </c>
      <c r="AW45" s="36" t="e">
        <f t="shared" si="11"/>
        <v>#REF!</v>
      </c>
      <c r="AX45" s="36" t="e">
        <f t="shared" si="11"/>
        <v>#REF!</v>
      </c>
      <c r="AY45" s="36" t="e">
        <f t="shared" si="11"/>
        <v>#REF!</v>
      </c>
      <c r="AZ45" s="36" t="e">
        <f t="shared" si="11"/>
        <v>#REF!</v>
      </c>
      <c r="BA45" s="36" t="e">
        <f t="shared" si="11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10"/>
        <v>#REF!</v>
      </c>
      <c r="AG46" s="36" t="e">
        <f t="shared" si="10"/>
        <v>#REF!</v>
      </c>
      <c r="AH46" s="36" t="e">
        <f t="shared" si="10"/>
        <v>#REF!</v>
      </c>
      <c r="AI46" s="36" t="e">
        <f t="shared" si="10"/>
        <v>#REF!</v>
      </c>
      <c r="AJ46" s="36" t="e">
        <f t="shared" si="10"/>
        <v>#REF!</v>
      </c>
      <c r="AK46" s="36" t="e">
        <f t="shared" si="10"/>
        <v>#REF!</v>
      </c>
      <c r="AL46" s="36" t="e">
        <f t="shared" si="10"/>
        <v>#REF!</v>
      </c>
      <c r="AM46" s="36" t="e">
        <f t="shared" si="10"/>
        <v>#REF!</v>
      </c>
      <c r="AN46" s="36" t="e">
        <f t="shared" si="10"/>
        <v>#REF!</v>
      </c>
      <c r="AO46" s="36" t="e">
        <f t="shared" si="10"/>
        <v>#REF!</v>
      </c>
      <c r="AQ46" s="38"/>
      <c r="AR46" s="36" t="e">
        <f t="shared" si="11"/>
        <v>#REF!</v>
      </c>
      <c r="AS46" s="36" t="e">
        <f t="shared" si="11"/>
        <v>#REF!</v>
      </c>
      <c r="AT46" s="36" t="e">
        <f t="shared" si="11"/>
        <v>#REF!</v>
      </c>
      <c r="AU46" s="36" t="e">
        <f t="shared" si="11"/>
        <v>#REF!</v>
      </c>
      <c r="AV46" s="36" t="e">
        <f t="shared" si="11"/>
        <v>#REF!</v>
      </c>
      <c r="AW46" s="36" t="e">
        <f t="shared" si="11"/>
        <v>#REF!</v>
      </c>
      <c r="AX46" s="36" t="e">
        <f t="shared" si="11"/>
        <v>#REF!</v>
      </c>
      <c r="AY46" s="36" t="e">
        <f t="shared" si="11"/>
        <v>#REF!</v>
      </c>
      <c r="AZ46" s="36" t="e">
        <f t="shared" si="11"/>
        <v>#REF!</v>
      </c>
      <c r="BA46" s="36" t="e">
        <f t="shared" si="11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2">AF16+AF18+AF19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AR16+AR18+AR19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41</v>
      </c>
      <c r="AB52" s="35"/>
      <c r="AF52" s="70" t="e">
        <f t="shared" ref="AF52:AO52" si="14">AF27+AF29+AF30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AR27+AR29+AR30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71" t="s">
        <v>42</v>
      </c>
      <c r="AB53" s="35"/>
      <c r="AF53" s="70" t="e">
        <f t="shared" ref="AF53:AO53" si="16">AF38+AF40+AF41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AR38+AR40+AR41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8">AF16+AF18+AF20+AF22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AR16+AR18+AR20+AR22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41</v>
      </c>
      <c r="AB56" s="35"/>
      <c r="AF56" s="70" t="e">
        <f t="shared" ref="AF56:AO56" si="20">AF27+AF29+AF31+AF33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AR27+AR29+AR31+AR33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71" t="s">
        <v>42</v>
      </c>
      <c r="AB57" s="35"/>
      <c r="AF57" s="70" t="e">
        <f t="shared" ref="AF57:AO57" si="22">AF38+AF40+AF42+AF44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AR38+AR40+AR42+AR44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4">AF16+AF18+AF20+AF21+AF23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AR16+AR18+AR20+AR21+AR23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41</v>
      </c>
      <c r="AB60" s="35"/>
      <c r="AF60" s="70" t="e">
        <f t="shared" ref="AF60:AO60" si="26">AF27+AF29+AF31+AF32+AF34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AR27+AR29+AR31+AR32+AR34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71" t="s">
        <v>42</v>
      </c>
      <c r="AB61" s="35"/>
      <c r="AF61" s="70" t="e">
        <f t="shared" ref="AF61:AO61" si="28">AF38+AF40+AF42+AF43+AF45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AR38+AR40+AR42+AR43+AR45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30">AF16+AF18+AF20+AF21+AF24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AR16+AR18+AR20+AR21+AR24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41</v>
      </c>
      <c r="AB64" s="35"/>
      <c r="AF64" s="70" t="e">
        <f t="shared" ref="AF64:AO64" si="32">AF27+AF29+AF31+AF32+AF35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AR27+AR29+AR31+AR32+AR35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71" t="s">
        <v>42</v>
      </c>
      <c r="AB65" s="35"/>
      <c r="AF65" s="70" t="e">
        <f t="shared" ref="AF65:AO65" si="34">AF38+AF40+AF42+AF43+AF46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AR38+AR40+AR42+AR43+AR46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6">AF16+AF17+AF22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AR16+AR17+AR22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41</v>
      </c>
      <c r="AB68" s="35"/>
      <c r="AF68" s="70" t="e">
        <f t="shared" ref="AF68:AO68" si="38">AF27+AF28+AF33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AR27+AR28+AR33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1" t="s">
        <v>42</v>
      </c>
      <c r="AB69" s="35"/>
      <c r="AF69" s="70" t="e">
        <f t="shared" ref="AF69:AO69" si="40">AF38+AF39+AF44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AR38+AR39+AR44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2">AF16+AF17+AF21+AF23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AR16+AR17+AR21+AR23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41</v>
      </c>
      <c r="AB72" s="35"/>
      <c r="AF72" s="70" t="e">
        <f t="shared" ref="AF72:AO72" si="44">AF27+AF28+AF32+AF34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AR27+AR28+AR32+AR34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71" t="s">
        <v>42</v>
      </c>
      <c r="AB73" s="35"/>
      <c r="AF73" s="70" t="e">
        <f t="shared" ref="AF73:AO73" si="46">AF38+AF39+AF43+AF45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AR38+AR39+AR43+AR45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8">AF16+AF17+AF21+AF24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AR16+AR17+AR21+AR24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41</v>
      </c>
      <c r="AB76" s="35"/>
      <c r="AF76" s="70" t="e">
        <f t="shared" ref="AF76:AO76" si="50">AF27+AF28+AF32+AF35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AR27+AR28+AR32+AR35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>
      <c r="AA77" s="71" t="s">
        <v>42</v>
      </c>
      <c r="AB77" s="35"/>
      <c r="AF77" s="70" t="e">
        <f t="shared" ref="AF77:AO77" si="52">AF38+AF39+AF43+AF46</f>
        <v>#REF!</v>
      </c>
      <c r="AG77" s="70" t="e">
        <f t="shared" si="52"/>
        <v>#REF!</v>
      </c>
      <c r="AH77" s="70" t="e">
        <f t="shared" si="52"/>
        <v>#REF!</v>
      </c>
      <c r="AI77" s="70" t="e">
        <f t="shared" si="52"/>
        <v>#REF!</v>
      </c>
      <c r="AJ77" s="70" t="e">
        <f t="shared" si="52"/>
        <v>#REF!</v>
      </c>
      <c r="AK77" s="70" t="e">
        <f t="shared" si="52"/>
        <v>#REF!</v>
      </c>
      <c r="AL77" s="70" t="e">
        <f t="shared" si="52"/>
        <v>#REF!</v>
      </c>
      <c r="AM77" s="70" t="e">
        <f t="shared" si="52"/>
        <v>#REF!</v>
      </c>
      <c r="AN77" s="70" t="e">
        <f t="shared" si="52"/>
        <v>#REF!</v>
      </c>
      <c r="AO77" s="70" t="e">
        <f t="shared" si="52"/>
        <v>#REF!</v>
      </c>
      <c r="AP77" s="70"/>
      <c r="AQ77" s="70"/>
      <c r="AR77" s="70" t="e">
        <f t="shared" ref="AR77:BA77" si="53">AR38+AR39+AR43+AR46</f>
        <v>#REF!</v>
      </c>
      <c r="AS77" s="70" t="e">
        <f t="shared" si="53"/>
        <v>#REF!</v>
      </c>
      <c r="AT77" s="70" t="e">
        <f t="shared" si="53"/>
        <v>#REF!</v>
      </c>
      <c r="AU77" s="70" t="e">
        <f t="shared" si="53"/>
        <v>#REF!</v>
      </c>
      <c r="AV77" s="70" t="e">
        <f t="shared" si="53"/>
        <v>#REF!</v>
      </c>
      <c r="AW77" s="70" t="e">
        <f t="shared" si="53"/>
        <v>#REF!</v>
      </c>
      <c r="AX77" s="70" t="e">
        <f t="shared" si="53"/>
        <v>#REF!</v>
      </c>
      <c r="AY77" s="70" t="e">
        <f t="shared" si="53"/>
        <v>#REF!</v>
      </c>
      <c r="AZ77" s="70" t="e">
        <f t="shared" si="53"/>
        <v>#REF!</v>
      </c>
      <c r="BA77" s="70" t="e">
        <f t="shared" si="53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45" t="s">
        <v>55</v>
      </c>
      <c r="G89" s="545" t="s">
        <v>73</v>
      </c>
      <c r="H89" s="545" t="s">
        <v>74</v>
      </c>
      <c r="I89" s="545" t="s">
        <v>58</v>
      </c>
      <c r="J89" s="545" t="s">
        <v>59</v>
      </c>
      <c r="K89" s="545" t="s">
        <v>60</v>
      </c>
      <c r="L89" s="544" t="s">
        <v>75</v>
      </c>
      <c r="M89" s="544" t="s">
        <v>76</v>
      </c>
      <c r="N89" s="544" t="s">
        <v>61</v>
      </c>
      <c r="O89" s="544" t="s">
        <v>62</v>
      </c>
      <c r="P89" s="544" t="s">
        <v>63</v>
      </c>
      <c r="AN89" s="38"/>
      <c r="AZ89" s="36"/>
    </row>
    <row r="90" spans="1:52" ht="25.5">
      <c r="A90" s="44" t="str">
        <f t="shared" ref="A90:C92" si="54">A4</f>
        <v>Substation General Construction</v>
      </c>
      <c r="B90" s="45" t="str">
        <f t="shared" si="54"/>
        <v>Light-Duty Truck, catalyst</v>
      </c>
      <c r="C90" s="46">
        <f t="shared" si="54"/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1" si="55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si="54"/>
        <v>Substation Below Grade Construction</v>
      </c>
      <c r="B91" s="45" t="str">
        <f t="shared" si="54"/>
        <v>Light-Duty Truck, catalyst</v>
      </c>
      <c r="C91" s="46">
        <f t="shared" si="54"/>
        <v>10</v>
      </c>
      <c r="D91" s="46">
        <v>35</v>
      </c>
      <c r="E91" s="46">
        <v>80</v>
      </c>
      <c r="F91" s="50">
        <f>C5*($E5*$F5+($G5))/453.59</f>
        <v>4.8571938588092012</v>
      </c>
      <c r="G91" s="50">
        <f>C5*($E5*$H5+($I5))/453.59</f>
        <v>0.43670657294378012</v>
      </c>
      <c r="H91" s="50">
        <f>C5*(($E5*$J5)+($K5)+($L5)+($E5*$N5)+(($M5+$O5)))/453.59</f>
        <v>0.50499980323953331</v>
      </c>
      <c r="I91" s="50">
        <f>C5*($E5*$P5+($Q5))/453.59</f>
        <v>7.2679702716061598E-3</v>
      </c>
      <c r="J91" s="50">
        <f>C5*(($E5*($R5+$T5+$U5))+($S5))/453.59</f>
        <v>8.5240904552078958E-2</v>
      </c>
      <c r="K91" s="50">
        <f>$C5*(($E5*($V5+$X5+$Y5))+($W5))/453.59</f>
        <v>3.7120053242531412E-2</v>
      </c>
      <c r="L91" s="50">
        <f>$B$23*C5*(E5+6)</f>
        <v>8.438582586071898E-2</v>
      </c>
      <c r="M91" s="50">
        <f t="shared" si="55"/>
        <v>3.4598188602894778E-2</v>
      </c>
      <c r="N91" s="50">
        <f>C5*($E5*$Z5+($AA5))/453.59</f>
        <v>554.23576726038891</v>
      </c>
      <c r="O91" s="50">
        <f>C5*($E5*$AB5+($AC5))/453.59</f>
        <v>3.1704753890302494E-2</v>
      </c>
      <c r="P91" s="50">
        <f>C5*($E5*$AD5+($AE5))/453.59</f>
        <v>5.7711199138433596E-2</v>
      </c>
      <c r="AN91" s="38"/>
      <c r="AZ91" s="36"/>
    </row>
    <row r="92" spans="1:52" ht="25.5">
      <c r="A92" s="44" t="str">
        <f t="shared" si="54"/>
        <v>Substation Above Grade Construction</v>
      </c>
      <c r="B92" s="45" t="str">
        <f t="shared" si="54"/>
        <v>Light-Duty Truck, catalyst</v>
      </c>
      <c r="C92" s="46">
        <f t="shared" si="54"/>
        <v>5</v>
      </c>
      <c r="D92" s="46">
        <v>35</v>
      </c>
      <c r="E92" s="46">
        <v>80</v>
      </c>
      <c r="F92" s="50">
        <f>C6*($E6*$F6+($G6))/453.59</f>
        <v>2.4285969294046006</v>
      </c>
      <c r="G92" s="50">
        <f>C6*($E6*$H6+($I6))/453.59</f>
        <v>0.21835328647189006</v>
      </c>
      <c r="H92" s="50">
        <f>C6*(($E6*$J6)+($K6)+($L6)+($E6*$N6)+(($M6+$O6)))/453.59</f>
        <v>0.25249990161976665</v>
      </c>
      <c r="I92" s="50">
        <f>C6*($E6*$P6+($Q6))/453.59</f>
        <v>3.6339851358030799E-3</v>
      </c>
      <c r="J92" s="50">
        <f>C6*(($E6*($R6+$T6+$U6))+($S6))/453.59</f>
        <v>4.2620452276039479E-2</v>
      </c>
      <c r="K92" s="50">
        <f>$C6*(($E6*($V6+$X6+$Y6))+($W6))/453.59</f>
        <v>1.8560026621265706E-2</v>
      </c>
      <c r="L92" s="50">
        <f>$B$23*C6*(E6+6)</f>
        <v>4.219291293035949E-2</v>
      </c>
      <c r="M92" s="50">
        <f t="shared" ref="M92" si="56">0.41*L92</f>
        <v>1.7299094301447389E-2</v>
      </c>
      <c r="N92" s="50">
        <f>C6*($E6*$Z6+($AA6))/453.59</f>
        <v>277.11788363019446</v>
      </c>
      <c r="O92" s="50">
        <f>C6*($E6*$AB6+($AC6))/453.59</f>
        <v>1.5852376945151247E-2</v>
      </c>
      <c r="P92" s="50">
        <f>C6*($E6*$AD6+($AE6))/453.59</f>
        <v>2.8855599569216798E-2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>SUM(F90:F92)</f>
        <v>8.7429489458565612</v>
      </c>
      <c r="G93" s="81">
        <f t="shared" ref="G93:P93" si="57">SUM(G90:G92)</f>
        <v>0.7860718312988042</v>
      </c>
      <c r="H93" s="81">
        <f t="shared" si="57"/>
        <v>0.90899964583116</v>
      </c>
      <c r="I93" s="81">
        <f t="shared" si="57"/>
        <v>1.3082346488891087E-2</v>
      </c>
      <c r="J93" s="81">
        <f t="shared" si="57"/>
        <v>0.15343362819374212</v>
      </c>
      <c r="K93" s="81">
        <f t="shared" si="57"/>
        <v>6.6816095836556538E-2</v>
      </c>
      <c r="L93" s="81">
        <f t="shared" si="57"/>
        <v>0.15189448654929416</v>
      </c>
      <c r="M93" s="81">
        <f t="shared" si="57"/>
        <v>6.2276739485210598E-2</v>
      </c>
      <c r="N93" s="81">
        <f t="shared" si="57"/>
        <v>997.62438106870013</v>
      </c>
      <c r="O93" s="81">
        <f t="shared" si="57"/>
        <v>5.7068557002544484E-2</v>
      </c>
      <c r="P93" s="81">
        <f t="shared" si="57"/>
        <v>0.10388015844918047</v>
      </c>
      <c r="AN93" s="38"/>
      <c r="AZ93" s="36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4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630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398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100" t="s">
        <v>287</v>
      </c>
      <c r="B14" s="97" t="s">
        <v>27</v>
      </c>
      <c r="C14" s="97">
        <v>37</v>
      </c>
      <c r="D14" s="22">
        <v>0.37</v>
      </c>
      <c r="E14" s="102">
        <v>3.2313389441625637E-2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0.12374118165784832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0.16056172839506169</v>
      </c>
      <c r="H14" s="102">
        <v>3.2989906092678058E-4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1.3581349206349205E-2</v>
      </c>
      <c r="J14" s="100">
        <f t="shared" ref="J14:J17" si="4">0.89*I14</f>
        <v>1.2087400793650793E-2</v>
      </c>
      <c r="K14" s="103">
        <v>25.519156990664225</v>
      </c>
      <c r="L14" s="102">
        <v>3.413848047070189E-3</v>
      </c>
      <c r="M14" s="104">
        <f t="shared" ref="M14:M17" si="5">0.095*G14</f>
        <v>1.5253364197530862E-2</v>
      </c>
      <c r="N14" s="88">
        <v>1</v>
      </c>
      <c r="O14" s="88">
        <v>1</v>
      </c>
      <c r="P14" s="367">
        <v>75</v>
      </c>
      <c r="Q14" s="26">
        <f t="shared" ref="Q14:Y17" si="6">(E14*$N14*$O14)</f>
        <v>3.2313389441625637E-2</v>
      </c>
      <c r="R14" s="26">
        <f t="shared" si="6"/>
        <v>0.12374118165784832</v>
      </c>
      <c r="S14" s="26">
        <f t="shared" si="6"/>
        <v>0.16056172839506169</v>
      </c>
      <c r="T14" s="26">
        <f t="shared" si="6"/>
        <v>3.2989906092678058E-4</v>
      </c>
      <c r="U14" s="26">
        <f t="shared" si="6"/>
        <v>1.3581349206349205E-2</v>
      </c>
      <c r="V14" s="26">
        <f t="shared" si="6"/>
        <v>1.2087400793650793E-2</v>
      </c>
      <c r="W14" s="26">
        <f t="shared" si="6"/>
        <v>25.519156990664225</v>
      </c>
      <c r="X14" s="26">
        <f t="shared" si="6"/>
        <v>3.413848047070189E-3</v>
      </c>
      <c r="Y14" s="26">
        <f t="shared" si="6"/>
        <v>1.5253364197530862E-2</v>
      </c>
    </row>
    <row r="15" spans="1:25" s="3" customFormat="1">
      <c r="A15" s="100" t="s">
        <v>292</v>
      </c>
      <c r="B15" s="22" t="s">
        <v>27</v>
      </c>
      <c r="C15" s="97">
        <v>69</v>
      </c>
      <c r="D15" s="22">
        <v>0.5</v>
      </c>
      <c r="E15" s="102">
        <v>0.10796897189848784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0.2814153439153439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0.40462962962962956</v>
      </c>
      <c r="H15" s="102">
        <v>7.6125329247041284E-4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2.2817460317460316E-2</v>
      </c>
      <c r="J15" s="100">
        <f t="shared" si="4"/>
        <v>2.030753968253968E-2</v>
      </c>
      <c r="K15" s="103">
        <v>64.895144949977833</v>
      </c>
      <c r="L15" s="102">
        <v>1.0324742188913067E-2</v>
      </c>
      <c r="M15" s="104">
        <f t="shared" si="5"/>
        <v>3.8439814814814809E-2</v>
      </c>
      <c r="N15" s="87">
        <v>1</v>
      </c>
      <c r="O15" s="87">
        <v>6</v>
      </c>
      <c r="P15" s="88">
        <f>8*22</f>
        <v>176</v>
      </c>
      <c r="Q15" s="34">
        <f t="shared" si="6"/>
        <v>0.64781383139092696</v>
      </c>
      <c r="R15" s="26">
        <f t="shared" si="6"/>
        <v>1.6884920634920633</v>
      </c>
      <c r="S15" s="26">
        <f t="shared" si="6"/>
        <v>2.4277777777777771</v>
      </c>
      <c r="T15" s="26">
        <f t="shared" si="6"/>
        <v>4.567519754822477E-3</v>
      </c>
      <c r="U15" s="26">
        <f t="shared" si="6"/>
        <v>0.13690476190476189</v>
      </c>
      <c r="V15" s="26">
        <f t="shared" si="6"/>
        <v>0.12184523809523809</v>
      </c>
      <c r="W15" s="26">
        <f t="shared" si="6"/>
        <v>389.370869699867</v>
      </c>
      <c r="X15" s="26">
        <f t="shared" si="6"/>
        <v>6.1948453133478402E-2</v>
      </c>
      <c r="Y15" s="26">
        <f t="shared" si="6"/>
        <v>0.23063888888888884</v>
      </c>
    </row>
    <row r="16" spans="1:25" s="3" customFormat="1">
      <c r="A16" s="100" t="s">
        <v>124</v>
      </c>
      <c r="B16" s="29" t="s">
        <v>27</v>
      </c>
      <c r="C16" s="97">
        <v>87</v>
      </c>
      <c r="D16" s="22">
        <v>0.37</v>
      </c>
      <c r="E16" s="102">
        <v>7.7253202863558038E-2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0.26257275132275132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0.33506412037037031</v>
      </c>
      <c r="H16" s="102">
        <v>6.910856115004858E-4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2.1289682539682539E-2</v>
      </c>
      <c r="J16" s="100">
        <f t="shared" si="4"/>
        <v>1.894781746031746E-2</v>
      </c>
      <c r="K16" s="103">
        <v>58.913505111712794</v>
      </c>
      <c r="L16" s="102">
        <v>7.5344751889799754E-3</v>
      </c>
      <c r="M16" s="102">
        <f t="shared" si="5"/>
        <v>3.1831091435185178E-2</v>
      </c>
      <c r="N16" s="98">
        <v>1</v>
      </c>
      <c r="O16" s="87">
        <v>8</v>
      </c>
      <c r="P16" s="363">
        <v>15</v>
      </c>
      <c r="Q16" s="34">
        <f t="shared" si="6"/>
        <v>0.6180256229084643</v>
      </c>
      <c r="R16" s="26">
        <f t="shared" si="6"/>
        <v>2.1005820105820106</v>
      </c>
      <c r="S16" s="26">
        <f t="shared" si="6"/>
        <v>2.6805129629629625</v>
      </c>
      <c r="T16" s="26">
        <f t="shared" si="6"/>
        <v>5.5286848920038864E-3</v>
      </c>
      <c r="U16" s="26">
        <f t="shared" si="6"/>
        <v>0.17031746031746031</v>
      </c>
      <c r="V16" s="26">
        <f t="shared" si="6"/>
        <v>0.15158253968253968</v>
      </c>
      <c r="W16" s="26">
        <f t="shared" si="6"/>
        <v>471.30804089370235</v>
      </c>
      <c r="X16" s="26">
        <f t="shared" si="6"/>
        <v>6.0275801511839804E-2</v>
      </c>
      <c r="Y16" s="26">
        <f t="shared" si="6"/>
        <v>0.25464873148148143</v>
      </c>
    </row>
    <row r="17" spans="1:25" s="3" customFormat="1">
      <c r="A17" s="100" t="s">
        <v>126</v>
      </c>
      <c r="B17" s="22" t="s">
        <v>27</v>
      </c>
      <c r="C17" s="22">
        <v>175</v>
      </c>
      <c r="D17" s="22"/>
      <c r="E17" s="102">
        <v>0.11792220738547983</v>
      </c>
      <c r="F17" s="102">
        <v>0.36512193352152528</v>
      </c>
      <c r="G17" s="102">
        <v>0.86781464282266541</v>
      </c>
      <c r="H17" s="102">
        <v>1.8739217498104396E-3</v>
      </c>
      <c r="I17" s="102">
        <v>2.9041712295589866E-2</v>
      </c>
      <c r="J17" s="100">
        <f t="shared" si="4"/>
        <v>2.5847123943074982E-2</v>
      </c>
      <c r="K17" s="103">
        <v>166.54541562452522</v>
      </c>
      <c r="L17" s="102">
        <v>1.063993297769634E-2</v>
      </c>
      <c r="M17" s="104">
        <f t="shared" si="5"/>
        <v>8.2442391068153209E-2</v>
      </c>
      <c r="N17" s="88">
        <v>1</v>
      </c>
      <c r="O17" s="88">
        <v>3</v>
      </c>
      <c r="P17" s="367">
        <v>40</v>
      </c>
      <c r="Q17" s="26">
        <f t="shared" si="6"/>
        <v>0.3537666221564395</v>
      </c>
      <c r="R17" s="26">
        <f t="shared" si="6"/>
        <v>1.0953658005645759</v>
      </c>
      <c r="S17" s="26">
        <f t="shared" si="6"/>
        <v>2.6034439284679962</v>
      </c>
      <c r="T17" s="26">
        <f t="shared" si="6"/>
        <v>5.6217652494313184E-3</v>
      </c>
      <c r="U17" s="26">
        <f t="shared" si="6"/>
        <v>8.7125136886769594E-2</v>
      </c>
      <c r="V17" s="26">
        <f t="shared" si="6"/>
        <v>7.754137182922495E-2</v>
      </c>
      <c r="W17" s="26">
        <f t="shared" si="6"/>
        <v>499.63624687357566</v>
      </c>
      <c r="X17" s="26">
        <f t="shared" si="6"/>
        <v>3.1919798933089022E-2</v>
      </c>
      <c r="Y17" s="26">
        <f t="shared" si="6"/>
        <v>0.24732717320445963</v>
      </c>
    </row>
    <row r="18" spans="1:25" s="3" customFormat="1">
      <c r="A18" s="17" t="s">
        <v>28</v>
      </c>
      <c r="B18" s="97"/>
      <c r="C18" s="22"/>
      <c r="D18" s="22"/>
      <c r="E18" s="23"/>
      <c r="F18" s="23"/>
      <c r="G18" s="23"/>
      <c r="H18" s="23"/>
      <c r="I18" s="23"/>
      <c r="J18" s="24"/>
      <c r="K18" s="25"/>
      <c r="L18" s="23"/>
      <c r="M18" s="23"/>
      <c r="N18" s="88"/>
      <c r="O18" s="88"/>
      <c r="P18" s="88"/>
      <c r="Q18" s="27">
        <f t="shared" ref="Q18:Y18" si="7">SUM(Q14:Q17)</f>
        <v>1.6519194658974565</v>
      </c>
      <c r="R18" s="27">
        <f t="shared" si="7"/>
        <v>5.0081810562964977</v>
      </c>
      <c r="S18" s="27">
        <f t="shared" si="7"/>
        <v>7.8722963976037974</v>
      </c>
      <c r="T18" s="27">
        <f t="shared" si="7"/>
        <v>1.6047868957184463E-2</v>
      </c>
      <c r="U18" s="27">
        <f t="shared" si="7"/>
        <v>0.407928708315341</v>
      </c>
      <c r="V18" s="27">
        <f t="shared" si="7"/>
        <v>0.36305655040065349</v>
      </c>
      <c r="W18" s="27">
        <f t="shared" si="7"/>
        <v>1385.8343144578091</v>
      </c>
      <c r="X18" s="27">
        <f t="shared" si="7"/>
        <v>0.15755790162547742</v>
      </c>
      <c r="Y18" s="27">
        <f t="shared" si="7"/>
        <v>0.74786815777236082</v>
      </c>
    </row>
    <row r="19" spans="1:25" s="3" customFormat="1">
      <c r="A19" s="17"/>
      <c r="B19" s="97"/>
      <c r="C19" s="22"/>
      <c r="D19" s="22"/>
      <c r="E19" s="23"/>
      <c r="F19" s="23"/>
      <c r="G19" s="23"/>
      <c r="H19" s="23"/>
      <c r="I19" s="23"/>
      <c r="J19" s="24"/>
      <c r="K19" s="25"/>
      <c r="L19" s="23"/>
      <c r="M19" s="23"/>
      <c r="N19" s="88"/>
      <c r="O19" s="88"/>
      <c r="P19" s="88"/>
      <c r="Q19" s="27"/>
      <c r="R19" s="27"/>
      <c r="S19" s="27"/>
      <c r="T19" s="27"/>
      <c r="U19" s="27"/>
      <c r="V19" s="27"/>
      <c r="W19" s="27"/>
      <c r="X19" s="27"/>
      <c r="Y19" s="27"/>
    </row>
    <row r="20" spans="1:25">
      <c r="A20" s="11" t="s">
        <v>399</v>
      </c>
      <c r="B20" s="22"/>
      <c r="C20" s="18"/>
      <c r="D20" s="22"/>
      <c r="E20" s="19"/>
      <c r="F20" s="19"/>
      <c r="G20" s="19"/>
      <c r="H20" s="19"/>
      <c r="I20" s="19"/>
      <c r="J20" s="19"/>
      <c r="K20" s="19"/>
      <c r="L20" s="19"/>
      <c r="M20" s="19"/>
      <c r="N20" s="11"/>
      <c r="O20" s="11"/>
      <c r="P20" s="11"/>
      <c r="Q20" s="27"/>
      <c r="R20" s="27"/>
      <c r="S20" s="27"/>
      <c r="T20" s="27"/>
      <c r="U20" s="27"/>
      <c r="V20" s="27"/>
      <c r="W20" s="28"/>
      <c r="X20" s="27"/>
      <c r="Y20" s="27"/>
    </row>
    <row r="21" spans="1:25">
      <c r="A21" s="24" t="s">
        <v>400</v>
      </c>
      <c r="B21" s="29" t="s">
        <v>27</v>
      </c>
      <c r="C21" s="97">
        <v>235</v>
      </c>
      <c r="D21" s="97"/>
      <c r="E21" s="102">
        <v>0.11792220738547983</v>
      </c>
      <c r="F21" s="102">
        <v>0.36512193352152528</v>
      </c>
      <c r="G21" s="102">
        <v>0.86781464282266541</v>
      </c>
      <c r="H21" s="102">
        <v>1.8739217498104396E-3</v>
      </c>
      <c r="I21" s="102">
        <v>2.9041712295589866E-2</v>
      </c>
      <c r="J21" s="100">
        <f t="shared" ref="J21:J22" si="8">0.89*I21</f>
        <v>2.5847123943074982E-2</v>
      </c>
      <c r="K21" s="103">
        <v>166.54541562452522</v>
      </c>
      <c r="L21" s="102">
        <v>1.063993297769634E-2</v>
      </c>
      <c r="M21" s="104">
        <f t="shared" ref="M21:M22" si="9">0.095*G21</f>
        <v>8.2442391068153209E-2</v>
      </c>
      <c r="N21" s="98">
        <v>1</v>
      </c>
      <c r="O21" s="87">
        <v>8</v>
      </c>
      <c r="P21" s="88">
        <v>4</v>
      </c>
      <c r="Q21" s="34">
        <f t="shared" ref="Q21:Y22" si="10">(E21*$N21*$O21)</f>
        <v>0.94337765908383864</v>
      </c>
      <c r="R21" s="26">
        <f t="shared" si="10"/>
        <v>2.9209754681722022</v>
      </c>
      <c r="S21" s="26">
        <f t="shared" si="10"/>
        <v>6.9425171425813232</v>
      </c>
      <c r="T21" s="26">
        <f t="shared" si="10"/>
        <v>1.4991373998483517E-2</v>
      </c>
      <c r="U21" s="26">
        <f t="shared" si="10"/>
        <v>0.23233369836471893</v>
      </c>
      <c r="V21" s="26">
        <f t="shared" si="10"/>
        <v>0.20677699154459986</v>
      </c>
      <c r="W21" s="26">
        <f t="shared" si="10"/>
        <v>1332.3633249962018</v>
      </c>
      <c r="X21" s="26">
        <f t="shared" si="10"/>
        <v>8.5119463821570721E-2</v>
      </c>
      <c r="Y21" s="26">
        <f t="shared" si="10"/>
        <v>0.65953912854522567</v>
      </c>
    </row>
    <row r="22" spans="1:25">
      <c r="A22" s="24" t="s">
        <v>297</v>
      </c>
      <c r="B22" s="29" t="s">
        <v>27</v>
      </c>
      <c r="C22" s="97">
        <v>235</v>
      </c>
      <c r="D22" s="97"/>
      <c r="E22" s="102">
        <v>0.11792220738547983</v>
      </c>
      <c r="F22" s="102">
        <v>0.36512193352152528</v>
      </c>
      <c r="G22" s="102">
        <v>0.86781464282266541</v>
      </c>
      <c r="H22" s="102">
        <v>1.8739217498104396E-3</v>
      </c>
      <c r="I22" s="102">
        <v>2.9041712295589866E-2</v>
      </c>
      <c r="J22" s="100">
        <f t="shared" si="8"/>
        <v>2.5847123943074982E-2</v>
      </c>
      <c r="K22" s="103">
        <v>166.54541562452522</v>
      </c>
      <c r="L22" s="102">
        <v>1.063993297769634E-2</v>
      </c>
      <c r="M22" s="104">
        <f t="shared" si="9"/>
        <v>8.2442391068153209E-2</v>
      </c>
      <c r="N22" s="98">
        <v>1</v>
      </c>
      <c r="O22" s="87">
        <v>8</v>
      </c>
      <c r="P22" s="88">
        <v>4</v>
      </c>
      <c r="Q22" s="34">
        <f t="shared" si="10"/>
        <v>0.94337765908383864</v>
      </c>
      <c r="R22" s="26">
        <f t="shared" si="10"/>
        <v>2.9209754681722022</v>
      </c>
      <c r="S22" s="26">
        <f t="shared" si="10"/>
        <v>6.9425171425813232</v>
      </c>
      <c r="T22" s="26">
        <f t="shared" si="10"/>
        <v>1.4991373998483517E-2</v>
      </c>
      <c r="U22" s="26">
        <f t="shared" si="10"/>
        <v>0.23233369836471893</v>
      </c>
      <c r="V22" s="26">
        <f t="shared" si="10"/>
        <v>0.20677699154459986</v>
      </c>
      <c r="W22" s="26">
        <f t="shared" si="10"/>
        <v>1332.3633249962018</v>
      </c>
      <c r="X22" s="26">
        <f t="shared" si="10"/>
        <v>8.5119463821570721E-2</v>
      </c>
      <c r="Y22" s="26">
        <f t="shared" si="10"/>
        <v>0.65953912854522567</v>
      </c>
    </row>
    <row r="23" spans="1:25">
      <c r="A23" s="17" t="s">
        <v>28</v>
      </c>
      <c r="B23" s="97"/>
      <c r="C23" s="22"/>
      <c r="D23" s="22"/>
      <c r="E23" s="23"/>
      <c r="F23" s="23"/>
      <c r="G23" s="23"/>
      <c r="H23" s="23"/>
      <c r="I23" s="23"/>
      <c r="J23" s="24"/>
      <c r="K23" s="25"/>
      <c r="L23" s="23"/>
      <c r="M23" s="23"/>
      <c r="N23" s="88"/>
      <c r="O23" s="88"/>
      <c r="P23" s="88"/>
      <c r="Q23" s="27">
        <f t="shared" ref="Q23:Y23" si="11">SUM(Q21:Q22)</f>
        <v>1.8867553181676773</v>
      </c>
      <c r="R23" s="27">
        <f t="shared" si="11"/>
        <v>5.8419509363444044</v>
      </c>
      <c r="S23" s="27">
        <f t="shared" si="11"/>
        <v>13.885034285162646</v>
      </c>
      <c r="T23" s="27">
        <f t="shared" si="11"/>
        <v>2.9982747996967034E-2</v>
      </c>
      <c r="U23" s="27">
        <f t="shared" si="11"/>
        <v>0.46466739672943785</v>
      </c>
      <c r="V23" s="27">
        <f t="shared" si="11"/>
        <v>0.41355398308919972</v>
      </c>
      <c r="W23" s="27">
        <f t="shared" si="11"/>
        <v>2664.7266499924035</v>
      </c>
      <c r="X23" s="27">
        <f t="shared" si="11"/>
        <v>0.17023892764314144</v>
      </c>
      <c r="Y23" s="27">
        <f t="shared" si="11"/>
        <v>1.3190782570904513</v>
      </c>
    </row>
    <row r="24" spans="1:25">
      <c r="A24" s="17" t="s">
        <v>499</v>
      </c>
      <c r="B24" s="549"/>
      <c r="C24" s="18"/>
      <c r="D24" s="22"/>
      <c r="E24" s="19"/>
      <c r="F24" s="19"/>
      <c r="G24" s="19"/>
      <c r="H24" s="19"/>
      <c r="I24" s="19"/>
      <c r="J24" s="19"/>
      <c r="K24" s="19"/>
      <c r="L24" s="19"/>
      <c r="M24" s="19"/>
      <c r="N24" s="30"/>
      <c r="O24" s="30"/>
      <c r="P24" s="364"/>
      <c r="Q24" s="20">
        <f>Q11+Q18+Q23</f>
        <v>4.2532519071567307</v>
      </c>
      <c r="R24" s="20">
        <f t="shared" ref="R24:Y24" si="12">R11+R18+R23</f>
        <v>13.804291203599295</v>
      </c>
      <c r="S24" s="20">
        <f t="shared" si="12"/>
        <v>26.178387128905602</v>
      </c>
      <c r="T24" s="20">
        <f t="shared" si="12"/>
        <v>5.4353683190229374E-2</v>
      </c>
      <c r="U24" s="20">
        <f t="shared" si="12"/>
        <v>1.1184043973608264</v>
      </c>
      <c r="V24" s="20">
        <f t="shared" si="12"/>
        <v>0.99537991365113543</v>
      </c>
      <c r="W24" s="20">
        <f t="shared" si="12"/>
        <v>4747.0144569352406</v>
      </c>
      <c r="X24" s="20">
        <f t="shared" si="12"/>
        <v>0.40033663545918863</v>
      </c>
      <c r="Y24" s="20">
        <f t="shared" si="12"/>
        <v>2.4869467772460321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4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631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C9*(F9)*$B$311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C10*(F10)*$B$311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334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C14*(F14)*$B$253</f>
        <v>0</v>
      </c>
      <c r="AA14" s="50">
        <f>Z14*0.21</f>
        <v>0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0.19978255106729004</v>
      </c>
      <c r="U15" s="81">
        <f t="shared" si="1"/>
        <v>0.36881875565943734</v>
      </c>
      <c r="V15" s="81">
        <f t="shared" si="1"/>
        <v>4.50613455258927E-2</v>
      </c>
      <c r="W15" s="81">
        <f t="shared" si="1"/>
        <v>2.7797226812149543E-3</v>
      </c>
      <c r="X15" s="81">
        <f t="shared" si="1"/>
        <v>7.2738929740302244E-2</v>
      </c>
      <c r="Y15" s="81">
        <f t="shared" si="1"/>
        <v>4.8332197965954803E-2</v>
      </c>
      <c r="Z15" s="81">
        <f t="shared" si="1"/>
        <v>0</v>
      </c>
      <c r="AA15" s="81">
        <f t="shared" si="1"/>
        <v>0</v>
      </c>
      <c r="AB15" s="81">
        <f t="shared" si="1"/>
        <v>193.62821118051326</v>
      </c>
      <c r="AC15" s="81">
        <f t="shared" si="1"/>
        <v>1.1064496871488068E-2</v>
      </c>
      <c r="AD15" s="81">
        <f t="shared" si="1"/>
        <v>4.9599802576000274E-3</v>
      </c>
    </row>
    <row r="16" spans="1:30">
      <c r="A16" s="75"/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</row>
    <row r="17" spans="1:30">
      <c r="A17" s="114" t="s">
        <v>336</v>
      </c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61"/>
      <c r="U17" s="61"/>
      <c r="V17" s="61"/>
      <c r="W17" s="61"/>
      <c r="X17" s="61"/>
      <c r="Y17" s="61"/>
      <c r="Z17" s="62"/>
      <c r="AA17" s="62"/>
      <c r="AB17" s="62"/>
      <c r="AC17" s="62"/>
      <c r="AD17" s="62"/>
    </row>
    <row r="18" spans="1:30">
      <c r="A18" s="78" t="s">
        <v>320</v>
      </c>
      <c r="B18" s="76" t="s">
        <v>95</v>
      </c>
      <c r="C18" s="79">
        <v>3</v>
      </c>
      <c r="D18" s="77"/>
      <c r="E18" s="77">
        <v>35</v>
      </c>
      <c r="F18" s="77">
        <v>60</v>
      </c>
      <c r="G18" s="106">
        <v>0.25172046482947802</v>
      </c>
      <c r="H18" s="106">
        <v>0.464701387165456</v>
      </c>
      <c r="I18" s="106">
        <v>5.6776043658582402E-2</v>
      </c>
      <c r="J18" s="106">
        <v>3.5023733638119199E-3</v>
      </c>
      <c r="K18" s="106">
        <v>4.6899256897933901E-2</v>
      </c>
      <c r="L18" s="47">
        <v>7.99995847163921E-3</v>
      </c>
      <c r="M18" s="47">
        <v>3.6749815577381599E-2</v>
      </c>
      <c r="N18" s="106">
        <v>4.3147317248333997E-2</v>
      </c>
      <c r="O18" s="47">
        <v>1.9999896145790402E-3</v>
      </c>
      <c r="P18" s="47">
        <v>1.57499200131354E-2</v>
      </c>
      <c r="Q18" s="106">
        <v>243.966167526025</v>
      </c>
      <c r="R18" s="47">
        <f>0.000057143*Q18</f>
        <v>1.3940958710939646E-2</v>
      </c>
      <c r="S18" s="80">
        <f>0.000025616*Q18</f>
        <v>6.2494373473466567E-3</v>
      </c>
      <c r="T18" s="50">
        <f>C18*($F18*$G18)/453.59</f>
        <v>9.9891275533645019E-2</v>
      </c>
      <c r="U18" s="50">
        <f>C18*($F18*$H18)/453.59</f>
        <v>0.18440937782971867</v>
      </c>
      <c r="V18" s="50">
        <f>C18*(($F18*$I18))/453.59</f>
        <v>2.253067276294635E-2</v>
      </c>
      <c r="W18" s="50">
        <f>C18*($F18*$J18)/453.59</f>
        <v>1.3898613406074772E-3</v>
      </c>
      <c r="X18" s="50">
        <f>C18*(($F18*($K18+$L18+$M18)))/453.59</f>
        <v>3.6369464870151122E-2</v>
      </c>
      <c r="Y18" s="50">
        <f>C18*(($F18*($N18+$O18+$P18)))/453.59</f>
        <v>2.4166098982977401E-2</v>
      </c>
      <c r="Z18" s="50">
        <f>C18*(F18)*$B$336</f>
        <v>0</v>
      </c>
      <c r="AA18" s="50">
        <f>Z18*0.21</f>
        <v>0</v>
      </c>
      <c r="AB18" s="50">
        <f>C18*(($F18*($Q18)))/453.59</f>
        <v>96.814105590256631</v>
      </c>
      <c r="AC18" s="50">
        <f>C18*(($F18*($R18)))/453.59</f>
        <v>5.5322484357440338E-3</v>
      </c>
      <c r="AD18" s="50">
        <f>C18*(($F18*($S18)))/453.59</f>
        <v>2.4799901288000137E-3</v>
      </c>
    </row>
    <row r="19" spans="1:30">
      <c r="A19" s="75" t="s">
        <v>28</v>
      </c>
      <c r="B19" s="74"/>
      <c r="C19" s="112"/>
      <c r="D19" s="112"/>
      <c r="E19" s="74"/>
      <c r="F19" s="74"/>
      <c r="G19" s="577"/>
      <c r="H19" s="41"/>
      <c r="I19" s="41"/>
      <c r="J19" s="41"/>
      <c r="K19" s="574"/>
      <c r="L19" s="574"/>
      <c r="M19" s="574"/>
      <c r="N19" s="574"/>
      <c r="O19" s="574"/>
      <c r="P19" s="574"/>
      <c r="Q19" s="41"/>
      <c r="R19" s="574"/>
      <c r="S19" s="574"/>
      <c r="T19" s="81">
        <f t="shared" ref="T19:AD19" si="2">SUM(T18:T18)</f>
        <v>9.9891275533645019E-2</v>
      </c>
      <c r="U19" s="81">
        <f t="shared" si="2"/>
        <v>0.18440937782971867</v>
      </c>
      <c r="V19" s="81">
        <f t="shared" si="2"/>
        <v>2.253067276294635E-2</v>
      </c>
      <c r="W19" s="81">
        <f t="shared" si="2"/>
        <v>1.3898613406074772E-3</v>
      </c>
      <c r="X19" s="81">
        <f t="shared" si="2"/>
        <v>3.6369464870151122E-2</v>
      </c>
      <c r="Y19" s="81">
        <f t="shared" si="2"/>
        <v>2.4166098982977401E-2</v>
      </c>
      <c r="Z19" s="81">
        <f t="shared" si="2"/>
        <v>0</v>
      </c>
      <c r="AA19" s="81">
        <f t="shared" si="2"/>
        <v>0</v>
      </c>
      <c r="AB19" s="81">
        <f t="shared" si="2"/>
        <v>96.814105590256631</v>
      </c>
      <c r="AC19" s="81">
        <f t="shared" si="2"/>
        <v>5.5322484357440338E-3</v>
      </c>
      <c r="AD19" s="81">
        <f t="shared" si="2"/>
        <v>2.4799901288000137E-3</v>
      </c>
    </row>
    <row r="20" spans="1:30">
      <c r="A20" s="75" t="s">
        <v>388</v>
      </c>
      <c r="B20" s="74"/>
      <c r="C20" s="112"/>
      <c r="D20" s="112"/>
      <c r="E20" s="74"/>
      <c r="F20" s="74"/>
      <c r="G20" s="547"/>
      <c r="H20" s="41"/>
      <c r="I20" s="41"/>
      <c r="J20" s="41"/>
      <c r="K20" s="544"/>
      <c r="L20" s="544"/>
      <c r="M20" s="544"/>
      <c r="N20" s="544"/>
      <c r="O20" s="544"/>
      <c r="P20" s="544"/>
      <c r="Q20" s="41"/>
      <c r="R20" s="544"/>
      <c r="S20" s="544"/>
      <c r="T20" s="81">
        <f>T11+T15+T19</f>
        <v>0.59051106942383247</v>
      </c>
      <c r="U20" s="81">
        <f t="shared" ref="U20:AD20" si="3">U11+U15+U19</f>
        <v>1.6144243701047405</v>
      </c>
      <c r="V20" s="81">
        <f t="shared" si="3"/>
        <v>0.13641650277605957</v>
      </c>
      <c r="W20" s="81">
        <f t="shared" si="3"/>
        <v>7.448696536397589E-3</v>
      </c>
      <c r="X20" s="81">
        <f t="shared" si="3"/>
        <v>0.17535848125533138</v>
      </c>
      <c r="Y20" s="81">
        <f t="shared" si="3"/>
        <v>0.11867638057804074</v>
      </c>
      <c r="Z20" s="81">
        <f t="shared" si="3"/>
        <v>0</v>
      </c>
      <c r="AA20" s="81">
        <f t="shared" si="3"/>
        <v>0</v>
      </c>
      <c r="AB20" s="81">
        <f t="shared" si="3"/>
        <v>688.97843208459187</v>
      </c>
      <c r="AC20" s="81">
        <f t="shared" si="3"/>
        <v>2.4816045271017211E-2</v>
      </c>
      <c r="AD20" s="81">
        <f t="shared" si="3"/>
        <v>1.7648871516278905E-2</v>
      </c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372" spans="1:2" ht="25.5">
      <c r="A372" s="82" t="s">
        <v>109</v>
      </c>
    </row>
    <row r="374" spans="1:2">
      <c r="A374" s="36" t="s">
        <v>81</v>
      </c>
    </row>
    <row r="375" spans="1:2">
      <c r="A375" s="36" t="s">
        <v>82</v>
      </c>
    </row>
    <row r="376" spans="1:2">
      <c r="A376" s="36" t="s">
        <v>83</v>
      </c>
    </row>
    <row r="377" spans="1:2">
      <c r="A377" s="37" t="s">
        <v>96</v>
      </c>
    </row>
    <row r="378" spans="1:2">
      <c r="A378" s="36" t="s">
        <v>85</v>
      </c>
    </row>
    <row r="379" spans="1:2">
      <c r="A379" s="36" t="s">
        <v>86</v>
      </c>
    </row>
    <row r="380" spans="1:2">
      <c r="A380" s="36" t="s">
        <v>87</v>
      </c>
    </row>
    <row r="381" spans="1:2">
      <c r="A381" s="36" t="s">
        <v>0</v>
      </c>
    </row>
    <row r="382" spans="1:2">
      <c r="A382" s="37" t="s">
        <v>97</v>
      </c>
      <c r="B382" s="36">
        <f>(0.016*(0.03/2)^0.65*(2/3)^1.5)-0.00047</f>
        <v>9.8123053326417428E-5</v>
      </c>
    </row>
    <row r="383" spans="1:2">
      <c r="A383" s="37" t="s">
        <v>98</v>
      </c>
      <c r="B383" s="36">
        <f>(0.016*(0.03/2)^0.65*(13/3)^1.5)-0.00047</f>
        <v>8.9448292388582783E-3</v>
      </c>
    </row>
    <row r="384" spans="1:2">
      <c r="A384" s="37" t="s">
        <v>99</v>
      </c>
      <c r="B384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632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67" ht="25.5">
      <c r="A5" s="44" t="s">
        <v>334</v>
      </c>
      <c r="B5" s="45" t="s">
        <v>102</v>
      </c>
      <c r="C5" s="46">
        <v>10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ref="AC5" si="2">0.000049261*AA5</f>
        <v>2.2095931710230707E-2</v>
      </c>
      <c r="AD5" s="49">
        <v>3.2599999999999997E-2</v>
      </c>
      <c r="AE5" s="47">
        <f t="shared" ref="AE5" si="3">0.000021675*AA5</f>
        <v>9.7222817202097123E-3</v>
      </c>
    </row>
    <row r="6" spans="1:67" ht="25.5">
      <c r="A6" s="44" t="s">
        <v>336</v>
      </c>
      <c r="B6" s="45" t="s">
        <v>102</v>
      </c>
      <c r="C6" s="46">
        <v>5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546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4">AG$11*$AC16</f>
        <v>#REF!</v>
      </c>
      <c r="AH16" s="36" t="e">
        <f t="shared" si="4"/>
        <v>#REF!</v>
      </c>
      <c r="AI16" s="36" t="e">
        <f t="shared" si="4"/>
        <v>#REF!</v>
      </c>
      <c r="AJ16" s="36" t="e">
        <f t="shared" si="4"/>
        <v>#REF!</v>
      </c>
      <c r="AK16" s="36" t="e">
        <f t="shared" si="4"/>
        <v>#REF!</v>
      </c>
      <c r="AL16" s="36" t="e">
        <f t="shared" si="4"/>
        <v>#REF!</v>
      </c>
      <c r="AM16" s="36" t="e">
        <f t="shared" si="4"/>
        <v>#REF!</v>
      </c>
      <c r="AN16" s="36" t="e">
        <f t="shared" si="4"/>
        <v>#REF!</v>
      </c>
      <c r="AO16" s="36" t="e">
        <f t="shared" si="4"/>
        <v>#REF!</v>
      </c>
      <c r="AQ16" s="38"/>
      <c r="AR16" s="36" t="e">
        <f>AR$11*$AC16</f>
        <v>#REF!</v>
      </c>
      <c r="AS16" s="36" t="e">
        <f t="shared" ref="AS16:BA24" si="5">AS$11*$AC16</f>
        <v>#REF!</v>
      </c>
      <c r="AT16" s="36" t="e">
        <f t="shared" si="5"/>
        <v>#REF!</v>
      </c>
      <c r="AU16" s="36" t="e">
        <f t="shared" si="5"/>
        <v>#REF!</v>
      </c>
      <c r="AV16" s="36" t="e">
        <f t="shared" si="5"/>
        <v>#REF!</v>
      </c>
      <c r="AW16" s="36" t="e">
        <f t="shared" si="5"/>
        <v>#REF!</v>
      </c>
      <c r="AX16" s="36" t="e">
        <f t="shared" si="5"/>
        <v>#REF!</v>
      </c>
      <c r="AY16" s="36" t="e">
        <f t="shared" si="5"/>
        <v>#REF!</v>
      </c>
      <c r="AZ16" s="36" t="e">
        <f t="shared" si="5"/>
        <v>#REF!</v>
      </c>
      <c r="BA16" s="36" t="e">
        <f t="shared" si="5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6">AF$11*$AC17</f>
        <v>#REF!</v>
      </c>
      <c r="AG17" s="36" t="e">
        <f t="shared" si="4"/>
        <v>#REF!</v>
      </c>
      <c r="AH17" s="36" t="e">
        <f t="shared" si="4"/>
        <v>#REF!</v>
      </c>
      <c r="AI17" s="36" t="e">
        <f t="shared" si="4"/>
        <v>#REF!</v>
      </c>
      <c r="AJ17" s="36" t="e">
        <f t="shared" si="4"/>
        <v>#REF!</v>
      </c>
      <c r="AK17" s="36" t="e">
        <f t="shared" si="4"/>
        <v>#REF!</v>
      </c>
      <c r="AL17" s="36" t="e">
        <f t="shared" si="4"/>
        <v>#REF!</v>
      </c>
      <c r="AM17" s="36" t="e">
        <f t="shared" si="4"/>
        <v>#REF!</v>
      </c>
      <c r="AN17" s="36" t="e">
        <f t="shared" si="4"/>
        <v>#REF!</v>
      </c>
      <c r="AO17" s="36" t="e">
        <f t="shared" si="4"/>
        <v>#REF!</v>
      </c>
      <c r="AQ17" s="38"/>
      <c r="AR17" s="36" t="e">
        <f t="shared" ref="AR17:AR24" si="7">AR$11*$AC17</f>
        <v>#REF!</v>
      </c>
      <c r="AS17" s="36" t="e">
        <f t="shared" si="5"/>
        <v>#REF!</v>
      </c>
      <c r="AT17" s="36" t="e">
        <f t="shared" si="5"/>
        <v>#REF!</v>
      </c>
      <c r="AU17" s="36" t="e">
        <f t="shared" si="5"/>
        <v>#REF!</v>
      </c>
      <c r="AV17" s="36" t="e">
        <f t="shared" si="5"/>
        <v>#REF!</v>
      </c>
      <c r="AW17" s="36" t="e">
        <f t="shared" si="5"/>
        <v>#REF!</v>
      </c>
      <c r="AX17" s="36" t="e">
        <f t="shared" si="5"/>
        <v>#REF!</v>
      </c>
      <c r="AY17" s="36" t="e">
        <f t="shared" si="5"/>
        <v>#REF!</v>
      </c>
      <c r="AZ17" s="36" t="e">
        <f t="shared" si="5"/>
        <v>#REF!</v>
      </c>
      <c r="BA17" s="36" t="e">
        <f t="shared" si="5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6"/>
        <v>#REF!</v>
      </c>
      <c r="AG18" s="36" t="e">
        <f t="shared" si="4"/>
        <v>#REF!</v>
      </c>
      <c r="AH18" s="36" t="e">
        <f t="shared" si="4"/>
        <v>#REF!</v>
      </c>
      <c r="AI18" s="36" t="e">
        <f t="shared" si="4"/>
        <v>#REF!</v>
      </c>
      <c r="AJ18" s="36" t="e">
        <f t="shared" si="4"/>
        <v>#REF!</v>
      </c>
      <c r="AK18" s="36" t="e">
        <f t="shared" si="4"/>
        <v>#REF!</v>
      </c>
      <c r="AL18" s="36" t="e">
        <f t="shared" si="4"/>
        <v>#REF!</v>
      </c>
      <c r="AM18" s="36" t="e">
        <f t="shared" si="4"/>
        <v>#REF!</v>
      </c>
      <c r="AN18" s="36" t="e">
        <f t="shared" si="4"/>
        <v>#REF!</v>
      </c>
      <c r="AO18" s="36" t="e">
        <f t="shared" si="4"/>
        <v>#REF!</v>
      </c>
      <c r="AQ18" s="38"/>
      <c r="AR18" s="36" t="e">
        <f t="shared" si="7"/>
        <v>#REF!</v>
      </c>
      <c r="AS18" s="36" t="e">
        <f t="shared" si="5"/>
        <v>#REF!</v>
      </c>
      <c r="AT18" s="36" t="e">
        <f t="shared" si="5"/>
        <v>#REF!</v>
      </c>
      <c r="AU18" s="36" t="e">
        <f t="shared" si="5"/>
        <v>#REF!</v>
      </c>
      <c r="AV18" s="36" t="e">
        <f t="shared" si="5"/>
        <v>#REF!</v>
      </c>
      <c r="AW18" s="36" t="e">
        <f t="shared" si="5"/>
        <v>#REF!</v>
      </c>
      <c r="AX18" s="36" t="e">
        <f t="shared" si="5"/>
        <v>#REF!</v>
      </c>
      <c r="AY18" s="36" t="e">
        <f t="shared" si="5"/>
        <v>#REF!</v>
      </c>
      <c r="AZ18" s="36" t="e">
        <f t="shared" si="5"/>
        <v>#REF!</v>
      </c>
      <c r="BA18" s="36" t="e">
        <f t="shared" si="5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6"/>
        <v>#REF!</v>
      </c>
      <c r="AG19" s="36" t="e">
        <f t="shared" si="4"/>
        <v>#REF!</v>
      </c>
      <c r="AH19" s="36" t="e">
        <f t="shared" si="4"/>
        <v>#REF!</v>
      </c>
      <c r="AI19" s="36" t="e">
        <f t="shared" si="4"/>
        <v>#REF!</v>
      </c>
      <c r="AJ19" s="36" t="e">
        <f t="shared" si="4"/>
        <v>#REF!</v>
      </c>
      <c r="AK19" s="36" t="e">
        <f t="shared" si="4"/>
        <v>#REF!</v>
      </c>
      <c r="AL19" s="36" t="e">
        <f t="shared" si="4"/>
        <v>#REF!</v>
      </c>
      <c r="AM19" s="36" t="e">
        <f t="shared" si="4"/>
        <v>#REF!</v>
      </c>
      <c r="AN19" s="36" t="e">
        <f t="shared" si="4"/>
        <v>#REF!</v>
      </c>
      <c r="AO19" s="36" t="e">
        <f t="shared" si="4"/>
        <v>#REF!</v>
      </c>
      <c r="AQ19" s="38"/>
      <c r="AR19" s="36" t="e">
        <f t="shared" si="7"/>
        <v>#REF!</v>
      </c>
      <c r="AS19" s="36" t="e">
        <f t="shared" si="5"/>
        <v>#REF!</v>
      </c>
      <c r="AT19" s="36" t="e">
        <f t="shared" si="5"/>
        <v>#REF!</v>
      </c>
      <c r="AU19" s="36" t="e">
        <f t="shared" si="5"/>
        <v>#REF!</v>
      </c>
      <c r="AV19" s="36" t="e">
        <f t="shared" si="5"/>
        <v>#REF!</v>
      </c>
      <c r="AW19" s="36" t="e">
        <f t="shared" si="5"/>
        <v>#REF!</v>
      </c>
      <c r="AX19" s="36" t="e">
        <f t="shared" si="5"/>
        <v>#REF!</v>
      </c>
      <c r="AY19" s="36" t="e">
        <f t="shared" si="5"/>
        <v>#REF!</v>
      </c>
      <c r="AZ19" s="36" t="e">
        <f t="shared" si="5"/>
        <v>#REF!</v>
      </c>
      <c r="BA19" s="36" t="e">
        <f t="shared" si="5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6"/>
        <v>#REF!</v>
      </c>
      <c r="AG20" s="36" t="e">
        <f t="shared" si="4"/>
        <v>#REF!</v>
      </c>
      <c r="AH20" s="36" t="e">
        <f t="shared" si="4"/>
        <v>#REF!</v>
      </c>
      <c r="AI20" s="36" t="e">
        <f t="shared" si="4"/>
        <v>#REF!</v>
      </c>
      <c r="AJ20" s="36" t="e">
        <f t="shared" si="4"/>
        <v>#REF!</v>
      </c>
      <c r="AK20" s="36" t="e">
        <f t="shared" si="4"/>
        <v>#REF!</v>
      </c>
      <c r="AL20" s="36" t="e">
        <f t="shared" si="4"/>
        <v>#REF!</v>
      </c>
      <c r="AM20" s="36" t="e">
        <f t="shared" si="4"/>
        <v>#REF!</v>
      </c>
      <c r="AN20" s="36" t="e">
        <f t="shared" si="4"/>
        <v>#REF!</v>
      </c>
      <c r="AO20" s="36" t="e">
        <f t="shared" si="4"/>
        <v>#REF!</v>
      </c>
      <c r="AQ20" s="38"/>
      <c r="AR20" s="36" t="e">
        <f t="shared" si="7"/>
        <v>#REF!</v>
      </c>
      <c r="AS20" s="36" t="e">
        <f t="shared" si="5"/>
        <v>#REF!</v>
      </c>
      <c r="AT20" s="36" t="e">
        <f t="shared" si="5"/>
        <v>#REF!</v>
      </c>
      <c r="AU20" s="36" t="e">
        <f t="shared" si="5"/>
        <v>#REF!</v>
      </c>
      <c r="AV20" s="36" t="e">
        <f t="shared" si="5"/>
        <v>#REF!</v>
      </c>
      <c r="AW20" s="36" t="e">
        <f t="shared" si="5"/>
        <v>#REF!</v>
      </c>
      <c r="AX20" s="36" t="e">
        <f t="shared" si="5"/>
        <v>#REF!</v>
      </c>
      <c r="AY20" s="36" t="e">
        <f t="shared" si="5"/>
        <v>#REF!</v>
      </c>
      <c r="AZ20" s="36" t="e">
        <f t="shared" si="5"/>
        <v>#REF!</v>
      </c>
      <c r="BA20" s="36" t="e">
        <f t="shared" si="5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6"/>
        <v>#REF!</v>
      </c>
      <c r="AG21" s="36" t="e">
        <f t="shared" si="4"/>
        <v>#REF!</v>
      </c>
      <c r="AH21" s="36" t="e">
        <f t="shared" si="4"/>
        <v>#REF!</v>
      </c>
      <c r="AI21" s="36" t="e">
        <f t="shared" si="4"/>
        <v>#REF!</v>
      </c>
      <c r="AJ21" s="36" t="e">
        <f t="shared" si="4"/>
        <v>#REF!</v>
      </c>
      <c r="AK21" s="36" t="e">
        <f t="shared" si="4"/>
        <v>#REF!</v>
      </c>
      <c r="AL21" s="36" t="e">
        <f t="shared" si="4"/>
        <v>#REF!</v>
      </c>
      <c r="AM21" s="36" t="e">
        <f t="shared" si="4"/>
        <v>#REF!</v>
      </c>
      <c r="AN21" s="36" t="e">
        <f t="shared" si="4"/>
        <v>#REF!</v>
      </c>
      <c r="AO21" s="36" t="e">
        <f t="shared" si="4"/>
        <v>#REF!</v>
      </c>
      <c r="AQ21" s="38"/>
      <c r="AR21" s="36" t="e">
        <f t="shared" si="7"/>
        <v>#REF!</v>
      </c>
      <c r="AS21" s="36" t="e">
        <f t="shared" si="5"/>
        <v>#REF!</v>
      </c>
      <c r="AT21" s="36" t="e">
        <f t="shared" si="5"/>
        <v>#REF!</v>
      </c>
      <c r="AU21" s="36" t="e">
        <f t="shared" si="5"/>
        <v>#REF!</v>
      </c>
      <c r="AV21" s="36" t="e">
        <f t="shared" si="5"/>
        <v>#REF!</v>
      </c>
      <c r="AW21" s="36" t="e">
        <f t="shared" si="5"/>
        <v>#REF!</v>
      </c>
      <c r="AX21" s="36" t="e">
        <f t="shared" si="5"/>
        <v>#REF!</v>
      </c>
      <c r="AY21" s="36" t="e">
        <f t="shared" si="5"/>
        <v>#REF!</v>
      </c>
      <c r="AZ21" s="36" t="e">
        <f t="shared" si="5"/>
        <v>#REF!</v>
      </c>
      <c r="BA21" s="36" t="e">
        <f t="shared" si="5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6"/>
        <v>#REF!</v>
      </c>
      <c r="AG22" s="36" t="e">
        <f t="shared" si="4"/>
        <v>#REF!</v>
      </c>
      <c r="AH22" s="36" t="e">
        <f t="shared" si="4"/>
        <v>#REF!</v>
      </c>
      <c r="AI22" s="36" t="e">
        <f t="shared" si="4"/>
        <v>#REF!</v>
      </c>
      <c r="AJ22" s="36" t="e">
        <f t="shared" si="4"/>
        <v>#REF!</v>
      </c>
      <c r="AK22" s="36" t="e">
        <f t="shared" si="4"/>
        <v>#REF!</v>
      </c>
      <c r="AL22" s="36" t="e">
        <f t="shared" si="4"/>
        <v>#REF!</v>
      </c>
      <c r="AM22" s="36" t="e">
        <f t="shared" si="4"/>
        <v>#REF!</v>
      </c>
      <c r="AN22" s="36" t="e">
        <f t="shared" si="4"/>
        <v>#REF!</v>
      </c>
      <c r="AO22" s="36" t="e">
        <f t="shared" si="4"/>
        <v>#REF!</v>
      </c>
      <c r="AQ22" s="38"/>
      <c r="AR22" s="36" t="e">
        <f t="shared" si="7"/>
        <v>#REF!</v>
      </c>
      <c r="AS22" s="36" t="e">
        <f t="shared" si="5"/>
        <v>#REF!</v>
      </c>
      <c r="AT22" s="36" t="e">
        <f t="shared" si="5"/>
        <v>#REF!</v>
      </c>
      <c r="AU22" s="36" t="e">
        <f t="shared" si="5"/>
        <v>#REF!</v>
      </c>
      <c r="AV22" s="36" t="e">
        <f t="shared" si="5"/>
        <v>#REF!</v>
      </c>
      <c r="AW22" s="36" t="e">
        <f t="shared" si="5"/>
        <v>#REF!</v>
      </c>
      <c r="AX22" s="36" t="e">
        <f t="shared" si="5"/>
        <v>#REF!</v>
      </c>
      <c r="AY22" s="36" t="e">
        <f t="shared" si="5"/>
        <v>#REF!</v>
      </c>
      <c r="AZ22" s="36" t="e">
        <f t="shared" si="5"/>
        <v>#REF!</v>
      </c>
      <c r="BA22" s="36" t="e">
        <f t="shared" si="5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6"/>
        <v>#REF!</v>
      </c>
      <c r="AG23" s="36" t="e">
        <f t="shared" si="4"/>
        <v>#REF!</v>
      </c>
      <c r="AH23" s="36" t="e">
        <f t="shared" si="4"/>
        <v>#REF!</v>
      </c>
      <c r="AI23" s="36" t="e">
        <f t="shared" si="4"/>
        <v>#REF!</v>
      </c>
      <c r="AJ23" s="36" t="e">
        <f t="shared" si="4"/>
        <v>#REF!</v>
      </c>
      <c r="AK23" s="36" t="e">
        <f t="shared" si="4"/>
        <v>#REF!</v>
      </c>
      <c r="AL23" s="36" t="e">
        <f t="shared" si="4"/>
        <v>#REF!</v>
      </c>
      <c r="AM23" s="36" t="e">
        <f t="shared" si="4"/>
        <v>#REF!</v>
      </c>
      <c r="AN23" s="36" t="e">
        <f t="shared" si="4"/>
        <v>#REF!</v>
      </c>
      <c r="AO23" s="36" t="e">
        <f t="shared" si="4"/>
        <v>#REF!</v>
      </c>
      <c r="AQ23" s="38"/>
      <c r="AR23" s="36" t="e">
        <f t="shared" si="7"/>
        <v>#REF!</v>
      </c>
      <c r="AS23" s="36" t="e">
        <f t="shared" si="5"/>
        <v>#REF!</v>
      </c>
      <c r="AT23" s="36" t="e">
        <f t="shared" si="5"/>
        <v>#REF!</v>
      </c>
      <c r="AU23" s="36" t="e">
        <f t="shared" si="5"/>
        <v>#REF!</v>
      </c>
      <c r="AV23" s="36" t="e">
        <f t="shared" si="5"/>
        <v>#REF!</v>
      </c>
      <c r="AW23" s="36" t="e">
        <f t="shared" si="5"/>
        <v>#REF!</v>
      </c>
      <c r="AX23" s="36" t="e">
        <f t="shared" si="5"/>
        <v>#REF!</v>
      </c>
      <c r="AY23" s="36" t="e">
        <f t="shared" si="5"/>
        <v>#REF!</v>
      </c>
      <c r="AZ23" s="36" t="e">
        <f t="shared" si="5"/>
        <v>#REF!</v>
      </c>
      <c r="BA23" s="36" t="e">
        <f t="shared" si="5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6"/>
        <v>#REF!</v>
      </c>
      <c r="AG24" s="36" t="e">
        <f t="shared" si="4"/>
        <v>#REF!</v>
      </c>
      <c r="AH24" s="36" t="e">
        <f t="shared" si="4"/>
        <v>#REF!</v>
      </c>
      <c r="AI24" s="36" t="e">
        <f t="shared" si="4"/>
        <v>#REF!</v>
      </c>
      <c r="AJ24" s="36" t="e">
        <f t="shared" si="4"/>
        <v>#REF!</v>
      </c>
      <c r="AK24" s="36" t="e">
        <f t="shared" si="4"/>
        <v>#REF!</v>
      </c>
      <c r="AL24" s="36" t="e">
        <f t="shared" si="4"/>
        <v>#REF!</v>
      </c>
      <c r="AM24" s="36" t="e">
        <f t="shared" si="4"/>
        <v>#REF!</v>
      </c>
      <c r="AN24" s="36" t="e">
        <f t="shared" si="4"/>
        <v>#REF!</v>
      </c>
      <c r="AO24" s="36" t="e">
        <f t="shared" si="4"/>
        <v>#REF!</v>
      </c>
      <c r="AQ24" s="38"/>
      <c r="AR24" s="36" t="e">
        <f t="shared" si="7"/>
        <v>#REF!</v>
      </c>
      <c r="AS24" s="36" t="e">
        <f t="shared" si="5"/>
        <v>#REF!</v>
      </c>
      <c r="AT24" s="36" t="e">
        <f t="shared" si="5"/>
        <v>#REF!</v>
      </c>
      <c r="AU24" s="36" t="e">
        <f t="shared" si="5"/>
        <v>#REF!</v>
      </c>
      <c r="AV24" s="36" t="e">
        <f t="shared" si="5"/>
        <v>#REF!</v>
      </c>
      <c r="AW24" s="36" t="e">
        <f t="shared" si="5"/>
        <v>#REF!</v>
      </c>
      <c r="AX24" s="36" t="e">
        <f t="shared" si="5"/>
        <v>#REF!</v>
      </c>
      <c r="AY24" s="36" t="e">
        <f t="shared" si="5"/>
        <v>#REF!</v>
      </c>
      <c r="AZ24" s="36" t="e">
        <f t="shared" si="5"/>
        <v>#REF!</v>
      </c>
      <c r="BA24" s="36" t="e">
        <f t="shared" si="5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8">AF$11*$AC27</f>
        <v>#REF!</v>
      </c>
      <c r="AG27" s="36" t="e">
        <f t="shared" si="8"/>
        <v>#REF!</v>
      </c>
      <c r="AH27" s="36" t="e">
        <f t="shared" si="8"/>
        <v>#REF!</v>
      </c>
      <c r="AI27" s="36" t="e">
        <f t="shared" si="8"/>
        <v>#REF!</v>
      </c>
      <c r="AJ27" s="36" t="e">
        <f t="shared" si="8"/>
        <v>#REF!</v>
      </c>
      <c r="AK27" s="36" t="e">
        <f t="shared" si="8"/>
        <v>#REF!</v>
      </c>
      <c r="AL27" s="36" t="e">
        <f t="shared" si="8"/>
        <v>#REF!</v>
      </c>
      <c r="AM27" s="36" t="e">
        <f t="shared" si="8"/>
        <v>#REF!</v>
      </c>
      <c r="AN27" s="36" t="e">
        <f t="shared" si="8"/>
        <v>#REF!</v>
      </c>
      <c r="AO27" s="36" t="e">
        <f t="shared" si="8"/>
        <v>#REF!</v>
      </c>
      <c r="AQ27" s="38"/>
      <c r="AR27" s="36" t="e">
        <f t="shared" ref="AR27:BA35" si="9">AR$11*$AC27</f>
        <v>#REF!</v>
      </c>
      <c r="AS27" s="36" t="e">
        <f t="shared" si="9"/>
        <v>#REF!</v>
      </c>
      <c r="AT27" s="36" t="e">
        <f t="shared" si="9"/>
        <v>#REF!</v>
      </c>
      <c r="AU27" s="36" t="e">
        <f t="shared" si="9"/>
        <v>#REF!</v>
      </c>
      <c r="AV27" s="36" t="e">
        <f t="shared" si="9"/>
        <v>#REF!</v>
      </c>
      <c r="AW27" s="36" t="e">
        <f t="shared" si="9"/>
        <v>#REF!</v>
      </c>
      <c r="AX27" s="36" t="e">
        <f t="shared" si="9"/>
        <v>#REF!</v>
      </c>
      <c r="AY27" s="36" t="e">
        <f t="shared" si="9"/>
        <v>#REF!</v>
      </c>
      <c r="AZ27" s="36" t="e">
        <f t="shared" si="9"/>
        <v>#REF!</v>
      </c>
      <c r="BA27" s="36" t="e">
        <f t="shared" si="9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8"/>
        <v>#REF!</v>
      </c>
      <c r="AG28" s="36" t="e">
        <f t="shared" si="8"/>
        <v>#REF!</v>
      </c>
      <c r="AH28" s="36" t="e">
        <f t="shared" si="8"/>
        <v>#REF!</v>
      </c>
      <c r="AI28" s="36" t="e">
        <f t="shared" si="8"/>
        <v>#REF!</v>
      </c>
      <c r="AJ28" s="36" t="e">
        <f t="shared" si="8"/>
        <v>#REF!</v>
      </c>
      <c r="AK28" s="36" t="e">
        <f t="shared" si="8"/>
        <v>#REF!</v>
      </c>
      <c r="AL28" s="36" t="e">
        <f t="shared" si="8"/>
        <v>#REF!</v>
      </c>
      <c r="AM28" s="36" t="e">
        <f t="shared" si="8"/>
        <v>#REF!</v>
      </c>
      <c r="AN28" s="36" t="e">
        <f t="shared" si="8"/>
        <v>#REF!</v>
      </c>
      <c r="AO28" s="36" t="e">
        <f t="shared" si="8"/>
        <v>#REF!</v>
      </c>
      <c r="AQ28" s="38"/>
      <c r="AR28" s="36" t="e">
        <f t="shared" si="9"/>
        <v>#REF!</v>
      </c>
      <c r="AS28" s="36" t="e">
        <f t="shared" si="9"/>
        <v>#REF!</v>
      </c>
      <c r="AT28" s="36" t="e">
        <f t="shared" si="9"/>
        <v>#REF!</v>
      </c>
      <c r="AU28" s="36" t="e">
        <f t="shared" si="9"/>
        <v>#REF!</v>
      </c>
      <c r="AV28" s="36" t="e">
        <f t="shared" si="9"/>
        <v>#REF!</v>
      </c>
      <c r="AW28" s="36" t="e">
        <f t="shared" si="9"/>
        <v>#REF!</v>
      </c>
      <c r="AX28" s="36" t="e">
        <f t="shared" si="9"/>
        <v>#REF!</v>
      </c>
      <c r="AY28" s="36" t="e">
        <f t="shared" si="9"/>
        <v>#REF!</v>
      </c>
      <c r="AZ28" s="36" t="e">
        <f t="shared" si="9"/>
        <v>#REF!</v>
      </c>
      <c r="BA28" s="36" t="e">
        <f t="shared" si="9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8"/>
        <v>#REF!</v>
      </c>
      <c r="AG29" s="36" t="e">
        <f t="shared" si="8"/>
        <v>#REF!</v>
      </c>
      <c r="AH29" s="36" t="e">
        <f t="shared" si="8"/>
        <v>#REF!</v>
      </c>
      <c r="AI29" s="36" t="e">
        <f t="shared" si="8"/>
        <v>#REF!</v>
      </c>
      <c r="AJ29" s="36" t="e">
        <f t="shared" si="8"/>
        <v>#REF!</v>
      </c>
      <c r="AK29" s="36" t="e">
        <f t="shared" si="8"/>
        <v>#REF!</v>
      </c>
      <c r="AL29" s="36" t="e">
        <f t="shared" si="8"/>
        <v>#REF!</v>
      </c>
      <c r="AM29" s="36" t="e">
        <f t="shared" si="8"/>
        <v>#REF!</v>
      </c>
      <c r="AN29" s="36" t="e">
        <f t="shared" si="8"/>
        <v>#REF!</v>
      </c>
      <c r="AO29" s="36" t="e">
        <f t="shared" si="8"/>
        <v>#REF!</v>
      </c>
      <c r="AQ29" s="38"/>
      <c r="AR29" s="36" t="e">
        <f t="shared" si="9"/>
        <v>#REF!</v>
      </c>
      <c r="AS29" s="36" t="e">
        <f t="shared" si="9"/>
        <v>#REF!</v>
      </c>
      <c r="AT29" s="36" t="e">
        <f t="shared" si="9"/>
        <v>#REF!</v>
      </c>
      <c r="AU29" s="36" t="e">
        <f t="shared" si="9"/>
        <v>#REF!</v>
      </c>
      <c r="AV29" s="36" t="e">
        <f t="shared" si="9"/>
        <v>#REF!</v>
      </c>
      <c r="AW29" s="36" t="e">
        <f t="shared" si="9"/>
        <v>#REF!</v>
      </c>
      <c r="AX29" s="36" t="e">
        <f t="shared" si="9"/>
        <v>#REF!</v>
      </c>
      <c r="AY29" s="36" t="e">
        <f t="shared" si="9"/>
        <v>#REF!</v>
      </c>
      <c r="AZ29" s="36" t="e">
        <f t="shared" si="9"/>
        <v>#REF!</v>
      </c>
      <c r="BA29" s="36" t="e">
        <f t="shared" si="9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8"/>
        <v>#REF!</v>
      </c>
      <c r="AG30" s="36" t="e">
        <f t="shared" si="8"/>
        <v>#REF!</v>
      </c>
      <c r="AH30" s="36" t="e">
        <f t="shared" si="8"/>
        <v>#REF!</v>
      </c>
      <c r="AI30" s="36" t="e">
        <f t="shared" si="8"/>
        <v>#REF!</v>
      </c>
      <c r="AJ30" s="36" t="e">
        <f t="shared" si="8"/>
        <v>#REF!</v>
      </c>
      <c r="AK30" s="36" t="e">
        <f t="shared" si="8"/>
        <v>#REF!</v>
      </c>
      <c r="AL30" s="36" t="e">
        <f t="shared" si="8"/>
        <v>#REF!</v>
      </c>
      <c r="AM30" s="36" t="e">
        <f t="shared" si="8"/>
        <v>#REF!</v>
      </c>
      <c r="AN30" s="36" t="e">
        <f t="shared" si="8"/>
        <v>#REF!</v>
      </c>
      <c r="AO30" s="36" t="e">
        <f t="shared" si="8"/>
        <v>#REF!</v>
      </c>
      <c r="AQ30" s="38"/>
      <c r="AR30" s="36" t="e">
        <f t="shared" si="9"/>
        <v>#REF!</v>
      </c>
      <c r="AS30" s="36" t="e">
        <f t="shared" si="9"/>
        <v>#REF!</v>
      </c>
      <c r="AT30" s="36" t="e">
        <f t="shared" si="9"/>
        <v>#REF!</v>
      </c>
      <c r="AU30" s="36" t="e">
        <f t="shared" si="9"/>
        <v>#REF!</v>
      </c>
      <c r="AV30" s="36" t="e">
        <f t="shared" si="9"/>
        <v>#REF!</v>
      </c>
      <c r="AW30" s="36" t="e">
        <f t="shared" si="9"/>
        <v>#REF!</v>
      </c>
      <c r="AX30" s="36" t="e">
        <f t="shared" si="9"/>
        <v>#REF!</v>
      </c>
      <c r="AY30" s="36" t="e">
        <f t="shared" si="9"/>
        <v>#REF!</v>
      </c>
      <c r="AZ30" s="36" t="e">
        <f t="shared" si="9"/>
        <v>#REF!</v>
      </c>
      <c r="BA30" s="36" t="e">
        <f t="shared" si="9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8"/>
        <v>#REF!</v>
      </c>
      <c r="AG31" s="36" t="e">
        <f t="shared" si="8"/>
        <v>#REF!</v>
      </c>
      <c r="AH31" s="36" t="e">
        <f t="shared" si="8"/>
        <v>#REF!</v>
      </c>
      <c r="AI31" s="36" t="e">
        <f t="shared" si="8"/>
        <v>#REF!</v>
      </c>
      <c r="AJ31" s="36" t="e">
        <f t="shared" si="8"/>
        <v>#REF!</v>
      </c>
      <c r="AK31" s="36" t="e">
        <f t="shared" si="8"/>
        <v>#REF!</v>
      </c>
      <c r="AL31" s="36" t="e">
        <f t="shared" si="8"/>
        <v>#REF!</v>
      </c>
      <c r="AM31" s="36" t="e">
        <f t="shared" si="8"/>
        <v>#REF!</v>
      </c>
      <c r="AN31" s="36" t="e">
        <f t="shared" si="8"/>
        <v>#REF!</v>
      </c>
      <c r="AO31" s="36" t="e">
        <f t="shared" si="8"/>
        <v>#REF!</v>
      </c>
      <c r="AQ31" s="38"/>
      <c r="AR31" s="36" t="e">
        <f t="shared" si="9"/>
        <v>#REF!</v>
      </c>
      <c r="AS31" s="36" t="e">
        <f t="shared" si="9"/>
        <v>#REF!</v>
      </c>
      <c r="AT31" s="36" t="e">
        <f t="shared" si="9"/>
        <v>#REF!</v>
      </c>
      <c r="AU31" s="36" t="e">
        <f t="shared" si="9"/>
        <v>#REF!</v>
      </c>
      <c r="AV31" s="36" t="e">
        <f t="shared" si="9"/>
        <v>#REF!</v>
      </c>
      <c r="AW31" s="36" t="e">
        <f t="shared" si="9"/>
        <v>#REF!</v>
      </c>
      <c r="AX31" s="36" t="e">
        <f t="shared" si="9"/>
        <v>#REF!</v>
      </c>
      <c r="AY31" s="36" t="e">
        <f t="shared" si="9"/>
        <v>#REF!</v>
      </c>
      <c r="AZ31" s="36" t="e">
        <f t="shared" si="9"/>
        <v>#REF!</v>
      </c>
      <c r="BA31" s="36" t="e">
        <f t="shared" si="9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8"/>
        <v>#REF!</v>
      </c>
      <c r="AG32" s="36" t="e">
        <f t="shared" si="8"/>
        <v>#REF!</v>
      </c>
      <c r="AH32" s="36" t="e">
        <f t="shared" si="8"/>
        <v>#REF!</v>
      </c>
      <c r="AI32" s="36" t="e">
        <f t="shared" si="8"/>
        <v>#REF!</v>
      </c>
      <c r="AJ32" s="36" t="e">
        <f t="shared" si="8"/>
        <v>#REF!</v>
      </c>
      <c r="AK32" s="36" t="e">
        <f t="shared" si="8"/>
        <v>#REF!</v>
      </c>
      <c r="AL32" s="36" t="e">
        <f t="shared" si="8"/>
        <v>#REF!</v>
      </c>
      <c r="AM32" s="36" t="e">
        <f t="shared" si="8"/>
        <v>#REF!</v>
      </c>
      <c r="AN32" s="36" t="e">
        <f t="shared" si="8"/>
        <v>#REF!</v>
      </c>
      <c r="AO32" s="36" t="e">
        <f t="shared" si="8"/>
        <v>#REF!</v>
      </c>
      <c r="AQ32" s="38"/>
      <c r="AR32" s="36" t="e">
        <f t="shared" si="9"/>
        <v>#REF!</v>
      </c>
      <c r="AS32" s="36" t="e">
        <f t="shared" si="9"/>
        <v>#REF!</v>
      </c>
      <c r="AT32" s="36" t="e">
        <f t="shared" si="9"/>
        <v>#REF!</v>
      </c>
      <c r="AU32" s="36" t="e">
        <f t="shared" si="9"/>
        <v>#REF!</v>
      </c>
      <c r="AV32" s="36" t="e">
        <f t="shared" si="9"/>
        <v>#REF!</v>
      </c>
      <c r="AW32" s="36" t="e">
        <f t="shared" si="9"/>
        <v>#REF!</v>
      </c>
      <c r="AX32" s="36" t="e">
        <f t="shared" si="9"/>
        <v>#REF!</v>
      </c>
      <c r="AY32" s="36" t="e">
        <f t="shared" si="9"/>
        <v>#REF!</v>
      </c>
      <c r="AZ32" s="36" t="e">
        <f t="shared" si="9"/>
        <v>#REF!</v>
      </c>
      <c r="BA32" s="36" t="e">
        <f t="shared" si="9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8"/>
        <v>#REF!</v>
      </c>
      <c r="AG33" s="36" t="e">
        <f t="shared" si="8"/>
        <v>#REF!</v>
      </c>
      <c r="AH33" s="36" t="e">
        <f t="shared" si="8"/>
        <v>#REF!</v>
      </c>
      <c r="AI33" s="36" t="e">
        <f t="shared" si="8"/>
        <v>#REF!</v>
      </c>
      <c r="AJ33" s="36" t="e">
        <f t="shared" si="8"/>
        <v>#REF!</v>
      </c>
      <c r="AK33" s="36" t="e">
        <f t="shared" si="8"/>
        <v>#REF!</v>
      </c>
      <c r="AL33" s="36" t="e">
        <f t="shared" si="8"/>
        <v>#REF!</v>
      </c>
      <c r="AM33" s="36" t="e">
        <f t="shared" si="8"/>
        <v>#REF!</v>
      </c>
      <c r="AN33" s="36" t="e">
        <f t="shared" si="8"/>
        <v>#REF!</v>
      </c>
      <c r="AO33" s="36" t="e">
        <f t="shared" si="8"/>
        <v>#REF!</v>
      </c>
      <c r="AQ33" s="38"/>
      <c r="AR33" s="36" t="e">
        <f t="shared" si="9"/>
        <v>#REF!</v>
      </c>
      <c r="AS33" s="36" t="e">
        <f t="shared" si="9"/>
        <v>#REF!</v>
      </c>
      <c r="AT33" s="36" t="e">
        <f t="shared" si="9"/>
        <v>#REF!</v>
      </c>
      <c r="AU33" s="36" t="e">
        <f t="shared" si="9"/>
        <v>#REF!</v>
      </c>
      <c r="AV33" s="36" t="e">
        <f t="shared" si="9"/>
        <v>#REF!</v>
      </c>
      <c r="AW33" s="36" t="e">
        <f t="shared" si="9"/>
        <v>#REF!</v>
      </c>
      <c r="AX33" s="36" t="e">
        <f t="shared" si="9"/>
        <v>#REF!</v>
      </c>
      <c r="AY33" s="36" t="e">
        <f t="shared" si="9"/>
        <v>#REF!</v>
      </c>
      <c r="AZ33" s="36" t="e">
        <f t="shared" si="9"/>
        <v>#REF!</v>
      </c>
      <c r="BA33" s="36" t="e">
        <f t="shared" si="9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8"/>
        <v>#REF!</v>
      </c>
      <c r="AG34" s="36" t="e">
        <f t="shared" si="8"/>
        <v>#REF!</v>
      </c>
      <c r="AH34" s="36" t="e">
        <f t="shared" si="8"/>
        <v>#REF!</v>
      </c>
      <c r="AI34" s="36" t="e">
        <f t="shared" si="8"/>
        <v>#REF!</v>
      </c>
      <c r="AJ34" s="36" t="e">
        <f t="shared" si="8"/>
        <v>#REF!</v>
      </c>
      <c r="AK34" s="36" t="e">
        <f t="shared" si="8"/>
        <v>#REF!</v>
      </c>
      <c r="AL34" s="36" t="e">
        <f t="shared" si="8"/>
        <v>#REF!</v>
      </c>
      <c r="AM34" s="36" t="e">
        <f t="shared" si="8"/>
        <v>#REF!</v>
      </c>
      <c r="AN34" s="36" t="e">
        <f t="shared" si="8"/>
        <v>#REF!</v>
      </c>
      <c r="AO34" s="36" t="e">
        <f t="shared" si="8"/>
        <v>#REF!</v>
      </c>
      <c r="AQ34" s="38"/>
      <c r="AR34" s="36" t="e">
        <f t="shared" si="9"/>
        <v>#REF!</v>
      </c>
      <c r="AS34" s="36" t="e">
        <f t="shared" si="9"/>
        <v>#REF!</v>
      </c>
      <c r="AT34" s="36" t="e">
        <f t="shared" si="9"/>
        <v>#REF!</v>
      </c>
      <c r="AU34" s="36" t="e">
        <f t="shared" si="9"/>
        <v>#REF!</v>
      </c>
      <c r="AV34" s="36" t="e">
        <f t="shared" si="9"/>
        <v>#REF!</v>
      </c>
      <c r="AW34" s="36" t="e">
        <f t="shared" si="9"/>
        <v>#REF!</v>
      </c>
      <c r="AX34" s="36" t="e">
        <f t="shared" si="9"/>
        <v>#REF!</v>
      </c>
      <c r="AY34" s="36" t="e">
        <f t="shared" si="9"/>
        <v>#REF!</v>
      </c>
      <c r="AZ34" s="36" t="e">
        <f t="shared" si="9"/>
        <v>#REF!</v>
      </c>
      <c r="BA34" s="36" t="e">
        <f t="shared" si="9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8"/>
        <v>#REF!</v>
      </c>
      <c r="AG35" s="36" t="e">
        <f t="shared" si="8"/>
        <v>#REF!</v>
      </c>
      <c r="AH35" s="36" t="e">
        <f t="shared" si="8"/>
        <v>#REF!</v>
      </c>
      <c r="AI35" s="36" t="e">
        <f t="shared" si="8"/>
        <v>#REF!</v>
      </c>
      <c r="AJ35" s="36" t="e">
        <f t="shared" si="8"/>
        <v>#REF!</v>
      </c>
      <c r="AK35" s="36" t="e">
        <f t="shared" si="8"/>
        <v>#REF!</v>
      </c>
      <c r="AL35" s="36" t="e">
        <f t="shared" si="8"/>
        <v>#REF!</v>
      </c>
      <c r="AM35" s="36" t="e">
        <f t="shared" si="8"/>
        <v>#REF!</v>
      </c>
      <c r="AN35" s="36" t="e">
        <f t="shared" si="8"/>
        <v>#REF!</v>
      </c>
      <c r="AO35" s="36" t="e">
        <f t="shared" si="8"/>
        <v>#REF!</v>
      </c>
      <c r="AQ35" s="38"/>
      <c r="AR35" s="36" t="e">
        <f t="shared" si="9"/>
        <v>#REF!</v>
      </c>
      <c r="AS35" s="36" t="e">
        <f t="shared" si="9"/>
        <v>#REF!</v>
      </c>
      <c r="AT35" s="36" t="e">
        <f t="shared" si="9"/>
        <v>#REF!</v>
      </c>
      <c r="AU35" s="36" t="e">
        <f t="shared" si="9"/>
        <v>#REF!</v>
      </c>
      <c r="AV35" s="36" t="e">
        <f t="shared" si="9"/>
        <v>#REF!</v>
      </c>
      <c r="AW35" s="36" t="e">
        <f t="shared" si="9"/>
        <v>#REF!</v>
      </c>
      <c r="AX35" s="36" t="e">
        <f t="shared" si="9"/>
        <v>#REF!</v>
      </c>
      <c r="AY35" s="36" t="e">
        <f t="shared" si="9"/>
        <v>#REF!</v>
      </c>
      <c r="AZ35" s="36" t="e">
        <f t="shared" si="9"/>
        <v>#REF!</v>
      </c>
      <c r="BA35" s="36" t="e">
        <f t="shared" si="9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10">AF$11*$AC38</f>
        <v>#REF!</v>
      </c>
      <c r="AG38" s="36" t="e">
        <f t="shared" si="10"/>
        <v>#REF!</v>
      </c>
      <c r="AH38" s="36" t="e">
        <f t="shared" si="10"/>
        <v>#REF!</v>
      </c>
      <c r="AI38" s="36" t="e">
        <f t="shared" si="10"/>
        <v>#REF!</v>
      </c>
      <c r="AJ38" s="36" t="e">
        <f t="shared" si="10"/>
        <v>#REF!</v>
      </c>
      <c r="AK38" s="36" t="e">
        <f t="shared" si="10"/>
        <v>#REF!</v>
      </c>
      <c r="AL38" s="36" t="e">
        <f t="shared" si="10"/>
        <v>#REF!</v>
      </c>
      <c r="AM38" s="36" t="e">
        <f t="shared" si="10"/>
        <v>#REF!</v>
      </c>
      <c r="AN38" s="36" t="e">
        <f t="shared" si="10"/>
        <v>#REF!</v>
      </c>
      <c r="AO38" s="36" t="e">
        <f t="shared" si="10"/>
        <v>#REF!</v>
      </c>
      <c r="AQ38" s="38"/>
      <c r="AR38" s="36" t="e">
        <f t="shared" ref="AR38:BA46" si="11">AR$11*$AC38</f>
        <v>#REF!</v>
      </c>
      <c r="AS38" s="36" t="e">
        <f t="shared" si="11"/>
        <v>#REF!</v>
      </c>
      <c r="AT38" s="36" t="e">
        <f t="shared" si="11"/>
        <v>#REF!</v>
      </c>
      <c r="AU38" s="36" t="e">
        <f t="shared" si="11"/>
        <v>#REF!</v>
      </c>
      <c r="AV38" s="36" t="e">
        <f t="shared" si="11"/>
        <v>#REF!</v>
      </c>
      <c r="AW38" s="36" t="e">
        <f t="shared" si="11"/>
        <v>#REF!</v>
      </c>
      <c r="AX38" s="36" t="e">
        <f t="shared" si="11"/>
        <v>#REF!</v>
      </c>
      <c r="AY38" s="36" t="e">
        <f t="shared" si="11"/>
        <v>#REF!</v>
      </c>
      <c r="AZ38" s="36" t="e">
        <f t="shared" si="11"/>
        <v>#REF!</v>
      </c>
      <c r="BA38" s="36" t="e">
        <f t="shared" si="11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10"/>
        <v>#REF!</v>
      </c>
      <c r="AG39" s="36" t="e">
        <f t="shared" si="10"/>
        <v>#REF!</v>
      </c>
      <c r="AH39" s="36" t="e">
        <f t="shared" si="10"/>
        <v>#REF!</v>
      </c>
      <c r="AI39" s="36" t="e">
        <f t="shared" si="10"/>
        <v>#REF!</v>
      </c>
      <c r="AJ39" s="36" t="e">
        <f t="shared" si="10"/>
        <v>#REF!</v>
      </c>
      <c r="AK39" s="36" t="e">
        <f t="shared" si="10"/>
        <v>#REF!</v>
      </c>
      <c r="AL39" s="36" t="e">
        <f t="shared" si="10"/>
        <v>#REF!</v>
      </c>
      <c r="AM39" s="36" t="e">
        <f t="shared" si="10"/>
        <v>#REF!</v>
      </c>
      <c r="AN39" s="36" t="e">
        <f t="shared" si="10"/>
        <v>#REF!</v>
      </c>
      <c r="AO39" s="36" t="e">
        <f t="shared" si="10"/>
        <v>#REF!</v>
      </c>
      <c r="AQ39" s="38"/>
      <c r="AR39" s="36" t="e">
        <f t="shared" si="11"/>
        <v>#REF!</v>
      </c>
      <c r="AS39" s="36" t="e">
        <f t="shared" si="11"/>
        <v>#REF!</v>
      </c>
      <c r="AT39" s="36" t="e">
        <f t="shared" si="11"/>
        <v>#REF!</v>
      </c>
      <c r="AU39" s="36" t="e">
        <f t="shared" si="11"/>
        <v>#REF!</v>
      </c>
      <c r="AV39" s="36" t="e">
        <f t="shared" si="11"/>
        <v>#REF!</v>
      </c>
      <c r="AW39" s="36" t="e">
        <f t="shared" si="11"/>
        <v>#REF!</v>
      </c>
      <c r="AX39" s="36" t="e">
        <f t="shared" si="11"/>
        <v>#REF!</v>
      </c>
      <c r="AY39" s="36" t="e">
        <f t="shared" si="11"/>
        <v>#REF!</v>
      </c>
      <c r="AZ39" s="36" t="e">
        <f t="shared" si="11"/>
        <v>#REF!</v>
      </c>
      <c r="BA39" s="36" t="e">
        <f t="shared" si="11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10"/>
        <v>#REF!</v>
      </c>
      <c r="AG40" s="36" t="e">
        <f t="shared" si="10"/>
        <v>#REF!</v>
      </c>
      <c r="AH40" s="36" t="e">
        <f t="shared" si="10"/>
        <v>#REF!</v>
      </c>
      <c r="AI40" s="36" t="e">
        <f t="shared" si="10"/>
        <v>#REF!</v>
      </c>
      <c r="AJ40" s="36" t="e">
        <f t="shared" si="10"/>
        <v>#REF!</v>
      </c>
      <c r="AK40" s="36" t="e">
        <f t="shared" si="10"/>
        <v>#REF!</v>
      </c>
      <c r="AL40" s="36" t="e">
        <f t="shared" si="10"/>
        <v>#REF!</v>
      </c>
      <c r="AM40" s="36" t="e">
        <f t="shared" si="10"/>
        <v>#REF!</v>
      </c>
      <c r="AN40" s="36" t="e">
        <f t="shared" si="10"/>
        <v>#REF!</v>
      </c>
      <c r="AO40" s="36" t="e">
        <f t="shared" si="10"/>
        <v>#REF!</v>
      </c>
      <c r="AQ40" s="38"/>
      <c r="AR40" s="36" t="e">
        <f t="shared" si="11"/>
        <v>#REF!</v>
      </c>
      <c r="AS40" s="36" t="e">
        <f t="shared" si="11"/>
        <v>#REF!</v>
      </c>
      <c r="AT40" s="36" t="e">
        <f t="shared" si="11"/>
        <v>#REF!</v>
      </c>
      <c r="AU40" s="36" t="e">
        <f t="shared" si="11"/>
        <v>#REF!</v>
      </c>
      <c r="AV40" s="36" t="e">
        <f t="shared" si="11"/>
        <v>#REF!</v>
      </c>
      <c r="AW40" s="36" t="e">
        <f t="shared" si="11"/>
        <v>#REF!</v>
      </c>
      <c r="AX40" s="36" t="e">
        <f t="shared" si="11"/>
        <v>#REF!</v>
      </c>
      <c r="AY40" s="36" t="e">
        <f t="shared" si="11"/>
        <v>#REF!</v>
      </c>
      <c r="AZ40" s="36" t="e">
        <f t="shared" si="11"/>
        <v>#REF!</v>
      </c>
      <c r="BA40" s="36" t="e">
        <f t="shared" si="11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10"/>
        <v>#REF!</v>
      </c>
      <c r="AG41" s="36" t="e">
        <f t="shared" si="10"/>
        <v>#REF!</v>
      </c>
      <c r="AH41" s="36" t="e">
        <f t="shared" si="10"/>
        <v>#REF!</v>
      </c>
      <c r="AI41" s="36" t="e">
        <f t="shared" si="10"/>
        <v>#REF!</v>
      </c>
      <c r="AJ41" s="36" t="e">
        <f t="shared" si="10"/>
        <v>#REF!</v>
      </c>
      <c r="AK41" s="36" t="e">
        <f t="shared" si="10"/>
        <v>#REF!</v>
      </c>
      <c r="AL41" s="36" t="e">
        <f t="shared" si="10"/>
        <v>#REF!</v>
      </c>
      <c r="AM41" s="36" t="e">
        <f t="shared" si="10"/>
        <v>#REF!</v>
      </c>
      <c r="AN41" s="36" t="e">
        <f t="shared" si="10"/>
        <v>#REF!</v>
      </c>
      <c r="AO41" s="36" t="e">
        <f t="shared" si="10"/>
        <v>#REF!</v>
      </c>
      <c r="AQ41" s="38"/>
      <c r="AR41" s="36" t="e">
        <f t="shared" si="11"/>
        <v>#REF!</v>
      </c>
      <c r="AS41" s="36" t="e">
        <f t="shared" si="11"/>
        <v>#REF!</v>
      </c>
      <c r="AT41" s="36" t="e">
        <f t="shared" si="11"/>
        <v>#REF!</v>
      </c>
      <c r="AU41" s="36" t="e">
        <f t="shared" si="11"/>
        <v>#REF!</v>
      </c>
      <c r="AV41" s="36" t="e">
        <f t="shared" si="11"/>
        <v>#REF!</v>
      </c>
      <c r="AW41" s="36" t="e">
        <f t="shared" si="11"/>
        <v>#REF!</v>
      </c>
      <c r="AX41" s="36" t="e">
        <f t="shared" si="11"/>
        <v>#REF!</v>
      </c>
      <c r="AY41" s="36" t="e">
        <f t="shared" si="11"/>
        <v>#REF!</v>
      </c>
      <c r="AZ41" s="36" t="e">
        <f t="shared" si="11"/>
        <v>#REF!</v>
      </c>
      <c r="BA41" s="36" t="e">
        <f t="shared" si="11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10"/>
        <v>#REF!</v>
      </c>
      <c r="AG42" s="36" t="e">
        <f t="shared" si="10"/>
        <v>#REF!</v>
      </c>
      <c r="AH42" s="36" t="e">
        <f t="shared" si="10"/>
        <v>#REF!</v>
      </c>
      <c r="AI42" s="36" t="e">
        <f t="shared" si="10"/>
        <v>#REF!</v>
      </c>
      <c r="AJ42" s="36" t="e">
        <f t="shared" si="10"/>
        <v>#REF!</v>
      </c>
      <c r="AK42" s="36" t="e">
        <f t="shared" si="10"/>
        <v>#REF!</v>
      </c>
      <c r="AL42" s="36" t="e">
        <f t="shared" si="10"/>
        <v>#REF!</v>
      </c>
      <c r="AM42" s="36" t="e">
        <f t="shared" si="10"/>
        <v>#REF!</v>
      </c>
      <c r="AN42" s="36" t="e">
        <f t="shared" si="10"/>
        <v>#REF!</v>
      </c>
      <c r="AO42" s="36" t="e">
        <f t="shared" si="10"/>
        <v>#REF!</v>
      </c>
      <c r="AQ42" s="38"/>
      <c r="AR42" s="36" t="e">
        <f t="shared" si="11"/>
        <v>#REF!</v>
      </c>
      <c r="AS42" s="36" t="e">
        <f t="shared" si="11"/>
        <v>#REF!</v>
      </c>
      <c r="AT42" s="36" t="e">
        <f t="shared" si="11"/>
        <v>#REF!</v>
      </c>
      <c r="AU42" s="36" t="e">
        <f t="shared" si="11"/>
        <v>#REF!</v>
      </c>
      <c r="AV42" s="36" t="e">
        <f t="shared" si="11"/>
        <v>#REF!</v>
      </c>
      <c r="AW42" s="36" t="e">
        <f t="shared" si="11"/>
        <v>#REF!</v>
      </c>
      <c r="AX42" s="36" t="e">
        <f t="shared" si="11"/>
        <v>#REF!</v>
      </c>
      <c r="AY42" s="36" t="e">
        <f t="shared" si="11"/>
        <v>#REF!</v>
      </c>
      <c r="AZ42" s="36" t="e">
        <f t="shared" si="11"/>
        <v>#REF!</v>
      </c>
      <c r="BA42" s="36" t="e">
        <f t="shared" si="11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10"/>
        <v>#REF!</v>
      </c>
      <c r="AG43" s="36" t="e">
        <f t="shared" si="10"/>
        <v>#REF!</v>
      </c>
      <c r="AH43" s="36" t="e">
        <f t="shared" si="10"/>
        <v>#REF!</v>
      </c>
      <c r="AI43" s="36" t="e">
        <f t="shared" si="10"/>
        <v>#REF!</v>
      </c>
      <c r="AJ43" s="36" t="e">
        <f t="shared" si="10"/>
        <v>#REF!</v>
      </c>
      <c r="AK43" s="36" t="e">
        <f t="shared" si="10"/>
        <v>#REF!</v>
      </c>
      <c r="AL43" s="36" t="e">
        <f t="shared" si="10"/>
        <v>#REF!</v>
      </c>
      <c r="AM43" s="36" t="e">
        <f t="shared" si="10"/>
        <v>#REF!</v>
      </c>
      <c r="AN43" s="36" t="e">
        <f t="shared" si="10"/>
        <v>#REF!</v>
      </c>
      <c r="AO43" s="36" t="e">
        <f t="shared" si="10"/>
        <v>#REF!</v>
      </c>
      <c r="AQ43" s="38"/>
      <c r="AR43" s="36" t="e">
        <f t="shared" si="11"/>
        <v>#REF!</v>
      </c>
      <c r="AS43" s="36" t="e">
        <f t="shared" si="11"/>
        <v>#REF!</v>
      </c>
      <c r="AT43" s="36" t="e">
        <f t="shared" si="11"/>
        <v>#REF!</v>
      </c>
      <c r="AU43" s="36" t="e">
        <f t="shared" si="11"/>
        <v>#REF!</v>
      </c>
      <c r="AV43" s="36" t="e">
        <f t="shared" si="11"/>
        <v>#REF!</v>
      </c>
      <c r="AW43" s="36" t="e">
        <f t="shared" si="11"/>
        <v>#REF!</v>
      </c>
      <c r="AX43" s="36" t="e">
        <f t="shared" si="11"/>
        <v>#REF!</v>
      </c>
      <c r="AY43" s="36" t="e">
        <f t="shared" si="11"/>
        <v>#REF!</v>
      </c>
      <c r="AZ43" s="36" t="e">
        <f t="shared" si="11"/>
        <v>#REF!</v>
      </c>
      <c r="BA43" s="36" t="e">
        <f t="shared" si="11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10"/>
        <v>#REF!</v>
      </c>
      <c r="AG44" s="36" t="e">
        <f t="shared" si="10"/>
        <v>#REF!</v>
      </c>
      <c r="AH44" s="36" t="e">
        <f t="shared" si="10"/>
        <v>#REF!</v>
      </c>
      <c r="AI44" s="36" t="e">
        <f t="shared" si="10"/>
        <v>#REF!</v>
      </c>
      <c r="AJ44" s="36" t="e">
        <f t="shared" si="10"/>
        <v>#REF!</v>
      </c>
      <c r="AK44" s="36" t="e">
        <f t="shared" si="10"/>
        <v>#REF!</v>
      </c>
      <c r="AL44" s="36" t="e">
        <f t="shared" si="10"/>
        <v>#REF!</v>
      </c>
      <c r="AM44" s="36" t="e">
        <f t="shared" si="10"/>
        <v>#REF!</v>
      </c>
      <c r="AN44" s="36" t="e">
        <f t="shared" si="10"/>
        <v>#REF!</v>
      </c>
      <c r="AO44" s="36" t="e">
        <f t="shared" si="10"/>
        <v>#REF!</v>
      </c>
      <c r="AQ44" s="38"/>
      <c r="AR44" s="36" t="e">
        <f t="shared" si="11"/>
        <v>#REF!</v>
      </c>
      <c r="AS44" s="36" t="e">
        <f t="shared" si="11"/>
        <v>#REF!</v>
      </c>
      <c r="AT44" s="36" t="e">
        <f t="shared" si="11"/>
        <v>#REF!</v>
      </c>
      <c r="AU44" s="36" t="e">
        <f t="shared" si="11"/>
        <v>#REF!</v>
      </c>
      <c r="AV44" s="36" t="e">
        <f t="shared" si="11"/>
        <v>#REF!</v>
      </c>
      <c r="AW44" s="36" t="e">
        <f t="shared" si="11"/>
        <v>#REF!</v>
      </c>
      <c r="AX44" s="36" t="e">
        <f t="shared" si="11"/>
        <v>#REF!</v>
      </c>
      <c r="AY44" s="36" t="e">
        <f t="shared" si="11"/>
        <v>#REF!</v>
      </c>
      <c r="AZ44" s="36" t="e">
        <f t="shared" si="11"/>
        <v>#REF!</v>
      </c>
      <c r="BA44" s="36" t="e">
        <f t="shared" si="11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10"/>
        <v>#REF!</v>
      </c>
      <c r="AG45" s="36" t="e">
        <f t="shared" si="10"/>
        <v>#REF!</v>
      </c>
      <c r="AH45" s="36" t="e">
        <f t="shared" si="10"/>
        <v>#REF!</v>
      </c>
      <c r="AI45" s="36" t="e">
        <f t="shared" si="10"/>
        <v>#REF!</v>
      </c>
      <c r="AJ45" s="36" t="e">
        <f t="shared" si="10"/>
        <v>#REF!</v>
      </c>
      <c r="AK45" s="36" t="e">
        <f t="shared" si="10"/>
        <v>#REF!</v>
      </c>
      <c r="AL45" s="36" t="e">
        <f t="shared" si="10"/>
        <v>#REF!</v>
      </c>
      <c r="AM45" s="36" t="e">
        <f t="shared" si="10"/>
        <v>#REF!</v>
      </c>
      <c r="AN45" s="36" t="e">
        <f t="shared" si="10"/>
        <v>#REF!</v>
      </c>
      <c r="AO45" s="36" t="e">
        <f t="shared" si="10"/>
        <v>#REF!</v>
      </c>
      <c r="AQ45" s="38"/>
      <c r="AR45" s="36" t="e">
        <f t="shared" si="11"/>
        <v>#REF!</v>
      </c>
      <c r="AS45" s="36" t="e">
        <f t="shared" si="11"/>
        <v>#REF!</v>
      </c>
      <c r="AT45" s="36" t="e">
        <f t="shared" si="11"/>
        <v>#REF!</v>
      </c>
      <c r="AU45" s="36" t="e">
        <f t="shared" si="11"/>
        <v>#REF!</v>
      </c>
      <c r="AV45" s="36" t="e">
        <f t="shared" si="11"/>
        <v>#REF!</v>
      </c>
      <c r="AW45" s="36" t="e">
        <f t="shared" si="11"/>
        <v>#REF!</v>
      </c>
      <c r="AX45" s="36" t="e">
        <f t="shared" si="11"/>
        <v>#REF!</v>
      </c>
      <c r="AY45" s="36" t="e">
        <f t="shared" si="11"/>
        <v>#REF!</v>
      </c>
      <c r="AZ45" s="36" t="e">
        <f t="shared" si="11"/>
        <v>#REF!</v>
      </c>
      <c r="BA45" s="36" t="e">
        <f t="shared" si="11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10"/>
        <v>#REF!</v>
      </c>
      <c r="AG46" s="36" t="e">
        <f t="shared" si="10"/>
        <v>#REF!</v>
      </c>
      <c r="AH46" s="36" t="e">
        <f t="shared" si="10"/>
        <v>#REF!</v>
      </c>
      <c r="AI46" s="36" t="e">
        <f t="shared" si="10"/>
        <v>#REF!</v>
      </c>
      <c r="AJ46" s="36" t="e">
        <f t="shared" si="10"/>
        <v>#REF!</v>
      </c>
      <c r="AK46" s="36" t="e">
        <f t="shared" si="10"/>
        <v>#REF!</v>
      </c>
      <c r="AL46" s="36" t="e">
        <f t="shared" si="10"/>
        <v>#REF!</v>
      </c>
      <c r="AM46" s="36" t="e">
        <f t="shared" si="10"/>
        <v>#REF!</v>
      </c>
      <c r="AN46" s="36" t="e">
        <f t="shared" si="10"/>
        <v>#REF!</v>
      </c>
      <c r="AO46" s="36" t="e">
        <f t="shared" si="10"/>
        <v>#REF!</v>
      </c>
      <c r="AQ46" s="38"/>
      <c r="AR46" s="36" t="e">
        <f t="shared" si="11"/>
        <v>#REF!</v>
      </c>
      <c r="AS46" s="36" t="e">
        <f t="shared" si="11"/>
        <v>#REF!</v>
      </c>
      <c r="AT46" s="36" t="e">
        <f t="shared" si="11"/>
        <v>#REF!</v>
      </c>
      <c r="AU46" s="36" t="e">
        <f t="shared" si="11"/>
        <v>#REF!</v>
      </c>
      <c r="AV46" s="36" t="e">
        <f t="shared" si="11"/>
        <v>#REF!</v>
      </c>
      <c r="AW46" s="36" t="e">
        <f t="shared" si="11"/>
        <v>#REF!</v>
      </c>
      <c r="AX46" s="36" t="e">
        <f t="shared" si="11"/>
        <v>#REF!</v>
      </c>
      <c r="AY46" s="36" t="e">
        <f t="shared" si="11"/>
        <v>#REF!</v>
      </c>
      <c r="AZ46" s="36" t="e">
        <f t="shared" si="11"/>
        <v>#REF!</v>
      </c>
      <c r="BA46" s="36" t="e">
        <f t="shared" si="11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2">AF16+AF18+AF19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AR16+AR18+AR19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41</v>
      </c>
      <c r="AB52" s="35"/>
      <c r="AF52" s="70" t="e">
        <f t="shared" ref="AF52:AO52" si="14">AF27+AF29+AF30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AR27+AR29+AR30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71" t="s">
        <v>42</v>
      </c>
      <c r="AB53" s="35"/>
      <c r="AF53" s="70" t="e">
        <f t="shared" ref="AF53:AO53" si="16">AF38+AF40+AF41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AR38+AR40+AR41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8">AF16+AF18+AF20+AF22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AR16+AR18+AR20+AR22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41</v>
      </c>
      <c r="AB56" s="35"/>
      <c r="AF56" s="70" t="e">
        <f t="shared" ref="AF56:AO56" si="20">AF27+AF29+AF31+AF33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AR27+AR29+AR31+AR33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71" t="s">
        <v>42</v>
      </c>
      <c r="AB57" s="35"/>
      <c r="AF57" s="70" t="e">
        <f t="shared" ref="AF57:AO57" si="22">AF38+AF40+AF42+AF44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AR38+AR40+AR42+AR44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4">AF16+AF18+AF20+AF21+AF23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AR16+AR18+AR20+AR21+AR23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41</v>
      </c>
      <c r="AB60" s="35"/>
      <c r="AF60" s="70" t="e">
        <f t="shared" ref="AF60:AO60" si="26">AF27+AF29+AF31+AF32+AF34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AR27+AR29+AR31+AR32+AR34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71" t="s">
        <v>42</v>
      </c>
      <c r="AB61" s="35"/>
      <c r="AF61" s="70" t="e">
        <f t="shared" ref="AF61:AO61" si="28">AF38+AF40+AF42+AF43+AF45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AR38+AR40+AR42+AR43+AR45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30">AF16+AF18+AF20+AF21+AF24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AR16+AR18+AR20+AR21+AR24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41</v>
      </c>
      <c r="AB64" s="35"/>
      <c r="AF64" s="70" t="e">
        <f t="shared" ref="AF64:AO64" si="32">AF27+AF29+AF31+AF32+AF35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AR27+AR29+AR31+AR32+AR35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71" t="s">
        <v>42</v>
      </c>
      <c r="AB65" s="35"/>
      <c r="AF65" s="70" t="e">
        <f t="shared" ref="AF65:AO65" si="34">AF38+AF40+AF42+AF43+AF46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AR38+AR40+AR42+AR43+AR46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6">AF16+AF17+AF22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AR16+AR17+AR22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41</v>
      </c>
      <c r="AB68" s="35"/>
      <c r="AF68" s="70" t="e">
        <f t="shared" ref="AF68:AO68" si="38">AF27+AF28+AF33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AR27+AR28+AR33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1" t="s">
        <v>42</v>
      </c>
      <c r="AB69" s="35"/>
      <c r="AF69" s="70" t="e">
        <f t="shared" ref="AF69:AO69" si="40">AF38+AF39+AF44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AR38+AR39+AR44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2">AF16+AF17+AF21+AF23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AR16+AR17+AR21+AR23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41</v>
      </c>
      <c r="AB72" s="35"/>
      <c r="AF72" s="70" t="e">
        <f t="shared" ref="AF72:AO72" si="44">AF27+AF28+AF32+AF34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AR27+AR28+AR32+AR34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71" t="s">
        <v>42</v>
      </c>
      <c r="AB73" s="35"/>
      <c r="AF73" s="70" t="e">
        <f t="shared" ref="AF73:AO73" si="46">AF38+AF39+AF43+AF45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AR38+AR39+AR43+AR45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8">AF16+AF17+AF21+AF24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AR16+AR17+AR21+AR24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41</v>
      </c>
      <c r="AB76" s="35"/>
      <c r="AF76" s="70" t="e">
        <f t="shared" ref="AF76:AO76" si="50">AF27+AF28+AF32+AF35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AR27+AR28+AR32+AR35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>
      <c r="AA77" s="71" t="s">
        <v>42</v>
      </c>
      <c r="AB77" s="35"/>
      <c r="AF77" s="70" t="e">
        <f t="shared" ref="AF77:AO77" si="52">AF38+AF39+AF43+AF46</f>
        <v>#REF!</v>
      </c>
      <c r="AG77" s="70" t="e">
        <f t="shared" si="52"/>
        <v>#REF!</v>
      </c>
      <c r="AH77" s="70" t="e">
        <f t="shared" si="52"/>
        <v>#REF!</v>
      </c>
      <c r="AI77" s="70" t="e">
        <f t="shared" si="52"/>
        <v>#REF!</v>
      </c>
      <c r="AJ77" s="70" t="e">
        <f t="shared" si="52"/>
        <v>#REF!</v>
      </c>
      <c r="AK77" s="70" t="e">
        <f t="shared" si="52"/>
        <v>#REF!</v>
      </c>
      <c r="AL77" s="70" t="e">
        <f t="shared" si="52"/>
        <v>#REF!</v>
      </c>
      <c r="AM77" s="70" t="e">
        <f t="shared" si="52"/>
        <v>#REF!</v>
      </c>
      <c r="AN77" s="70" t="e">
        <f t="shared" si="52"/>
        <v>#REF!</v>
      </c>
      <c r="AO77" s="70" t="e">
        <f t="shared" si="52"/>
        <v>#REF!</v>
      </c>
      <c r="AP77" s="70"/>
      <c r="AQ77" s="70"/>
      <c r="AR77" s="70" t="e">
        <f t="shared" ref="AR77:BA77" si="53">AR38+AR39+AR43+AR46</f>
        <v>#REF!</v>
      </c>
      <c r="AS77" s="70" t="e">
        <f t="shared" si="53"/>
        <v>#REF!</v>
      </c>
      <c r="AT77" s="70" t="e">
        <f t="shared" si="53"/>
        <v>#REF!</v>
      </c>
      <c r="AU77" s="70" t="e">
        <f t="shared" si="53"/>
        <v>#REF!</v>
      </c>
      <c r="AV77" s="70" t="e">
        <f t="shared" si="53"/>
        <v>#REF!</v>
      </c>
      <c r="AW77" s="70" t="e">
        <f t="shared" si="53"/>
        <v>#REF!</v>
      </c>
      <c r="AX77" s="70" t="e">
        <f t="shared" si="53"/>
        <v>#REF!</v>
      </c>
      <c r="AY77" s="70" t="e">
        <f t="shared" si="53"/>
        <v>#REF!</v>
      </c>
      <c r="AZ77" s="70" t="e">
        <f t="shared" si="53"/>
        <v>#REF!</v>
      </c>
      <c r="BA77" s="70" t="e">
        <f t="shared" si="53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45" t="s">
        <v>55</v>
      </c>
      <c r="G89" s="545" t="s">
        <v>73</v>
      </c>
      <c r="H89" s="545" t="s">
        <v>74</v>
      </c>
      <c r="I89" s="545" t="s">
        <v>58</v>
      </c>
      <c r="J89" s="545" t="s">
        <v>59</v>
      </c>
      <c r="K89" s="545" t="s">
        <v>60</v>
      </c>
      <c r="L89" s="544" t="s">
        <v>75</v>
      </c>
      <c r="M89" s="544" t="s">
        <v>76</v>
      </c>
      <c r="N89" s="544" t="s">
        <v>61</v>
      </c>
      <c r="O89" s="544" t="s">
        <v>62</v>
      </c>
      <c r="P89" s="544" t="s">
        <v>63</v>
      </c>
      <c r="AN89" s="38"/>
      <c r="AZ89" s="36"/>
    </row>
    <row r="90" spans="1:52" ht="25.5">
      <c r="A90" s="44" t="str">
        <f>A4</f>
        <v>Substation General Construction</v>
      </c>
      <c r="B90" s="45" t="str">
        <f>B4</f>
        <v>Light-Duty Truck, catalyst</v>
      </c>
      <c r="C90" s="46">
        <f>C4</f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2" si="54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ref="A91:C92" si="55">A5</f>
        <v>Substation Below Grade Construction</v>
      </c>
      <c r="B91" s="45" t="str">
        <f t="shared" si="55"/>
        <v>Light-Duty Truck, catalyst</v>
      </c>
      <c r="C91" s="46">
        <f t="shared" si="55"/>
        <v>10</v>
      </c>
      <c r="D91" s="46">
        <v>35</v>
      </c>
      <c r="E91" s="46">
        <v>80</v>
      </c>
      <c r="F91" s="50">
        <f>C5*($E5*$F5+($G5))/453.59</f>
        <v>4.8571938588092012</v>
      </c>
      <c r="G91" s="50">
        <f>C5*($E5*$H5+($I5))/453.59</f>
        <v>0.43670657294378012</v>
      </c>
      <c r="H91" s="50">
        <f t="shared" ref="H91" si="56">C5*(($E5*$J5)+($K5)+($L5)+($E5*$N5)+(($M5+$O5)))/453.59</f>
        <v>0.50499980323953331</v>
      </c>
      <c r="I91" s="50">
        <f>C5*($E5*$P5+($Q5))/453.59</f>
        <v>7.2679702716061598E-3</v>
      </c>
      <c r="J91" s="50">
        <f>C5*(($E5*($R5+$T5+$U5))+($S5))/453.59</f>
        <v>8.5240904552078958E-2</v>
      </c>
      <c r="K91" s="50">
        <f>$C5*(($E5*($V5+$X5+$Y5))+($W5))/453.59</f>
        <v>3.7120053242531412E-2</v>
      </c>
      <c r="L91" s="50">
        <f>$B$23*C5*(E5+6)</f>
        <v>8.438582586071898E-2</v>
      </c>
      <c r="M91" s="50">
        <f t="shared" ref="M91" si="57">0.41*L91</f>
        <v>3.4598188602894778E-2</v>
      </c>
      <c r="N91" s="50">
        <f>C5*($E5*$Z5+($AA5))/453.59</f>
        <v>554.23576726038891</v>
      </c>
      <c r="O91" s="50">
        <f>C5*($E5*$AB5+($AC5))/453.59</f>
        <v>3.1704753890302494E-2</v>
      </c>
      <c r="P91" s="50">
        <f>C5*($E5*$AD5+($AE5))/453.59</f>
        <v>5.7711199138433596E-2</v>
      </c>
      <c r="AN91" s="38"/>
      <c r="AZ91" s="36"/>
    </row>
    <row r="92" spans="1:52" ht="25.5">
      <c r="A92" s="44" t="str">
        <f t="shared" si="55"/>
        <v>Substation Above Grade Construction</v>
      </c>
      <c r="B92" s="45" t="str">
        <f t="shared" si="55"/>
        <v>Light-Duty Truck, catalyst</v>
      </c>
      <c r="C92" s="46">
        <f t="shared" si="55"/>
        <v>5</v>
      </c>
      <c r="D92" s="46">
        <v>35</v>
      </c>
      <c r="E92" s="46">
        <v>80</v>
      </c>
      <c r="F92" s="50">
        <f>C6*($E6*$F6+($G6))/453.59</f>
        <v>2.4285969294046006</v>
      </c>
      <c r="G92" s="50">
        <f>C6*($E6*$H6+($I6))/453.59</f>
        <v>0.21835328647189006</v>
      </c>
      <c r="H92" s="50">
        <f t="shared" ref="H92" si="58">C6*(($E6*$J6)+($K6)+($L6)+($E6*$N6)+(($M6+$O6)))/453.59</f>
        <v>0.25249990161976665</v>
      </c>
      <c r="I92" s="50">
        <f>C6*($E6*$P6+($Q6))/453.59</f>
        <v>3.6339851358030799E-3</v>
      </c>
      <c r="J92" s="50">
        <f>C6*(($E6*($R6+$T6+$U6))+($S6))/453.59</f>
        <v>4.2620452276039479E-2</v>
      </c>
      <c r="K92" s="50">
        <f>$C6*(($E6*($V6+$X6+$Y6))+($W6))/453.59</f>
        <v>1.8560026621265706E-2</v>
      </c>
      <c r="L92" s="50">
        <f>$B$23*C6*(E6+6)</f>
        <v>4.219291293035949E-2</v>
      </c>
      <c r="M92" s="50">
        <f t="shared" si="54"/>
        <v>1.7299094301447389E-2</v>
      </c>
      <c r="N92" s="50">
        <f>C6*($E6*$Z6+($AA6))/453.59</f>
        <v>277.11788363019446</v>
      </c>
      <c r="O92" s="50">
        <f>C6*($E6*$AB6+($AC6))/453.59</f>
        <v>1.5852376945151247E-2</v>
      </c>
      <c r="P92" s="50">
        <f>C6*($E6*$AD6+($AE6))/453.59</f>
        <v>2.8855599569216798E-2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 t="shared" ref="F93:P93" si="59">SUM(F90:F92)</f>
        <v>8.7429489458565612</v>
      </c>
      <c r="G93" s="81">
        <f t="shared" si="59"/>
        <v>0.7860718312988042</v>
      </c>
      <c r="H93" s="81">
        <f t="shared" si="59"/>
        <v>0.90899964583116</v>
      </c>
      <c r="I93" s="81">
        <f t="shared" si="59"/>
        <v>1.3082346488891087E-2</v>
      </c>
      <c r="J93" s="81">
        <f t="shared" si="59"/>
        <v>0.15343362819374212</v>
      </c>
      <c r="K93" s="81">
        <f t="shared" si="59"/>
        <v>6.6816095836556538E-2</v>
      </c>
      <c r="L93" s="81">
        <f t="shared" si="59"/>
        <v>0.15189448654929416</v>
      </c>
      <c r="M93" s="81">
        <f t="shared" si="59"/>
        <v>6.2276739485210598E-2</v>
      </c>
      <c r="N93" s="81">
        <f t="shared" si="59"/>
        <v>997.62438106870013</v>
      </c>
      <c r="O93" s="81">
        <f t="shared" si="59"/>
        <v>5.7068557002544484E-2</v>
      </c>
      <c r="P93" s="81">
        <f t="shared" si="59"/>
        <v>0.10388015844918047</v>
      </c>
      <c r="AN93" s="38"/>
      <c r="AZ93" s="36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4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633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398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100" t="s">
        <v>287</v>
      </c>
      <c r="B14" s="97" t="s">
        <v>27</v>
      </c>
      <c r="C14" s="97">
        <v>37</v>
      </c>
      <c r="D14" s="22">
        <v>0.37</v>
      </c>
      <c r="E14" s="102">
        <v>3.2313389441625637E-2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0.12374118165784832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0.16056172839506169</v>
      </c>
      <c r="H14" s="102">
        <v>3.2989906092678058E-4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1.3581349206349205E-2</v>
      </c>
      <c r="J14" s="100">
        <f t="shared" ref="J14:J17" si="4">0.89*I14</f>
        <v>1.2087400793650793E-2</v>
      </c>
      <c r="K14" s="103">
        <v>25.519156990664225</v>
      </c>
      <c r="L14" s="102">
        <v>3.413848047070189E-3</v>
      </c>
      <c r="M14" s="104">
        <f t="shared" ref="M14:M17" si="5">0.095*G14</f>
        <v>1.5253364197530862E-2</v>
      </c>
      <c r="N14" s="88">
        <v>1</v>
      </c>
      <c r="O14" s="88">
        <v>1</v>
      </c>
      <c r="P14" s="367">
        <v>75</v>
      </c>
      <c r="Q14" s="26">
        <f t="shared" ref="Q14:Y17" si="6">(E14*$N14*$O14)</f>
        <v>3.2313389441625637E-2</v>
      </c>
      <c r="R14" s="26">
        <f t="shared" si="6"/>
        <v>0.12374118165784832</v>
      </c>
      <c r="S14" s="26">
        <f t="shared" si="6"/>
        <v>0.16056172839506169</v>
      </c>
      <c r="T14" s="26">
        <f t="shared" si="6"/>
        <v>3.2989906092678058E-4</v>
      </c>
      <c r="U14" s="26">
        <f t="shared" si="6"/>
        <v>1.3581349206349205E-2</v>
      </c>
      <c r="V14" s="26">
        <f t="shared" si="6"/>
        <v>1.2087400793650793E-2</v>
      </c>
      <c r="W14" s="26">
        <f t="shared" si="6"/>
        <v>25.519156990664225</v>
      </c>
      <c r="X14" s="26">
        <f t="shared" si="6"/>
        <v>3.413848047070189E-3</v>
      </c>
      <c r="Y14" s="26">
        <f t="shared" si="6"/>
        <v>1.5253364197530862E-2</v>
      </c>
    </row>
    <row r="15" spans="1:25" s="3" customFormat="1">
      <c r="A15" s="100" t="s">
        <v>292</v>
      </c>
      <c r="B15" s="22" t="s">
        <v>27</v>
      </c>
      <c r="C15" s="97">
        <v>69</v>
      </c>
      <c r="D15" s="22">
        <v>0.5</v>
      </c>
      <c r="E15" s="102">
        <v>0.10796897189848784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0.2814153439153439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0.40462962962962956</v>
      </c>
      <c r="H15" s="102">
        <v>7.6125329247041284E-4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2.2817460317460316E-2</v>
      </c>
      <c r="J15" s="100">
        <f t="shared" si="4"/>
        <v>2.030753968253968E-2</v>
      </c>
      <c r="K15" s="103">
        <v>64.895144949977833</v>
      </c>
      <c r="L15" s="102">
        <v>1.0324742188913067E-2</v>
      </c>
      <c r="M15" s="104">
        <f t="shared" si="5"/>
        <v>3.8439814814814809E-2</v>
      </c>
      <c r="N15" s="87">
        <v>1</v>
      </c>
      <c r="O15" s="87">
        <v>6</v>
      </c>
      <c r="P15" s="88">
        <f>8*22</f>
        <v>176</v>
      </c>
      <c r="Q15" s="34">
        <f t="shared" si="6"/>
        <v>0.64781383139092696</v>
      </c>
      <c r="R15" s="26">
        <f t="shared" si="6"/>
        <v>1.6884920634920633</v>
      </c>
      <c r="S15" s="26">
        <f t="shared" si="6"/>
        <v>2.4277777777777771</v>
      </c>
      <c r="T15" s="26">
        <f t="shared" si="6"/>
        <v>4.567519754822477E-3</v>
      </c>
      <c r="U15" s="26">
        <f t="shared" si="6"/>
        <v>0.13690476190476189</v>
      </c>
      <c r="V15" s="26">
        <f t="shared" si="6"/>
        <v>0.12184523809523809</v>
      </c>
      <c r="W15" s="26">
        <f t="shared" si="6"/>
        <v>389.370869699867</v>
      </c>
      <c r="X15" s="26">
        <f t="shared" si="6"/>
        <v>6.1948453133478402E-2</v>
      </c>
      <c r="Y15" s="26">
        <f t="shared" si="6"/>
        <v>0.23063888888888884</v>
      </c>
    </row>
    <row r="16" spans="1:25" s="3" customFormat="1">
      <c r="A16" s="100" t="s">
        <v>124</v>
      </c>
      <c r="B16" s="29" t="s">
        <v>27</v>
      </c>
      <c r="C16" s="97">
        <v>87</v>
      </c>
      <c r="D16" s="22">
        <v>0.37</v>
      </c>
      <c r="E16" s="102">
        <v>7.7253202863558038E-2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0.26257275132275132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0.33506412037037031</v>
      </c>
      <c r="H16" s="102">
        <v>6.910856115004858E-4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2.1289682539682539E-2</v>
      </c>
      <c r="J16" s="100">
        <f t="shared" si="4"/>
        <v>1.894781746031746E-2</v>
      </c>
      <c r="K16" s="103">
        <v>58.913505111712794</v>
      </c>
      <c r="L16" s="102">
        <v>7.5344751889799754E-3</v>
      </c>
      <c r="M16" s="102">
        <f t="shared" si="5"/>
        <v>3.1831091435185178E-2</v>
      </c>
      <c r="N16" s="98">
        <v>1</v>
      </c>
      <c r="O16" s="87">
        <v>8</v>
      </c>
      <c r="P16" s="363">
        <v>15</v>
      </c>
      <c r="Q16" s="34">
        <f t="shared" si="6"/>
        <v>0.6180256229084643</v>
      </c>
      <c r="R16" s="26">
        <f t="shared" si="6"/>
        <v>2.1005820105820106</v>
      </c>
      <c r="S16" s="26">
        <f t="shared" si="6"/>
        <v>2.6805129629629625</v>
      </c>
      <c r="T16" s="26">
        <f t="shared" si="6"/>
        <v>5.5286848920038864E-3</v>
      </c>
      <c r="U16" s="26">
        <f t="shared" si="6"/>
        <v>0.17031746031746031</v>
      </c>
      <c r="V16" s="26">
        <f t="shared" si="6"/>
        <v>0.15158253968253968</v>
      </c>
      <c r="W16" s="26">
        <f t="shared" si="6"/>
        <v>471.30804089370235</v>
      </c>
      <c r="X16" s="26">
        <f t="shared" si="6"/>
        <v>6.0275801511839804E-2</v>
      </c>
      <c r="Y16" s="26">
        <f t="shared" si="6"/>
        <v>0.25464873148148143</v>
      </c>
    </row>
    <row r="17" spans="1:25" s="3" customFormat="1">
      <c r="A17" s="100" t="s">
        <v>126</v>
      </c>
      <c r="B17" s="22" t="s">
        <v>27</v>
      </c>
      <c r="C17" s="22">
        <v>175</v>
      </c>
      <c r="D17" s="22"/>
      <c r="E17" s="102">
        <v>0.11792220738547983</v>
      </c>
      <c r="F17" s="102">
        <v>0.36512193352152528</v>
      </c>
      <c r="G17" s="102">
        <v>0.86781464282266541</v>
      </c>
      <c r="H17" s="102">
        <v>1.8739217498104396E-3</v>
      </c>
      <c r="I17" s="102">
        <v>2.9041712295589866E-2</v>
      </c>
      <c r="J17" s="100">
        <f t="shared" si="4"/>
        <v>2.5847123943074982E-2</v>
      </c>
      <c r="K17" s="103">
        <v>166.54541562452522</v>
      </c>
      <c r="L17" s="102">
        <v>1.063993297769634E-2</v>
      </c>
      <c r="M17" s="104">
        <f t="shared" si="5"/>
        <v>8.2442391068153209E-2</v>
      </c>
      <c r="N17" s="88">
        <v>1</v>
      </c>
      <c r="O17" s="88">
        <v>3</v>
      </c>
      <c r="P17" s="367">
        <v>40</v>
      </c>
      <c r="Q17" s="26">
        <f t="shared" si="6"/>
        <v>0.3537666221564395</v>
      </c>
      <c r="R17" s="26">
        <f t="shared" si="6"/>
        <v>1.0953658005645759</v>
      </c>
      <c r="S17" s="26">
        <f t="shared" si="6"/>
        <v>2.6034439284679962</v>
      </c>
      <c r="T17" s="26">
        <f t="shared" si="6"/>
        <v>5.6217652494313184E-3</v>
      </c>
      <c r="U17" s="26">
        <f t="shared" si="6"/>
        <v>8.7125136886769594E-2</v>
      </c>
      <c r="V17" s="26">
        <f t="shared" si="6"/>
        <v>7.754137182922495E-2</v>
      </c>
      <c r="W17" s="26">
        <f t="shared" si="6"/>
        <v>499.63624687357566</v>
      </c>
      <c r="X17" s="26">
        <f t="shared" si="6"/>
        <v>3.1919798933089022E-2</v>
      </c>
      <c r="Y17" s="26">
        <f t="shared" si="6"/>
        <v>0.24732717320445963</v>
      </c>
    </row>
    <row r="18" spans="1:25" s="3" customFormat="1">
      <c r="A18" s="17" t="s">
        <v>28</v>
      </c>
      <c r="B18" s="97"/>
      <c r="C18" s="22"/>
      <c r="D18" s="22"/>
      <c r="E18" s="23"/>
      <c r="F18" s="23"/>
      <c r="G18" s="23"/>
      <c r="H18" s="23"/>
      <c r="I18" s="23"/>
      <c r="J18" s="24"/>
      <c r="K18" s="25"/>
      <c r="L18" s="23"/>
      <c r="M18" s="23"/>
      <c r="N18" s="88"/>
      <c r="O18" s="88"/>
      <c r="P18" s="88"/>
      <c r="Q18" s="27">
        <f t="shared" ref="Q18:Y18" si="7">SUM(Q14:Q17)</f>
        <v>1.6519194658974565</v>
      </c>
      <c r="R18" s="27">
        <f t="shared" si="7"/>
        <v>5.0081810562964977</v>
      </c>
      <c r="S18" s="27">
        <f t="shared" si="7"/>
        <v>7.8722963976037974</v>
      </c>
      <c r="T18" s="27">
        <f t="shared" si="7"/>
        <v>1.6047868957184463E-2</v>
      </c>
      <c r="U18" s="27">
        <f t="shared" si="7"/>
        <v>0.407928708315341</v>
      </c>
      <c r="V18" s="27">
        <f t="shared" si="7"/>
        <v>0.36305655040065349</v>
      </c>
      <c r="W18" s="27">
        <f t="shared" si="7"/>
        <v>1385.8343144578091</v>
      </c>
      <c r="X18" s="27">
        <f t="shared" si="7"/>
        <v>0.15755790162547742</v>
      </c>
      <c r="Y18" s="27">
        <f t="shared" si="7"/>
        <v>0.74786815777236082</v>
      </c>
    </row>
    <row r="19" spans="1:25" s="3" customFormat="1">
      <c r="A19" s="17"/>
      <c r="B19" s="97"/>
      <c r="C19" s="22"/>
      <c r="D19" s="22"/>
      <c r="E19" s="23"/>
      <c r="F19" s="23"/>
      <c r="G19" s="23"/>
      <c r="H19" s="23"/>
      <c r="I19" s="23"/>
      <c r="J19" s="24"/>
      <c r="K19" s="25"/>
      <c r="L19" s="23"/>
      <c r="M19" s="23"/>
      <c r="N19" s="88"/>
      <c r="O19" s="88"/>
      <c r="P19" s="88"/>
      <c r="Q19" s="27"/>
      <c r="R19" s="27"/>
      <c r="S19" s="27"/>
      <c r="T19" s="27"/>
      <c r="U19" s="27"/>
      <c r="V19" s="27"/>
      <c r="W19" s="27"/>
      <c r="X19" s="27"/>
      <c r="Y19" s="27"/>
    </row>
    <row r="20" spans="1:25" s="3" customFormat="1">
      <c r="A20" s="11" t="s">
        <v>399</v>
      </c>
      <c r="B20" s="22"/>
      <c r="C20" s="18"/>
      <c r="D20" s="22"/>
      <c r="E20" s="19"/>
      <c r="F20" s="19"/>
      <c r="G20" s="19"/>
      <c r="H20" s="19"/>
      <c r="I20" s="19"/>
      <c r="J20" s="19"/>
      <c r="K20" s="19"/>
      <c r="L20" s="19"/>
      <c r="M20" s="19"/>
      <c r="N20" s="11"/>
      <c r="O20" s="11"/>
      <c r="P20" s="11"/>
      <c r="Q20" s="27"/>
      <c r="R20" s="27"/>
      <c r="S20" s="27"/>
      <c r="T20" s="27"/>
      <c r="U20" s="27"/>
      <c r="V20" s="27"/>
      <c r="W20" s="28"/>
      <c r="X20" s="27"/>
      <c r="Y20" s="27"/>
    </row>
    <row r="21" spans="1:25">
      <c r="A21" s="24" t="s">
        <v>400</v>
      </c>
      <c r="B21" s="29" t="s">
        <v>27</v>
      </c>
      <c r="C21" s="97">
        <v>235</v>
      </c>
      <c r="D21" s="97"/>
      <c r="E21" s="102">
        <v>0.11792220738547983</v>
      </c>
      <c r="F21" s="102">
        <v>0.36512193352152528</v>
      </c>
      <c r="G21" s="102">
        <v>0.86781464282266541</v>
      </c>
      <c r="H21" s="102">
        <v>1.8739217498104396E-3</v>
      </c>
      <c r="I21" s="102">
        <v>2.9041712295589866E-2</v>
      </c>
      <c r="J21" s="100">
        <f t="shared" ref="J21:J22" si="8">0.89*I21</f>
        <v>2.5847123943074982E-2</v>
      </c>
      <c r="K21" s="103">
        <v>166.54541562452522</v>
      </c>
      <c r="L21" s="102">
        <v>1.063993297769634E-2</v>
      </c>
      <c r="M21" s="104">
        <f t="shared" ref="M21:M22" si="9">0.095*G21</f>
        <v>8.2442391068153209E-2</v>
      </c>
      <c r="N21" s="98">
        <v>1</v>
      </c>
      <c r="O21" s="87">
        <v>8</v>
      </c>
      <c r="P21" s="88">
        <v>4</v>
      </c>
      <c r="Q21" s="34">
        <f t="shared" ref="Q21:Y22" si="10">(E21*$N21*$O21)</f>
        <v>0.94337765908383864</v>
      </c>
      <c r="R21" s="26">
        <f t="shared" si="10"/>
        <v>2.9209754681722022</v>
      </c>
      <c r="S21" s="26">
        <f t="shared" si="10"/>
        <v>6.9425171425813232</v>
      </c>
      <c r="T21" s="26">
        <f t="shared" si="10"/>
        <v>1.4991373998483517E-2</v>
      </c>
      <c r="U21" s="26">
        <f t="shared" si="10"/>
        <v>0.23233369836471893</v>
      </c>
      <c r="V21" s="26">
        <f t="shared" si="10"/>
        <v>0.20677699154459986</v>
      </c>
      <c r="W21" s="26">
        <f t="shared" si="10"/>
        <v>1332.3633249962018</v>
      </c>
      <c r="X21" s="26">
        <f t="shared" si="10"/>
        <v>8.5119463821570721E-2</v>
      </c>
      <c r="Y21" s="26">
        <f t="shared" si="10"/>
        <v>0.65953912854522567</v>
      </c>
    </row>
    <row r="22" spans="1:25">
      <c r="A22" s="24" t="s">
        <v>297</v>
      </c>
      <c r="B22" s="29" t="s">
        <v>27</v>
      </c>
      <c r="C22" s="97">
        <v>235</v>
      </c>
      <c r="D22" s="97"/>
      <c r="E22" s="102">
        <v>0.11792220738547983</v>
      </c>
      <c r="F22" s="102">
        <v>0.36512193352152528</v>
      </c>
      <c r="G22" s="102">
        <v>0.86781464282266541</v>
      </c>
      <c r="H22" s="102">
        <v>1.8739217498104396E-3</v>
      </c>
      <c r="I22" s="102">
        <v>2.9041712295589866E-2</v>
      </c>
      <c r="J22" s="100">
        <f t="shared" si="8"/>
        <v>2.5847123943074982E-2</v>
      </c>
      <c r="K22" s="103">
        <v>166.54541562452522</v>
      </c>
      <c r="L22" s="102">
        <v>1.063993297769634E-2</v>
      </c>
      <c r="M22" s="104">
        <f t="shared" si="9"/>
        <v>8.2442391068153209E-2</v>
      </c>
      <c r="N22" s="98">
        <v>1</v>
      </c>
      <c r="O22" s="87">
        <v>8</v>
      </c>
      <c r="P22" s="88">
        <v>4</v>
      </c>
      <c r="Q22" s="34">
        <f t="shared" si="10"/>
        <v>0.94337765908383864</v>
      </c>
      <c r="R22" s="26">
        <f t="shared" si="10"/>
        <v>2.9209754681722022</v>
      </c>
      <c r="S22" s="26">
        <f t="shared" si="10"/>
        <v>6.9425171425813232</v>
      </c>
      <c r="T22" s="26">
        <f t="shared" si="10"/>
        <v>1.4991373998483517E-2</v>
      </c>
      <c r="U22" s="26">
        <f t="shared" si="10"/>
        <v>0.23233369836471893</v>
      </c>
      <c r="V22" s="26">
        <f t="shared" si="10"/>
        <v>0.20677699154459986</v>
      </c>
      <c r="W22" s="26">
        <f t="shared" si="10"/>
        <v>1332.3633249962018</v>
      </c>
      <c r="X22" s="26">
        <f t="shared" si="10"/>
        <v>8.5119463821570721E-2</v>
      </c>
      <c r="Y22" s="26">
        <f t="shared" si="10"/>
        <v>0.65953912854522567</v>
      </c>
    </row>
    <row r="23" spans="1:25">
      <c r="A23" s="17" t="s">
        <v>28</v>
      </c>
      <c r="B23" s="97"/>
      <c r="C23" s="22"/>
      <c r="D23" s="22"/>
      <c r="E23" s="23"/>
      <c r="F23" s="23"/>
      <c r="G23" s="23"/>
      <c r="H23" s="23"/>
      <c r="I23" s="23"/>
      <c r="J23" s="24"/>
      <c r="K23" s="25"/>
      <c r="L23" s="23"/>
      <c r="M23" s="23"/>
      <c r="N23" s="88"/>
      <c r="O23" s="88"/>
      <c r="P23" s="88"/>
      <c r="Q23" s="27">
        <f t="shared" ref="Q23:Y23" si="11">SUM(Q21:Q22)</f>
        <v>1.8867553181676773</v>
      </c>
      <c r="R23" s="27">
        <f t="shared" si="11"/>
        <v>5.8419509363444044</v>
      </c>
      <c r="S23" s="27">
        <f t="shared" si="11"/>
        <v>13.885034285162646</v>
      </c>
      <c r="T23" s="27">
        <f t="shared" si="11"/>
        <v>2.9982747996967034E-2</v>
      </c>
      <c r="U23" s="27">
        <f t="shared" si="11"/>
        <v>0.46466739672943785</v>
      </c>
      <c r="V23" s="27">
        <f t="shared" si="11"/>
        <v>0.41355398308919972</v>
      </c>
      <c r="W23" s="27">
        <f t="shared" si="11"/>
        <v>2664.7266499924035</v>
      </c>
      <c r="X23" s="27">
        <f t="shared" si="11"/>
        <v>0.17023892764314144</v>
      </c>
      <c r="Y23" s="27">
        <f t="shared" si="11"/>
        <v>1.3190782570904513</v>
      </c>
    </row>
    <row r="24" spans="1:25">
      <c r="A24" s="17" t="s">
        <v>499</v>
      </c>
      <c r="B24" s="549"/>
      <c r="C24" s="18"/>
      <c r="D24" s="22"/>
      <c r="E24" s="19"/>
      <c r="F24" s="19"/>
      <c r="G24" s="19"/>
      <c r="H24" s="19"/>
      <c r="I24" s="19"/>
      <c r="J24" s="19"/>
      <c r="K24" s="19"/>
      <c r="L24" s="19"/>
      <c r="M24" s="19"/>
      <c r="N24" s="30"/>
      <c r="O24" s="30"/>
      <c r="P24" s="364"/>
      <c r="Q24" s="20">
        <f>Q11+Q18+Q23</f>
        <v>4.2532519071567307</v>
      </c>
      <c r="R24" s="20">
        <f t="shared" ref="R24:Y24" si="12">R11+R18+R23</f>
        <v>13.804291203599295</v>
      </c>
      <c r="S24" s="20">
        <f t="shared" si="12"/>
        <v>26.178387128905602</v>
      </c>
      <c r="T24" s="20">
        <f t="shared" si="12"/>
        <v>5.4353683190229374E-2</v>
      </c>
      <c r="U24" s="20">
        <f t="shared" si="12"/>
        <v>1.1184043973608264</v>
      </c>
      <c r="V24" s="20">
        <f t="shared" si="12"/>
        <v>0.99537991365113543</v>
      </c>
      <c r="W24" s="20">
        <f t="shared" si="12"/>
        <v>4747.0144569352406</v>
      </c>
      <c r="X24" s="20">
        <f t="shared" si="12"/>
        <v>0.40033663545918863</v>
      </c>
      <c r="Y24" s="20">
        <f t="shared" si="12"/>
        <v>2.4869467772460321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4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634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C9*(F9)*$B$300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C10*(F10)*$B$300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334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C14*(F14)*$B$242</f>
        <v>0</v>
      </c>
      <c r="AA14" s="50">
        <f>Z14*0.21</f>
        <v>0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0.19978255106729004</v>
      </c>
      <c r="U15" s="81">
        <f t="shared" si="1"/>
        <v>0.36881875565943734</v>
      </c>
      <c r="V15" s="81">
        <f t="shared" si="1"/>
        <v>4.50613455258927E-2</v>
      </c>
      <c r="W15" s="81">
        <f t="shared" si="1"/>
        <v>2.7797226812149543E-3</v>
      </c>
      <c r="X15" s="81">
        <f t="shared" si="1"/>
        <v>7.2738929740302244E-2</v>
      </c>
      <c r="Y15" s="81">
        <f t="shared" si="1"/>
        <v>4.8332197965954803E-2</v>
      </c>
      <c r="Z15" s="81">
        <f t="shared" si="1"/>
        <v>0</v>
      </c>
      <c r="AA15" s="81">
        <f t="shared" si="1"/>
        <v>0</v>
      </c>
      <c r="AB15" s="81">
        <f t="shared" si="1"/>
        <v>193.62821118051326</v>
      </c>
      <c r="AC15" s="81">
        <f t="shared" si="1"/>
        <v>1.1064496871488068E-2</v>
      </c>
      <c r="AD15" s="81">
        <f t="shared" si="1"/>
        <v>4.9599802576000274E-3</v>
      </c>
    </row>
    <row r="16" spans="1:30">
      <c r="A16" s="75"/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</row>
    <row r="17" spans="1:30">
      <c r="A17" s="114" t="s">
        <v>336</v>
      </c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61"/>
      <c r="U17" s="61"/>
      <c r="V17" s="61"/>
      <c r="W17" s="61"/>
      <c r="X17" s="61"/>
      <c r="Y17" s="61"/>
      <c r="Z17" s="62"/>
      <c r="AA17" s="62"/>
      <c r="AB17" s="62"/>
      <c r="AC17" s="62"/>
      <c r="AD17" s="62"/>
    </row>
    <row r="18" spans="1:30">
      <c r="A18" s="78" t="s">
        <v>320</v>
      </c>
      <c r="B18" s="76" t="s">
        <v>95</v>
      </c>
      <c r="C18" s="79">
        <v>3</v>
      </c>
      <c r="D18" s="77"/>
      <c r="E18" s="77">
        <v>35</v>
      </c>
      <c r="F18" s="77">
        <v>60</v>
      </c>
      <c r="G18" s="106">
        <v>0.25172046482947802</v>
      </c>
      <c r="H18" s="106">
        <v>0.464701387165456</v>
      </c>
      <c r="I18" s="106">
        <v>5.6776043658582402E-2</v>
      </c>
      <c r="J18" s="106">
        <v>3.5023733638119199E-3</v>
      </c>
      <c r="K18" s="106">
        <v>4.6899256897933901E-2</v>
      </c>
      <c r="L18" s="47">
        <v>7.99995847163921E-3</v>
      </c>
      <c r="M18" s="47">
        <v>3.6749815577381599E-2</v>
      </c>
      <c r="N18" s="106">
        <v>4.3147317248333997E-2</v>
      </c>
      <c r="O18" s="47">
        <v>1.9999896145790402E-3</v>
      </c>
      <c r="P18" s="47">
        <v>1.57499200131354E-2</v>
      </c>
      <c r="Q18" s="106">
        <v>243.966167526025</v>
      </c>
      <c r="R18" s="47">
        <f>0.000057143*Q18</f>
        <v>1.3940958710939646E-2</v>
      </c>
      <c r="S18" s="80">
        <f>0.000025616*Q18</f>
        <v>6.2494373473466567E-3</v>
      </c>
      <c r="T18" s="50">
        <f>C18*($F18*$G18)/453.59</f>
        <v>9.9891275533645019E-2</v>
      </c>
      <c r="U18" s="50">
        <f>C18*($F18*$H18)/453.59</f>
        <v>0.18440937782971867</v>
      </c>
      <c r="V18" s="50">
        <f>C18*(($F18*$I18))/453.59</f>
        <v>2.253067276294635E-2</v>
      </c>
      <c r="W18" s="50">
        <f>C18*($F18*$J18)/453.59</f>
        <v>1.3898613406074772E-3</v>
      </c>
      <c r="X18" s="50">
        <f>C18*(($F18*($K18+$L18+$M18)))/453.59</f>
        <v>3.6369464870151122E-2</v>
      </c>
      <c r="Y18" s="50">
        <f>C18*(($F18*($N18+$O18+$P18)))/453.59</f>
        <v>2.4166098982977401E-2</v>
      </c>
      <c r="Z18" s="50">
        <f>C18*(F18)*$B$325</f>
        <v>0</v>
      </c>
      <c r="AA18" s="50">
        <f>Z18*0.21</f>
        <v>0</v>
      </c>
      <c r="AB18" s="50">
        <f>C18*(($F18*($Q18)))/453.59</f>
        <v>96.814105590256631</v>
      </c>
      <c r="AC18" s="50">
        <f>C18*(($F18*($R18)))/453.59</f>
        <v>5.5322484357440338E-3</v>
      </c>
      <c r="AD18" s="50">
        <f>C18*(($F18*($S18)))/453.59</f>
        <v>2.4799901288000137E-3</v>
      </c>
    </row>
    <row r="19" spans="1:30">
      <c r="A19" s="75" t="s">
        <v>28</v>
      </c>
      <c r="B19" s="74"/>
      <c r="C19" s="112"/>
      <c r="D19" s="112"/>
      <c r="E19" s="74"/>
      <c r="F19" s="74"/>
      <c r="G19" s="577"/>
      <c r="H19" s="41"/>
      <c r="I19" s="41"/>
      <c r="J19" s="41"/>
      <c r="K19" s="574"/>
      <c r="L19" s="574"/>
      <c r="M19" s="574"/>
      <c r="N19" s="574"/>
      <c r="O19" s="574"/>
      <c r="P19" s="574"/>
      <c r="Q19" s="41"/>
      <c r="R19" s="574"/>
      <c r="S19" s="574"/>
      <c r="T19" s="81">
        <f t="shared" ref="T19:AD19" si="2">SUM(T18:T18)</f>
        <v>9.9891275533645019E-2</v>
      </c>
      <c r="U19" s="81">
        <f t="shared" si="2"/>
        <v>0.18440937782971867</v>
      </c>
      <c r="V19" s="81">
        <f t="shared" si="2"/>
        <v>2.253067276294635E-2</v>
      </c>
      <c r="W19" s="81">
        <f t="shared" si="2"/>
        <v>1.3898613406074772E-3</v>
      </c>
      <c r="X19" s="81">
        <f t="shared" si="2"/>
        <v>3.6369464870151122E-2</v>
      </c>
      <c r="Y19" s="81">
        <f t="shared" si="2"/>
        <v>2.4166098982977401E-2</v>
      </c>
      <c r="Z19" s="81">
        <f t="shared" si="2"/>
        <v>0</v>
      </c>
      <c r="AA19" s="81">
        <f t="shared" si="2"/>
        <v>0</v>
      </c>
      <c r="AB19" s="81">
        <f t="shared" si="2"/>
        <v>96.814105590256631</v>
      </c>
      <c r="AC19" s="81">
        <f t="shared" si="2"/>
        <v>5.5322484357440338E-3</v>
      </c>
      <c r="AD19" s="81">
        <f t="shared" si="2"/>
        <v>2.4799901288000137E-3</v>
      </c>
    </row>
    <row r="20" spans="1:30">
      <c r="A20" s="75" t="s">
        <v>388</v>
      </c>
      <c r="B20" s="74"/>
      <c r="C20" s="112"/>
      <c r="D20" s="112"/>
      <c r="E20" s="74"/>
      <c r="F20" s="74"/>
      <c r="G20" s="547"/>
      <c r="H20" s="41"/>
      <c r="I20" s="41"/>
      <c r="J20" s="41"/>
      <c r="K20" s="544"/>
      <c r="L20" s="544"/>
      <c r="M20" s="544"/>
      <c r="N20" s="544"/>
      <c r="O20" s="544"/>
      <c r="P20" s="544"/>
      <c r="Q20" s="41"/>
      <c r="R20" s="544"/>
      <c r="S20" s="544"/>
      <c r="T20" s="81">
        <f>T11+T15+T19</f>
        <v>0.59051106942383247</v>
      </c>
      <c r="U20" s="81">
        <f t="shared" ref="U20:AD20" si="3">U11+U15+U19</f>
        <v>1.6144243701047405</v>
      </c>
      <c r="V20" s="81">
        <f t="shared" si="3"/>
        <v>0.13641650277605957</v>
      </c>
      <c r="W20" s="81">
        <f t="shared" si="3"/>
        <v>7.448696536397589E-3</v>
      </c>
      <c r="X20" s="81">
        <f t="shared" si="3"/>
        <v>0.17535848125533138</v>
      </c>
      <c r="Y20" s="81">
        <f t="shared" si="3"/>
        <v>0.11867638057804074</v>
      </c>
      <c r="Z20" s="81">
        <f t="shared" si="3"/>
        <v>0</v>
      </c>
      <c r="AA20" s="81">
        <f t="shared" si="3"/>
        <v>0</v>
      </c>
      <c r="AB20" s="81">
        <f t="shared" si="3"/>
        <v>688.97843208459187</v>
      </c>
      <c r="AC20" s="81">
        <f t="shared" si="3"/>
        <v>2.4816045271017211E-2</v>
      </c>
      <c r="AD20" s="81">
        <f t="shared" si="3"/>
        <v>1.7648871516278905E-2</v>
      </c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372" spans="1:2" ht="25.5">
      <c r="A372" s="82" t="s">
        <v>109</v>
      </c>
    </row>
    <row r="374" spans="1:2">
      <c r="A374" s="36" t="s">
        <v>81</v>
      </c>
    </row>
    <row r="375" spans="1:2">
      <c r="A375" s="36" t="s">
        <v>82</v>
      </c>
    </row>
    <row r="376" spans="1:2">
      <c r="A376" s="36" t="s">
        <v>83</v>
      </c>
    </row>
    <row r="377" spans="1:2">
      <c r="A377" s="37" t="s">
        <v>96</v>
      </c>
    </row>
    <row r="378" spans="1:2">
      <c r="A378" s="36" t="s">
        <v>85</v>
      </c>
    </row>
    <row r="379" spans="1:2">
      <c r="A379" s="36" t="s">
        <v>86</v>
      </c>
    </row>
    <row r="380" spans="1:2">
      <c r="A380" s="36" t="s">
        <v>87</v>
      </c>
    </row>
    <row r="381" spans="1:2">
      <c r="A381" s="36" t="s">
        <v>0</v>
      </c>
    </row>
    <row r="382" spans="1:2">
      <c r="A382" s="37" t="s">
        <v>97</v>
      </c>
      <c r="B382" s="36">
        <f>(0.016*(0.03/2)^0.65*(2/3)^1.5)-0.00047</f>
        <v>9.8123053326417428E-5</v>
      </c>
    </row>
    <row r="383" spans="1:2">
      <c r="A383" s="37" t="s">
        <v>98</v>
      </c>
      <c r="B383" s="36">
        <f>(0.016*(0.03/2)^0.65*(13/3)^1.5)-0.00047</f>
        <v>8.9448292388582783E-3</v>
      </c>
    </row>
    <row r="384" spans="1:2">
      <c r="A384" s="37" t="s">
        <v>99</v>
      </c>
      <c r="B384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635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67" ht="25.5">
      <c r="A5" s="44" t="s">
        <v>334</v>
      </c>
      <c r="B5" s="45" t="s">
        <v>102</v>
      </c>
      <c r="C5" s="46">
        <v>10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336</v>
      </c>
      <c r="B6" s="45" t="s">
        <v>102</v>
      </c>
      <c r="C6" s="46">
        <v>5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idden="1">
      <c r="A10" s="55" t="s">
        <v>78</v>
      </c>
      <c r="B10" s="37"/>
      <c r="C10" s="37"/>
      <c r="AA10" s="57"/>
      <c r="AB10" s="57"/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54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/>
      <c r="B14" s="37"/>
      <c r="C14" s="37"/>
      <c r="AQ14" s="38"/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F15" s="36" t="e">
        <f t="shared" ref="AF15:AF23" si="2">AF$10*$AC16</f>
        <v>#REF!</v>
      </c>
      <c r="AG15" s="36" t="e">
        <f t="shared" ref="AG15:AG23" si="3">AG$10*$AC16</f>
        <v>#REF!</v>
      </c>
      <c r="AH15" s="36" t="e">
        <f t="shared" ref="AH15:AH23" si="4">AH$10*$AC16</f>
        <v>#REF!</v>
      </c>
      <c r="AI15" s="36" t="e">
        <f t="shared" ref="AI15:AI23" si="5">AI$10*$AC16</f>
        <v>#REF!</v>
      </c>
      <c r="AJ15" s="36" t="e">
        <f t="shared" ref="AJ15:AJ23" si="6">AJ$10*$AC16</f>
        <v>#REF!</v>
      </c>
      <c r="AK15" s="36" t="e">
        <f t="shared" ref="AK15:AK23" si="7">AK$10*$AC16</f>
        <v>#REF!</v>
      </c>
      <c r="AL15" s="36" t="e">
        <f t="shared" ref="AL15:AL23" si="8">AL$10*$AC16</f>
        <v>#REF!</v>
      </c>
      <c r="AM15" s="36" t="e">
        <f t="shared" ref="AM15:AM23" si="9">AM$10*$AC16</f>
        <v>#REF!</v>
      </c>
      <c r="AN15" s="36" t="e">
        <f t="shared" ref="AN15:AN23" si="10">AN$10*$AC16</f>
        <v>#REF!</v>
      </c>
      <c r="AO15" s="36" t="e">
        <f t="shared" ref="AO15:AO23" si="11">AO$10*$AC16</f>
        <v>#REF!</v>
      </c>
      <c r="AQ15" s="38"/>
      <c r="AR15" s="36" t="e">
        <f t="shared" ref="AR15:AR23" si="12">AR$10*$AC16</f>
        <v>#REF!</v>
      </c>
      <c r="AS15" s="36" t="e">
        <f t="shared" ref="AS15:AS23" si="13">AS$10*$AC16</f>
        <v>#REF!</v>
      </c>
      <c r="AT15" s="36" t="e">
        <f t="shared" ref="AT15:AT23" si="14">AT$10*$AC16</f>
        <v>#REF!</v>
      </c>
      <c r="AU15" s="36" t="e">
        <f t="shared" ref="AU15:AU23" si="15">AU$10*$AC16</f>
        <v>#REF!</v>
      </c>
      <c r="AV15" s="36" t="e">
        <f t="shared" ref="AV15:AV23" si="16">AV$10*$AC16</f>
        <v>#REF!</v>
      </c>
      <c r="AW15" s="36" t="e">
        <f t="shared" ref="AW15:AW23" si="17">AW$10*$AC16</f>
        <v>#REF!</v>
      </c>
      <c r="AX15" s="36" t="e">
        <f t="shared" ref="AX15:AX23" si="18">AX$10*$AC16</f>
        <v>#REF!</v>
      </c>
      <c r="AY15" s="36" t="e">
        <f t="shared" ref="AY15:AY23" si="19">AY$10*$AC16</f>
        <v>#REF!</v>
      </c>
      <c r="AZ15" s="36" t="e">
        <f t="shared" ref="AZ15:AZ23" si="20">AZ$10*$AC16</f>
        <v>#REF!</v>
      </c>
      <c r="BA15" s="36" t="e">
        <f t="shared" ref="BA15:BA23" si="21">BA$10*$AC16</f>
        <v>#REF!</v>
      </c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 t="shared" si="2"/>
        <v>#REF!</v>
      </c>
      <c r="AG16" s="36" t="e">
        <f t="shared" si="3"/>
        <v>#REF!</v>
      </c>
      <c r="AH16" s="36" t="e">
        <f t="shared" si="4"/>
        <v>#REF!</v>
      </c>
      <c r="AI16" s="36" t="e">
        <f t="shared" si="5"/>
        <v>#REF!</v>
      </c>
      <c r="AJ16" s="36" t="e">
        <f t="shared" si="6"/>
        <v>#REF!</v>
      </c>
      <c r="AK16" s="36" t="e">
        <f t="shared" si="7"/>
        <v>#REF!</v>
      </c>
      <c r="AL16" s="36" t="e">
        <f t="shared" si="8"/>
        <v>#REF!</v>
      </c>
      <c r="AM16" s="36" t="e">
        <f t="shared" si="9"/>
        <v>#REF!</v>
      </c>
      <c r="AN16" s="36" t="e">
        <f t="shared" si="10"/>
        <v>#REF!</v>
      </c>
      <c r="AO16" s="36" t="e">
        <f t="shared" si="11"/>
        <v>#REF!</v>
      </c>
      <c r="AQ16" s="38"/>
      <c r="AR16" s="36" t="e">
        <f t="shared" si="12"/>
        <v>#REF!</v>
      </c>
      <c r="AS16" s="36" t="e">
        <f t="shared" si="13"/>
        <v>#REF!</v>
      </c>
      <c r="AT16" s="36" t="e">
        <f t="shared" si="14"/>
        <v>#REF!</v>
      </c>
      <c r="AU16" s="36" t="e">
        <f t="shared" si="15"/>
        <v>#REF!</v>
      </c>
      <c r="AV16" s="36" t="e">
        <f t="shared" si="16"/>
        <v>#REF!</v>
      </c>
      <c r="AW16" s="36" t="e">
        <f t="shared" si="17"/>
        <v>#REF!</v>
      </c>
      <c r="AX16" s="36" t="e">
        <f t="shared" si="18"/>
        <v>#REF!</v>
      </c>
      <c r="AY16" s="36" t="e">
        <f t="shared" si="19"/>
        <v>#REF!</v>
      </c>
      <c r="AZ16" s="36" t="e">
        <f t="shared" si="20"/>
        <v>#REF!</v>
      </c>
      <c r="BA16" s="36" t="e">
        <f t="shared" si="21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si="2"/>
        <v>#REF!</v>
      </c>
      <c r="AG17" s="36" t="e">
        <f t="shared" si="3"/>
        <v>#REF!</v>
      </c>
      <c r="AH17" s="36" t="e">
        <f t="shared" si="4"/>
        <v>#REF!</v>
      </c>
      <c r="AI17" s="36" t="e">
        <f t="shared" si="5"/>
        <v>#REF!</v>
      </c>
      <c r="AJ17" s="36" t="e">
        <f t="shared" si="6"/>
        <v>#REF!</v>
      </c>
      <c r="AK17" s="36" t="e">
        <f t="shared" si="7"/>
        <v>#REF!</v>
      </c>
      <c r="AL17" s="36" t="e">
        <f t="shared" si="8"/>
        <v>#REF!</v>
      </c>
      <c r="AM17" s="36" t="e">
        <f t="shared" si="9"/>
        <v>#REF!</v>
      </c>
      <c r="AN17" s="36" t="e">
        <f t="shared" si="10"/>
        <v>#REF!</v>
      </c>
      <c r="AO17" s="36" t="e">
        <f t="shared" si="11"/>
        <v>#REF!</v>
      </c>
      <c r="AQ17" s="38"/>
      <c r="AR17" s="36" t="e">
        <f t="shared" si="12"/>
        <v>#REF!</v>
      </c>
      <c r="AS17" s="36" t="e">
        <f t="shared" si="13"/>
        <v>#REF!</v>
      </c>
      <c r="AT17" s="36" t="e">
        <f t="shared" si="14"/>
        <v>#REF!</v>
      </c>
      <c r="AU17" s="36" t="e">
        <f t="shared" si="15"/>
        <v>#REF!</v>
      </c>
      <c r="AV17" s="36" t="e">
        <f t="shared" si="16"/>
        <v>#REF!</v>
      </c>
      <c r="AW17" s="36" t="e">
        <f t="shared" si="17"/>
        <v>#REF!</v>
      </c>
      <c r="AX17" s="36" t="e">
        <f t="shared" si="18"/>
        <v>#REF!</v>
      </c>
      <c r="AY17" s="36" t="e">
        <f t="shared" si="19"/>
        <v>#REF!</v>
      </c>
      <c r="AZ17" s="36" t="e">
        <f t="shared" si="20"/>
        <v>#REF!</v>
      </c>
      <c r="BA17" s="36" t="e">
        <f t="shared" si="21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2"/>
        <v>#REF!</v>
      </c>
      <c r="AG18" s="36" t="e">
        <f t="shared" si="3"/>
        <v>#REF!</v>
      </c>
      <c r="AH18" s="36" t="e">
        <f t="shared" si="4"/>
        <v>#REF!</v>
      </c>
      <c r="AI18" s="36" t="e">
        <f t="shared" si="5"/>
        <v>#REF!</v>
      </c>
      <c r="AJ18" s="36" t="e">
        <f t="shared" si="6"/>
        <v>#REF!</v>
      </c>
      <c r="AK18" s="36" t="e">
        <f t="shared" si="7"/>
        <v>#REF!</v>
      </c>
      <c r="AL18" s="36" t="e">
        <f t="shared" si="8"/>
        <v>#REF!</v>
      </c>
      <c r="AM18" s="36" t="e">
        <f t="shared" si="9"/>
        <v>#REF!</v>
      </c>
      <c r="AN18" s="36" t="e">
        <f t="shared" si="10"/>
        <v>#REF!</v>
      </c>
      <c r="AO18" s="36" t="e">
        <f t="shared" si="11"/>
        <v>#REF!</v>
      </c>
      <c r="AQ18" s="38"/>
      <c r="AR18" s="36" t="e">
        <f t="shared" si="12"/>
        <v>#REF!</v>
      </c>
      <c r="AS18" s="36" t="e">
        <f t="shared" si="13"/>
        <v>#REF!</v>
      </c>
      <c r="AT18" s="36" t="e">
        <f t="shared" si="14"/>
        <v>#REF!</v>
      </c>
      <c r="AU18" s="36" t="e">
        <f t="shared" si="15"/>
        <v>#REF!</v>
      </c>
      <c r="AV18" s="36" t="e">
        <f t="shared" si="16"/>
        <v>#REF!</v>
      </c>
      <c r="AW18" s="36" t="e">
        <f t="shared" si="17"/>
        <v>#REF!</v>
      </c>
      <c r="AX18" s="36" t="e">
        <f t="shared" si="18"/>
        <v>#REF!</v>
      </c>
      <c r="AY18" s="36" t="e">
        <f t="shared" si="19"/>
        <v>#REF!</v>
      </c>
      <c r="AZ18" s="36" t="e">
        <f t="shared" si="20"/>
        <v>#REF!</v>
      </c>
      <c r="BA18" s="36" t="e">
        <f t="shared" si="21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2"/>
        <v>#REF!</v>
      </c>
      <c r="AG19" s="36" t="e">
        <f t="shared" si="3"/>
        <v>#REF!</v>
      </c>
      <c r="AH19" s="36" t="e">
        <f t="shared" si="4"/>
        <v>#REF!</v>
      </c>
      <c r="AI19" s="36" t="e">
        <f t="shared" si="5"/>
        <v>#REF!</v>
      </c>
      <c r="AJ19" s="36" t="e">
        <f t="shared" si="6"/>
        <v>#REF!</v>
      </c>
      <c r="AK19" s="36" t="e">
        <f t="shared" si="7"/>
        <v>#REF!</v>
      </c>
      <c r="AL19" s="36" t="e">
        <f t="shared" si="8"/>
        <v>#REF!</v>
      </c>
      <c r="AM19" s="36" t="e">
        <f t="shared" si="9"/>
        <v>#REF!</v>
      </c>
      <c r="AN19" s="36" t="e">
        <f t="shared" si="10"/>
        <v>#REF!</v>
      </c>
      <c r="AO19" s="36" t="e">
        <f t="shared" si="11"/>
        <v>#REF!</v>
      </c>
      <c r="AQ19" s="38"/>
      <c r="AR19" s="36" t="e">
        <f t="shared" si="12"/>
        <v>#REF!</v>
      </c>
      <c r="AS19" s="36" t="e">
        <f t="shared" si="13"/>
        <v>#REF!</v>
      </c>
      <c r="AT19" s="36" t="e">
        <f t="shared" si="14"/>
        <v>#REF!</v>
      </c>
      <c r="AU19" s="36" t="e">
        <f t="shared" si="15"/>
        <v>#REF!</v>
      </c>
      <c r="AV19" s="36" t="e">
        <f t="shared" si="16"/>
        <v>#REF!</v>
      </c>
      <c r="AW19" s="36" t="e">
        <f t="shared" si="17"/>
        <v>#REF!</v>
      </c>
      <c r="AX19" s="36" t="e">
        <f t="shared" si="18"/>
        <v>#REF!</v>
      </c>
      <c r="AY19" s="36" t="e">
        <f t="shared" si="19"/>
        <v>#REF!</v>
      </c>
      <c r="AZ19" s="36" t="e">
        <f t="shared" si="20"/>
        <v>#REF!</v>
      </c>
      <c r="BA19" s="36" t="e">
        <f t="shared" si="21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2"/>
        <v>#REF!</v>
      </c>
      <c r="AG20" s="36" t="e">
        <f t="shared" si="3"/>
        <v>#REF!</v>
      </c>
      <c r="AH20" s="36" t="e">
        <f t="shared" si="4"/>
        <v>#REF!</v>
      </c>
      <c r="AI20" s="36" t="e">
        <f t="shared" si="5"/>
        <v>#REF!</v>
      </c>
      <c r="AJ20" s="36" t="e">
        <f t="shared" si="6"/>
        <v>#REF!</v>
      </c>
      <c r="AK20" s="36" t="e">
        <f t="shared" si="7"/>
        <v>#REF!</v>
      </c>
      <c r="AL20" s="36" t="e">
        <f t="shared" si="8"/>
        <v>#REF!</v>
      </c>
      <c r="AM20" s="36" t="e">
        <f t="shared" si="9"/>
        <v>#REF!</v>
      </c>
      <c r="AN20" s="36" t="e">
        <f t="shared" si="10"/>
        <v>#REF!</v>
      </c>
      <c r="AO20" s="36" t="e">
        <f t="shared" si="11"/>
        <v>#REF!</v>
      </c>
      <c r="AQ20" s="38"/>
      <c r="AR20" s="36" t="e">
        <f t="shared" si="12"/>
        <v>#REF!</v>
      </c>
      <c r="AS20" s="36" t="e">
        <f t="shared" si="13"/>
        <v>#REF!</v>
      </c>
      <c r="AT20" s="36" t="e">
        <f t="shared" si="14"/>
        <v>#REF!</v>
      </c>
      <c r="AU20" s="36" t="e">
        <f t="shared" si="15"/>
        <v>#REF!</v>
      </c>
      <c r="AV20" s="36" t="e">
        <f t="shared" si="16"/>
        <v>#REF!</v>
      </c>
      <c r="AW20" s="36" t="e">
        <f t="shared" si="17"/>
        <v>#REF!</v>
      </c>
      <c r="AX20" s="36" t="e">
        <f t="shared" si="18"/>
        <v>#REF!</v>
      </c>
      <c r="AY20" s="36" t="e">
        <f t="shared" si="19"/>
        <v>#REF!</v>
      </c>
      <c r="AZ20" s="36" t="e">
        <f t="shared" si="20"/>
        <v>#REF!</v>
      </c>
      <c r="BA20" s="36" t="e">
        <f t="shared" si="21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2"/>
        <v>#REF!</v>
      </c>
      <c r="AG21" s="36" t="e">
        <f t="shared" si="3"/>
        <v>#REF!</v>
      </c>
      <c r="AH21" s="36" t="e">
        <f t="shared" si="4"/>
        <v>#REF!</v>
      </c>
      <c r="AI21" s="36" t="e">
        <f t="shared" si="5"/>
        <v>#REF!</v>
      </c>
      <c r="AJ21" s="36" t="e">
        <f t="shared" si="6"/>
        <v>#REF!</v>
      </c>
      <c r="AK21" s="36" t="e">
        <f t="shared" si="7"/>
        <v>#REF!</v>
      </c>
      <c r="AL21" s="36" t="e">
        <f t="shared" si="8"/>
        <v>#REF!</v>
      </c>
      <c r="AM21" s="36" t="e">
        <f t="shared" si="9"/>
        <v>#REF!</v>
      </c>
      <c r="AN21" s="36" t="e">
        <f t="shared" si="10"/>
        <v>#REF!</v>
      </c>
      <c r="AO21" s="36" t="e">
        <f t="shared" si="11"/>
        <v>#REF!</v>
      </c>
      <c r="AQ21" s="38"/>
      <c r="AR21" s="36" t="e">
        <f t="shared" si="12"/>
        <v>#REF!</v>
      </c>
      <c r="AS21" s="36" t="e">
        <f t="shared" si="13"/>
        <v>#REF!</v>
      </c>
      <c r="AT21" s="36" t="e">
        <f t="shared" si="14"/>
        <v>#REF!</v>
      </c>
      <c r="AU21" s="36" t="e">
        <f t="shared" si="15"/>
        <v>#REF!</v>
      </c>
      <c r="AV21" s="36" t="e">
        <f t="shared" si="16"/>
        <v>#REF!</v>
      </c>
      <c r="AW21" s="36" t="e">
        <f t="shared" si="17"/>
        <v>#REF!</v>
      </c>
      <c r="AX21" s="36" t="e">
        <f t="shared" si="18"/>
        <v>#REF!</v>
      </c>
      <c r="AY21" s="36" t="e">
        <f t="shared" si="19"/>
        <v>#REF!</v>
      </c>
      <c r="AZ21" s="36" t="e">
        <f t="shared" si="20"/>
        <v>#REF!</v>
      </c>
      <c r="BA21" s="36" t="e">
        <f t="shared" si="21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2"/>
        <v>#REF!</v>
      </c>
      <c r="AG22" s="36" t="e">
        <f t="shared" si="3"/>
        <v>#REF!</v>
      </c>
      <c r="AH22" s="36" t="e">
        <f t="shared" si="4"/>
        <v>#REF!</v>
      </c>
      <c r="AI22" s="36" t="e">
        <f t="shared" si="5"/>
        <v>#REF!</v>
      </c>
      <c r="AJ22" s="36" t="e">
        <f t="shared" si="6"/>
        <v>#REF!</v>
      </c>
      <c r="AK22" s="36" t="e">
        <f t="shared" si="7"/>
        <v>#REF!</v>
      </c>
      <c r="AL22" s="36" t="e">
        <f t="shared" si="8"/>
        <v>#REF!</v>
      </c>
      <c r="AM22" s="36" t="e">
        <f t="shared" si="9"/>
        <v>#REF!</v>
      </c>
      <c r="AN22" s="36" t="e">
        <f t="shared" si="10"/>
        <v>#REF!</v>
      </c>
      <c r="AO22" s="36" t="e">
        <f t="shared" si="11"/>
        <v>#REF!</v>
      </c>
      <c r="AQ22" s="38"/>
      <c r="AR22" s="36" t="e">
        <f t="shared" si="12"/>
        <v>#REF!</v>
      </c>
      <c r="AS22" s="36" t="e">
        <f t="shared" si="13"/>
        <v>#REF!</v>
      </c>
      <c r="AT22" s="36" t="e">
        <f t="shared" si="14"/>
        <v>#REF!</v>
      </c>
      <c r="AU22" s="36" t="e">
        <f t="shared" si="15"/>
        <v>#REF!</v>
      </c>
      <c r="AV22" s="36" t="e">
        <f t="shared" si="16"/>
        <v>#REF!</v>
      </c>
      <c r="AW22" s="36" t="e">
        <f t="shared" si="17"/>
        <v>#REF!</v>
      </c>
      <c r="AX22" s="36" t="e">
        <f t="shared" si="18"/>
        <v>#REF!</v>
      </c>
      <c r="AY22" s="36" t="e">
        <f t="shared" si="19"/>
        <v>#REF!</v>
      </c>
      <c r="AZ22" s="36" t="e">
        <f t="shared" si="20"/>
        <v>#REF!</v>
      </c>
      <c r="BA22" s="36" t="e">
        <f t="shared" si="21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2"/>
        <v>#REF!</v>
      </c>
      <c r="AG23" s="36" t="e">
        <f t="shared" si="3"/>
        <v>#REF!</v>
      </c>
      <c r="AH23" s="36" t="e">
        <f t="shared" si="4"/>
        <v>#REF!</v>
      </c>
      <c r="AI23" s="36" t="e">
        <f t="shared" si="5"/>
        <v>#REF!</v>
      </c>
      <c r="AJ23" s="36" t="e">
        <f t="shared" si="6"/>
        <v>#REF!</v>
      </c>
      <c r="AK23" s="36" t="e">
        <f t="shared" si="7"/>
        <v>#REF!</v>
      </c>
      <c r="AL23" s="36" t="e">
        <f t="shared" si="8"/>
        <v>#REF!</v>
      </c>
      <c r="AM23" s="36" t="e">
        <f t="shared" si="9"/>
        <v>#REF!</v>
      </c>
      <c r="AN23" s="36" t="e">
        <f t="shared" si="10"/>
        <v>#REF!</v>
      </c>
      <c r="AO23" s="36" t="e">
        <f t="shared" si="11"/>
        <v>#REF!</v>
      </c>
      <c r="AQ23" s="38"/>
      <c r="AR23" s="36" t="e">
        <f t="shared" si="12"/>
        <v>#REF!</v>
      </c>
      <c r="AS23" s="36" t="e">
        <f t="shared" si="13"/>
        <v>#REF!</v>
      </c>
      <c r="AT23" s="36" t="e">
        <f t="shared" si="14"/>
        <v>#REF!</v>
      </c>
      <c r="AU23" s="36" t="e">
        <f t="shared" si="15"/>
        <v>#REF!</v>
      </c>
      <c r="AV23" s="36" t="e">
        <f t="shared" si="16"/>
        <v>#REF!</v>
      </c>
      <c r="AW23" s="36" t="e">
        <f t="shared" si="17"/>
        <v>#REF!</v>
      </c>
      <c r="AX23" s="36" t="e">
        <f t="shared" si="18"/>
        <v>#REF!</v>
      </c>
      <c r="AY23" s="36" t="e">
        <f t="shared" si="19"/>
        <v>#REF!</v>
      </c>
      <c r="AZ23" s="36" t="e">
        <f t="shared" si="20"/>
        <v>#REF!</v>
      </c>
      <c r="BA23" s="36" t="e">
        <f t="shared" si="21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Q24" s="38"/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F26" s="36" t="e">
        <f t="shared" ref="AF26:AF34" si="22">AF$10*$AC27</f>
        <v>#REF!</v>
      </c>
      <c r="AG26" s="36" t="e">
        <f t="shared" ref="AG26:AG34" si="23">AG$10*$AC27</f>
        <v>#REF!</v>
      </c>
      <c r="AH26" s="36" t="e">
        <f t="shared" ref="AH26:AH34" si="24">AH$10*$AC27</f>
        <v>#REF!</v>
      </c>
      <c r="AI26" s="36" t="e">
        <f t="shared" ref="AI26:AI34" si="25">AI$10*$AC27</f>
        <v>#REF!</v>
      </c>
      <c r="AJ26" s="36" t="e">
        <f t="shared" ref="AJ26:AJ34" si="26">AJ$10*$AC27</f>
        <v>#REF!</v>
      </c>
      <c r="AK26" s="36" t="e">
        <f t="shared" ref="AK26:AK34" si="27">AK$10*$AC27</f>
        <v>#REF!</v>
      </c>
      <c r="AL26" s="36" t="e">
        <f t="shared" ref="AL26:AL34" si="28">AL$10*$AC27</f>
        <v>#REF!</v>
      </c>
      <c r="AM26" s="36" t="e">
        <f t="shared" ref="AM26:AM34" si="29">AM$10*$AC27</f>
        <v>#REF!</v>
      </c>
      <c r="AN26" s="36" t="e">
        <f t="shared" ref="AN26:AN34" si="30">AN$10*$AC27</f>
        <v>#REF!</v>
      </c>
      <c r="AO26" s="36" t="e">
        <f t="shared" ref="AO26:AO34" si="31">AO$10*$AC27</f>
        <v>#REF!</v>
      </c>
      <c r="AQ26" s="38"/>
      <c r="AR26" s="36" t="e">
        <f t="shared" ref="AR26:AR34" si="32">AR$10*$AC27</f>
        <v>#REF!</v>
      </c>
      <c r="AS26" s="36" t="e">
        <f t="shared" ref="AS26:AS34" si="33">AS$10*$AC27</f>
        <v>#REF!</v>
      </c>
      <c r="AT26" s="36" t="e">
        <f t="shared" ref="AT26:AT34" si="34">AT$10*$AC27</f>
        <v>#REF!</v>
      </c>
      <c r="AU26" s="36" t="e">
        <f t="shared" ref="AU26:AU34" si="35">AU$10*$AC27</f>
        <v>#REF!</v>
      </c>
      <c r="AV26" s="36" t="e">
        <f t="shared" ref="AV26:AV34" si="36">AV$10*$AC27</f>
        <v>#REF!</v>
      </c>
      <c r="AW26" s="36" t="e">
        <f t="shared" ref="AW26:AW34" si="37">AW$10*$AC27</f>
        <v>#REF!</v>
      </c>
      <c r="AX26" s="36" t="e">
        <f t="shared" ref="AX26:AX34" si="38">AX$10*$AC27</f>
        <v>#REF!</v>
      </c>
      <c r="AY26" s="36" t="e">
        <f t="shared" ref="AY26:AY34" si="39">AY$10*$AC27</f>
        <v>#REF!</v>
      </c>
      <c r="AZ26" s="36" t="e">
        <f t="shared" ref="AZ26:AZ34" si="40">AZ$10*$AC27</f>
        <v>#REF!</v>
      </c>
      <c r="BA26" s="36" t="e">
        <f t="shared" ref="BA26:BA34" si="41">BA$10*$AC27</f>
        <v>#REF!</v>
      </c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si="22"/>
        <v>#REF!</v>
      </c>
      <c r="AG27" s="36" t="e">
        <f t="shared" si="23"/>
        <v>#REF!</v>
      </c>
      <c r="AH27" s="36" t="e">
        <f t="shared" si="24"/>
        <v>#REF!</v>
      </c>
      <c r="AI27" s="36" t="e">
        <f t="shared" si="25"/>
        <v>#REF!</v>
      </c>
      <c r="AJ27" s="36" t="e">
        <f t="shared" si="26"/>
        <v>#REF!</v>
      </c>
      <c r="AK27" s="36" t="e">
        <f t="shared" si="27"/>
        <v>#REF!</v>
      </c>
      <c r="AL27" s="36" t="e">
        <f t="shared" si="28"/>
        <v>#REF!</v>
      </c>
      <c r="AM27" s="36" t="e">
        <f t="shared" si="29"/>
        <v>#REF!</v>
      </c>
      <c r="AN27" s="36" t="e">
        <f t="shared" si="30"/>
        <v>#REF!</v>
      </c>
      <c r="AO27" s="36" t="e">
        <f t="shared" si="31"/>
        <v>#REF!</v>
      </c>
      <c r="AQ27" s="38"/>
      <c r="AR27" s="36" t="e">
        <f t="shared" si="32"/>
        <v>#REF!</v>
      </c>
      <c r="AS27" s="36" t="e">
        <f t="shared" si="33"/>
        <v>#REF!</v>
      </c>
      <c r="AT27" s="36" t="e">
        <f t="shared" si="34"/>
        <v>#REF!</v>
      </c>
      <c r="AU27" s="36" t="e">
        <f t="shared" si="35"/>
        <v>#REF!</v>
      </c>
      <c r="AV27" s="36" t="e">
        <f t="shared" si="36"/>
        <v>#REF!</v>
      </c>
      <c r="AW27" s="36" t="e">
        <f t="shared" si="37"/>
        <v>#REF!</v>
      </c>
      <c r="AX27" s="36" t="e">
        <f t="shared" si="38"/>
        <v>#REF!</v>
      </c>
      <c r="AY27" s="36" t="e">
        <f t="shared" si="39"/>
        <v>#REF!</v>
      </c>
      <c r="AZ27" s="36" t="e">
        <f t="shared" si="40"/>
        <v>#REF!</v>
      </c>
      <c r="BA27" s="36" t="e">
        <f t="shared" si="41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22"/>
        <v>#REF!</v>
      </c>
      <c r="AG28" s="36" t="e">
        <f t="shared" si="23"/>
        <v>#REF!</v>
      </c>
      <c r="AH28" s="36" t="e">
        <f t="shared" si="24"/>
        <v>#REF!</v>
      </c>
      <c r="AI28" s="36" t="e">
        <f t="shared" si="25"/>
        <v>#REF!</v>
      </c>
      <c r="AJ28" s="36" t="e">
        <f t="shared" si="26"/>
        <v>#REF!</v>
      </c>
      <c r="AK28" s="36" t="e">
        <f t="shared" si="27"/>
        <v>#REF!</v>
      </c>
      <c r="AL28" s="36" t="e">
        <f t="shared" si="28"/>
        <v>#REF!</v>
      </c>
      <c r="AM28" s="36" t="e">
        <f t="shared" si="29"/>
        <v>#REF!</v>
      </c>
      <c r="AN28" s="36" t="e">
        <f t="shared" si="30"/>
        <v>#REF!</v>
      </c>
      <c r="AO28" s="36" t="e">
        <f t="shared" si="31"/>
        <v>#REF!</v>
      </c>
      <c r="AQ28" s="38"/>
      <c r="AR28" s="36" t="e">
        <f t="shared" si="32"/>
        <v>#REF!</v>
      </c>
      <c r="AS28" s="36" t="e">
        <f t="shared" si="33"/>
        <v>#REF!</v>
      </c>
      <c r="AT28" s="36" t="e">
        <f t="shared" si="34"/>
        <v>#REF!</v>
      </c>
      <c r="AU28" s="36" t="e">
        <f t="shared" si="35"/>
        <v>#REF!</v>
      </c>
      <c r="AV28" s="36" t="e">
        <f t="shared" si="36"/>
        <v>#REF!</v>
      </c>
      <c r="AW28" s="36" t="e">
        <f t="shared" si="37"/>
        <v>#REF!</v>
      </c>
      <c r="AX28" s="36" t="e">
        <f t="shared" si="38"/>
        <v>#REF!</v>
      </c>
      <c r="AY28" s="36" t="e">
        <f t="shared" si="39"/>
        <v>#REF!</v>
      </c>
      <c r="AZ28" s="36" t="e">
        <f t="shared" si="40"/>
        <v>#REF!</v>
      </c>
      <c r="BA28" s="36" t="e">
        <f t="shared" si="41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22"/>
        <v>#REF!</v>
      </c>
      <c r="AG29" s="36" t="e">
        <f t="shared" si="23"/>
        <v>#REF!</v>
      </c>
      <c r="AH29" s="36" t="e">
        <f t="shared" si="24"/>
        <v>#REF!</v>
      </c>
      <c r="AI29" s="36" t="e">
        <f t="shared" si="25"/>
        <v>#REF!</v>
      </c>
      <c r="AJ29" s="36" t="e">
        <f t="shared" si="26"/>
        <v>#REF!</v>
      </c>
      <c r="AK29" s="36" t="e">
        <f t="shared" si="27"/>
        <v>#REF!</v>
      </c>
      <c r="AL29" s="36" t="e">
        <f t="shared" si="28"/>
        <v>#REF!</v>
      </c>
      <c r="AM29" s="36" t="e">
        <f t="shared" si="29"/>
        <v>#REF!</v>
      </c>
      <c r="AN29" s="36" t="e">
        <f t="shared" si="30"/>
        <v>#REF!</v>
      </c>
      <c r="AO29" s="36" t="e">
        <f t="shared" si="31"/>
        <v>#REF!</v>
      </c>
      <c r="AQ29" s="38"/>
      <c r="AR29" s="36" t="e">
        <f t="shared" si="32"/>
        <v>#REF!</v>
      </c>
      <c r="AS29" s="36" t="e">
        <f t="shared" si="33"/>
        <v>#REF!</v>
      </c>
      <c r="AT29" s="36" t="e">
        <f t="shared" si="34"/>
        <v>#REF!</v>
      </c>
      <c r="AU29" s="36" t="e">
        <f t="shared" si="35"/>
        <v>#REF!</v>
      </c>
      <c r="AV29" s="36" t="e">
        <f t="shared" si="36"/>
        <v>#REF!</v>
      </c>
      <c r="AW29" s="36" t="e">
        <f t="shared" si="37"/>
        <v>#REF!</v>
      </c>
      <c r="AX29" s="36" t="e">
        <f t="shared" si="38"/>
        <v>#REF!</v>
      </c>
      <c r="AY29" s="36" t="e">
        <f t="shared" si="39"/>
        <v>#REF!</v>
      </c>
      <c r="AZ29" s="36" t="e">
        <f t="shared" si="40"/>
        <v>#REF!</v>
      </c>
      <c r="BA29" s="36" t="e">
        <f t="shared" si="41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22"/>
        <v>#REF!</v>
      </c>
      <c r="AG30" s="36" t="e">
        <f t="shared" si="23"/>
        <v>#REF!</v>
      </c>
      <c r="AH30" s="36" t="e">
        <f t="shared" si="24"/>
        <v>#REF!</v>
      </c>
      <c r="AI30" s="36" t="e">
        <f t="shared" si="25"/>
        <v>#REF!</v>
      </c>
      <c r="AJ30" s="36" t="e">
        <f t="shared" si="26"/>
        <v>#REF!</v>
      </c>
      <c r="AK30" s="36" t="e">
        <f t="shared" si="27"/>
        <v>#REF!</v>
      </c>
      <c r="AL30" s="36" t="e">
        <f t="shared" si="28"/>
        <v>#REF!</v>
      </c>
      <c r="AM30" s="36" t="e">
        <f t="shared" si="29"/>
        <v>#REF!</v>
      </c>
      <c r="AN30" s="36" t="e">
        <f t="shared" si="30"/>
        <v>#REF!</v>
      </c>
      <c r="AO30" s="36" t="e">
        <f t="shared" si="31"/>
        <v>#REF!</v>
      </c>
      <c r="AQ30" s="38"/>
      <c r="AR30" s="36" t="e">
        <f t="shared" si="32"/>
        <v>#REF!</v>
      </c>
      <c r="AS30" s="36" t="e">
        <f t="shared" si="33"/>
        <v>#REF!</v>
      </c>
      <c r="AT30" s="36" t="e">
        <f t="shared" si="34"/>
        <v>#REF!</v>
      </c>
      <c r="AU30" s="36" t="e">
        <f t="shared" si="35"/>
        <v>#REF!</v>
      </c>
      <c r="AV30" s="36" t="e">
        <f t="shared" si="36"/>
        <v>#REF!</v>
      </c>
      <c r="AW30" s="36" t="e">
        <f t="shared" si="37"/>
        <v>#REF!</v>
      </c>
      <c r="AX30" s="36" t="e">
        <f t="shared" si="38"/>
        <v>#REF!</v>
      </c>
      <c r="AY30" s="36" t="e">
        <f t="shared" si="39"/>
        <v>#REF!</v>
      </c>
      <c r="AZ30" s="36" t="e">
        <f t="shared" si="40"/>
        <v>#REF!</v>
      </c>
      <c r="BA30" s="36" t="e">
        <f t="shared" si="41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22"/>
        <v>#REF!</v>
      </c>
      <c r="AG31" s="36" t="e">
        <f t="shared" si="23"/>
        <v>#REF!</v>
      </c>
      <c r="AH31" s="36" t="e">
        <f t="shared" si="24"/>
        <v>#REF!</v>
      </c>
      <c r="AI31" s="36" t="e">
        <f t="shared" si="25"/>
        <v>#REF!</v>
      </c>
      <c r="AJ31" s="36" t="e">
        <f t="shared" si="26"/>
        <v>#REF!</v>
      </c>
      <c r="AK31" s="36" t="e">
        <f t="shared" si="27"/>
        <v>#REF!</v>
      </c>
      <c r="AL31" s="36" t="e">
        <f t="shared" si="28"/>
        <v>#REF!</v>
      </c>
      <c r="AM31" s="36" t="e">
        <f t="shared" si="29"/>
        <v>#REF!</v>
      </c>
      <c r="AN31" s="36" t="e">
        <f t="shared" si="30"/>
        <v>#REF!</v>
      </c>
      <c r="AO31" s="36" t="e">
        <f t="shared" si="31"/>
        <v>#REF!</v>
      </c>
      <c r="AQ31" s="38"/>
      <c r="AR31" s="36" t="e">
        <f t="shared" si="32"/>
        <v>#REF!</v>
      </c>
      <c r="AS31" s="36" t="e">
        <f t="shared" si="33"/>
        <v>#REF!</v>
      </c>
      <c r="AT31" s="36" t="e">
        <f t="shared" si="34"/>
        <v>#REF!</v>
      </c>
      <c r="AU31" s="36" t="e">
        <f t="shared" si="35"/>
        <v>#REF!</v>
      </c>
      <c r="AV31" s="36" t="e">
        <f t="shared" si="36"/>
        <v>#REF!</v>
      </c>
      <c r="AW31" s="36" t="e">
        <f t="shared" si="37"/>
        <v>#REF!</v>
      </c>
      <c r="AX31" s="36" t="e">
        <f t="shared" si="38"/>
        <v>#REF!</v>
      </c>
      <c r="AY31" s="36" t="e">
        <f t="shared" si="39"/>
        <v>#REF!</v>
      </c>
      <c r="AZ31" s="36" t="e">
        <f t="shared" si="40"/>
        <v>#REF!</v>
      </c>
      <c r="BA31" s="36" t="e">
        <f t="shared" si="41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22"/>
        <v>#REF!</v>
      </c>
      <c r="AG32" s="36" t="e">
        <f t="shared" si="23"/>
        <v>#REF!</v>
      </c>
      <c r="AH32" s="36" t="e">
        <f t="shared" si="24"/>
        <v>#REF!</v>
      </c>
      <c r="AI32" s="36" t="e">
        <f t="shared" si="25"/>
        <v>#REF!</v>
      </c>
      <c r="AJ32" s="36" t="e">
        <f t="shared" si="26"/>
        <v>#REF!</v>
      </c>
      <c r="AK32" s="36" t="e">
        <f t="shared" si="27"/>
        <v>#REF!</v>
      </c>
      <c r="AL32" s="36" t="e">
        <f t="shared" si="28"/>
        <v>#REF!</v>
      </c>
      <c r="AM32" s="36" t="e">
        <f t="shared" si="29"/>
        <v>#REF!</v>
      </c>
      <c r="AN32" s="36" t="e">
        <f t="shared" si="30"/>
        <v>#REF!</v>
      </c>
      <c r="AO32" s="36" t="e">
        <f t="shared" si="31"/>
        <v>#REF!</v>
      </c>
      <c r="AQ32" s="38"/>
      <c r="AR32" s="36" t="e">
        <f t="shared" si="32"/>
        <v>#REF!</v>
      </c>
      <c r="AS32" s="36" t="e">
        <f t="shared" si="33"/>
        <v>#REF!</v>
      </c>
      <c r="AT32" s="36" t="e">
        <f t="shared" si="34"/>
        <v>#REF!</v>
      </c>
      <c r="AU32" s="36" t="e">
        <f t="shared" si="35"/>
        <v>#REF!</v>
      </c>
      <c r="AV32" s="36" t="e">
        <f t="shared" si="36"/>
        <v>#REF!</v>
      </c>
      <c r="AW32" s="36" t="e">
        <f t="shared" si="37"/>
        <v>#REF!</v>
      </c>
      <c r="AX32" s="36" t="e">
        <f t="shared" si="38"/>
        <v>#REF!</v>
      </c>
      <c r="AY32" s="36" t="e">
        <f t="shared" si="39"/>
        <v>#REF!</v>
      </c>
      <c r="AZ32" s="36" t="e">
        <f t="shared" si="40"/>
        <v>#REF!</v>
      </c>
      <c r="BA32" s="36" t="e">
        <f t="shared" si="41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22"/>
        <v>#REF!</v>
      </c>
      <c r="AG33" s="36" t="e">
        <f t="shared" si="23"/>
        <v>#REF!</v>
      </c>
      <c r="AH33" s="36" t="e">
        <f t="shared" si="24"/>
        <v>#REF!</v>
      </c>
      <c r="AI33" s="36" t="e">
        <f t="shared" si="25"/>
        <v>#REF!</v>
      </c>
      <c r="AJ33" s="36" t="e">
        <f t="shared" si="26"/>
        <v>#REF!</v>
      </c>
      <c r="AK33" s="36" t="e">
        <f t="shared" si="27"/>
        <v>#REF!</v>
      </c>
      <c r="AL33" s="36" t="e">
        <f t="shared" si="28"/>
        <v>#REF!</v>
      </c>
      <c r="AM33" s="36" t="e">
        <f t="shared" si="29"/>
        <v>#REF!</v>
      </c>
      <c r="AN33" s="36" t="e">
        <f t="shared" si="30"/>
        <v>#REF!</v>
      </c>
      <c r="AO33" s="36" t="e">
        <f t="shared" si="31"/>
        <v>#REF!</v>
      </c>
      <c r="AQ33" s="38"/>
      <c r="AR33" s="36" t="e">
        <f t="shared" si="32"/>
        <v>#REF!</v>
      </c>
      <c r="AS33" s="36" t="e">
        <f t="shared" si="33"/>
        <v>#REF!</v>
      </c>
      <c r="AT33" s="36" t="e">
        <f t="shared" si="34"/>
        <v>#REF!</v>
      </c>
      <c r="AU33" s="36" t="e">
        <f t="shared" si="35"/>
        <v>#REF!</v>
      </c>
      <c r="AV33" s="36" t="e">
        <f t="shared" si="36"/>
        <v>#REF!</v>
      </c>
      <c r="AW33" s="36" t="e">
        <f t="shared" si="37"/>
        <v>#REF!</v>
      </c>
      <c r="AX33" s="36" t="e">
        <f t="shared" si="38"/>
        <v>#REF!</v>
      </c>
      <c r="AY33" s="36" t="e">
        <f t="shared" si="39"/>
        <v>#REF!</v>
      </c>
      <c r="AZ33" s="36" t="e">
        <f t="shared" si="40"/>
        <v>#REF!</v>
      </c>
      <c r="BA33" s="36" t="e">
        <f t="shared" si="41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22"/>
        <v>#REF!</v>
      </c>
      <c r="AG34" s="36" t="e">
        <f t="shared" si="23"/>
        <v>#REF!</v>
      </c>
      <c r="AH34" s="36" t="e">
        <f t="shared" si="24"/>
        <v>#REF!</v>
      </c>
      <c r="AI34" s="36" t="e">
        <f t="shared" si="25"/>
        <v>#REF!</v>
      </c>
      <c r="AJ34" s="36" t="e">
        <f t="shared" si="26"/>
        <v>#REF!</v>
      </c>
      <c r="AK34" s="36" t="e">
        <f t="shared" si="27"/>
        <v>#REF!</v>
      </c>
      <c r="AL34" s="36" t="e">
        <f t="shared" si="28"/>
        <v>#REF!</v>
      </c>
      <c r="AM34" s="36" t="e">
        <f t="shared" si="29"/>
        <v>#REF!</v>
      </c>
      <c r="AN34" s="36" t="e">
        <f t="shared" si="30"/>
        <v>#REF!</v>
      </c>
      <c r="AO34" s="36" t="e">
        <f t="shared" si="31"/>
        <v>#REF!</v>
      </c>
      <c r="AQ34" s="38"/>
      <c r="AR34" s="36" t="e">
        <f t="shared" si="32"/>
        <v>#REF!</v>
      </c>
      <c r="AS34" s="36" t="e">
        <f t="shared" si="33"/>
        <v>#REF!</v>
      </c>
      <c r="AT34" s="36" t="e">
        <f t="shared" si="34"/>
        <v>#REF!</v>
      </c>
      <c r="AU34" s="36" t="e">
        <f t="shared" si="35"/>
        <v>#REF!</v>
      </c>
      <c r="AV34" s="36" t="e">
        <f t="shared" si="36"/>
        <v>#REF!</v>
      </c>
      <c r="AW34" s="36" t="e">
        <f t="shared" si="37"/>
        <v>#REF!</v>
      </c>
      <c r="AX34" s="36" t="e">
        <f t="shared" si="38"/>
        <v>#REF!</v>
      </c>
      <c r="AY34" s="36" t="e">
        <f t="shared" si="39"/>
        <v>#REF!</v>
      </c>
      <c r="AZ34" s="36" t="e">
        <f t="shared" si="40"/>
        <v>#REF!</v>
      </c>
      <c r="BA34" s="36" t="e">
        <f t="shared" si="41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Q35" s="38"/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F37" s="36" t="e">
        <f t="shared" ref="AF37:AF45" si="42">AF$10*$AC38</f>
        <v>#REF!</v>
      </c>
      <c r="AG37" s="36" t="e">
        <f t="shared" ref="AG37:AG45" si="43">AG$10*$AC38</f>
        <v>#REF!</v>
      </c>
      <c r="AH37" s="36" t="e">
        <f t="shared" ref="AH37:AH45" si="44">AH$10*$AC38</f>
        <v>#REF!</v>
      </c>
      <c r="AI37" s="36" t="e">
        <f t="shared" ref="AI37:AI45" si="45">AI$10*$AC38</f>
        <v>#REF!</v>
      </c>
      <c r="AJ37" s="36" t="e">
        <f t="shared" ref="AJ37:AJ45" si="46">AJ$10*$AC38</f>
        <v>#REF!</v>
      </c>
      <c r="AK37" s="36" t="e">
        <f t="shared" ref="AK37:AK45" si="47">AK$10*$AC38</f>
        <v>#REF!</v>
      </c>
      <c r="AL37" s="36" t="e">
        <f t="shared" ref="AL37:AL45" si="48">AL$10*$AC38</f>
        <v>#REF!</v>
      </c>
      <c r="AM37" s="36" t="e">
        <f t="shared" ref="AM37:AM45" si="49">AM$10*$AC38</f>
        <v>#REF!</v>
      </c>
      <c r="AN37" s="36" t="e">
        <f t="shared" ref="AN37:AN45" si="50">AN$10*$AC38</f>
        <v>#REF!</v>
      </c>
      <c r="AO37" s="36" t="e">
        <f t="shared" ref="AO37:AO45" si="51">AO$10*$AC38</f>
        <v>#REF!</v>
      </c>
      <c r="AQ37" s="38"/>
      <c r="AR37" s="36" t="e">
        <f t="shared" ref="AR37:AR45" si="52">AR$10*$AC38</f>
        <v>#REF!</v>
      </c>
      <c r="AS37" s="36" t="e">
        <f t="shared" ref="AS37:AS45" si="53">AS$10*$AC38</f>
        <v>#REF!</v>
      </c>
      <c r="AT37" s="36" t="e">
        <f t="shared" ref="AT37:AT45" si="54">AT$10*$AC38</f>
        <v>#REF!</v>
      </c>
      <c r="AU37" s="36" t="e">
        <f t="shared" ref="AU37:AU45" si="55">AU$10*$AC38</f>
        <v>#REF!</v>
      </c>
      <c r="AV37" s="36" t="e">
        <f t="shared" ref="AV37:AV45" si="56">AV$10*$AC38</f>
        <v>#REF!</v>
      </c>
      <c r="AW37" s="36" t="e">
        <f t="shared" ref="AW37:AW45" si="57">AW$10*$AC38</f>
        <v>#REF!</v>
      </c>
      <c r="AX37" s="36" t="e">
        <f t="shared" ref="AX37:AX45" si="58">AX$10*$AC38</f>
        <v>#REF!</v>
      </c>
      <c r="AY37" s="36" t="e">
        <f t="shared" ref="AY37:AY45" si="59">AY$10*$AC38</f>
        <v>#REF!</v>
      </c>
      <c r="AZ37" s="36" t="e">
        <f t="shared" ref="AZ37:AZ45" si="60">AZ$10*$AC38</f>
        <v>#REF!</v>
      </c>
      <c r="BA37" s="36" t="e">
        <f t="shared" ref="BA37:BA45" si="61">BA$10*$AC38</f>
        <v>#REF!</v>
      </c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si="42"/>
        <v>#REF!</v>
      </c>
      <c r="AG38" s="36" t="e">
        <f t="shared" si="43"/>
        <v>#REF!</v>
      </c>
      <c r="AH38" s="36" t="e">
        <f t="shared" si="44"/>
        <v>#REF!</v>
      </c>
      <c r="AI38" s="36" t="e">
        <f t="shared" si="45"/>
        <v>#REF!</v>
      </c>
      <c r="AJ38" s="36" t="e">
        <f t="shared" si="46"/>
        <v>#REF!</v>
      </c>
      <c r="AK38" s="36" t="e">
        <f t="shared" si="47"/>
        <v>#REF!</v>
      </c>
      <c r="AL38" s="36" t="e">
        <f t="shared" si="48"/>
        <v>#REF!</v>
      </c>
      <c r="AM38" s="36" t="e">
        <f t="shared" si="49"/>
        <v>#REF!</v>
      </c>
      <c r="AN38" s="36" t="e">
        <f t="shared" si="50"/>
        <v>#REF!</v>
      </c>
      <c r="AO38" s="36" t="e">
        <f t="shared" si="51"/>
        <v>#REF!</v>
      </c>
      <c r="AQ38" s="38"/>
      <c r="AR38" s="36" t="e">
        <f t="shared" si="52"/>
        <v>#REF!</v>
      </c>
      <c r="AS38" s="36" t="e">
        <f t="shared" si="53"/>
        <v>#REF!</v>
      </c>
      <c r="AT38" s="36" t="e">
        <f t="shared" si="54"/>
        <v>#REF!</v>
      </c>
      <c r="AU38" s="36" t="e">
        <f t="shared" si="55"/>
        <v>#REF!</v>
      </c>
      <c r="AV38" s="36" t="e">
        <f t="shared" si="56"/>
        <v>#REF!</v>
      </c>
      <c r="AW38" s="36" t="e">
        <f t="shared" si="57"/>
        <v>#REF!</v>
      </c>
      <c r="AX38" s="36" t="e">
        <f t="shared" si="58"/>
        <v>#REF!</v>
      </c>
      <c r="AY38" s="36" t="e">
        <f t="shared" si="59"/>
        <v>#REF!</v>
      </c>
      <c r="AZ38" s="36" t="e">
        <f t="shared" si="60"/>
        <v>#REF!</v>
      </c>
      <c r="BA38" s="36" t="e">
        <f t="shared" si="61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42"/>
        <v>#REF!</v>
      </c>
      <c r="AG39" s="36" t="e">
        <f t="shared" si="43"/>
        <v>#REF!</v>
      </c>
      <c r="AH39" s="36" t="e">
        <f t="shared" si="44"/>
        <v>#REF!</v>
      </c>
      <c r="AI39" s="36" t="e">
        <f t="shared" si="45"/>
        <v>#REF!</v>
      </c>
      <c r="AJ39" s="36" t="e">
        <f t="shared" si="46"/>
        <v>#REF!</v>
      </c>
      <c r="AK39" s="36" t="e">
        <f t="shared" si="47"/>
        <v>#REF!</v>
      </c>
      <c r="AL39" s="36" t="e">
        <f t="shared" si="48"/>
        <v>#REF!</v>
      </c>
      <c r="AM39" s="36" t="e">
        <f t="shared" si="49"/>
        <v>#REF!</v>
      </c>
      <c r="AN39" s="36" t="e">
        <f t="shared" si="50"/>
        <v>#REF!</v>
      </c>
      <c r="AO39" s="36" t="e">
        <f t="shared" si="51"/>
        <v>#REF!</v>
      </c>
      <c r="AQ39" s="38"/>
      <c r="AR39" s="36" t="e">
        <f t="shared" si="52"/>
        <v>#REF!</v>
      </c>
      <c r="AS39" s="36" t="e">
        <f t="shared" si="53"/>
        <v>#REF!</v>
      </c>
      <c r="AT39" s="36" t="e">
        <f t="shared" si="54"/>
        <v>#REF!</v>
      </c>
      <c r="AU39" s="36" t="e">
        <f t="shared" si="55"/>
        <v>#REF!</v>
      </c>
      <c r="AV39" s="36" t="e">
        <f t="shared" si="56"/>
        <v>#REF!</v>
      </c>
      <c r="AW39" s="36" t="e">
        <f t="shared" si="57"/>
        <v>#REF!</v>
      </c>
      <c r="AX39" s="36" t="e">
        <f t="shared" si="58"/>
        <v>#REF!</v>
      </c>
      <c r="AY39" s="36" t="e">
        <f t="shared" si="59"/>
        <v>#REF!</v>
      </c>
      <c r="AZ39" s="36" t="e">
        <f t="shared" si="60"/>
        <v>#REF!</v>
      </c>
      <c r="BA39" s="36" t="e">
        <f t="shared" si="61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42"/>
        <v>#REF!</v>
      </c>
      <c r="AG40" s="36" t="e">
        <f t="shared" si="43"/>
        <v>#REF!</v>
      </c>
      <c r="AH40" s="36" t="e">
        <f t="shared" si="44"/>
        <v>#REF!</v>
      </c>
      <c r="AI40" s="36" t="e">
        <f t="shared" si="45"/>
        <v>#REF!</v>
      </c>
      <c r="AJ40" s="36" t="e">
        <f t="shared" si="46"/>
        <v>#REF!</v>
      </c>
      <c r="AK40" s="36" t="e">
        <f t="shared" si="47"/>
        <v>#REF!</v>
      </c>
      <c r="AL40" s="36" t="e">
        <f t="shared" si="48"/>
        <v>#REF!</v>
      </c>
      <c r="AM40" s="36" t="e">
        <f t="shared" si="49"/>
        <v>#REF!</v>
      </c>
      <c r="AN40" s="36" t="e">
        <f t="shared" si="50"/>
        <v>#REF!</v>
      </c>
      <c r="AO40" s="36" t="e">
        <f t="shared" si="51"/>
        <v>#REF!</v>
      </c>
      <c r="AQ40" s="38"/>
      <c r="AR40" s="36" t="e">
        <f t="shared" si="52"/>
        <v>#REF!</v>
      </c>
      <c r="AS40" s="36" t="e">
        <f t="shared" si="53"/>
        <v>#REF!</v>
      </c>
      <c r="AT40" s="36" t="e">
        <f t="shared" si="54"/>
        <v>#REF!</v>
      </c>
      <c r="AU40" s="36" t="e">
        <f t="shared" si="55"/>
        <v>#REF!</v>
      </c>
      <c r="AV40" s="36" t="e">
        <f t="shared" si="56"/>
        <v>#REF!</v>
      </c>
      <c r="AW40" s="36" t="e">
        <f t="shared" si="57"/>
        <v>#REF!</v>
      </c>
      <c r="AX40" s="36" t="e">
        <f t="shared" si="58"/>
        <v>#REF!</v>
      </c>
      <c r="AY40" s="36" t="e">
        <f t="shared" si="59"/>
        <v>#REF!</v>
      </c>
      <c r="AZ40" s="36" t="e">
        <f t="shared" si="60"/>
        <v>#REF!</v>
      </c>
      <c r="BA40" s="36" t="e">
        <f t="shared" si="61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42"/>
        <v>#REF!</v>
      </c>
      <c r="AG41" s="36" t="e">
        <f t="shared" si="43"/>
        <v>#REF!</v>
      </c>
      <c r="AH41" s="36" t="e">
        <f t="shared" si="44"/>
        <v>#REF!</v>
      </c>
      <c r="AI41" s="36" t="e">
        <f t="shared" si="45"/>
        <v>#REF!</v>
      </c>
      <c r="AJ41" s="36" t="e">
        <f t="shared" si="46"/>
        <v>#REF!</v>
      </c>
      <c r="AK41" s="36" t="e">
        <f t="shared" si="47"/>
        <v>#REF!</v>
      </c>
      <c r="AL41" s="36" t="e">
        <f t="shared" si="48"/>
        <v>#REF!</v>
      </c>
      <c r="AM41" s="36" t="e">
        <f t="shared" si="49"/>
        <v>#REF!</v>
      </c>
      <c r="AN41" s="36" t="e">
        <f t="shared" si="50"/>
        <v>#REF!</v>
      </c>
      <c r="AO41" s="36" t="e">
        <f t="shared" si="51"/>
        <v>#REF!</v>
      </c>
      <c r="AQ41" s="38"/>
      <c r="AR41" s="36" t="e">
        <f t="shared" si="52"/>
        <v>#REF!</v>
      </c>
      <c r="AS41" s="36" t="e">
        <f t="shared" si="53"/>
        <v>#REF!</v>
      </c>
      <c r="AT41" s="36" t="e">
        <f t="shared" si="54"/>
        <v>#REF!</v>
      </c>
      <c r="AU41" s="36" t="e">
        <f t="shared" si="55"/>
        <v>#REF!</v>
      </c>
      <c r="AV41" s="36" t="e">
        <f t="shared" si="56"/>
        <v>#REF!</v>
      </c>
      <c r="AW41" s="36" t="e">
        <f t="shared" si="57"/>
        <v>#REF!</v>
      </c>
      <c r="AX41" s="36" t="e">
        <f t="shared" si="58"/>
        <v>#REF!</v>
      </c>
      <c r="AY41" s="36" t="e">
        <f t="shared" si="59"/>
        <v>#REF!</v>
      </c>
      <c r="AZ41" s="36" t="e">
        <f t="shared" si="60"/>
        <v>#REF!</v>
      </c>
      <c r="BA41" s="36" t="e">
        <f t="shared" si="61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42"/>
        <v>#REF!</v>
      </c>
      <c r="AG42" s="36" t="e">
        <f t="shared" si="43"/>
        <v>#REF!</v>
      </c>
      <c r="AH42" s="36" t="e">
        <f t="shared" si="44"/>
        <v>#REF!</v>
      </c>
      <c r="AI42" s="36" t="e">
        <f t="shared" si="45"/>
        <v>#REF!</v>
      </c>
      <c r="AJ42" s="36" t="e">
        <f t="shared" si="46"/>
        <v>#REF!</v>
      </c>
      <c r="AK42" s="36" t="e">
        <f t="shared" si="47"/>
        <v>#REF!</v>
      </c>
      <c r="AL42" s="36" t="e">
        <f t="shared" si="48"/>
        <v>#REF!</v>
      </c>
      <c r="AM42" s="36" t="e">
        <f t="shared" si="49"/>
        <v>#REF!</v>
      </c>
      <c r="AN42" s="36" t="e">
        <f t="shared" si="50"/>
        <v>#REF!</v>
      </c>
      <c r="AO42" s="36" t="e">
        <f t="shared" si="51"/>
        <v>#REF!</v>
      </c>
      <c r="AQ42" s="38"/>
      <c r="AR42" s="36" t="e">
        <f t="shared" si="52"/>
        <v>#REF!</v>
      </c>
      <c r="AS42" s="36" t="e">
        <f t="shared" si="53"/>
        <v>#REF!</v>
      </c>
      <c r="AT42" s="36" t="e">
        <f t="shared" si="54"/>
        <v>#REF!</v>
      </c>
      <c r="AU42" s="36" t="e">
        <f t="shared" si="55"/>
        <v>#REF!</v>
      </c>
      <c r="AV42" s="36" t="e">
        <f t="shared" si="56"/>
        <v>#REF!</v>
      </c>
      <c r="AW42" s="36" t="e">
        <f t="shared" si="57"/>
        <v>#REF!</v>
      </c>
      <c r="AX42" s="36" t="e">
        <f t="shared" si="58"/>
        <v>#REF!</v>
      </c>
      <c r="AY42" s="36" t="e">
        <f t="shared" si="59"/>
        <v>#REF!</v>
      </c>
      <c r="AZ42" s="36" t="e">
        <f t="shared" si="60"/>
        <v>#REF!</v>
      </c>
      <c r="BA42" s="36" t="e">
        <f t="shared" si="61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42"/>
        <v>#REF!</v>
      </c>
      <c r="AG43" s="36" t="e">
        <f t="shared" si="43"/>
        <v>#REF!</v>
      </c>
      <c r="AH43" s="36" t="e">
        <f t="shared" si="44"/>
        <v>#REF!</v>
      </c>
      <c r="AI43" s="36" t="e">
        <f t="shared" si="45"/>
        <v>#REF!</v>
      </c>
      <c r="AJ43" s="36" t="e">
        <f t="shared" si="46"/>
        <v>#REF!</v>
      </c>
      <c r="AK43" s="36" t="e">
        <f t="shared" si="47"/>
        <v>#REF!</v>
      </c>
      <c r="AL43" s="36" t="e">
        <f t="shared" si="48"/>
        <v>#REF!</v>
      </c>
      <c r="AM43" s="36" t="e">
        <f t="shared" si="49"/>
        <v>#REF!</v>
      </c>
      <c r="AN43" s="36" t="e">
        <f t="shared" si="50"/>
        <v>#REF!</v>
      </c>
      <c r="AO43" s="36" t="e">
        <f t="shared" si="51"/>
        <v>#REF!</v>
      </c>
      <c r="AQ43" s="38"/>
      <c r="AR43" s="36" t="e">
        <f t="shared" si="52"/>
        <v>#REF!</v>
      </c>
      <c r="AS43" s="36" t="e">
        <f t="shared" si="53"/>
        <v>#REF!</v>
      </c>
      <c r="AT43" s="36" t="e">
        <f t="shared" si="54"/>
        <v>#REF!</v>
      </c>
      <c r="AU43" s="36" t="e">
        <f t="shared" si="55"/>
        <v>#REF!</v>
      </c>
      <c r="AV43" s="36" t="e">
        <f t="shared" si="56"/>
        <v>#REF!</v>
      </c>
      <c r="AW43" s="36" t="e">
        <f t="shared" si="57"/>
        <v>#REF!</v>
      </c>
      <c r="AX43" s="36" t="e">
        <f t="shared" si="58"/>
        <v>#REF!</v>
      </c>
      <c r="AY43" s="36" t="e">
        <f t="shared" si="59"/>
        <v>#REF!</v>
      </c>
      <c r="AZ43" s="36" t="e">
        <f t="shared" si="60"/>
        <v>#REF!</v>
      </c>
      <c r="BA43" s="36" t="e">
        <f t="shared" si="61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42"/>
        <v>#REF!</v>
      </c>
      <c r="AG44" s="36" t="e">
        <f t="shared" si="43"/>
        <v>#REF!</v>
      </c>
      <c r="AH44" s="36" t="e">
        <f t="shared" si="44"/>
        <v>#REF!</v>
      </c>
      <c r="AI44" s="36" t="e">
        <f t="shared" si="45"/>
        <v>#REF!</v>
      </c>
      <c r="AJ44" s="36" t="e">
        <f t="shared" si="46"/>
        <v>#REF!</v>
      </c>
      <c r="AK44" s="36" t="e">
        <f t="shared" si="47"/>
        <v>#REF!</v>
      </c>
      <c r="AL44" s="36" t="e">
        <f t="shared" si="48"/>
        <v>#REF!</v>
      </c>
      <c r="AM44" s="36" t="e">
        <f t="shared" si="49"/>
        <v>#REF!</v>
      </c>
      <c r="AN44" s="36" t="e">
        <f t="shared" si="50"/>
        <v>#REF!</v>
      </c>
      <c r="AO44" s="36" t="e">
        <f t="shared" si="51"/>
        <v>#REF!</v>
      </c>
      <c r="AQ44" s="38"/>
      <c r="AR44" s="36" t="e">
        <f t="shared" si="52"/>
        <v>#REF!</v>
      </c>
      <c r="AS44" s="36" t="e">
        <f t="shared" si="53"/>
        <v>#REF!</v>
      </c>
      <c r="AT44" s="36" t="e">
        <f t="shared" si="54"/>
        <v>#REF!</v>
      </c>
      <c r="AU44" s="36" t="e">
        <f t="shared" si="55"/>
        <v>#REF!</v>
      </c>
      <c r="AV44" s="36" t="e">
        <f t="shared" si="56"/>
        <v>#REF!</v>
      </c>
      <c r="AW44" s="36" t="e">
        <f t="shared" si="57"/>
        <v>#REF!</v>
      </c>
      <c r="AX44" s="36" t="e">
        <f t="shared" si="58"/>
        <v>#REF!</v>
      </c>
      <c r="AY44" s="36" t="e">
        <f t="shared" si="59"/>
        <v>#REF!</v>
      </c>
      <c r="AZ44" s="36" t="e">
        <f t="shared" si="60"/>
        <v>#REF!</v>
      </c>
      <c r="BA44" s="36" t="e">
        <f t="shared" si="61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42"/>
        <v>#REF!</v>
      </c>
      <c r="AG45" s="36" t="e">
        <f t="shared" si="43"/>
        <v>#REF!</v>
      </c>
      <c r="AH45" s="36" t="e">
        <f t="shared" si="44"/>
        <v>#REF!</v>
      </c>
      <c r="AI45" s="36" t="e">
        <f t="shared" si="45"/>
        <v>#REF!</v>
      </c>
      <c r="AJ45" s="36" t="e">
        <f t="shared" si="46"/>
        <v>#REF!</v>
      </c>
      <c r="AK45" s="36" t="e">
        <f t="shared" si="47"/>
        <v>#REF!</v>
      </c>
      <c r="AL45" s="36" t="e">
        <f t="shared" si="48"/>
        <v>#REF!</v>
      </c>
      <c r="AM45" s="36" t="e">
        <f t="shared" si="49"/>
        <v>#REF!</v>
      </c>
      <c r="AN45" s="36" t="e">
        <f t="shared" si="50"/>
        <v>#REF!</v>
      </c>
      <c r="AO45" s="36" t="e">
        <f t="shared" si="51"/>
        <v>#REF!</v>
      </c>
      <c r="AQ45" s="38"/>
      <c r="AR45" s="36" t="e">
        <f t="shared" si="52"/>
        <v>#REF!</v>
      </c>
      <c r="AS45" s="36" t="e">
        <f t="shared" si="53"/>
        <v>#REF!</v>
      </c>
      <c r="AT45" s="36" t="e">
        <f t="shared" si="54"/>
        <v>#REF!</v>
      </c>
      <c r="AU45" s="36" t="e">
        <f t="shared" si="55"/>
        <v>#REF!</v>
      </c>
      <c r="AV45" s="36" t="e">
        <f t="shared" si="56"/>
        <v>#REF!</v>
      </c>
      <c r="AW45" s="36" t="e">
        <f t="shared" si="57"/>
        <v>#REF!</v>
      </c>
      <c r="AX45" s="36" t="e">
        <f t="shared" si="58"/>
        <v>#REF!</v>
      </c>
      <c r="AY45" s="36" t="e">
        <f t="shared" si="59"/>
        <v>#REF!</v>
      </c>
      <c r="AZ45" s="36" t="e">
        <f t="shared" si="60"/>
        <v>#REF!</v>
      </c>
      <c r="BA45" s="36" t="e">
        <f t="shared" si="61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Q46" s="38"/>
    </row>
    <row r="47" spans="1:53" hidden="1">
      <c r="AQ47" s="38"/>
    </row>
    <row r="48" spans="1:53" ht="63.75" hidden="1"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6" t="s">
        <v>43</v>
      </c>
      <c r="AB49" s="67"/>
      <c r="AC49" s="68"/>
      <c r="AD49" s="68"/>
      <c r="AE49" s="68"/>
      <c r="AG49" s="70"/>
      <c r="AQ49" s="38"/>
    </row>
    <row r="50" spans="27:53" hidden="1">
      <c r="AA50" s="69" t="s">
        <v>44</v>
      </c>
      <c r="AB50" s="35"/>
      <c r="AF50" s="70" t="e">
        <f t="shared" ref="AF50:AO50" si="62">AF15+AF17+AF18</f>
        <v>#REF!</v>
      </c>
      <c r="AG50" s="70" t="e">
        <f t="shared" si="62"/>
        <v>#REF!</v>
      </c>
      <c r="AH50" s="70" t="e">
        <f t="shared" si="62"/>
        <v>#REF!</v>
      </c>
      <c r="AI50" s="70" t="e">
        <f t="shared" si="62"/>
        <v>#REF!</v>
      </c>
      <c r="AJ50" s="70" t="e">
        <f t="shared" si="62"/>
        <v>#REF!</v>
      </c>
      <c r="AK50" s="70" t="e">
        <f t="shared" si="62"/>
        <v>#REF!</v>
      </c>
      <c r="AL50" s="70" t="e">
        <f t="shared" si="62"/>
        <v>#REF!</v>
      </c>
      <c r="AM50" s="70" t="e">
        <f t="shared" si="62"/>
        <v>#REF!</v>
      </c>
      <c r="AN50" s="70" t="e">
        <f t="shared" si="62"/>
        <v>#REF!</v>
      </c>
      <c r="AO50" s="70" t="e">
        <f t="shared" si="62"/>
        <v>#REF!</v>
      </c>
      <c r="AP50" s="70"/>
      <c r="AQ50" s="70"/>
      <c r="AR50" s="70" t="e">
        <f t="shared" ref="AR50:BA50" si="63">AR15+AR17+AR18</f>
        <v>#REF!</v>
      </c>
      <c r="AS50" s="70" t="e">
        <f t="shared" si="63"/>
        <v>#REF!</v>
      </c>
      <c r="AT50" s="70" t="e">
        <f t="shared" si="63"/>
        <v>#REF!</v>
      </c>
      <c r="AU50" s="70" t="e">
        <f t="shared" si="63"/>
        <v>#REF!</v>
      </c>
      <c r="AV50" s="70" t="e">
        <f t="shared" si="63"/>
        <v>#REF!</v>
      </c>
      <c r="AW50" s="70" t="e">
        <f t="shared" si="63"/>
        <v>#REF!</v>
      </c>
      <c r="AX50" s="70" t="e">
        <f t="shared" si="63"/>
        <v>#REF!</v>
      </c>
      <c r="AY50" s="70" t="e">
        <f t="shared" si="63"/>
        <v>#REF!</v>
      </c>
      <c r="AZ50" s="70" t="e">
        <f t="shared" si="63"/>
        <v>#REF!</v>
      </c>
      <c r="BA50" s="70" t="e">
        <f t="shared" si="63"/>
        <v>#REF!</v>
      </c>
    </row>
    <row r="51" spans="27:53" hidden="1">
      <c r="AA51" s="71" t="s">
        <v>29</v>
      </c>
      <c r="AB51" s="35"/>
      <c r="AF51" s="70" t="e">
        <f t="shared" ref="AF51:AO51" si="64">AF26+AF28+AF29</f>
        <v>#REF!</v>
      </c>
      <c r="AG51" s="70" t="e">
        <f t="shared" si="64"/>
        <v>#REF!</v>
      </c>
      <c r="AH51" s="70" t="e">
        <f t="shared" si="64"/>
        <v>#REF!</v>
      </c>
      <c r="AI51" s="70" t="e">
        <f t="shared" si="64"/>
        <v>#REF!</v>
      </c>
      <c r="AJ51" s="70" t="e">
        <f t="shared" si="64"/>
        <v>#REF!</v>
      </c>
      <c r="AK51" s="70" t="e">
        <f t="shared" si="64"/>
        <v>#REF!</v>
      </c>
      <c r="AL51" s="70" t="e">
        <f t="shared" si="64"/>
        <v>#REF!</v>
      </c>
      <c r="AM51" s="70" t="e">
        <f t="shared" si="64"/>
        <v>#REF!</v>
      </c>
      <c r="AN51" s="70" t="e">
        <f t="shared" si="64"/>
        <v>#REF!</v>
      </c>
      <c r="AO51" s="70" t="e">
        <f t="shared" si="64"/>
        <v>#REF!</v>
      </c>
      <c r="AP51" s="70"/>
      <c r="AQ51" s="70"/>
      <c r="AR51" s="70" t="e">
        <f t="shared" ref="AR51:BA51" si="65">AR26+AR28+AR29</f>
        <v>#REF!</v>
      </c>
      <c r="AS51" s="70" t="e">
        <f t="shared" si="65"/>
        <v>#REF!</v>
      </c>
      <c r="AT51" s="70" t="e">
        <f t="shared" si="65"/>
        <v>#REF!</v>
      </c>
      <c r="AU51" s="70" t="e">
        <f t="shared" si="65"/>
        <v>#REF!</v>
      </c>
      <c r="AV51" s="70" t="e">
        <f t="shared" si="65"/>
        <v>#REF!</v>
      </c>
      <c r="AW51" s="70" t="e">
        <f t="shared" si="65"/>
        <v>#REF!</v>
      </c>
      <c r="AX51" s="70" t="e">
        <f t="shared" si="65"/>
        <v>#REF!</v>
      </c>
      <c r="AY51" s="70" t="e">
        <f t="shared" si="65"/>
        <v>#REF!</v>
      </c>
      <c r="AZ51" s="70" t="e">
        <f t="shared" si="65"/>
        <v>#REF!</v>
      </c>
      <c r="BA51" s="70" t="e">
        <f t="shared" si="65"/>
        <v>#REF!</v>
      </c>
    </row>
    <row r="52" spans="27:53" hidden="1">
      <c r="AA52" s="71" t="s">
        <v>41</v>
      </c>
      <c r="AB52" s="35"/>
      <c r="AF52" s="70" t="e">
        <f t="shared" ref="AF52:AO52" si="66">AF37+AF39+AF40</f>
        <v>#REF!</v>
      </c>
      <c r="AG52" s="70" t="e">
        <f t="shared" si="66"/>
        <v>#REF!</v>
      </c>
      <c r="AH52" s="70" t="e">
        <f t="shared" si="66"/>
        <v>#REF!</v>
      </c>
      <c r="AI52" s="70" t="e">
        <f t="shared" si="66"/>
        <v>#REF!</v>
      </c>
      <c r="AJ52" s="70" t="e">
        <f t="shared" si="66"/>
        <v>#REF!</v>
      </c>
      <c r="AK52" s="70" t="e">
        <f t="shared" si="66"/>
        <v>#REF!</v>
      </c>
      <c r="AL52" s="70" t="e">
        <f t="shared" si="66"/>
        <v>#REF!</v>
      </c>
      <c r="AM52" s="70" t="e">
        <f t="shared" si="66"/>
        <v>#REF!</v>
      </c>
      <c r="AN52" s="70" t="e">
        <f t="shared" si="66"/>
        <v>#REF!</v>
      </c>
      <c r="AO52" s="70" t="e">
        <f t="shared" si="66"/>
        <v>#REF!</v>
      </c>
      <c r="AP52" s="70"/>
      <c r="AQ52" s="70"/>
      <c r="AR52" s="70" t="e">
        <f t="shared" ref="AR52:BA52" si="67">AR37+AR39+AR40</f>
        <v>#REF!</v>
      </c>
      <c r="AS52" s="70" t="e">
        <f t="shared" si="67"/>
        <v>#REF!</v>
      </c>
      <c r="AT52" s="70" t="e">
        <f t="shared" si="67"/>
        <v>#REF!</v>
      </c>
      <c r="AU52" s="70" t="e">
        <f t="shared" si="67"/>
        <v>#REF!</v>
      </c>
      <c r="AV52" s="70" t="e">
        <f t="shared" si="67"/>
        <v>#REF!</v>
      </c>
      <c r="AW52" s="70" t="e">
        <f t="shared" si="67"/>
        <v>#REF!</v>
      </c>
      <c r="AX52" s="70" t="e">
        <f t="shared" si="67"/>
        <v>#REF!</v>
      </c>
      <c r="AY52" s="70" t="e">
        <f t="shared" si="67"/>
        <v>#REF!</v>
      </c>
      <c r="AZ52" s="70" t="e">
        <f t="shared" si="67"/>
        <v>#REF!</v>
      </c>
      <c r="BA52" s="70" t="e">
        <f t="shared" si="67"/>
        <v>#REF!</v>
      </c>
    </row>
    <row r="53" spans="27:53" hidden="1">
      <c r="AA53" s="71" t="s">
        <v>42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69" t="s">
        <v>45</v>
      </c>
      <c r="AB54" s="35"/>
      <c r="AF54" s="70" t="e">
        <f t="shared" ref="AF54:AO54" si="68">AF15+AF17+AF19+AF21</f>
        <v>#REF!</v>
      </c>
      <c r="AG54" s="70" t="e">
        <f t="shared" si="68"/>
        <v>#REF!</v>
      </c>
      <c r="AH54" s="70" t="e">
        <f t="shared" si="68"/>
        <v>#REF!</v>
      </c>
      <c r="AI54" s="70" t="e">
        <f t="shared" si="68"/>
        <v>#REF!</v>
      </c>
      <c r="AJ54" s="70" t="e">
        <f t="shared" si="68"/>
        <v>#REF!</v>
      </c>
      <c r="AK54" s="70" t="e">
        <f t="shared" si="68"/>
        <v>#REF!</v>
      </c>
      <c r="AL54" s="70" t="e">
        <f t="shared" si="68"/>
        <v>#REF!</v>
      </c>
      <c r="AM54" s="70" t="e">
        <f t="shared" si="68"/>
        <v>#REF!</v>
      </c>
      <c r="AN54" s="70" t="e">
        <f t="shared" si="68"/>
        <v>#REF!</v>
      </c>
      <c r="AO54" s="70" t="e">
        <f t="shared" si="68"/>
        <v>#REF!</v>
      </c>
      <c r="AP54" s="70"/>
      <c r="AQ54" s="70"/>
      <c r="AR54" s="70" t="e">
        <f t="shared" ref="AR54:BA54" si="69">AR15+AR17+AR19+AR21</f>
        <v>#REF!</v>
      </c>
      <c r="AS54" s="70" t="e">
        <f t="shared" si="69"/>
        <v>#REF!</v>
      </c>
      <c r="AT54" s="70" t="e">
        <f t="shared" si="69"/>
        <v>#REF!</v>
      </c>
      <c r="AU54" s="70" t="e">
        <f t="shared" si="69"/>
        <v>#REF!</v>
      </c>
      <c r="AV54" s="70" t="e">
        <f t="shared" si="69"/>
        <v>#REF!</v>
      </c>
      <c r="AW54" s="70" t="e">
        <f t="shared" si="69"/>
        <v>#REF!</v>
      </c>
      <c r="AX54" s="70" t="e">
        <f t="shared" si="69"/>
        <v>#REF!</v>
      </c>
      <c r="AY54" s="70" t="e">
        <f t="shared" si="69"/>
        <v>#REF!</v>
      </c>
      <c r="AZ54" s="70" t="e">
        <f t="shared" si="69"/>
        <v>#REF!</v>
      </c>
      <c r="BA54" s="70" t="e">
        <f t="shared" si="69"/>
        <v>#REF!</v>
      </c>
    </row>
    <row r="55" spans="27:53" hidden="1">
      <c r="AA55" s="71" t="s">
        <v>29</v>
      </c>
      <c r="AB55" s="35"/>
      <c r="AF55" s="70" t="e">
        <f t="shared" ref="AF55:AO55" si="70">AF26+AF28+AF30+AF32</f>
        <v>#REF!</v>
      </c>
      <c r="AG55" s="70" t="e">
        <f t="shared" si="70"/>
        <v>#REF!</v>
      </c>
      <c r="AH55" s="70" t="e">
        <f t="shared" si="70"/>
        <v>#REF!</v>
      </c>
      <c r="AI55" s="70" t="e">
        <f t="shared" si="70"/>
        <v>#REF!</v>
      </c>
      <c r="AJ55" s="70" t="e">
        <f t="shared" si="70"/>
        <v>#REF!</v>
      </c>
      <c r="AK55" s="70" t="e">
        <f t="shared" si="70"/>
        <v>#REF!</v>
      </c>
      <c r="AL55" s="70" t="e">
        <f t="shared" si="70"/>
        <v>#REF!</v>
      </c>
      <c r="AM55" s="70" t="e">
        <f t="shared" si="70"/>
        <v>#REF!</v>
      </c>
      <c r="AN55" s="70" t="e">
        <f t="shared" si="70"/>
        <v>#REF!</v>
      </c>
      <c r="AO55" s="70" t="e">
        <f t="shared" si="70"/>
        <v>#REF!</v>
      </c>
      <c r="AP55" s="70"/>
      <c r="AQ55" s="70"/>
      <c r="AR55" s="70" t="e">
        <f t="shared" ref="AR55:BA55" si="71">AR26+AR28+AR30+AR32</f>
        <v>#REF!</v>
      </c>
      <c r="AS55" s="70" t="e">
        <f t="shared" si="71"/>
        <v>#REF!</v>
      </c>
      <c r="AT55" s="70" t="e">
        <f t="shared" si="71"/>
        <v>#REF!</v>
      </c>
      <c r="AU55" s="70" t="e">
        <f t="shared" si="71"/>
        <v>#REF!</v>
      </c>
      <c r="AV55" s="70" t="e">
        <f t="shared" si="71"/>
        <v>#REF!</v>
      </c>
      <c r="AW55" s="70" t="e">
        <f t="shared" si="71"/>
        <v>#REF!</v>
      </c>
      <c r="AX55" s="70" t="e">
        <f t="shared" si="71"/>
        <v>#REF!</v>
      </c>
      <c r="AY55" s="70" t="e">
        <f t="shared" si="71"/>
        <v>#REF!</v>
      </c>
      <c r="AZ55" s="70" t="e">
        <f t="shared" si="71"/>
        <v>#REF!</v>
      </c>
      <c r="BA55" s="70" t="e">
        <f t="shared" si="71"/>
        <v>#REF!</v>
      </c>
    </row>
    <row r="56" spans="27:53" hidden="1">
      <c r="AA56" s="71" t="s">
        <v>41</v>
      </c>
      <c r="AB56" s="35"/>
      <c r="AF56" s="70" t="e">
        <f t="shared" ref="AF56:AO56" si="72">AF37+AF39+AF41+AF43</f>
        <v>#REF!</v>
      </c>
      <c r="AG56" s="70" t="e">
        <f t="shared" si="72"/>
        <v>#REF!</v>
      </c>
      <c r="AH56" s="70" t="e">
        <f t="shared" si="72"/>
        <v>#REF!</v>
      </c>
      <c r="AI56" s="70" t="e">
        <f t="shared" si="72"/>
        <v>#REF!</v>
      </c>
      <c r="AJ56" s="70" t="e">
        <f t="shared" si="72"/>
        <v>#REF!</v>
      </c>
      <c r="AK56" s="70" t="e">
        <f t="shared" si="72"/>
        <v>#REF!</v>
      </c>
      <c r="AL56" s="70" t="e">
        <f t="shared" si="72"/>
        <v>#REF!</v>
      </c>
      <c r="AM56" s="70" t="e">
        <f t="shared" si="72"/>
        <v>#REF!</v>
      </c>
      <c r="AN56" s="70" t="e">
        <f t="shared" si="72"/>
        <v>#REF!</v>
      </c>
      <c r="AO56" s="70" t="e">
        <f t="shared" si="72"/>
        <v>#REF!</v>
      </c>
      <c r="AP56" s="70"/>
      <c r="AQ56" s="70"/>
      <c r="AR56" s="70" t="e">
        <f t="shared" ref="AR56:BA56" si="73">AR37+AR39+AR41+AR43</f>
        <v>#REF!</v>
      </c>
      <c r="AS56" s="70" t="e">
        <f t="shared" si="73"/>
        <v>#REF!</v>
      </c>
      <c r="AT56" s="70" t="e">
        <f t="shared" si="73"/>
        <v>#REF!</v>
      </c>
      <c r="AU56" s="70" t="e">
        <f t="shared" si="73"/>
        <v>#REF!</v>
      </c>
      <c r="AV56" s="70" t="e">
        <f t="shared" si="73"/>
        <v>#REF!</v>
      </c>
      <c r="AW56" s="70" t="e">
        <f t="shared" si="73"/>
        <v>#REF!</v>
      </c>
      <c r="AX56" s="70" t="e">
        <f t="shared" si="73"/>
        <v>#REF!</v>
      </c>
      <c r="AY56" s="70" t="e">
        <f t="shared" si="73"/>
        <v>#REF!</v>
      </c>
      <c r="AZ56" s="70" t="e">
        <f t="shared" si="73"/>
        <v>#REF!</v>
      </c>
      <c r="BA56" s="70" t="e">
        <f t="shared" si="73"/>
        <v>#REF!</v>
      </c>
    </row>
    <row r="57" spans="27:53" hidden="1">
      <c r="AA57" s="71" t="s">
        <v>42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69" t="s">
        <v>46</v>
      </c>
      <c r="AB58" s="35"/>
      <c r="AF58" s="70" t="e">
        <f t="shared" ref="AF58:AO58" si="74">AF15+AF17+AF19+AF20+AF22</f>
        <v>#REF!</v>
      </c>
      <c r="AG58" s="70" t="e">
        <f t="shared" si="74"/>
        <v>#REF!</v>
      </c>
      <c r="AH58" s="70" t="e">
        <f t="shared" si="74"/>
        <v>#REF!</v>
      </c>
      <c r="AI58" s="70" t="e">
        <f t="shared" si="74"/>
        <v>#REF!</v>
      </c>
      <c r="AJ58" s="70" t="e">
        <f t="shared" si="74"/>
        <v>#REF!</v>
      </c>
      <c r="AK58" s="70" t="e">
        <f t="shared" si="74"/>
        <v>#REF!</v>
      </c>
      <c r="AL58" s="70" t="e">
        <f t="shared" si="74"/>
        <v>#REF!</v>
      </c>
      <c r="AM58" s="70" t="e">
        <f t="shared" si="74"/>
        <v>#REF!</v>
      </c>
      <c r="AN58" s="70" t="e">
        <f t="shared" si="74"/>
        <v>#REF!</v>
      </c>
      <c r="AO58" s="70" t="e">
        <f t="shared" si="74"/>
        <v>#REF!</v>
      </c>
      <c r="AP58" s="70"/>
      <c r="AQ58" s="70"/>
      <c r="AR58" s="70" t="e">
        <f t="shared" ref="AR58:BA58" si="75">AR15+AR17+AR19+AR20+AR22</f>
        <v>#REF!</v>
      </c>
      <c r="AS58" s="70" t="e">
        <f t="shared" si="75"/>
        <v>#REF!</v>
      </c>
      <c r="AT58" s="70" t="e">
        <f t="shared" si="75"/>
        <v>#REF!</v>
      </c>
      <c r="AU58" s="70" t="e">
        <f t="shared" si="75"/>
        <v>#REF!</v>
      </c>
      <c r="AV58" s="70" t="e">
        <f t="shared" si="75"/>
        <v>#REF!</v>
      </c>
      <c r="AW58" s="70" t="e">
        <f t="shared" si="75"/>
        <v>#REF!</v>
      </c>
      <c r="AX58" s="70" t="e">
        <f t="shared" si="75"/>
        <v>#REF!</v>
      </c>
      <c r="AY58" s="70" t="e">
        <f t="shared" si="75"/>
        <v>#REF!</v>
      </c>
      <c r="AZ58" s="70" t="e">
        <f t="shared" si="75"/>
        <v>#REF!</v>
      </c>
      <c r="BA58" s="70" t="e">
        <f t="shared" si="75"/>
        <v>#REF!</v>
      </c>
    </row>
    <row r="59" spans="27:53" hidden="1">
      <c r="AA59" s="71" t="s">
        <v>29</v>
      </c>
      <c r="AB59" s="35"/>
      <c r="AF59" s="70" t="e">
        <f t="shared" ref="AF59:AO59" si="76">AF26+AF28+AF30+AF31+AF33</f>
        <v>#REF!</v>
      </c>
      <c r="AG59" s="70" t="e">
        <f t="shared" si="76"/>
        <v>#REF!</v>
      </c>
      <c r="AH59" s="70" t="e">
        <f t="shared" si="76"/>
        <v>#REF!</v>
      </c>
      <c r="AI59" s="70" t="e">
        <f t="shared" si="76"/>
        <v>#REF!</v>
      </c>
      <c r="AJ59" s="70" t="e">
        <f t="shared" si="76"/>
        <v>#REF!</v>
      </c>
      <c r="AK59" s="70" t="e">
        <f t="shared" si="76"/>
        <v>#REF!</v>
      </c>
      <c r="AL59" s="70" t="e">
        <f t="shared" si="76"/>
        <v>#REF!</v>
      </c>
      <c r="AM59" s="70" t="e">
        <f t="shared" si="76"/>
        <v>#REF!</v>
      </c>
      <c r="AN59" s="70" t="e">
        <f t="shared" si="76"/>
        <v>#REF!</v>
      </c>
      <c r="AO59" s="70" t="e">
        <f t="shared" si="76"/>
        <v>#REF!</v>
      </c>
      <c r="AP59" s="70"/>
      <c r="AQ59" s="70"/>
      <c r="AR59" s="70" t="e">
        <f t="shared" ref="AR59:BA59" si="77">AR26+AR28+AR30+AR31+AR33</f>
        <v>#REF!</v>
      </c>
      <c r="AS59" s="70" t="e">
        <f t="shared" si="77"/>
        <v>#REF!</v>
      </c>
      <c r="AT59" s="70" t="e">
        <f t="shared" si="77"/>
        <v>#REF!</v>
      </c>
      <c r="AU59" s="70" t="e">
        <f t="shared" si="77"/>
        <v>#REF!</v>
      </c>
      <c r="AV59" s="70" t="e">
        <f t="shared" si="77"/>
        <v>#REF!</v>
      </c>
      <c r="AW59" s="70" t="e">
        <f t="shared" si="77"/>
        <v>#REF!</v>
      </c>
      <c r="AX59" s="70" t="e">
        <f t="shared" si="77"/>
        <v>#REF!</v>
      </c>
      <c r="AY59" s="70" t="e">
        <f t="shared" si="77"/>
        <v>#REF!</v>
      </c>
      <c r="AZ59" s="70" t="e">
        <f t="shared" si="77"/>
        <v>#REF!</v>
      </c>
      <c r="BA59" s="70" t="e">
        <f t="shared" si="77"/>
        <v>#REF!</v>
      </c>
    </row>
    <row r="60" spans="27:53" hidden="1">
      <c r="AA60" s="71" t="s">
        <v>41</v>
      </c>
      <c r="AB60" s="35"/>
      <c r="AF60" s="70" t="e">
        <f t="shared" ref="AF60:AO60" si="78">AF37+AF39+AF41+AF42+AF44</f>
        <v>#REF!</v>
      </c>
      <c r="AG60" s="70" t="e">
        <f t="shared" si="78"/>
        <v>#REF!</v>
      </c>
      <c r="AH60" s="70" t="e">
        <f t="shared" si="78"/>
        <v>#REF!</v>
      </c>
      <c r="AI60" s="70" t="e">
        <f t="shared" si="78"/>
        <v>#REF!</v>
      </c>
      <c r="AJ60" s="70" t="e">
        <f t="shared" si="78"/>
        <v>#REF!</v>
      </c>
      <c r="AK60" s="70" t="e">
        <f t="shared" si="78"/>
        <v>#REF!</v>
      </c>
      <c r="AL60" s="70" t="e">
        <f t="shared" si="78"/>
        <v>#REF!</v>
      </c>
      <c r="AM60" s="70" t="e">
        <f t="shared" si="78"/>
        <v>#REF!</v>
      </c>
      <c r="AN60" s="70" t="e">
        <f t="shared" si="78"/>
        <v>#REF!</v>
      </c>
      <c r="AO60" s="70" t="e">
        <f t="shared" si="78"/>
        <v>#REF!</v>
      </c>
      <c r="AP60" s="70"/>
      <c r="AQ60" s="70"/>
      <c r="AR60" s="70" t="e">
        <f t="shared" ref="AR60:BA60" si="79">AR37+AR39+AR41+AR42+AR44</f>
        <v>#REF!</v>
      </c>
      <c r="AS60" s="70" t="e">
        <f t="shared" si="79"/>
        <v>#REF!</v>
      </c>
      <c r="AT60" s="70" t="e">
        <f t="shared" si="79"/>
        <v>#REF!</v>
      </c>
      <c r="AU60" s="70" t="e">
        <f t="shared" si="79"/>
        <v>#REF!</v>
      </c>
      <c r="AV60" s="70" t="e">
        <f t="shared" si="79"/>
        <v>#REF!</v>
      </c>
      <c r="AW60" s="70" t="e">
        <f t="shared" si="79"/>
        <v>#REF!</v>
      </c>
      <c r="AX60" s="70" t="e">
        <f t="shared" si="79"/>
        <v>#REF!</v>
      </c>
      <c r="AY60" s="70" t="e">
        <f t="shared" si="79"/>
        <v>#REF!</v>
      </c>
      <c r="AZ60" s="70" t="e">
        <f t="shared" si="79"/>
        <v>#REF!</v>
      </c>
      <c r="BA60" s="70" t="e">
        <f t="shared" si="79"/>
        <v>#REF!</v>
      </c>
    </row>
    <row r="61" spans="27:53" hidden="1">
      <c r="AA61" s="71" t="s">
        <v>42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69" t="s">
        <v>47</v>
      </c>
      <c r="AB62" s="35"/>
      <c r="AF62" s="70" t="e">
        <f t="shared" ref="AF62:AO62" si="80">AF15+AF17+AF19+AF20+AF23</f>
        <v>#REF!</v>
      </c>
      <c r="AG62" s="70" t="e">
        <f t="shared" si="80"/>
        <v>#REF!</v>
      </c>
      <c r="AH62" s="70" t="e">
        <f t="shared" si="80"/>
        <v>#REF!</v>
      </c>
      <c r="AI62" s="70" t="e">
        <f t="shared" si="80"/>
        <v>#REF!</v>
      </c>
      <c r="AJ62" s="70" t="e">
        <f t="shared" si="80"/>
        <v>#REF!</v>
      </c>
      <c r="AK62" s="70" t="e">
        <f t="shared" si="80"/>
        <v>#REF!</v>
      </c>
      <c r="AL62" s="70" t="e">
        <f t="shared" si="80"/>
        <v>#REF!</v>
      </c>
      <c r="AM62" s="70" t="e">
        <f t="shared" si="80"/>
        <v>#REF!</v>
      </c>
      <c r="AN62" s="70" t="e">
        <f t="shared" si="80"/>
        <v>#REF!</v>
      </c>
      <c r="AO62" s="70" t="e">
        <f t="shared" si="80"/>
        <v>#REF!</v>
      </c>
      <c r="AP62" s="70"/>
      <c r="AQ62" s="70"/>
      <c r="AR62" s="70" t="e">
        <f t="shared" ref="AR62:BA62" si="81">AR15+AR17+AR19+AR20+AR23</f>
        <v>#REF!</v>
      </c>
      <c r="AS62" s="70" t="e">
        <f t="shared" si="81"/>
        <v>#REF!</v>
      </c>
      <c r="AT62" s="70" t="e">
        <f t="shared" si="81"/>
        <v>#REF!</v>
      </c>
      <c r="AU62" s="70" t="e">
        <f t="shared" si="81"/>
        <v>#REF!</v>
      </c>
      <c r="AV62" s="70" t="e">
        <f t="shared" si="81"/>
        <v>#REF!</v>
      </c>
      <c r="AW62" s="70" t="e">
        <f t="shared" si="81"/>
        <v>#REF!</v>
      </c>
      <c r="AX62" s="70" t="e">
        <f t="shared" si="81"/>
        <v>#REF!</v>
      </c>
      <c r="AY62" s="70" t="e">
        <f t="shared" si="81"/>
        <v>#REF!</v>
      </c>
      <c r="AZ62" s="70" t="e">
        <f t="shared" si="81"/>
        <v>#REF!</v>
      </c>
      <c r="BA62" s="70" t="e">
        <f t="shared" si="81"/>
        <v>#REF!</v>
      </c>
    </row>
    <row r="63" spans="27:53" hidden="1">
      <c r="AA63" s="71" t="s">
        <v>29</v>
      </c>
      <c r="AB63" s="35"/>
      <c r="AF63" s="70" t="e">
        <f t="shared" ref="AF63:AO63" si="82">AF26+AF28+AF30+AF31+AF34</f>
        <v>#REF!</v>
      </c>
      <c r="AG63" s="70" t="e">
        <f t="shared" si="82"/>
        <v>#REF!</v>
      </c>
      <c r="AH63" s="70" t="e">
        <f t="shared" si="82"/>
        <v>#REF!</v>
      </c>
      <c r="AI63" s="70" t="e">
        <f t="shared" si="82"/>
        <v>#REF!</v>
      </c>
      <c r="AJ63" s="70" t="e">
        <f t="shared" si="82"/>
        <v>#REF!</v>
      </c>
      <c r="AK63" s="70" t="e">
        <f t="shared" si="82"/>
        <v>#REF!</v>
      </c>
      <c r="AL63" s="70" t="e">
        <f t="shared" si="82"/>
        <v>#REF!</v>
      </c>
      <c r="AM63" s="70" t="e">
        <f t="shared" si="82"/>
        <v>#REF!</v>
      </c>
      <c r="AN63" s="70" t="e">
        <f t="shared" si="82"/>
        <v>#REF!</v>
      </c>
      <c r="AO63" s="70" t="e">
        <f t="shared" si="82"/>
        <v>#REF!</v>
      </c>
      <c r="AP63" s="70"/>
      <c r="AQ63" s="70"/>
      <c r="AR63" s="70" t="e">
        <f t="shared" ref="AR63:BA63" si="83">AR26+AR28+AR30+AR31+AR34</f>
        <v>#REF!</v>
      </c>
      <c r="AS63" s="70" t="e">
        <f t="shared" si="83"/>
        <v>#REF!</v>
      </c>
      <c r="AT63" s="70" t="e">
        <f t="shared" si="83"/>
        <v>#REF!</v>
      </c>
      <c r="AU63" s="70" t="e">
        <f t="shared" si="83"/>
        <v>#REF!</v>
      </c>
      <c r="AV63" s="70" t="e">
        <f t="shared" si="83"/>
        <v>#REF!</v>
      </c>
      <c r="AW63" s="70" t="e">
        <f t="shared" si="83"/>
        <v>#REF!</v>
      </c>
      <c r="AX63" s="70" t="e">
        <f t="shared" si="83"/>
        <v>#REF!</v>
      </c>
      <c r="AY63" s="70" t="e">
        <f t="shared" si="83"/>
        <v>#REF!</v>
      </c>
      <c r="AZ63" s="70" t="e">
        <f t="shared" si="83"/>
        <v>#REF!</v>
      </c>
      <c r="BA63" s="70" t="e">
        <f t="shared" si="83"/>
        <v>#REF!</v>
      </c>
    </row>
    <row r="64" spans="27:53" hidden="1">
      <c r="AA64" s="71" t="s">
        <v>41</v>
      </c>
      <c r="AB64" s="35"/>
      <c r="AF64" s="70" t="e">
        <f t="shared" ref="AF64:AO64" si="84">AF37+AF39+AF41+AF42+AF45</f>
        <v>#REF!</v>
      </c>
      <c r="AG64" s="70" t="e">
        <f t="shared" si="84"/>
        <v>#REF!</v>
      </c>
      <c r="AH64" s="70" t="e">
        <f t="shared" si="84"/>
        <v>#REF!</v>
      </c>
      <c r="AI64" s="70" t="e">
        <f t="shared" si="84"/>
        <v>#REF!</v>
      </c>
      <c r="AJ64" s="70" t="e">
        <f t="shared" si="84"/>
        <v>#REF!</v>
      </c>
      <c r="AK64" s="70" t="e">
        <f t="shared" si="84"/>
        <v>#REF!</v>
      </c>
      <c r="AL64" s="70" t="e">
        <f t="shared" si="84"/>
        <v>#REF!</v>
      </c>
      <c r="AM64" s="70" t="e">
        <f t="shared" si="84"/>
        <v>#REF!</v>
      </c>
      <c r="AN64" s="70" t="e">
        <f t="shared" si="84"/>
        <v>#REF!</v>
      </c>
      <c r="AO64" s="70" t="e">
        <f t="shared" si="84"/>
        <v>#REF!</v>
      </c>
      <c r="AP64" s="70"/>
      <c r="AQ64" s="70"/>
      <c r="AR64" s="70" t="e">
        <f t="shared" ref="AR64:BA64" si="85">AR37+AR39+AR41+AR42+AR45</f>
        <v>#REF!</v>
      </c>
      <c r="AS64" s="70" t="e">
        <f t="shared" si="85"/>
        <v>#REF!</v>
      </c>
      <c r="AT64" s="70" t="e">
        <f t="shared" si="85"/>
        <v>#REF!</v>
      </c>
      <c r="AU64" s="70" t="e">
        <f t="shared" si="85"/>
        <v>#REF!</v>
      </c>
      <c r="AV64" s="70" t="e">
        <f t="shared" si="85"/>
        <v>#REF!</v>
      </c>
      <c r="AW64" s="70" t="e">
        <f t="shared" si="85"/>
        <v>#REF!</v>
      </c>
      <c r="AX64" s="70" t="e">
        <f t="shared" si="85"/>
        <v>#REF!</v>
      </c>
      <c r="AY64" s="70" t="e">
        <f t="shared" si="85"/>
        <v>#REF!</v>
      </c>
      <c r="AZ64" s="70" t="e">
        <f t="shared" si="85"/>
        <v>#REF!</v>
      </c>
      <c r="BA64" s="70" t="e">
        <f t="shared" si="85"/>
        <v>#REF!</v>
      </c>
    </row>
    <row r="65" spans="27:53" hidden="1">
      <c r="AA65" s="71" t="s">
        <v>42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69" t="s">
        <v>48</v>
      </c>
      <c r="AB66" s="35"/>
      <c r="AF66" s="70" t="e">
        <f t="shared" ref="AF66:AO66" si="86">AF15+AF16+AF21</f>
        <v>#REF!</v>
      </c>
      <c r="AG66" s="70" t="e">
        <f t="shared" si="86"/>
        <v>#REF!</v>
      </c>
      <c r="AH66" s="70" t="e">
        <f t="shared" si="86"/>
        <v>#REF!</v>
      </c>
      <c r="AI66" s="70" t="e">
        <f t="shared" si="86"/>
        <v>#REF!</v>
      </c>
      <c r="AJ66" s="70" t="e">
        <f t="shared" si="86"/>
        <v>#REF!</v>
      </c>
      <c r="AK66" s="70" t="e">
        <f t="shared" si="86"/>
        <v>#REF!</v>
      </c>
      <c r="AL66" s="70" t="e">
        <f t="shared" si="86"/>
        <v>#REF!</v>
      </c>
      <c r="AM66" s="70" t="e">
        <f t="shared" si="86"/>
        <v>#REF!</v>
      </c>
      <c r="AN66" s="70" t="e">
        <f t="shared" si="86"/>
        <v>#REF!</v>
      </c>
      <c r="AO66" s="70" t="e">
        <f t="shared" si="86"/>
        <v>#REF!</v>
      </c>
      <c r="AP66" s="70"/>
      <c r="AQ66" s="70"/>
      <c r="AR66" s="70" t="e">
        <f t="shared" ref="AR66:BA66" si="87">AR15+AR16+AR21</f>
        <v>#REF!</v>
      </c>
      <c r="AS66" s="70" t="e">
        <f t="shared" si="87"/>
        <v>#REF!</v>
      </c>
      <c r="AT66" s="70" t="e">
        <f t="shared" si="87"/>
        <v>#REF!</v>
      </c>
      <c r="AU66" s="70" t="e">
        <f t="shared" si="87"/>
        <v>#REF!</v>
      </c>
      <c r="AV66" s="70" t="e">
        <f t="shared" si="87"/>
        <v>#REF!</v>
      </c>
      <c r="AW66" s="70" t="e">
        <f t="shared" si="87"/>
        <v>#REF!</v>
      </c>
      <c r="AX66" s="70" t="e">
        <f t="shared" si="87"/>
        <v>#REF!</v>
      </c>
      <c r="AY66" s="70" t="e">
        <f t="shared" si="87"/>
        <v>#REF!</v>
      </c>
      <c r="AZ66" s="70" t="e">
        <f t="shared" si="87"/>
        <v>#REF!</v>
      </c>
      <c r="BA66" s="70" t="e">
        <f t="shared" si="87"/>
        <v>#REF!</v>
      </c>
    </row>
    <row r="67" spans="27:53" hidden="1">
      <c r="AA67" s="71" t="s">
        <v>29</v>
      </c>
      <c r="AB67" s="35"/>
      <c r="AF67" s="70" t="e">
        <f t="shared" ref="AF67:AO67" si="88">AF26+AF27+AF32</f>
        <v>#REF!</v>
      </c>
      <c r="AG67" s="70" t="e">
        <f t="shared" si="88"/>
        <v>#REF!</v>
      </c>
      <c r="AH67" s="70" t="e">
        <f t="shared" si="88"/>
        <v>#REF!</v>
      </c>
      <c r="AI67" s="70" t="e">
        <f t="shared" si="88"/>
        <v>#REF!</v>
      </c>
      <c r="AJ67" s="70" t="e">
        <f t="shared" si="88"/>
        <v>#REF!</v>
      </c>
      <c r="AK67" s="70" t="e">
        <f t="shared" si="88"/>
        <v>#REF!</v>
      </c>
      <c r="AL67" s="70" t="e">
        <f t="shared" si="88"/>
        <v>#REF!</v>
      </c>
      <c r="AM67" s="70" t="e">
        <f t="shared" si="88"/>
        <v>#REF!</v>
      </c>
      <c r="AN67" s="70" t="e">
        <f t="shared" si="88"/>
        <v>#REF!</v>
      </c>
      <c r="AO67" s="70" t="e">
        <f t="shared" si="88"/>
        <v>#REF!</v>
      </c>
      <c r="AP67" s="70"/>
      <c r="AQ67" s="70"/>
      <c r="AR67" s="70" t="e">
        <f t="shared" ref="AR67:BA67" si="89">AR26+AR27+AR32</f>
        <v>#REF!</v>
      </c>
      <c r="AS67" s="70" t="e">
        <f t="shared" si="89"/>
        <v>#REF!</v>
      </c>
      <c r="AT67" s="70" t="e">
        <f t="shared" si="89"/>
        <v>#REF!</v>
      </c>
      <c r="AU67" s="70" t="e">
        <f t="shared" si="89"/>
        <v>#REF!</v>
      </c>
      <c r="AV67" s="70" t="e">
        <f t="shared" si="89"/>
        <v>#REF!</v>
      </c>
      <c r="AW67" s="70" t="e">
        <f t="shared" si="89"/>
        <v>#REF!</v>
      </c>
      <c r="AX67" s="70" t="e">
        <f t="shared" si="89"/>
        <v>#REF!</v>
      </c>
      <c r="AY67" s="70" t="e">
        <f t="shared" si="89"/>
        <v>#REF!</v>
      </c>
      <c r="AZ67" s="70" t="e">
        <f t="shared" si="89"/>
        <v>#REF!</v>
      </c>
      <c r="BA67" s="70" t="e">
        <f t="shared" si="89"/>
        <v>#REF!</v>
      </c>
    </row>
    <row r="68" spans="27:53" hidden="1">
      <c r="AA68" s="71" t="s">
        <v>41</v>
      </c>
      <c r="AB68" s="35"/>
      <c r="AF68" s="70" t="e">
        <f t="shared" ref="AF68:AO68" si="90">AF37+AF38+AF43</f>
        <v>#REF!</v>
      </c>
      <c r="AG68" s="70" t="e">
        <f t="shared" si="90"/>
        <v>#REF!</v>
      </c>
      <c r="AH68" s="70" t="e">
        <f t="shared" si="90"/>
        <v>#REF!</v>
      </c>
      <c r="AI68" s="70" t="e">
        <f t="shared" si="90"/>
        <v>#REF!</v>
      </c>
      <c r="AJ68" s="70" t="e">
        <f t="shared" si="90"/>
        <v>#REF!</v>
      </c>
      <c r="AK68" s="70" t="e">
        <f t="shared" si="90"/>
        <v>#REF!</v>
      </c>
      <c r="AL68" s="70" t="e">
        <f t="shared" si="90"/>
        <v>#REF!</v>
      </c>
      <c r="AM68" s="70" t="e">
        <f t="shared" si="90"/>
        <v>#REF!</v>
      </c>
      <c r="AN68" s="70" t="e">
        <f t="shared" si="90"/>
        <v>#REF!</v>
      </c>
      <c r="AO68" s="70" t="e">
        <f t="shared" si="90"/>
        <v>#REF!</v>
      </c>
      <c r="AP68" s="70"/>
      <c r="AQ68" s="70"/>
      <c r="AR68" s="70" t="e">
        <f t="shared" ref="AR68:BA68" si="91">AR37+AR38+AR43</f>
        <v>#REF!</v>
      </c>
      <c r="AS68" s="70" t="e">
        <f t="shared" si="91"/>
        <v>#REF!</v>
      </c>
      <c r="AT68" s="70" t="e">
        <f t="shared" si="91"/>
        <v>#REF!</v>
      </c>
      <c r="AU68" s="70" t="e">
        <f t="shared" si="91"/>
        <v>#REF!</v>
      </c>
      <c r="AV68" s="70" t="e">
        <f t="shared" si="91"/>
        <v>#REF!</v>
      </c>
      <c r="AW68" s="70" t="e">
        <f t="shared" si="91"/>
        <v>#REF!</v>
      </c>
      <c r="AX68" s="70" t="e">
        <f t="shared" si="91"/>
        <v>#REF!</v>
      </c>
      <c r="AY68" s="70" t="e">
        <f t="shared" si="91"/>
        <v>#REF!</v>
      </c>
      <c r="AZ68" s="70" t="e">
        <f t="shared" si="91"/>
        <v>#REF!</v>
      </c>
      <c r="BA68" s="70" t="e">
        <f t="shared" si="91"/>
        <v>#REF!</v>
      </c>
    </row>
    <row r="69" spans="27:53" hidden="1">
      <c r="AA69" s="71" t="s">
        <v>42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2" t="s">
        <v>49</v>
      </c>
      <c r="AB70" s="35"/>
      <c r="AF70" s="70" t="e">
        <f t="shared" ref="AF70:AO70" si="92">AF15+AF16+AF20+AF22</f>
        <v>#REF!</v>
      </c>
      <c r="AG70" s="70" t="e">
        <f t="shared" si="92"/>
        <v>#REF!</v>
      </c>
      <c r="AH70" s="70" t="e">
        <f t="shared" si="92"/>
        <v>#REF!</v>
      </c>
      <c r="AI70" s="70" t="e">
        <f t="shared" si="92"/>
        <v>#REF!</v>
      </c>
      <c r="AJ70" s="70" t="e">
        <f t="shared" si="92"/>
        <v>#REF!</v>
      </c>
      <c r="AK70" s="70" t="e">
        <f t="shared" si="92"/>
        <v>#REF!</v>
      </c>
      <c r="AL70" s="70" t="e">
        <f t="shared" si="92"/>
        <v>#REF!</v>
      </c>
      <c r="AM70" s="70" t="e">
        <f t="shared" si="92"/>
        <v>#REF!</v>
      </c>
      <c r="AN70" s="70" t="e">
        <f t="shared" si="92"/>
        <v>#REF!</v>
      </c>
      <c r="AO70" s="70" t="e">
        <f t="shared" si="92"/>
        <v>#REF!</v>
      </c>
      <c r="AP70" s="70"/>
      <c r="AQ70" s="70"/>
      <c r="AR70" s="70" t="e">
        <f t="shared" ref="AR70:BA70" si="93">AR15+AR16+AR20+AR22</f>
        <v>#REF!</v>
      </c>
      <c r="AS70" s="70" t="e">
        <f t="shared" si="93"/>
        <v>#REF!</v>
      </c>
      <c r="AT70" s="70" t="e">
        <f t="shared" si="93"/>
        <v>#REF!</v>
      </c>
      <c r="AU70" s="70" t="e">
        <f t="shared" si="93"/>
        <v>#REF!</v>
      </c>
      <c r="AV70" s="70" t="e">
        <f t="shared" si="93"/>
        <v>#REF!</v>
      </c>
      <c r="AW70" s="70" t="e">
        <f t="shared" si="93"/>
        <v>#REF!</v>
      </c>
      <c r="AX70" s="70" t="e">
        <f t="shared" si="93"/>
        <v>#REF!</v>
      </c>
      <c r="AY70" s="70" t="e">
        <f t="shared" si="93"/>
        <v>#REF!</v>
      </c>
      <c r="AZ70" s="70" t="e">
        <f t="shared" si="93"/>
        <v>#REF!</v>
      </c>
      <c r="BA70" s="70" t="e">
        <f t="shared" si="93"/>
        <v>#REF!</v>
      </c>
    </row>
    <row r="71" spans="27:53" hidden="1">
      <c r="AA71" s="71" t="s">
        <v>29</v>
      </c>
      <c r="AB71" s="35"/>
      <c r="AF71" s="70" t="e">
        <f t="shared" ref="AF71:AO71" si="94">AF26+AF27+AF31+AF33</f>
        <v>#REF!</v>
      </c>
      <c r="AG71" s="70" t="e">
        <f t="shared" si="94"/>
        <v>#REF!</v>
      </c>
      <c r="AH71" s="70" t="e">
        <f t="shared" si="94"/>
        <v>#REF!</v>
      </c>
      <c r="AI71" s="70" t="e">
        <f t="shared" si="94"/>
        <v>#REF!</v>
      </c>
      <c r="AJ71" s="70" t="e">
        <f t="shared" si="94"/>
        <v>#REF!</v>
      </c>
      <c r="AK71" s="70" t="e">
        <f t="shared" si="94"/>
        <v>#REF!</v>
      </c>
      <c r="AL71" s="70" t="e">
        <f t="shared" si="94"/>
        <v>#REF!</v>
      </c>
      <c r="AM71" s="70" t="e">
        <f t="shared" si="94"/>
        <v>#REF!</v>
      </c>
      <c r="AN71" s="70" t="e">
        <f t="shared" si="94"/>
        <v>#REF!</v>
      </c>
      <c r="AO71" s="70" t="e">
        <f t="shared" si="94"/>
        <v>#REF!</v>
      </c>
      <c r="AP71" s="70"/>
      <c r="AQ71" s="70"/>
      <c r="AR71" s="70" t="e">
        <f t="shared" ref="AR71:BA71" si="95">AR26+AR27+AR31+AR33</f>
        <v>#REF!</v>
      </c>
      <c r="AS71" s="70" t="e">
        <f t="shared" si="95"/>
        <v>#REF!</v>
      </c>
      <c r="AT71" s="70" t="e">
        <f t="shared" si="95"/>
        <v>#REF!</v>
      </c>
      <c r="AU71" s="70" t="e">
        <f t="shared" si="95"/>
        <v>#REF!</v>
      </c>
      <c r="AV71" s="70" t="e">
        <f t="shared" si="95"/>
        <v>#REF!</v>
      </c>
      <c r="AW71" s="70" t="e">
        <f t="shared" si="95"/>
        <v>#REF!</v>
      </c>
      <c r="AX71" s="70" t="e">
        <f t="shared" si="95"/>
        <v>#REF!</v>
      </c>
      <c r="AY71" s="70" t="e">
        <f t="shared" si="95"/>
        <v>#REF!</v>
      </c>
      <c r="AZ71" s="70" t="e">
        <f t="shared" si="95"/>
        <v>#REF!</v>
      </c>
      <c r="BA71" s="70" t="e">
        <f t="shared" si="95"/>
        <v>#REF!</v>
      </c>
    </row>
    <row r="72" spans="27:53" hidden="1">
      <c r="AA72" s="71" t="s">
        <v>41</v>
      </c>
      <c r="AB72" s="35"/>
      <c r="AF72" s="70" t="e">
        <f t="shared" ref="AF72:AO72" si="96">AF37+AF38+AF42+AF44</f>
        <v>#REF!</v>
      </c>
      <c r="AG72" s="70" t="e">
        <f t="shared" si="96"/>
        <v>#REF!</v>
      </c>
      <c r="AH72" s="70" t="e">
        <f t="shared" si="96"/>
        <v>#REF!</v>
      </c>
      <c r="AI72" s="70" t="e">
        <f t="shared" si="96"/>
        <v>#REF!</v>
      </c>
      <c r="AJ72" s="70" t="e">
        <f t="shared" si="96"/>
        <v>#REF!</v>
      </c>
      <c r="AK72" s="70" t="e">
        <f t="shared" si="96"/>
        <v>#REF!</v>
      </c>
      <c r="AL72" s="70" t="e">
        <f t="shared" si="96"/>
        <v>#REF!</v>
      </c>
      <c r="AM72" s="70" t="e">
        <f t="shared" si="96"/>
        <v>#REF!</v>
      </c>
      <c r="AN72" s="70" t="e">
        <f t="shared" si="96"/>
        <v>#REF!</v>
      </c>
      <c r="AO72" s="70" t="e">
        <f t="shared" si="96"/>
        <v>#REF!</v>
      </c>
      <c r="AP72" s="70"/>
      <c r="AQ72" s="70"/>
      <c r="AR72" s="70" t="e">
        <f t="shared" ref="AR72:BA72" si="97">AR37+AR38+AR42+AR44</f>
        <v>#REF!</v>
      </c>
      <c r="AS72" s="70" t="e">
        <f t="shared" si="97"/>
        <v>#REF!</v>
      </c>
      <c r="AT72" s="70" t="e">
        <f t="shared" si="97"/>
        <v>#REF!</v>
      </c>
      <c r="AU72" s="70" t="e">
        <f t="shared" si="97"/>
        <v>#REF!</v>
      </c>
      <c r="AV72" s="70" t="e">
        <f t="shared" si="97"/>
        <v>#REF!</v>
      </c>
      <c r="AW72" s="70" t="e">
        <f t="shared" si="97"/>
        <v>#REF!</v>
      </c>
      <c r="AX72" s="70" t="e">
        <f t="shared" si="97"/>
        <v>#REF!</v>
      </c>
      <c r="AY72" s="70" t="e">
        <f t="shared" si="97"/>
        <v>#REF!</v>
      </c>
      <c r="AZ72" s="70" t="e">
        <f t="shared" si="97"/>
        <v>#REF!</v>
      </c>
      <c r="BA72" s="70" t="e">
        <f t="shared" si="97"/>
        <v>#REF!</v>
      </c>
    </row>
    <row r="73" spans="27:53" hidden="1">
      <c r="AA73" s="71" t="s">
        <v>42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69" t="s">
        <v>50</v>
      </c>
      <c r="AB74" s="35"/>
      <c r="AF74" s="70" t="e">
        <f t="shared" ref="AF74:AO74" si="98">AF15+AF16+AF20+AF23</f>
        <v>#REF!</v>
      </c>
      <c r="AG74" s="70" t="e">
        <f t="shared" si="98"/>
        <v>#REF!</v>
      </c>
      <c r="AH74" s="70" t="e">
        <f t="shared" si="98"/>
        <v>#REF!</v>
      </c>
      <c r="AI74" s="70" t="e">
        <f t="shared" si="98"/>
        <v>#REF!</v>
      </c>
      <c r="AJ74" s="70" t="e">
        <f t="shared" si="98"/>
        <v>#REF!</v>
      </c>
      <c r="AK74" s="70" t="e">
        <f t="shared" si="98"/>
        <v>#REF!</v>
      </c>
      <c r="AL74" s="70" t="e">
        <f t="shared" si="98"/>
        <v>#REF!</v>
      </c>
      <c r="AM74" s="70" t="e">
        <f t="shared" si="98"/>
        <v>#REF!</v>
      </c>
      <c r="AN74" s="70" t="e">
        <f t="shared" si="98"/>
        <v>#REF!</v>
      </c>
      <c r="AO74" s="70" t="e">
        <f t="shared" si="98"/>
        <v>#REF!</v>
      </c>
      <c r="AP74" s="70"/>
      <c r="AQ74" s="70"/>
      <c r="AR74" s="70" t="e">
        <f t="shared" ref="AR74:BA74" si="99">AR15+AR16+AR20+AR23</f>
        <v>#REF!</v>
      </c>
      <c r="AS74" s="70" t="e">
        <f t="shared" si="99"/>
        <v>#REF!</v>
      </c>
      <c r="AT74" s="70" t="e">
        <f t="shared" si="99"/>
        <v>#REF!</v>
      </c>
      <c r="AU74" s="70" t="e">
        <f t="shared" si="99"/>
        <v>#REF!</v>
      </c>
      <c r="AV74" s="70" t="e">
        <f t="shared" si="99"/>
        <v>#REF!</v>
      </c>
      <c r="AW74" s="70" t="e">
        <f t="shared" si="99"/>
        <v>#REF!</v>
      </c>
      <c r="AX74" s="70" t="e">
        <f t="shared" si="99"/>
        <v>#REF!</v>
      </c>
      <c r="AY74" s="70" t="e">
        <f t="shared" si="99"/>
        <v>#REF!</v>
      </c>
      <c r="AZ74" s="70" t="e">
        <f t="shared" si="99"/>
        <v>#REF!</v>
      </c>
      <c r="BA74" s="70" t="e">
        <f t="shared" si="99"/>
        <v>#REF!</v>
      </c>
    </row>
    <row r="75" spans="27:53" hidden="1">
      <c r="AA75" s="71" t="s">
        <v>29</v>
      </c>
      <c r="AB75" s="35"/>
      <c r="AF75" s="70" t="e">
        <f t="shared" ref="AF75:AO75" si="100">AF26+AF27+AF31+AF34</f>
        <v>#REF!</v>
      </c>
      <c r="AG75" s="70" t="e">
        <f t="shared" si="100"/>
        <v>#REF!</v>
      </c>
      <c r="AH75" s="70" t="e">
        <f t="shared" si="100"/>
        <v>#REF!</v>
      </c>
      <c r="AI75" s="70" t="e">
        <f t="shared" si="100"/>
        <v>#REF!</v>
      </c>
      <c r="AJ75" s="70" t="e">
        <f t="shared" si="100"/>
        <v>#REF!</v>
      </c>
      <c r="AK75" s="70" t="e">
        <f t="shared" si="100"/>
        <v>#REF!</v>
      </c>
      <c r="AL75" s="70" t="e">
        <f t="shared" si="100"/>
        <v>#REF!</v>
      </c>
      <c r="AM75" s="70" t="e">
        <f t="shared" si="100"/>
        <v>#REF!</v>
      </c>
      <c r="AN75" s="70" t="e">
        <f t="shared" si="100"/>
        <v>#REF!</v>
      </c>
      <c r="AO75" s="70" t="e">
        <f t="shared" si="100"/>
        <v>#REF!</v>
      </c>
      <c r="AP75" s="70"/>
      <c r="AQ75" s="70"/>
      <c r="AR75" s="70" t="e">
        <f t="shared" ref="AR75:BA75" si="101">AR26+AR27+AR31+AR34</f>
        <v>#REF!</v>
      </c>
      <c r="AS75" s="70" t="e">
        <f t="shared" si="101"/>
        <v>#REF!</v>
      </c>
      <c r="AT75" s="70" t="e">
        <f t="shared" si="101"/>
        <v>#REF!</v>
      </c>
      <c r="AU75" s="70" t="e">
        <f t="shared" si="101"/>
        <v>#REF!</v>
      </c>
      <c r="AV75" s="70" t="e">
        <f t="shared" si="101"/>
        <v>#REF!</v>
      </c>
      <c r="AW75" s="70" t="e">
        <f t="shared" si="101"/>
        <v>#REF!</v>
      </c>
      <c r="AX75" s="70" t="e">
        <f t="shared" si="101"/>
        <v>#REF!</v>
      </c>
      <c r="AY75" s="70" t="e">
        <f t="shared" si="101"/>
        <v>#REF!</v>
      </c>
      <c r="AZ75" s="70" t="e">
        <f t="shared" si="101"/>
        <v>#REF!</v>
      </c>
      <c r="BA75" s="70" t="e">
        <f t="shared" si="101"/>
        <v>#REF!</v>
      </c>
    </row>
    <row r="76" spans="27:53" hidden="1">
      <c r="AA76" s="71" t="s">
        <v>41</v>
      </c>
      <c r="AB76" s="35"/>
      <c r="AF76" s="70" t="e">
        <f t="shared" ref="AF76:AO76" si="102">AF37+AF38+AF42+AF45</f>
        <v>#REF!</v>
      </c>
      <c r="AG76" s="70" t="e">
        <f t="shared" si="102"/>
        <v>#REF!</v>
      </c>
      <c r="AH76" s="70" t="e">
        <f t="shared" si="102"/>
        <v>#REF!</v>
      </c>
      <c r="AI76" s="70" t="e">
        <f t="shared" si="102"/>
        <v>#REF!</v>
      </c>
      <c r="AJ76" s="70" t="e">
        <f t="shared" si="102"/>
        <v>#REF!</v>
      </c>
      <c r="AK76" s="70" t="e">
        <f t="shared" si="102"/>
        <v>#REF!</v>
      </c>
      <c r="AL76" s="70" t="e">
        <f t="shared" si="102"/>
        <v>#REF!</v>
      </c>
      <c r="AM76" s="70" t="e">
        <f t="shared" si="102"/>
        <v>#REF!</v>
      </c>
      <c r="AN76" s="70" t="e">
        <f t="shared" si="102"/>
        <v>#REF!</v>
      </c>
      <c r="AO76" s="70" t="e">
        <f t="shared" si="102"/>
        <v>#REF!</v>
      </c>
      <c r="AP76" s="70"/>
      <c r="AQ76" s="70"/>
      <c r="AR76" s="70" t="e">
        <f t="shared" ref="AR76:BA76" si="103">AR37+AR38+AR42+AR45</f>
        <v>#REF!</v>
      </c>
      <c r="AS76" s="70" t="e">
        <f t="shared" si="103"/>
        <v>#REF!</v>
      </c>
      <c r="AT76" s="70" t="e">
        <f t="shared" si="103"/>
        <v>#REF!</v>
      </c>
      <c r="AU76" s="70" t="e">
        <f t="shared" si="103"/>
        <v>#REF!</v>
      </c>
      <c r="AV76" s="70" t="e">
        <f t="shared" si="103"/>
        <v>#REF!</v>
      </c>
      <c r="AW76" s="70" t="e">
        <f t="shared" si="103"/>
        <v>#REF!</v>
      </c>
      <c r="AX76" s="70" t="e">
        <f t="shared" si="103"/>
        <v>#REF!</v>
      </c>
      <c r="AY76" s="70" t="e">
        <f t="shared" si="103"/>
        <v>#REF!</v>
      </c>
      <c r="AZ76" s="70" t="e">
        <f t="shared" si="103"/>
        <v>#REF!</v>
      </c>
      <c r="BA76" s="70" t="e">
        <f t="shared" si="103"/>
        <v>#REF!</v>
      </c>
    </row>
    <row r="77" spans="27:53" hidden="1">
      <c r="AA77" s="71" t="s">
        <v>42</v>
      </c>
      <c r="AB77" s="35"/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N87" s="38"/>
      <c r="AZ87" s="36"/>
    </row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45" t="s">
        <v>55</v>
      </c>
      <c r="G89" s="545" t="s">
        <v>73</v>
      </c>
      <c r="H89" s="545" t="s">
        <v>74</v>
      </c>
      <c r="I89" s="545" t="s">
        <v>58</v>
      </c>
      <c r="J89" s="545" t="s">
        <v>59</v>
      </c>
      <c r="K89" s="545" t="s">
        <v>60</v>
      </c>
      <c r="L89" s="544" t="s">
        <v>75</v>
      </c>
      <c r="M89" s="544" t="s">
        <v>76</v>
      </c>
      <c r="N89" s="544" t="s">
        <v>61</v>
      </c>
      <c r="O89" s="544" t="s">
        <v>62</v>
      </c>
      <c r="P89" s="544" t="s">
        <v>63</v>
      </c>
      <c r="AN89" s="38"/>
      <c r="AZ89" s="36"/>
    </row>
    <row r="90" spans="1:52" ht="25.5">
      <c r="A90" s="44" t="str">
        <f>A4</f>
        <v>Substation General Construction</v>
      </c>
      <c r="B90" s="45" t="str">
        <f>B4</f>
        <v>Light-Duty Truck, catalyst</v>
      </c>
      <c r="C90" s="46">
        <f>C4</f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1" si="104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ref="A91:C92" si="105">A5</f>
        <v>Substation Below Grade Construction</v>
      </c>
      <c r="B91" s="45" t="str">
        <f t="shared" si="105"/>
        <v>Light-Duty Truck, catalyst</v>
      </c>
      <c r="C91" s="46">
        <f t="shared" si="105"/>
        <v>10</v>
      </c>
      <c r="D91" s="46">
        <v>35</v>
      </c>
      <c r="E91" s="46">
        <v>80</v>
      </c>
      <c r="F91" s="50">
        <f>C5*($E5*$F5+($G5))/453.59</f>
        <v>4.8571938588092012</v>
      </c>
      <c r="G91" s="50">
        <f>C5*($E5*$H5+($I5))/453.59</f>
        <v>0.43670657294378012</v>
      </c>
      <c r="H91" s="50">
        <f>C5*(($E5*$J5)+($K5)+($L5)+($E5*$N5)+(($M5+$O5)))/453.59</f>
        <v>0.50499980323953331</v>
      </c>
      <c r="I91" s="50">
        <f>C5*($E5*$P5+($Q5))/453.59</f>
        <v>7.2679702716061598E-3</v>
      </c>
      <c r="J91" s="50">
        <f>C5*(($E5*($R5+$T5+$U5))+($S5))/453.59</f>
        <v>8.5240904552078958E-2</v>
      </c>
      <c r="K91" s="50">
        <f>$C5*(($E5*($V5+$X5+$Y5))+($W5))/453.59</f>
        <v>3.7120053242531412E-2</v>
      </c>
      <c r="L91" s="50">
        <f>$B$23*C5*(E5+6)</f>
        <v>8.438582586071898E-2</v>
      </c>
      <c r="M91" s="50">
        <f t="shared" si="104"/>
        <v>3.4598188602894778E-2</v>
      </c>
      <c r="N91" s="50">
        <f>C5*($E5*$Z5+($AA5))/453.59</f>
        <v>554.23576726038891</v>
      </c>
      <c r="O91" s="50">
        <f>C5*($E5*$AB5+($AC5))/453.59</f>
        <v>3.1704753890302494E-2</v>
      </c>
      <c r="P91" s="50">
        <f>C5*($E5*$AD5+($AE5))/453.59</f>
        <v>5.7711199138433596E-2</v>
      </c>
      <c r="AN91" s="38"/>
      <c r="AZ91" s="36"/>
    </row>
    <row r="92" spans="1:52" ht="25.5">
      <c r="A92" s="44" t="str">
        <f t="shared" si="105"/>
        <v>Substation Above Grade Construction</v>
      </c>
      <c r="B92" s="45" t="str">
        <f t="shared" si="105"/>
        <v>Light-Duty Truck, catalyst</v>
      </c>
      <c r="C92" s="46">
        <f t="shared" si="105"/>
        <v>5</v>
      </c>
      <c r="D92" s="46">
        <v>35</v>
      </c>
      <c r="E92" s="46">
        <v>80</v>
      </c>
      <c r="F92" s="50">
        <f>C6*($E6*$F6+($G6))/453.59</f>
        <v>2.4285969294046006</v>
      </c>
      <c r="G92" s="50">
        <f>C6*($E6*$H6+($I6))/453.59</f>
        <v>0.21835328647189006</v>
      </c>
      <c r="H92" s="50">
        <f>C6*(($E6*$J6)+($K6)+($L6)+($E6*$N6)+(($M6+$O6)))/453.59</f>
        <v>0.25249990161976665</v>
      </c>
      <c r="I92" s="50">
        <f>C6*($E6*$P6+($Q6))/453.59</f>
        <v>3.6339851358030799E-3</v>
      </c>
      <c r="J92" s="50">
        <f>C6*(($E6*($R6+$T6+$U6))+($S6))/453.59</f>
        <v>4.2620452276039479E-2</v>
      </c>
      <c r="K92" s="50">
        <f>$C6*(($E6*($V6+$X6+$Y6))+($W6))/453.59</f>
        <v>1.8560026621265706E-2</v>
      </c>
      <c r="L92" s="50">
        <f>$B$23*C6*(E6+6)</f>
        <v>4.219291293035949E-2</v>
      </c>
      <c r="M92" s="50">
        <f t="shared" ref="M92" si="106">0.41*L92</f>
        <v>1.7299094301447389E-2</v>
      </c>
      <c r="N92" s="50">
        <f>C6*($E6*$Z6+($AA6))/453.59</f>
        <v>277.11788363019446</v>
      </c>
      <c r="O92" s="50">
        <f>C6*($E6*$AB6+($AC6))/453.59</f>
        <v>1.5852376945151247E-2</v>
      </c>
      <c r="P92" s="50">
        <f>C6*($E6*$AD6+($AE6))/453.59</f>
        <v>2.8855599569216798E-2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>SUM(F90:F92)</f>
        <v>8.7429489458565612</v>
      </c>
      <c r="G93" s="81">
        <f t="shared" ref="G93:P93" si="107">SUM(G90:G92)</f>
        <v>0.7860718312988042</v>
      </c>
      <c r="H93" s="81">
        <f t="shared" si="107"/>
        <v>0.90899964583116</v>
      </c>
      <c r="I93" s="81">
        <f t="shared" si="107"/>
        <v>1.3082346488891087E-2</v>
      </c>
      <c r="J93" s="81">
        <f t="shared" si="107"/>
        <v>0.15343362819374212</v>
      </c>
      <c r="K93" s="81">
        <f t="shared" si="107"/>
        <v>6.6816095836556538E-2</v>
      </c>
      <c r="L93" s="81">
        <f t="shared" si="107"/>
        <v>0.15189448654929416</v>
      </c>
      <c r="M93" s="81">
        <f t="shared" si="107"/>
        <v>6.2276739485210598E-2</v>
      </c>
      <c r="N93" s="81">
        <f t="shared" si="107"/>
        <v>997.62438106870013</v>
      </c>
      <c r="O93" s="81">
        <f t="shared" si="107"/>
        <v>5.7068557002544484E-2</v>
      </c>
      <c r="P93" s="81">
        <f t="shared" si="107"/>
        <v>0.10388015844918047</v>
      </c>
    </row>
  </sheetData>
  <mergeCells count="16">
    <mergeCell ref="AR12:BA12"/>
    <mergeCell ref="A88:A89"/>
    <mergeCell ref="B88:B89"/>
    <mergeCell ref="F88:P88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3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636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398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100" t="s">
        <v>287</v>
      </c>
      <c r="B14" s="97" t="s">
        <v>27</v>
      </c>
      <c r="C14" s="97">
        <v>37</v>
      </c>
      <c r="D14" s="22">
        <v>0.37</v>
      </c>
      <c r="E14" s="102">
        <v>3.2313389441625637E-2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0.12374118165784832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0.16056172839506169</v>
      </c>
      <c r="H14" s="102">
        <v>3.2989906092678058E-4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1.3581349206349205E-2</v>
      </c>
      <c r="J14" s="100">
        <f t="shared" ref="J14:J16" si="4">0.89*I14</f>
        <v>1.2087400793650793E-2</v>
      </c>
      <c r="K14" s="103">
        <v>25.519156990664225</v>
      </c>
      <c r="L14" s="102">
        <v>3.413848047070189E-3</v>
      </c>
      <c r="M14" s="104">
        <f t="shared" ref="M14:M16" si="5">0.095*G14</f>
        <v>1.5253364197530862E-2</v>
      </c>
      <c r="N14" s="88">
        <v>1</v>
      </c>
      <c r="O14" s="88">
        <v>1</v>
      </c>
      <c r="P14" s="367">
        <v>75</v>
      </c>
      <c r="Q14" s="26">
        <f t="shared" ref="Q14:Y16" si="6">(E14*$N14*$O14)</f>
        <v>3.2313389441625637E-2</v>
      </c>
      <c r="R14" s="26">
        <f t="shared" si="6"/>
        <v>0.12374118165784832</v>
      </c>
      <c r="S14" s="26">
        <f t="shared" si="6"/>
        <v>0.16056172839506169</v>
      </c>
      <c r="T14" s="26">
        <f t="shared" si="6"/>
        <v>3.2989906092678058E-4</v>
      </c>
      <c r="U14" s="26">
        <f t="shared" si="6"/>
        <v>1.3581349206349205E-2</v>
      </c>
      <c r="V14" s="26">
        <f t="shared" si="6"/>
        <v>1.2087400793650793E-2</v>
      </c>
      <c r="W14" s="26">
        <f t="shared" si="6"/>
        <v>25.519156990664225</v>
      </c>
      <c r="X14" s="26">
        <f t="shared" si="6"/>
        <v>3.413848047070189E-3</v>
      </c>
      <c r="Y14" s="26">
        <f t="shared" si="6"/>
        <v>1.5253364197530862E-2</v>
      </c>
    </row>
    <row r="15" spans="1:25" s="3" customFormat="1">
      <c r="A15" s="100" t="s">
        <v>292</v>
      </c>
      <c r="B15" s="22" t="s">
        <v>27</v>
      </c>
      <c r="C15" s="97">
        <v>69</v>
      </c>
      <c r="D15" s="22">
        <v>0.5</v>
      </c>
      <c r="E15" s="102">
        <v>0.10796897189848784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0.2814153439153439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0.40462962962962956</v>
      </c>
      <c r="H15" s="102">
        <v>7.6125329247041284E-4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2.2817460317460316E-2</v>
      </c>
      <c r="J15" s="100">
        <f t="shared" si="4"/>
        <v>2.030753968253968E-2</v>
      </c>
      <c r="K15" s="103">
        <v>64.895144949977833</v>
      </c>
      <c r="L15" s="102">
        <v>1.0324742188913067E-2</v>
      </c>
      <c r="M15" s="104">
        <f t="shared" si="5"/>
        <v>3.8439814814814809E-2</v>
      </c>
      <c r="N15" s="87">
        <v>1</v>
      </c>
      <c r="O15" s="87">
        <v>6</v>
      </c>
      <c r="P15" s="88">
        <f>8*22</f>
        <v>176</v>
      </c>
      <c r="Q15" s="34">
        <f t="shared" si="6"/>
        <v>0.64781383139092696</v>
      </c>
      <c r="R15" s="26">
        <f t="shared" si="6"/>
        <v>1.6884920634920633</v>
      </c>
      <c r="S15" s="26">
        <f t="shared" si="6"/>
        <v>2.4277777777777771</v>
      </c>
      <c r="T15" s="26">
        <f t="shared" si="6"/>
        <v>4.567519754822477E-3</v>
      </c>
      <c r="U15" s="26">
        <f t="shared" si="6"/>
        <v>0.13690476190476189</v>
      </c>
      <c r="V15" s="26">
        <f t="shared" si="6"/>
        <v>0.12184523809523809</v>
      </c>
      <c r="W15" s="26">
        <f t="shared" si="6"/>
        <v>389.370869699867</v>
      </c>
      <c r="X15" s="26">
        <f t="shared" si="6"/>
        <v>6.1948453133478402E-2</v>
      </c>
      <c r="Y15" s="26">
        <f t="shared" si="6"/>
        <v>0.23063888888888884</v>
      </c>
    </row>
    <row r="16" spans="1:25" s="3" customFormat="1">
      <c r="A16" s="100" t="s">
        <v>126</v>
      </c>
      <c r="B16" s="22" t="s">
        <v>27</v>
      </c>
      <c r="C16" s="22">
        <v>175</v>
      </c>
      <c r="D16" s="22"/>
      <c r="E16" s="102">
        <v>0.11792220738547983</v>
      </c>
      <c r="F16" s="102">
        <v>0.36512193352152528</v>
      </c>
      <c r="G16" s="102">
        <v>0.86781464282266541</v>
      </c>
      <c r="H16" s="102">
        <v>1.8739217498104396E-3</v>
      </c>
      <c r="I16" s="102">
        <v>2.9041712295589866E-2</v>
      </c>
      <c r="J16" s="100">
        <f t="shared" si="4"/>
        <v>2.5847123943074982E-2</v>
      </c>
      <c r="K16" s="103">
        <v>166.54541562452522</v>
      </c>
      <c r="L16" s="102">
        <v>1.063993297769634E-2</v>
      </c>
      <c r="M16" s="104">
        <f t="shared" si="5"/>
        <v>8.2442391068153209E-2</v>
      </c>
      <c r="N16" s="88">
        <v>1</v>
      </c>
      <c r="O16" s="88">
        <v>3</v>
      </c>
      <c r="P16" s="367">
        <v>40</v>
      </c>
      <c r="Q16" s="26">
        <f t="shared" si="6"/>
        <v>0.3537666221564395</v>
      </c>
      <c r="R16" s="26">
        <f t="shared" si="6"/>
        <v>1.0953658005645759</v>
      </c>
      <c r="S16" s="26">
        <f t="shared" si="6"/>
        <v>2.6034439284679962</v>
      </c>
      <c r="T16" s="26">
        <f t="shared" si="6"/>
        <v>5.6217652494313184E-3</v>
      </c>
      <c r="U16" s="26">
        <f t="shared" si="6"/>
        <v>8.7125136886769594E-2</v>
      </c>
      <c r="V16" s="26">
        <f t="shared" si="6"/>
        <v>7.754137182922495E-2</v>
      </c>
      <c r="W16" s="26">
        <f t="shared" si="6"/>
        <v>499.63624687357566</v>
      </c>
      <c r="X16" s="26">
        <f t="shared" si="6"/>
        <v>3.1919798933089022E-2</v>
      </c>
      <c r="Y16" s="26">
        <f t="shared" si="6"/>
        <v>0.24732717320445963</v>
      </c>
    </row>
    <row r="17" spans="1:25" s="3" customFormat="1">
      <c r="A17" s="17" t="s">
        <v>28</v>
      </c>
      <c r="B17" s="97"/>
      <c r="C17" s="22"/>
      <c r="D17" s="22"/>
      <c r="E17" s="23"/>
      <c r="F17" s="23"/>
      <c r="G17" s="23"/>
      <c r="H17" s="23"/>
      <c r="I17" s="23"/>
      <c r="J17" s="24"/>
      <c r="K17" s="25"/>
      <c r="L17" s="23"/>
      <c r="M17" s="23"/>
      <c r="N17" s="88"/>
      <c r="O17" s="88"/>
      <c r="P17" s="88"/>
      <c r="Q17" s="27">
        <f t="shared" ref="Q17:Y17" si="7">SUM(Q14:Q16)</f>
        <v>1.0338938429889921</v>
      </c>
      <c r="R17" s="27">
        <f t="shared" si="7"/>
        <v>2.9075990457144876</v>
      </c>
      <c r="S17" s="27">
        <f t="shared" si="7"/>
        <v>5.1917834346408345</v>
      </c>
      <c r="T17" s="27">
        <f t="shared" si="7"/>
        <v>1.0519184065180577E-2</v>
      </c>
      <c r="U17" s="27">
        <f t="shared" si="7"/>
        <v>0.23761124799788069</v>
      </c>
      <c r="V17" s="27">
        <f t="shared" si="7"/>
        <v>0.21147401071811384</v>
      </c>
      <c r="W17" s="27">
        <f t="shared" si="7"/>
        <v>914.52627356410687</v>
      </c>
      <c r="X17" s="27">
        <f t="shared" si="7"/>
        <v>9.728210011363761E-2</v>
      </c>
      <c r="Y17" s="27">
        <f t="shared" si="7"/>
        <v>0.49321942629087934</v>
      </c>
    </row>
    <row r="18" spans="1:25" s="3" customFormat="1">
      <c r="A18" s="17"/>
      <c r="B18" s="97"/>
      <c r="C18" s="22"/>
      <c r="D18" s="22"/>
      <c r="E18" s="23"/>
      <c r="F18" s="23"/>
      <c r="G18" s="23"/>
      <c r="H18" s="23"/>
      <c r="I18" s="23"/>
      <c r="J18" s="24"/>
      <c r="K18" s="25"/>
      <c r="L18" s="23"/>
      <c r="M18" s="23"/>
      <c r="N18" s="88"/>
      <c r="O18" s="88"/>
      <c r="P18" s="88"/>
      <c r="Q18" s="27"/>
      <c r="R18" s="27"/>
      <c r="S18" s="27"/>
      <c r="T18" s="27"/>
      <c r="U18" s="27"/>
      <c r="V18" s="27"/>
      <c r="W18" s="27"/>
      <c r="X18" s="27"/>
      <c r="Y18" s="27"/>
    </row>
    <row r="19" spans="1:25" s="3" customFormat="1">
      <c r="A19" s="11" t="s">
        <v>399</v>
      </c>
      <c r="B19" s="22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11"/>
      <c r="O19" s="11"/>
      <c r="P19" s="11"/>
      <c r="Q19" s="27"/>
      <c r="R19" s="27"/>
      <c r="S19" s="27"/>
      <c r="T19" s="27"/>
      <c r="U19" s="27"/>
      <c r="V19" s="27"/>
      <c r="W19" s="28"/>
      <c r="X19" s="27"/>
      <c r="Y19" s="27"/>
    </row>
    <row r="20" spans="1:25">
      <c r="A20" s="24" t="s">
        <v>400</v>
      </c>
      <c r="B20" s="29" t="s">
        <v>27</v>
      </c>
      <c r="C20" s="97">
        <v>235</v>
      </c>
      <c r="D20" s="97"/>
      <c r="E20" s="102">
        <v>0.11792220738547983</v>
      </c>
      <c r="F20" s="102">
        <v>0.36512193352152528</v>
      </c>
      <c r="G20" s="102">
        <v>0.86781464282266541</v>
      </c>
      <c r="H20" s="102">
        <v>1.8739217498104396E-3</v>
      </c>
      <c r="I20" s="102">
        <v>2.9041712295589866E-2</v>
      </c>
      <c r="J20" s="100">
        <f t="shared" ref="J20:J21" si="8">0.89*I20</f>
        <v>2.5847123943074982E-2</v>
      </c>
      <c r="K20" s="103">
        <v>166.54541562452522</v>
      </c>
      <c r="L20" s="102">
        <v>1.063993297769634E-2</v>
      </c>
      <c r="M20" s="104">
        <f t="shared" ref="M20:M21" si="9">0.095*G20</f>
        <v>8.2442391068153209E-2</v>
      </c>
      <c r="N20" s="98">
        <v>1</v>
      </c>
      <c r="O20" s="87">
        <v>8</v>
      </c>
      <c r="P20" s="88">
        <v>4</v>
      </c>
      <c r="Q20" s="34">
        <f t="shared" ref="Q20:Y21" si="10">(E20*$N20*$O20)</f>
        <v>0.94337765908383864</v>
      </c>
      <c r="R20" s="26">
        <f t="shared" si="10"/>
        <v>2.9209754681722022</v>
      </c>
      <c r="S20" s="26">
        <f t="shared" si="10"/>
        <v>6.9425171425813232</v>
      </c>
      <c r="T20" s="26">
        <f t="shared" si="10"/>
        <v>1.4991373998483517E-2</v>
      </c>
      <c r="U20" s="26">
        <f t="shared" si="10"/>
        <v>0.23233369836471893</v>
      </c>
      <c r="V20" s="26">
        <f t="shared" si="10"/>
        <v>0.20677699154459986</v>
      </c>
      <c r="W20" s="26">
        <f t="shared" si="10"/>
        <v>1332.3633249962018</v>
      </c>
      <c r="X20" s="26">
        <f t="shared" si="10"/>
        <v>8.5119463821570721E-2</v>
      </c>
      <c r="Y20" s="26">
        <f t="shared" si="10"/>
        <v>0.65953912854522567</v>
      </c>
    </row>
    <row r="21" spans="1:25">
      <c r="A21" s="24" t="s">
        <v>297</v>
      </c>
      <c r="B21" s="29" t="s">
        <v>27</v>
      </c>
      <c r="C21" s="97">
        <v>235</v>
      </c>
      <c r="D21" s="97"/>
      <c r="E21" s="102">
        <v>0.11792220738547983</v>
      </c>
      <c r="F21" s="102">
        <v>0.36512193352152528</v>
      </c>
      <c r="G21" s="102">
        <v>0.86781464282266541</v>
      </c>
      <c r="H21" s="102">
        <v>1.8739217498104396E-3</v>
      </c>
      <c r="I21" s="102">
        <v>2.9041712295589866E-2</v>
      </c>
      <c r="J21" s="100">
        <f t="shared" si="8"/>
        <v>2.5847123943074982E-2</v>
      </c>
      <c r="K21" s="103">
        <v>166.54541562452522</v>
      </c>
      <c r="L21" s="102">
        <v>1.063993297769634E-2</v>
      </c>
      <c r="M21" s="104">
        <f t="shared" si="9"/>
        <v>8.2442391068153209E-2</v>
      </c>
      <c r="N21" s="98">
        <v>1</v>
      </c>
      <c r="O21" s="87">
        <v>8</v>
      </c>
      <c r="P21" s="88">
        <v>4</v>
      </c>
      <c r="Q21" s="34">
        <f t="shared" si="10"/>
        <v>0.94337765908383864</v>
      </c>
      <c r="R21" s="26">
        <f t="shared" si="10"/>
        <v>2.9209754681722022</v>
      </c>
      <c r="S21" s="26">
        <f t="shared" si="10"/>
        <v>6.9425171425813232</v>
      </c>
      <c r="T21" s="26">
        <f t="shared" si="10"/>
        <v>1.4991373998483517E-2</v>
      </c>
      <c r="U21" s="26">
        <f t="shared" si="10"/>
        <v>0.23233369836471893</v>
      </c>
      <c r="V21" s="26">
        <f t="shared" si="10"/>
        <v>0.20677699154459986</v>
      </c>
      <c r="W21" s="26">
        <f t="shared" si="10"/>
        <v>1332.3633249962018</v>
      </c>
      <c r="X21" s="26">
        <f t="shared" si="10"/>
        <v>8.5119463821570721E-2</v>
      </c>
      <c r="Y21" s="26">
        <f t="shared" si="10"/>
        <v>0.65953912854522567</v>
      </c>
    </row>
    <row r="22" spans="1:25">
      <c r="A22" s="17" t="s">
        <v>28</v>
      </c>
      <c r="B22" s="97"/>
      <c r="C22" s="22"/>
      <c r="D22" s="22"/>
      <c r="E22" s="23"/>
      <c r="F22" s="23"/>
      <c r="G22" s="23"/>
      <c r="H22" s="23"/>
      <c r="I22" s="23"/>
      <c r="J22" s="24"/>
      <c r="K22" s="25"/>
      <c r="L22" s="23"/>
      <c r="M22" s="23"/>
      <c r="N22" s="88"/>
      <c r="O22" s="88"/>
      <c r="P22" s="88"/>
      <c r="Q22" s="27">
        <f t="shared" ref="Q22:Y22" si="11">SUM(Q20:Q21)</f>
        <v>1.8867553181676773</v>
      </c>
      <c r="R22" s="27">
        <f t="shared" si="11"/>
        <v>5.8419509363444044</v>
      </c>
      <c r="S22" s="27">
        <f t="shared" si="11"/>
        <v>13.885034285162646</v>
      </c>
      <c r="T22" s="27">
        <f t="shared" si="11"/>
        <v>2.9982747996967034E-2</v>
      </c>
      <c r="U22" s="27">
        <f t="shared" si="11"/>
        <v>0.46466739672943785</v>
      </c>
      <c r="V22" s="27">
        <f t="shared" si="11"/>
        <v>0.41355398308919972</v>
      </c>
      <c r="W22" s="27">
        <f t="shared" si="11"/>
        <v>2664.7266499924035</v>
      </c>
      <c r="X22" s="27">
        <f t="shared" si="11"/>
        <v>0.17023892764314144</v>
      </c>
      <c r="Y22" s="27">
        <f t="shared" si="11"/>
        <v>1.3190782570904513</v>
      </c>
    </row>
    <row r="23" spans="1:25">
      <c r="A23" s="17" t="s">
        <v>499</v>
      </c>
      <c r="B23" s="549"/>
      <c r="C23" s="18"/>
      <c r="D23" s="22"/>
      <c r="E23" s="19"/>
      <c r="F23" s="19"/>
      <c r="G23" s="19"/>
      <c r="H23" s="19"/>
      <c r="I23" s="19"/>
      <c r="J23" s="19"/>
      <c r="K23" s="19"/>
      <c r="L23" s="19"/>
      <c r="M23" s="19"/>
      <c r="N23" s="30"/>
      <c r="O23" s="30"/>
      <c r="P23" s="364"/>
      <c r="Q23" s="20">
        <f>Q11+Q17+Q22</f>
        <v>3.635226284248267</v>
      </c>
      <c r="R23" s="20">
        <f t="shared" ref="R23:Y23" si="12">R11+R17+R22</f>
        <v>11.703709193017286</v>
      </c>
      <c r="S23" s="20">
        <f t="shared" si="12"/>
        <v>23.497874165942637</v>
      </c>
      <c r="T23" s="20">
        <f t="shared" si="12"/>
        <v>4.8824998298225494E-2</v>
      </c>
      <c r="U23" s="20">
        <f t="shared" si="12"/>
        <v>0.948086937043366</v>
      </c>
      <c r="V23" s="20">
        <f t="shared" si="12"/>
        <v>0.84379737396859578</v>
      </c>
      <c r="W23" s="20">
        <f t="shared" si="12"/>
        <v>4275.7064160415384</v>
      </c>
      <c r="X23" s="20">
        <f t="shared" si="12"/>
        <v>0.34006083394734876</v>
      </c>
      <c r="Y23" s="20">
        <f t="shared" si="12"/>
        <v>2.2322980457645505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4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637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C9*(F9)*$B$289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C10*(F10)*$B$289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334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C14*(F14)*$B$231</f>
        <v>0</v>
      </c>
      <c r="AA14" s="50">
        <f>Z14*0.21</f>
        <v>0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0.19978255106729004</v>
      </c>
      <c r="U15" s="81">
        <f t="shared" si="1"/>
        <v>0.36881875565943734</v>
      </c>
      <c r="V15" s="81">
        <f t="shared" si="1"/>
        <v>4.50613455258927E-2</v>
      </c>
      <c r="W15" s="81">
        <f t="shared" si="1"/>
        <v>2.7797226812149543E-3</v>
      </c>
      <c r="X15" s="81">
        <f t="shared" si="1"/>
        <v>7.2738929740302244E-2</v>
      </c>
      <c r="Y15" s="81">
        <f t="shared" si="1"/>
        <v>4.8332197965954803E-2</v>
      </c>
      <c r="Z15" s="81">
        <f t="shared" si="1"/>
        <v>0</v>
      </c>
      <c r="AA15" s="81">
        <f t="shared" si="1"/>
        <v>0</v>
      </c>
      <c r="AB15" s="81">
        <f t="shared" si="1"/>
        <v>193.62821118051326</v>
      </c>
      <c r="AC15" s="81">
        <f t="shared" si="1"/>
        <v>1.1064496871488068E-2</v>
      </c>
      <c r="AD15" s="81">
        <f t="shared" si="1"/>
        <v>4.9599802576000274E-3</v>
      </c>
    </row>
    <row r="16" spans="1:30">
      <c r="A16" s="75"/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</row>
    <row r="17" spans="1:30">
      <c r="A17" s="114" t="s">
        <v>336</v>
      </c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61"/>
      <c r="U17" s="61"/>
      <c r="V17" s="61"/>
      <c r="W17" s="61"/>
      <c r="X17" s="61"/>
      <c r="Y17" s="61"/>
      <c r="Z17" s="62"/>
      <c r="AA17" s="62"/>
      <c r="AB17" s="62"/>
      <c r="AC17" s="62"/>
      <c r="AD17" s="62"/>
    </row>
    <row r="18" spans="1:30">
      <c r="A18" s="78" t="s">
        <v>320</v>
      </c>
      <c r="B18" s="76" t="s">
        <v>95</v>
      </c>
      <c r="C18" s="79">
        <v>3</v>
      </c>
      <c r="D18" s="77"/>
      <c r="E18" s="77">
        <v>35</v>
      </c>
      <c r="F18" s="77">
        <v>60</v>
      </c>
      <c r="G18" s="106">
        <v>0.25172046482947802</v>
      </c>
      <c r="H18" s="106">
        <v>0.464701387165456</v>
      </c>
      <c r="I18" s="106">
        <v>5.6776043658582402E-2</v>
      </c>
      <c r="J18" s="106">
        <v>3.5023733638119199E-3</v>
      </c>
      <c r="K18" s="106">
        <v>4.6899256897933901E-2</v>
      </c>
      <c r="L18" s="47">
        <v>7.99995847163921E-3</v>
      </c>
      <c r="M18" s="47">
        <v>3.6749815577381599E-2</v>
      </c>
      <c r="N18" s="106">
        <v>4.3147317248333997E-2</v>
      </c>
      <c r="O18" s="47">
        <v>1.9999896145790402E-3</v>
      </c>
      <c r="P18" s="47">
        <v>1.57499200131354E-2</v>
      </c>
      <c r="Q18" s="106">
        <v>243.966167526025</v>
      </c>
      <c r="R18" s="47">
        <f>0.000057143*Q18</f>
        <v>1.3940958710939646E-2</v>
      </c>
      <c r="S18" s="80">
        <f>0.000025616*Q18</f>
        <v>6.2494373473466567E-3</v>
      </c>
      <c r="T18" s="50">
        <f>C18*($F18*$G18)/453.59</f>
        <v>9.9891275533645019E-2</v>
      </c>
      <c r="U18" s="50">
        <f>C18*($F18*$H18)/453.59</f>
        <v>0.18440937782971867</v>
      </c>
      <c r="V18" s="50">
        <f>C18*(($F18*$I18))/453.59</f>
        <v>2.253067276294635E-2</v>
      </c>
      <c r="W18" s="50">
        <f>C18*($F18*$J18)/453.59</f>
        <v>1.3898613406074772E-3</v>
      </c>
      <c r="X18" s="50">
        <f>C18*(($F18*($K18+$L18+$M18)))/453.59</f>
        <v>3.6369464870151122E-2</v>
      </c>
      <c r="Y18" s="50">
        <f>C18*(($F18*($N18+$O18+$P18)))/453.59</f>
        <v>2.4166098982977401E-2</v>
      </c>
      <c r="Z18" s="50">
        <f>C18*(F18)*$B$314</f>
        <v>0</v>
      </c>
      <c r="AA18" s="50">
        <f>Z18*0.21</f>
        <v>0</v>
      </c>
      <c r="AB18" s="50">
        <f>C18*(($F18*($Q18)))/453.59</f>
        <v>96.814105590256631</v>
      </c>
      <c r="AC18" s="50">
        <f>C18*(($F18*($R18)))/453.59</f>
        <v>5.5322484357440338E-3</v>
      </c>
      <c r="AD18" s="50">
        <f>C18*(($F18*($S18)))/453.59</f>
        <v>2.4799901288000137E-3</v>
      </c>
    </row>
    <row r="19" spans="1:30">
      <c r="A19" s="75" t="s">
        <v>28</v>
      </c>
      <c r="B19" s="74"/>
      <c r="C19" s="112"/>
      <c r="D19" s="112"/>
      <c r="E19" s="74"/>
      <c r="F19" s="74"/>
      <c r="G19" s="577"/>
      <c r="H19" s="41"/>
      <c r="I19" s="41"/>
      <c r="J19" s="41"/>
      <c r="K19" s="574"/>
      <c r="L19" s="574"/>
      <c r="M19" s="574"/>
      <c r="N19" s="574"/>
      <c r="O19" s="574"/>
      <c r="P19" s="574"/>
      <c r="Q19" s="41"/>
      <c r="R19" s="574"/>
      <c r="S19" s="574"/>
      <c r="T19" s="81">
        <f t="shared" ref="T19:AD19" si="2">SUM(T18:T18)</f>
        <v>9.9891275533645019E-2</v>
      </c>
      <c r="U19" s="81">
        <f t="shared" si="2"/>
        <v>0.18440937782971867</v>
      </c>
      <c r="V19" s="81">
        <f t="shared" si="2"/>
        <v>2.253067276294635E-2</v>
      </c>
      <c r="W19" s="81">
        <f t="shared" si="2"/>
        <v>1.3898613406074772E-3</v>
      </c>
      <c r="X19" s="81">
        <f t="shared" si="2"/>
        <v>3.6369464870151122E-2</v>
      </c>
      <c r="Y19" s="81">
        <f t="shared" si="2"/>
        <v>2.4166098982977401E-2</v>
      </c>
      <c r="Z19" s="81">
        <f t="shared" si="2"/>
        <v>0</v>
      </c>
      <c r="AA19" s="81">
        <f t="shared" si="2"/>
        <v>0</v>
      </c>
      <c r="AB19" s="81">
        <f t="shared" si="2"/>
        <v>96.814105590256631</v>
      </c>
      <c r="AC19" s="81">
        <f t="shared" si="2"/>
        <v>5.5322484357440338E-3</v>
      </c>
      <c r="AD19" s="81">
        <f t="shared" si="2"/>
        <v>2.4799901288000137E-3</v>
      </c>
    </row>
    <row r="20" spans="1:30">
      <c r="A20" s="75" t="s">
        <v>388</v>
      </c>
      <c r="B20" s="74"/>
      <c r="C20" s="112"/>
      <c r="D20" s="112"/>
      <c r="E20" s="74"/>
      <c r="F20" s="74"/>
      <c r="G20" s="547"/>
      <c r="H20" s="41"/>
      <c r="I20" s="41"/>
      <c r="J20" s="41"/>
      <c r="K20" s="544"/>
      <c r="L20" s="544"/>
      <c r="M20" s="544"/>
      <c r="N20" s="544"/>
      <c r="O20" s="544"/>
      <c r="P20" s="544"/>
      <c r="Q20" s="41"/>
      <c r="R20" s="544"/>
      <c r="S20" s="544"/>
      <c r="T20" s="81">
        <f>T11+T15+T19</f>
        <v>0.59051106942383247</v>
      </c>
      <c r="U20" s="81">
        <f t="shared" ref="U20:AD20" si="3">U11+U15+U19</f>
        <v>1.6144243701047405</v>
      </c>
      <c r="V20" s="81">
        <f t="shared" si="3"/>
        <v>0.13641650277605957</v>
      </c>
      <c r="W20" s="81">
        <f t="shared" si="3"/>
        <v>7.448696536397589E-3</v>
      </c>
      <c r="X20" s="81">
        <f t="shared" si="3"/>
        <v>0.17535848125533138</v>
      </c>
      <c r="Y20" s="81">
        <f t="shared" si="3"/>
        <v>0.11867638057804074</v>
      </c>
      <c r="Z20" s="81">
        <f t="shared" si="3"/>
        <v>0</v>
      </c>
      <c r="AA20" s="81">
        <f t="shared" si="3"/>
        <v>0</v>
      </c>
      <c r="AB20" s="81">
        <f t="shared" si="3"/>
        <v>688.97843208459187</v>
      </c>
      <c r="AC20" s="81">
        <f t="shared" si="3"/>
        <v>2.4816045271017211E-2</v>
      </c>
      <c r="AD20" s="81">
        <f t="shared" si="3"/>
        <v>1.7648871516278905E-2</v>
      </c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372" spans="1:2" ht="25.5">
      <c r="A372" s="82" t="s">
        <v>109</v>
      </c>
    </row>
    <row r="374" spans="1:2">
      <c r="A374" s="36" t="s">
        <v>81</v>
      </c>
    </row>
    <row r="375" spans="1:2">
      <c r="A375" s="36" t="s">
        <v>82</v>
      </c>
    </row>
    <row r="376" spans="1:2">
      <c r="A376" s="36" t="s">
        <v>83</v>
      </c>
    </row>
    <row r="377" spans="1:2">
      <c r="A377" s="37" t="s">
        <v>96</v>
      </c>
    </row>
    <row r="378" spans="1:2">
      <c r="A378" s="36" t="s">
        <v>85</v>
      </c>
    </row>
    <row r="379" spans="1:2">
      <c r="A379" s="36" t="s">
        <v>86</v>
      </c>
    </row>
    <row r="380" spans="1:2">
      <c r="A380" s="36" t="s">
        <v>87</v>
      </c>
    </row>
    <row r="381" spans="1:2">
      <c r="A381" s="36" t="s">
        <v>0</v>
      </c>
    </row>
    <row r="382" spans="1:2">
      <c r="A382" s="37" t="s">
        <v>97</v>
      </c>
      <c r="B382" s="36">
        <f>(0.016*(0.03/2)^0.65*(2/3)^1.5)-0.00047</f>
        <v>9.8123053326417428E-5</v>
      </c>
    </row>
    <row r="383" spans="1:2">
      <c r="A383" s="37" t="s">
        <v>98</v>
      </c>
      <c r="B383" s="36">
        <f>(0.016*(0.03/2)^0.65*(13/3)^1.5)-0.00047</f>
        <v>8.9448292388582783E-3</v>
      </c>
    </row>
    <row r="384" spans="1:2">
      <c r="A384" s="37" t="s">
        <v>99</v>
      </c>
      <c r="B384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A9" sqref="A9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530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69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66" t="s">
        <v>69</v>
      </c>
      <c r="S3" s="42" t="s">
        <v>118</v>
      </c>
      <c r="T3" s="566" t="s">
        <v>71</v>
      </c>
      <c r="U3" s="566" t="s">
        <v>72</v>
      </c>
      <c r="V3" s="566" t="s">
        <v>69</v>
      </c>
      <c r="W3" s="42" t="s">
        <v>118</v>
      </c>
      <c r="X3" s="566" t="s">
        <v>71</v>
      </c>
      <c r="Y3" s="566" t="s">
        <v>72</v>
      </c>
      <c r="Z3" s="41" t="s">
        <v>69</v>
      </c>
      <c r="AA3" s="42" t="s">
        <v>118</v>
      </c>
      <c r="AB3" s="566" t="s">
        <v>69</v>
      </c>
      <c r="AC3" s="42" t="s">
        <v>118</v>
      </c>
      <c r="AD3" s="566" t="s">
        <v>69</v>
      </c>
      <c r="AE3" s="42" t="s">
        <v>118</v>
      </c>
    </row>
    <row r="4" spans="1:67" ht="25.5">
      <c r="A4" s="44" t="s">
        <v>346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67" ht="25.5">
      <c r="A5" s="44" t="s">
        <v>330</v>
      </c>
      <c r="B5" s="45" t="s">
        <v>102</v>
      </c>
      <c r="C5" s="46">
        <v>20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337</v>
      </c>
      <c r="B6" s="45" t="s">
        <v>102</v>
      </c>
      <c r="C6" s="46">
        <v>20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568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2">AG$11*$AC16</f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>AR$11*$AC16</f>
        <v>#REF!</v>
      </c>
      <c r="AS16" s="36" t="e">
        <f t="shared" ref="AS16:BA24" si="3">AS$11*$AC16</f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4">AF$11*$AC17</f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ref="AR17:AR24" si="5">AR$11*$AC17</f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6">AF$11*$AC27</f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ref="AR27:BA35" si="7">AR$11*$AC27</f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8">AF$11*$AC38</f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ref="AR38:BA46" si="9">AR$11*$AC38</f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0">AF16+AF18+AF19</f>
        <v>#REF!</v>
      </c>
      <c r="AG51" s="70" t="e">
        <f t="shared" si="10"/>
        <v>#REF!</v>
      </c>
      <c r="AH51" s="70" t="e">
        <f t="shared" si="10"/>
        <v>#REF!</v>
      </c>
      <c r="AI51" s="70" t="e">
        <f t="shared" si="10"/>
        <v>#REF!</v>
      </c>
      <c r="AJ51" s="70" t="e">
        <f t="shared" si="10"/>
        <v>#REF!</v>
      </c>
      <c r="AK51" s="70" t="e">
        <f t="shared" si="10"/>
        <v>#REF!</v>
      </c>
      <c r="AL51" s="70" t="e">
        <f t="shared" si="10"/>
        <v>#REF!</v>
      </c>
      <c r="AM51" s="70" t="e">
        <f t="shared" si="10"/>
        <v>#REF!</v>
      </c>
      <c r="AN51" s="70" t="e">
        <f t="shared" si="10"/>
        <v>#REF!</v>
      </c>
      <c r="AO51" s="70" t="e">
        <f t="shared" si="10"/>
        <v>#REF!</v>
      </c>
      <c r="AP51" s="70"/>
      <c r="AQ51" s="70"/>
      <c r="AR51" s="70" t="e">
        <f t="shared" ref="AR51:BA51" si="11">AR16+AR18+AR19</f>
        <v>#REF!</v>
      </c>
      <c r="AS51" s="70" t="e">
        <f t="shared" si="11"/>
        <v>#REF!</v>
      </c>
      <c r="AT51" s="70" t="e">
        <f t="shared" si="11"/>
        <v>#REF!</v>
      </c>
      <c r="AU51" s="70" t="e">
        <f t="shared" si="11"/>
        <v>#REF!</v>
      </c>
      <c r="AV51" s="70" t="e">
        <f t="shared" si="11"/>
        <v>#REF!</v>
      </c>
      <c r="AW51" s="70" t="e">
        <f t="shared" si="11"/>
        <v>#REF!</v>
      </c>
      <c r="AX51" s="70" t="e">
        <f t="shared" si="11"/>
        <v>#REF!</v>
      </c>
      <c r="AY51" s="70" t="e">
        <f t="shared" si="11"/>
        <v>#REF!</v>
      </c>
      <c r="AZ51" s="70" t="e">
        <f t="shared" si="11"/>
        <v>#REF!</v>
      </c>
      <c r="BA51" s="70" t="e">
        <f t="shared" si="11"/>
        <v>#REF!</v>
      </c>
    </row>
    <row r="52" spans="27:53" hidden="1">
      <c r="AA52" s="71" t="s">
        <v>41</v>
      </c>
      <c r="AB52" s="35"/>
      <c r="AF52" s="70" t="e">
        <f t="shared" ref="AF52:AO52" si="12">AF27+AF29+AF30</f>
        <v>#REF!</v>
      </c>
      <c r="AG52" s="70" t="e">
        <f t="shared" si="12"/>
        <v>#REF!</v>
      </c>
      <c r="AH52" s="70" t="e">
        <f t="shared" si="12"/>
        <v>#REF!</v>
      </c>
      <c r="AI52" s="70" t="e">
        <f t="shared" si="12"/>
        <v>#REF!</v>
      </c>
      <c r="AJ52" s="70" t="e">
        <f t="shared" si="12"/>
        <v>#REF!</v>
      </c>
      <c r="AK52" s="70" t="e">
        <f t="shared" si="12"/>
        <v>#REF!</v>
      </c>
      <c r="AL52" s="70" t="e">
        <f t="shared" si="12"/>
        <v>#REF!</v>
      </c>
      <c r="AM52" s="70" t="e">
        <f t="shared" si="12"/>
        <v>#REF!</v>
      </c>
      <c r="AN52" s="70" t="e">
        <f t="shared" si="12"/>
        <v>#REF!</v>
      </c>
      <c r="AO52" s="70" t="e">
        <f t="shared" si="12"/>
        <v>#REF!</v>
      </c>
      <c r="AP52" s="70"/>
      <c r="AQ52" s="70"/>
      <c r="AR52" s="70" t="e">
        <f t="shared" ref="AR52:BA52" si="13">AR27+AR29+AR30</f>
        <v>#REF!</v>
      </c>
      <c r="AS52" s="70" t="e">
        <f t="shared" si="13"/>
        <v>#REF!</v>
      </c>
      <c r="AT52" s="70" t="e">
        <f t="shared" si="13"/>
        <v>#REF!</v>
      </c>
      <c r="AU52" s="70" t="e">
        <f t="shared" si="13"/>
        <v>#REF!</v>
      </c>
      <c r="AV52" s="70" t="e">
        <f t="shared" si="13"/>
        <v>#REF!</v>
      </c>
      <c r="AW52" s="70" t="e">
        <f t="shared" si="13"/>
        <v>#REF!</v>
      </c>
      <c r="AX52" s="70" t="e">
        <f t="shared" si="13"/>
        <v>#REF!</v>
      </c>
      <c r="AY52" s="70" t="e">
        <f t="shared" si="13"/>
        <v>#REF!</v>
      </c>
      <c r="AZ52" s="70" t="e">
        <f t="shared" si="13"/>
        <v>#REF!</v>
      </c>
      <c r="BA52" s="70" t="e">
        <f t="shared" si="13"/>
        <v>#REF!</v>
      </c>
    </row>
    <row r="53" spans="27:53" hidden="1">
      <c r="AA53" s="71" t="s">
        <v>42</v>
      </c>
      <c r="AB53" s="35"/>
      <c r="AF53" s="70" t="e">
        <f t="shared" ref="AF53:AO53" si="14">AF38+AF40+AF41</f>
        <v>#REF!</v>
      </c>
      <c r="AG53" s="70" t="e">
        <f t="shared" si="14"/>
        <v>#REF!</v>
      </c>
      <c r="AH53" s="70" t="e">
        <f t="shared" si="14"/>
        <v>#REF!</v>
      </c>
      <c r="AI53" s="70" t="e">
        <f t="shared" si="14"/>
        <v>#REF!</v>
      </c>
      <c r="AJ53" s="70" t="e">
        <f t="shared" si="14"/>
        <v>#REF!</v>
      </c>
      <c r="AK53" s="70" t="e">
        <f t="shared" si="14"/>
        <v>#REF!</v>
      </c>
      <c r="AL53" s="70" t="e">
        <f t="shared" si="14"/>
        <v>#REF!</v>
      </c>
      <c r="AM53" s="70" t="e">
        <f t="shared" si="14"/>
        <v>#REF!</v>
      </c>
      <c r="AN53" s="70" t="e">
        <f t="shared" si="14"/>
        <v>#REF!</v>
      </c>
      <c r="AO53" s="70" t="e">
        <f t="shared" si="14"/>
        <v>#REF!</v>
      </c>
      <c r="AP53" s="70"/>
      <c r="AQ53" s="70"/>
      <c r="AR53" s="70" t="e">
        <f t="shared" ref="AR53:BA53" si="15">AR38+AR40+AR41</f>
        <v>#REF!</v>
      </c>
      <c r="AS53" s="70" t="e">
        <f t="shared" si="15"/>
        <v>#REF!</v>
      </c>
      <c r="AT53" s="70" t="e">
        <f t="shared" si="15"/>
        <v>#REF!</v>
      </c>
      <c r="AU53" s="70" t="e">
        <f t="shared" si="15"/>
        <v>#REF!</v>
      </c>
      <c r="AV53" s="70" t="e">
        <f t="shared" si="15"/>
        <v>#REF!</v>
      </c>
      <c r="AW53" s="70" t="e">
        <f t="shared" si="15"/>
        <v>#REF!</v>
      </c>
      <c r="AX53" s="70" t="e">
        <f t="shared" si="15"/>
        <v>#REF!</v>
      </c>
      <c r="AY53" s="70" t="e">
        <f t="shared" si="15"/>
        <v>#REF!</v>
      </c>
      <c r="AZ53" s="70" t="e">
        <f t="shared" si="15"/>
        <v>#REF!</v>
      </c>
      <c r="BA53" s="70" t="e">
        <f t="shared" si="15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6">AF16+AF18+AF20+AF22</f>
        <v>#REF!</v>
      </c>
      <c r="AG55" s="70" t="e">
        <f t="shared" si="16"/>
        <v>#REF!</v>
      </c>
      <c r="AH55" s="70" t="e">
        <f t="shared" si="16"/>
        <v>#REF!</v>
      </c>
      <c r="AI55" s="70" t="e">
        <f t="shared" si="16"/>
        <v>#REF!</v>
      </c>
      <c r="AJ55" s="70" t="e">
        <f t="shared" si="16"/>
        <v>#REF!</v>
      </c>
      <c r="AK55" s="70" t="e">
        <f t="shared" si="16"/>
        <v>#REF!</v>
      </c>
      <c r="AL55" s="70" t="e">
        <f t="shared" si="16"/>
        <v>#REF!</v>
      </c>
      <c r="AM55" s="70" t="e">
        <f t="shared" si="16"/>
        <v>#REF!</v>
      </c>
      <c r="AN55" s="70" t="e">
        <f t="shared" si="16"/>
        <v>#REF!</v>
      </c>
      <c r="AO55" s="70" t="e">
        <f t="shared" si="16"/>
        <v>#REF!</v>
      </c>
      <c r="AP55" s="70"/>
      <c r="AQ55" s="70"/>
      <c r="AR55" s="70" t="e">
        <f t="shared" ref="AR55:BA55" si="17">AR16+AR18+AR20+AR22</f>
        <v>#REF!</v>
      </c>
      <c r="AS55" s="70" t="e">
        <f t="shared" si="17"/>
        <v>#REF!</v>
      </c>
      <c r="AT55" s="70" t="e">
        <f t="shared" si="17"/>
        <v>#REF!</v>
      </c>
      <c r="AU55" s="70" t="e">
        <f t="shared" si="17"/>
        <v>#REF!</v>
      </c>
      <c r="AV55" s="70" t="e">
        <f t="shared" si="17"/>
        <v>#REF!</v>
      </c>
      <c r="AW55" s="70" t="e">
        <f t="shared" si="17"/>
        <v>#REF!</v>
      </c>
      <c r="AX55" s="70" t="e">
        <f t="shared" si="17"/>
        <v>#REF!</v>
      </c>
      <c r="AY55" s="70" t="e">
        <f t="shared" si="17"/>
        <v>#REF!</v>
      </c>
      <c r="AZ55" s="70" t="e">
        <f t="shared" si="17"/>
        <v>#REF!</v>
      </c>
      <c r="BA55" s="70" t="e">
        <f t="shared" si="17"/>
        <v>#REF!</v>
      </c>
    </row>
    <row r="56" spans="27:53" hidden="1">
      <c r="AA56" s="71" t="s">
        <v>41</v>
      </c>
      <c r="AB56" s="35"/>
      <c r="AF56" s="70" t="e">
        <f t="shared" ref="AF56:AO56" si="18">AF27+AF29+AF31+AF33</f>
        <v>#REF!</v>
      </c>
      <c r="AG56" s="70" t="e">
        <f t="shared" si="18"/>
        <v>#REF!</v>
      </c>
      <c r="AH56" s="70" t="e">
        <f t="shared" si="18"/>
        <v>#REF!</v>
      </c>
      <c r="AI56" s="70" t="e">
        <f t="shared" si="18"/>
        <v>#REF!</v>
      </c>
      <c r="AJ56" s="70" t="e">
        <f t="shared" si="18"/>
        <v>#REF!</v>
      </c>
      <c r="AK56" s="70" t="e">
        <f t="shared" si="18"/>
        <v>#REF!</v>
      </c>
      <c r="AL56" s="70" t="e">
        <f t="shared" si="18"/>
        <v>#REF!</v>
      </c>
      <c r="AM56" s="70" t="e">
        <f t="shared" si="18"/>
        <v>#REF!</v>
      </c>
      <c r="AN56" s="70" t="e">
        <f t="shared" si="18"/>
        <v>#REF!</v>
      </c>
      <c r="AO56" s="70" t="e">
        <f t="shared" si="18"/>
        <v>#REF!</v>
      </c>
      <c r="AP56" s="70"/>
      <c r="AQ56" s="70"/>
      <c r="AR56" s="70" t="e">
        <f t="shared" ref="AR56:BA56" si="19">AR27+AR29+AR31+AR33</f>
        <v>#REF!</v>
      </c>
      <c r="AS56" s="70" t="e">
        <f t="shared" si="19"/>
        <v>#REF!</v>
      </c>
      <c r="AT56" s="70" t="e">
        <f t="shared" si="19"/>
        <v>#REF!</v>
      </c>
      <c r="AU56" s="70" t="e">
        <f t="shared" si="19"/>
        <v>#REF!</v>
      </c>
      <c r="AV56" s="70" t="e">
        <f t="shared" si="19"/>
        <v>#REF!</v>
      </c>
      <c r="AW56" s="70" t="e">
        <f t="shared" si="19"/>
        <v>#REF!</v>
      </c>
      <c r="AX56" s="70" t="e">
        <f t="shared" si="19"/>
        <v>#REF!</v>
      </c>
      <c r="AY56" s="70" t="e">
        <f t="shared" si="19"/>
        <v>#REF!</v>
      </c>
      <c r="AZ56" s="70" t="e">
        <f t="shared" si="19"/>
        <v>#REF!</v>
      </c>
      <c r="BA56" s="70" t="e">
        <f t="shared" si="19"/>
        <v>#REF!</v>
      </c>
    </row>
    <row r="57" spans="27:53" hidden="1">
      <c r="AA57" s="71" t="s">
        <v>42</v>
      </c>
      <c r="AB57" s="35"/>
      <c r="AF57" s="70" t="e">
        <f t="shared" ref="AF57:AO57" si="20">AF38+AF40+AF42+AF44</f>
        <v>#REF!</v>
      </c>
      <c r="AG57" s="70" t="e">
        <f t="shared" si="20"/>
        <v>#REF!</v>
      </c>
      <c r="AH57" s="70" t="e">
        <f t="shared" si="20"/>
        <v>#REF!</v>
      </c>
      <c r="AI57" s="70" t="e">
        <f t="shared" si="20"/>
        <v>#REF!</v>
      </c>
      <c r="AJ57" s="70" t="e">
        <f t="shared" si="20"/>
        <v>#REF!</v>
      </c>
      <c r="AK57" s="70" t="e">
        <f t="shared" si="20"/>
        <v>#REF!</v>
      </c>
      <c r="AL57" s="70" t="e">
        <f t="shared" si="20"/>
        <v>#REF!</v>
      </c>
      <c r="AM57" s="70" t="e">
        <f t="shared" si="20"/>
        <v>#REF!</v>
      </c>
      <c r="AN57" s="70" t="e">
        <f t="shared" si="20"/>
        <v>#REF!</v>
      </c>
      <c r="AO57" s="70" t="e">
        <f t="shared" si="20"/>
        <v>#REF!</v>
      </c>
      <c r="AP57" s="70"/>
      <c r="AQ57" s="70"/>
      <c r="AR57" s="70" t="e">
        <f t="shared" ref="AR57:BA57" si="21">AR38+AR40+AR42+AR44</f>
        <v>#REF!</v>
      </c>
      <c r="AS57" s="70" t="e">
        <f t="shared" si="21"/>
        <v>#REF!</v>
      </c>
      <c r="AT57" s="70" t="e">
        <f t="shared" si="21"/>
        <v>#REF!</v>
      </c>
      <c r="AU57" s="70" t="e">
        <f t="shared" si="21"/>
        <v>#REF!</v>
      </c>
      <c r="AV57" s="70" t="e">
        <f t="shared" si="21"/>
        <v>#REF!</v>
      </c>
      <c r="AW57" s="70" t="e">
        <f t="shared" si="21"/>
        <v>#REF!</v>
      </c>
      <c r="AX57" s="70" t="e">
        <f t="shared" si="21"/>
        <v>#REF!</v>
      </c>
      <c r="AY57" s="70" t="e">
        <f t="shared" si="21"/>
        <v>#REF!</v>
      </c>
      <c r="AZ57" s="70" t="e">
        <f t="shared" si="21"/>
        <v>#REF!</v>
      </c>
      <c r="BA57" s="70" t="e">
        <f t="shared" si="21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2">AF16+AF18+AF20+AF21+AF23</f>
        <v>#REF!</v>
      </c>
      <c r="AG59" s="70" t="e">
        <f t="shared" si="22"/>
        <v>#REF!</v>
      </c>
      <c r="AH59" s="70" t="e">
        <f t="shared" si="22"/>
        <v>#REF!</v>
      </c>
      <c r="AI59" s="70" t="e">
        <f t="shared" si="22"/>
        <v>#REF!</v>
      </c>
      <c r="AJ59" s="70" t="e">
        <f t="shared" si="22"/>
        <v>#REF!</v>
      </c>
      <c r="AK59" s="70" t="e">
        <f t="shared" si="22"/>
        <v>#REF!</v>
      </c>
      <c r="AL59" s="70" t="e">
        <f t="shared" si="22"/>
        <v>#REF!</v>
      </c>
      <c r="AM59" s="70" t="e">
        <f t="shared" si="22"/>
        <v>#REF!</v>
      </c>
      <c r="AN59" s="70" t="e">
        <f t="shared" si="22"/>
        <v>#REF!</v>
      </c>
      <c r="AO59" s="70" t="e">
        <f t="shared" si="22"/>
        <v>#REF!</v>
      </c>
      <c r="AP59" s="70"/>
      <c r="AQ59" s="70"/>
      <c r="AR59" s="70" t="e">
        <f t="shared" ref="AR59:BA59" si="23">AR16+AR18+AR20+AR21+AR23</f>
        <v>#REF!</v>
      </c>
      <c r="AS59" s="70" t="e">
        <f t="shared" si="23"/>
        <v>#REF!</v>
      </c>
      <c r="AT59" s="70" t="e">
        <f t="shared" si="23"/>
        <v>#REF!</v>
      </c>
      <c r="AU59" s="70" t="e">
        <f t="shared" si="23"/>
        <v>#REF!</v>
      </c>
      <c r="AV59" s="70" t="e">
        <f t="shared" si="23"/>
        <v>#REF!</v>
      </c>
      <c r="AW59" s="70" t="e">
        <f t="shared" si="23"/>
        <v>#REF!</v>
      </c>
      <c r="AX59" s="70" t="e">
        <f t="shared" si="23"/>
        <v>#REF!</v>
      </c>
      <c r="AY59" s="70" t="e">
        <f t="shared" si="23"/>
        <v>#REF!</v>
      </c>
      <c r="AZ59" s="70" t="e">
        <f t="shared" si="23"/>
        <v>#REF!</v>
      </c>
      <c r="BA59" s="70" t="e">
        <f t="shared" si="23"/>
        <v>#REF!</v>
      </c>
    </row>
    <row r="60" spans="27:53" hidden="1">
      <c r="AA60" s="71" t="s">
        <v>41</v>
      </c>
      <c r="AB60" s="35"/>
      <c r="AF60" s="70" t="e">
        <f t="shared" ref="AF60:AO60" si="24">AF27+AF29+AF31+AF32+AF34</f>
        <v>#REF!</v>
      </c>
      <c r="AG60" s="70" t="e">
        <f t="shared" si="24"/>
        <v>#REF!</v>
      </c>
      <c r="AH60" s="70" t="e">
        <f t="shared" si="24"/>
        <v>#REF!</v>
      </c>
      <c r="AI60" s="70" t="e">
        <f t="shared" si="24"/>
        <v>#REF!</v>
      </c>
      <c r="AJ60" s="70" t="e">
        <f t="shared" si="24"/>
        <v>#REF!</v>
      </c>
      <c r="AK60" s="70" t="e">
        <f t="shared" si="24"/>
        <v>#REF!</v>
      </c>
      <c r="AL60" s="70" t="e">
        <f t="shared" si="24"/>
        <v>#REF!</v>
      </c>
      <c r="AM60" s="70" t="e">
        <f t="shared" si="24"/>
        <v>#REF!</v>
      </c>
      <c r="AN60" s="70" t="e">
        <f t="shared" si="24"/>
        <v>#REF!</v>
      </c>
      <c r="AO60" s="70" t="e">
        <f t="shared" si="24"/>
        <v>#REF!</v>
      </c>
      <c r="AP60" s="70"/>
      <c r="AQ60" s="70"/>
      <c r="AR60" s="70" t="e">
        <f t="shared" ref="AR60:BA60" si="25">AR27+AR29+AR31+AR32+AR34</f>
        <v>#REF!</v>
      </c>
      <c r="AS60" s="70" t="e">
        <f t="shared" si="25"/>
        <v>#REF!</v>
      </c>
      <c r="AT60" s="70" t="e">
        <f t="shared" si="25"/>
        <v>#REF!</v>
      </c>
      <c r="AU60" s="70" t="e">
        <f t="shared" si="25"/>
        <v>#REF!</v>
      </c>
      <c r="AV60" s="70" t="e">
        <f t="shared" si="25"/>
        <v>#REF!</v>
      </c>
      <c r="AW60" s="70" t="e">
        <f t="shared" si="25"/>
        <v>#REF!</v>
      </c>
      <c r="AX60" s="70" t="e">
        <f t="shared" si="25"/>
        <v>#REF!</v>
      </c>
      <c r="AY60" s="70" t="e">
        <f t="shared" si="25"/>
        <v>#REF!</v>
      </c>
      <c r="AZ60" s="70" t="e">
        <f t="shared" si="25"/>
        <v>#REF!</v>
      </c>
      <c r="BA60" s="70" t="e">
        <f t="shared" si="25"/>
        <v>#REF!</v>
      </c>
    </row>
    <row r="61" spans="27:53" hidden="1">
      <c r="AA61" s="71" t="s">
        <v>42</v>
      </c>
      <c r="AB61" s="35"/>
      <c r="AF61" s="70" t="e">
        <f t="shared" ref="AF61:AO61" si="26">AF38+AF40+AF42+AF43+AF45</f>
        <v>#REF!</v>
      </c>
      <c r="AG61" s="70" t="e">
        <f t="shared" si="26"/>
        <v>#REF!</v>
      </c>
      <c r="AH61" s="70" t="e">
        <f t="shared" si="26"/>
        <v>#REF!</v>
      </c>
      <c r="AI61" s="70" t="e">
        <f t="shared" si="26"/>
        <v>#REF!</v>
      </c>
      <c r="AJ61" s="70" t="e">
        <f t="shared" si="26"/>
        <v>#REF!</v>
      </c>
      <c r="AK61" s="70" t="e">
        <f t="shared" si="26"/>
        <v>#REF!</v>
      </c>
      <c r="AL61" s="70" t="e">
        <f t="shared" si="26"/>
        <v>#REF!</v>
      </c>
      <c r="AM61" s="70" t="e">
        <f t="shared" si="26"/>
        <v>#REF!</v>
      </c>
      <c r="AN61" s="70" t="e">
        <f t="shared" si="26"/>
        <v>#REF!</v>
      </c>
      <c r="AO61" s="70" t="e">
        <f t="shared" si="26"/>
        <v>#REF!</v>
      </c>
      <c r="AP61" s="70"/>
      <c r="AQ61" s="70"/>
      <c r="AR61" s="70" t="e">
        <f t="shared" ref="AR61:BA61" si="27">AR38+AR40+AR42+AR43+AR45</f>
        <v>#REF!</v>
      </c>
      <c r="AS61" s="70" t="e">
        <f t="shared" si="27"/>
        <v>#REF!</v>
      </c>
      <c r="AT61" s="70" t="e">
        <f t="shared" si="27"/>
        <v>#REF!</v>
      </c>
      <c r="AU61" s="70" t="e">
        <f t="shared" si="27"/>
        <v>#REF!</v>
      </c>
      <c r="AV61" s="70" t="e">
        <f t="shared" si="27"/>
        <v>#REF!</v>
      </c>
      <c r="AW61" s="70" t="e">
        <f t="shared" si="27"/>
        <v>#REF!</v>
      </c>
      <c r="AX61" s="70" t="e">
        <f t="shared" si="27"/>
        <v>#REF!</v>
      </c>
      <c r="AY61" s="70" t="e">
        <f t="shared" si="27"/>
        <v>#REF!</v>
      </c>
      <c r="AZ61" s="70" t="e">
        <f t="shared" si="27"/>
        <v>#REF!</v>
      </c>
      <c r="BA61" s="70" t="e">
        <f t="shared" si="27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28">AF16+AF18+AF20+AF21+AF24</f>
        <v>#REF!</v>
      </c>
      <c r="AG63" s="70" t="e">
        <f t="shared" si="28"/>
        <v>#REF!</v>
      </c>
      <c r="AH63" s="70" t="e">
        <f t="shared" si="28"/>
        <v>#REF!</v>
      </c>
      <c r="AI63" s="70" t="e">
        <f t="shared" si="28"/>
        <v>#REF!</v>
      </c>
      <c r="AJ63" s="70" t="e">
        <f t="shared" si="28"/>
        <v>#REF!</v>
      </c>
      <c r="AK63" s="70" t="e">
        <f t="shared" si="28"/>
        <v>#REF!</v>
      </c>
      <c r="AL63" s="70" t="e">
        <f t="shared" si="28"/>
        <v>#REF!</v>
      </c>
      <c r="AM63" s="70" t="e">
        <f t="shared" si="28"/>
        <v>#REF!</v>
      </c>
      <c r="AN63" s="70" t="e">
        <f t="shared" si="28"/>
        <v>#REF!</v>
      </c>
      <c r="AO63" s="70" t="e">
        <f t="shared" si="28"/>
        <v>#REF!</v>
      </c>
      <c r="AP63" s="70"/>
      <c r="AQ63" s="70"/>
      <c r="AR63" s="70" t="e">
        <f t="shared" ref="AR63:BA63" si="29">AR16+AR18+AR20+AR21+AR24</f>
        <v>#REF!</v>
      </c>
      <c r="AS63" s="70" t="e">
        <f t="shared" si="29"/>
        <v>#REF!</v>
      </c>
      <c r="AT63" s="70" t="e">
        <f t="shared" si="29"/>
        <v>#REF!</v>
      </c>
      <c r="AU63" s="70" t="e">
        <f t="shared" si="29"/>
        <v>#REF!</v>
      </c>
      <c r="AV63" s="70" t="e">
        <f t="shared" si="29"/>
        <v>#REF!</v>
      </c>
      <c r="AW63" s="70" t="e">
        <f t="shared" si="29"/>
        <v>#REF!</v>
      </c>
      <c r="AX63" s="70" t="e">
        <f t="shared" si="29"/>
        <v>#REF!</v>
      </c>
      <c r="AY63" s="70" t="e">
        <f t="shared" si="29"/>
        <v>#REF!</v>
      </c>
      <c r="AZ63" s="70" t="e">
        <f t="shared" si="29"/>
        <v>#REF!</v>
      </c>
      <c r="BA63" s="70" t="e">
        <f t="shared" si="29"/>
        <v>#REF!</v>
      </c>
    </row>
    <row r="64" spans="27:53" hidden="1">
      <c r="AA64" s="71" t="s">
        <v>41</v>
      </c>
      <c r="AB64" s="35"/>
      <c r="AF64" s="70" t="e">
        <f t="shared" ref="AF64:AO64" si="30">AF27+AF29+AF31+AF32+AF35</f>
        <v>#REF!</v>
      </c>
      <c r="AG64" s="70" t="e">
        <f t="shared" si="30"/>
        <v>#REF!</v>
      </c>
      <c r="AH64" s="70" t="e">
        <f t="shared" si="30"/>
        <v>#REF!</v>
      </c>
      <c r="AI64" s="70" t="e">
        <f t="shared" si="30"/>
        <v>#REF!</v>
      </c>
      <c r="AJ64" s="70" t="e">
        <f t="shared" si="30"/>
        <v>#REF!</v>
      </c>
      <c r="AK64" s="70" t="e">
        <f t="shared" si="30"/>
        <v>#REF!</v>
      </c>
      <c r="AL64" s="70" t="e">
        <f t="shared" si="30"/>
        <v>#REF!</v>
      </c>
      <c r="AM64" s="70" t="e">
        <f t="shared" si="30"/>
        <v>#REF!</v>
      </c>
      <c r="AN64" s="70" t="e">
        <f t="shared" si="30"/>
        <v>#REF!</v>
      </c>
      <c r="AO64" s="70" t="e">
        <f t="shared" si="30"/>
        <v>#REF!</v>
      </c>
      <c r="AP64" s="70"/>
      <c r="AQ64" s="70"/>
      <c r="AR64" s="70" t="e">
        <f t="shared" ref="AR64:BA64" si="31">AR27+AR29+AR31+AR32+AR35</f>
        <v>#REF!</v>
      </c>
      <c r="AS64" s="70" t="e">
        <f t="shared" si="31"/>
        <v>#REF!</v>
      </c>
      <c r="AT64" s="70" t="e">
        <f t="shared" si="31"/>
        <v>#REF!</v>
      </c>
      <c r="AU64" s="70" t="e">
        <f t="shared" si="31"/>
        <v>#REF!</v>
      </c>
      <c r="AV64" s="70" t="e">
        <f t="shared" si="31"/>
        <v>#REF!</v>
      </c>
      <c r="AW64" s="70" t="e">
        <f t="shared" si="31"/>
        <v>#REF!</v>
      </c>
      <c r="AX64" s="70" t="e">
        <f t="shared" si="31"/>
        <v>#REF!</v>
      </c>
      <c r="AY64" s="70" t="e">
        <f t="shared" si="31"/>
        <v>#REF!</v>
      </c>
      <c r="AZ64" s="70" t="e">
        <f t="shared" si="31"/>
        <v>#REF!</v>
      </c>
      <c r="BA64" s="70" t="e">
        <f t="shared" si="31"/>
        <v>#REF!</v>
      </c>
    </row>
    <row r="65" spans="27:53" hidden="1">
      <c r="AA65" s="71" t="s">
        <v>42</v>
      </c>
      <c r="AB65" s="35"/>
      <c r="AF65" s="70" t="e">
        <f t="shared" ref="AF65:AO65" si="32">AF38+AF40+AF42+AF43+AF46</f>
        <v>#REF!</v>
      </c>
      <c r="AG65" s="70" t="e">
        <f t="shared" si="32"/>
        <v>#REF!</v>
      </c>
      <c r="AH65" s="70" t="e">
        <f t="shared" si="32"/>
        <v>#REF!</v>
      </c>
      <c r="AI65" s="70" t="e">
        <f t="shared" si="32"/>
        <v>#REF!</v>
      </c>
      <c r="AJ65" s="70" t="e">
        <f t="shared" si="32"/>
        <v>#REF!</v>
      </c>
      <c r="AK65" s="70" t="e">
        <f t="shared" si="32"/>
        <v>#REF!</v>
      </c>
      <c r="AL65" s="70" t="e">
        <f t="shared" si="32"/>
        <v>#REF!</v>
      </c>
      <c r="AM65" s="70" t="e">
        <f t="shared" si="32"/>
        <v>#REF!</v>
      </c>
      <c r="AN65" s="70" t="e">
        <f t="shared" si="32"/>
        <v>#REF!</v>
      </c>
      <c r="AO65" s="70" t="e">
        <f t="shared" si="32"/>
        <v>#REF!</v>
      </c>
      <c r="AP65" s="70"/>
      <c r="AQ65" s="70"/>
      <c r="AR65" s="70" t="e">
        <f t="shared" ref="AR65:BA65" si="33">AR38+AR40+AR42+AR43+AR46</f>
        <v>#REF!</v>
      </c>
      <c r="AS65" s="70" t="e">
        <f t="shared" si="33"/>
        <v>#REF!</v>
      </c>
      <c r="AT65" s="70" t="e">
        <f t="shared" si="33"/>
        <v>#REF!</v>
      </c>
      <c r="AU65" s="70" t="e">
        <f t="shared" si="33"/>
        <v>#REF!</v>
      </c>
      <c r="AV65" s="70" t="e">
        <f t="shared" si="33"/>
        <v>#REF!</v>
      </c>
      <c r="AW65" s="70" t="e">
        <f t="shared" si="33"/>
        <v>#REF!</v>
      </c>
      <c r="AX65" s="70" t="e">
        <f t="shared" si="33"/>
        <v>#REF!</v>
      </c>
      <c r="AY65" s="70" t="e">
        <f t="shared" si="33"/>
        <v>#REF!</v>
      </c>
      <c r="AZ65" s="70" t="e">
        <f t="shared" si="33"/>
        <v>#REF!</v>
      </c>
      <c r="BA65" s="70" t="e">
        <f t="shared" si="33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4">AF16+AF17+AF22</f>
        <v>#REF!</v>
      </c>
      <c r="AG67" s="70" t="e">
        <f t="shared" si="34"/>
        <v>#REF!</v>
      </c>
      <c r="AH67" s="70" t="e">
        <f t="shared" si="34"/>
        <v>#REF!</v>
      </c>
      <c r="AI67" s="70" t="e">
        <f t="shared" si="34"/>
        <v>#REF!</v>
      </c>
      <c r="AJ67" s="70" t="e">
        <f t="shared" si="34"/>
        <v>#REF!</v>
      </c>
      <c r="AK67" s="70" t="e">
        <f t="shared" si="34"/>
        <v>#REF!</v>
      </c>
      <c r="AL67" s="70" t="e">
        <f t="shared" si="34"/>
        <v>#REF!</v>
      </c>
      <c r="AM67" s="70" t="e">
        <f t="shared" si="34"/>
        <v>#REF!</v>
      </c>
      <c r="AN67" s="70" t="e">
        <f t="shared" si="34"/>
        <v>#REF!</v>
      </c>
      <c r="AO67" s="70" t="e">
        <f t="shared" si="34"/>
        <v>#REF!</v>
      </c>
      <c r="AP67" s="70"/>
      <c r="AQ67" s="70"/>
      <c r="AR67" s="70" t="e">
        <f t="shared" ref="AR67:BA67" si="35">AR16+AR17+AR22</f>
        <v>#REF!</v>
      </c>
      <c r="AS67" s="70" t="e">
        <f t="shared" si="35"/>
        <v>#REF!</v>
      </c>
      <c r="AT67" s="70" t="e">
        <f t="shared" si="35"/>
        <v>#REF!</v>
      </c>
      <c r="AU67" s="70" t="e">
        <f t="shared" si="35"/>
        <v>#REF!</v>
      </c>
      <c r="AV67" s="70" t="e">
        <f t="shared" si="35"/>
        <v>#REF!</v>
      </c>
      <c r="AW67" s="70" t="e">
        <f t="shared" si="35"/>
        <v>#REF!</v>
      </c>
      <c r="AX67" s="70" t="e">
        <f t="shared" si="35"/>
        <v>#REF!</v>
      </c>
      <c r="AY67" s="70" t="e">
        <f t="shared" si="35"/>
        <v>#REF!</v>
      </c>
      <c r="AZ67" s="70" t="e">
        <f t="shared" si="35"/>
        <v>#REF!</v>
      </c>
      <c r="BA67" s="70" t="e">
        <f t="shared" si="35"/>
        <v>#REF!</v>
      </c>
    </row>
    <row r="68" spans="27:53" hidden="1">
      <c r="AA68" s="71" t="s">
        <v>41</v>
      </c>
      <c r="AB68" s="35"/>
      <c r="AF68" s="70" t="e">
        <f t="shared" ref="AF68:AO68" si="36">AF27+AF28+AF33</f>
        <v>#REF!</v>
      </c>
      <c r="AG68" s="70" t="e">
        <f t="shared" si="36"/>
        <v>#REF!</v>
      </c>
      <c r="AH68" s="70" t="e">
        <f t="shared" si="36"/>
        <v>#REF!</v>
      </c>
      <c r="AI68" s="70" t="e">
        <f t="shared" si="36"/>
        <v>#REF!</v>
      </c>
      <c r="AJ68" s="70" t="e">
        <f t="shared" si="36"/>
        <v>#REF!</v>
      </c>
      <c r="AK68" s="70" t="e">
        <f t="shared" si="36"/>
        <v>#REF!</v>
      </c>
      <c r="AL68" s="70" t="e">
        <f t="shared" si="36"/>
        <v>#REF!</v>
      </c>
      <c r="AM68" s="70" t="e">
        <f t="shared" si="36"/>
        <v>#REF!</v>
      </c>
      <c r="AN68" s="70" t="e">
        <f t="shared" si="36"/>
        <v>#REF!</v>
      </c>
      <c r="AO68" s="70" t="e">
        <f t="shared" si="36"/>
        <v>#REF!</v>
      </c>
      <c r="AP68" s="70"/>
      <c r="AQ68" s="70"/>
      <c r="AR68" s="70" t="e">
        <f t="shared" ref="AR68:BA68" si="37">AR27+AR28+AR33</f>
        <v>#REF!</v>
      </c>
      <c r="AS68" s="70" t="e">
        <f t="shared" si="37"/>
        <v>#REF!</v>
      </c>
      <c r="AT68" s="70" t="e">
        <f t="shared" si="37"/>
        <v>#REF!</v>
      </c>
      <c r="AU68" s="70" t="e">
        <f t="shared" si="37"/>
        <v>#REF!</v>
      </c>
      <c r="AV68" s="70" t="e">
        <f t="shared" si="37"/>
        <v>#REF!</v>
      </c>
      <c r="AW68" s="70" t="e">
        <f t="shared" si="37"/>
        <v>#REF!</v>
      </c>
      <c r="AX68" s="70" t="e">
        <f t="shared" si="37"/>
        <v>#REF!</v>
      </c>
      <c r="AY68" s="70" t="e">
        <f t="shared" si="37"/>
        <v>#REF!</v>
      </c>
      <c r="AZ68" s="70" t="e">
        <f t="shared" si="37"/>
        <v>#REF!</v>
      </c>
      <c r="BA68" s="70" t="e">
        <f t="shared" si="37"/>
        <v>#REF!</v>
      </c>
    </row>
    <row r="69" spans="27:53" hidden="1">
      <c r="AA69" s="71" t="s">
        <v>42</v>
      </c>
      <c r="AB69" s="35"/>
      <c r="AF69" s="70" t="e">
        <f t="shared" ref="AF69:AO69" si="38">AF38+AF39+AF44</f>
        <v>#REF!</v>
      </c>
      <c r="AG69" s="70" t="e">
        <f t="shared" si="38"/>
        <v>#REF!</v>
      </c>
      <c r="AH69" s="70" t="e">
        <f t="shared" si="38"/>
        <v>#REF!</v>
      </c>
      <c r="AI69" s="70" t="e">
        <f t="shared" si="38"/>
        <v>#REF!</v>
      </c>
      <c r="AJ69" s="70" t="e">
        <f t="shared" si="38"/>
        <v>#REF!</v>
      </c>
      <c r="AK69" s="70" t="e">
        <f t="shared" si="38"/>
        <v>#REF!</v>
      </c>
      <c r="AL69" s="70" t="e">
        <f t="shared" si="38"/>
        <v>#REF!</v>
      </c>
      <c r="AM69" s="70" t="e">
        <f t="shared" si="38"/>
        <v>#REF!</v>
      </c>
      <c r="AN69" s="70" t="e">
        <f t="shared" si="38"/>
        <v>#REF!</v>
      </c>
      <c r="AO69" s="70" t="e">
        <f t="shared" si="38"/>
        <v>#REF!</v>
      </c>
      <c r="AP69" s="70"/>
      <c r="AQ69" s="70"/>
      <c r="AR69" s="70" t="e">
        <f t="shared" ref="AR69:BA69" si="39">AR38+AR39+AR44</f>
        <v>#REF!</v>
      </c>
      <c r="AS69" s="70" t="e">
        <f t="shared" si="39"/>
        <v>#REF!</v>
      </c>
      <c r="AT69" s="70" t="e">
        <f t="shared" si="39"/>
        <v>#REF!</v>
      </c>
      <c r="AU69" s="70" t="e">
        <f t="shared" si="39"/>
        <v>#REF!</v>
      </c>
      <c r="AV69" s="70" t="e">
        <f t="shared" si="39"/>
        <v>#REF!</v>
      </c>
      <c r="AW69" s="70" t="e">
        <f t="shared" si="39"/>
        <v>#REF!</v>
      </c>
      <c r="AX69" s="70" t="e">
        <f t="shared" si="39"/>
        <v>#REF!</v>
      </c>
      <c r="AY69" s="70" t="e">
        <f t="shared" si="39"/>
        <v>#REF!</v>
      </c>
      <c r="AZ69" s="70" t="e">
        <f t="shared" si="39"/>
        <v>#REF!</v>
      </c>
      <c r="BA69" s="70" t="e">
        <f t="shared" si="39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0">AF16+AF17+AF21+AF23</f>
        <v>#REF!</v>
      </c>
      <c r="AG71" s="70" t="e">
        <f t="shared" si="40"/>
        <v>#REF!</v>
      </c>
      <c r="AH71" s="70" t="e">
        <f t="shared" si="40"/>
        <v>#REF!</v>
      </c>
      <c r="AI71" s="70" t="e">
        <f t="shared" si="40"/>
        <v>#REF!</v>
      </c>
      <c r="AJ71" s="70" t="e">
        <f t="shared" si="40"/>
        <v>#REF!</v>
      </c>
      <c r="AK71" s="70" t="e">
        <f t="shared" si="40"/>
        <v>#REF!</v>
      </c>
      <c r="AL71" s="70" t="e">
        <f t="shared" si="40"/>
        <v>#REF!</v>
      </c>
      <c r="AM71" s="70" t="e">
        <f t="shared" si="40"/>
        <v>#REF!</v>
      </c>
      <c r="AN71" s="70" t="e">
        <f t="shared" si="40"/>
        <v>#REF!</v>
      </c>
      <c r="AO71" s="70" t="e">
        <f t="shared" si="40"/>
        <v>#REF!</v>
      </c>
      <c r="AP71" s="70"/>
      <c r="AQ71" s="70"/>
      <c r="AR71" s="70" t="e">
        <f t="shared" ref="AR71:BA71" si="41">AR16+AR17+AR21+AR23</f>
        <v>#REF!</v>
      </c>
      <c r="AS71" s="70" t="e">
        <f t="shared" si="41"/>
        <v>#REF!</v>
      </c>
      <c r="AT71" s="70" t="e">
        <f t="shared" si="41"/>
        <v>#REF!</v>
      </c>
      <c r="AU71" s="70" t="e">
        <f t="shared" si="41"/>
        <v>#REF!</v>
      </c>
      <c r="AV71" s="70" t="e">
        <f t="shared" si="41"/>
        <v>#REF!</v>
      </c>
      <c r="AW71" s="70" t="e">
        <f t="shared" si="41"/>
        <v>#REF!</v>
      </c>
      <c r="AX71" s="70" t="e">
        <f t="shared" si="41"/>
        <v>#REF!</v>
      </c>
      <c r="AY71" s="70" t="e">
        <f t="shared" si="41"/>
        <v>#REF!</v>
      </c>
      <c r="AZ71" s="70" t="e">
        <f t="shared" si="41"/>
        <v>#REF!</v>
      </c>
      <c r="BA71" s="70" t="e">
        <f t="shared" si="41"/>
        <v>#REF!</v>
      </c>
    </row>
    <row r="72" spans="27:53" hidden="1">
      <c r="AA72" s="71" t="s">
        <v>41</v>
      </c>
      <c r="AB72" s="35"/>
      <c r="AF72" s="70" t="e">
        <f t="shared" ref="AF72:AO72" si="42">AF27+AF28+AF32+AF34</f>
        <v>#REF!</v>
      </c>
      <c r="AG72" s="70" t="e">
        <f t="shared" si="42"/>
        <v>#REF!</v>
      </c>
      <c r="AH72" s="70" t="e">
        <f t="shared" si="42"/>
        <v>#REF!</v>
      </c>
      <c r="AI72" s="70" t="e">
        <f t="shared" si="42"/>
        <v>#REF!</v>
      </c>
      <c r="AJ72" s="70" t="e">
        <f t="shared" si="42"/>
        <v>#REF!</v>
      </c>
      <c r="AK72" s="70" t="e">
        <f t="shared" si="42"/>
        <v>#REF!</v>
      </c>
      <c r="AL72" s="70" t="e">
        <f t="shared" si="42"/>
        <v>#REF!</v>
      </c>
      <c r="AM72" s="70" t="e">
        <f t="shared" si="42"/>
        <v>#REF!</v>
      </c>
      <c r="AN72" s="70" t="e">
        <f t="shared" si="42"/>
        <v>#REF!</v>
      </c>
      <c r="AO72" s="70" t="e">
        <f t="shared" si="42"/>
        <v>#REF!</v>
      </c>
      <c r="AP72" s="70"/>
      <c r="AQ72" s="70"/>
      <c r="AR72" s="70" t="e">
        <f t="shared" ref="AR72:BA72" si="43">AR27+AR28+AR32+AR34</f>
        <v>#REF!</v>
      </c>
      <c r="AS72" s="70" t="e">
        <f t="shared" si="43"/>
        <v>#REF!</v>
      </c>
      <c r="AT72" s="70" t="e">
        <f t="shared" si="43"/>
        <v>#REF!</v>
      </c>
      <c r="AU72" s="70" t="e">
        <f t="shared" si="43"/>
        <v>#REF!</v>
      </c>
      <c r="AV72" s="70" t="e">
        <f t="shared" si="43"/>
        <v>#REF!</v>
      </c>
      <c r="AW72" s="70" t="e">
        <f t="shared" si="43"/>
        <v>#REF!</v>
      </c>
      <c r="AX72" s="70" t="e">
        <f t="shared" si="43"/>
        <v>#REF!</v>
      </c>
      <c r="AY72" s="70" t="e">
        <f t="shared" si="43"/>
        <v>#REF!</v>
      </c>
      <c r="AZ72" s="70" t="e">
        <f t="shared" si="43"/>
        <v>#REF!</v>
      </c>
      <c r="BA72" s="70" t="e">
        <f t="shared" si="43"/>
        <v>#REF!</v>
      </c>
    </row>
    <row r="73" spans="27:53" hidden="1">
      <c r="AA73" s="71" t="s">
        <v>42</v>
      </c>
      <c r="AB73" s="35"/>
      <c r="AF73" s="70" t="e">
        <f t="shared" ref="AF73:AO73" si="44">AF38+AF39+AF43+AF45</f>
        <v>#REF!</v>
      </c>
      <c r="AG73" s="70" t="e">
        <f t="shared" si="44"/>
        <v>#REF!</v>
      </c>
      <c r="AH73" s="70" t="e">
        <f t="shared" si="44"/>
        <v>#REF!</v>
      </c>
      <c r="AI73" s="70" t="e">
        <f t="shared" si="44"/>
        <v>#REF!</v>
      </c>
      <c r="AJ73" s="70" t="e">
        <f t="shared" si="44"/>
        <v>#REF!</v>
      </c>
      <c r="AK73" s="70" t="e">
        <f t="shared" si="44"/>
        <v>#REF!</v>
      </c>
      <c r="AL73" s="70" t="e">
        <f t="shared" si="44"/>
        <v>#REF!</v>
      </c>
      <c r="AM73" s="70" t="e">
        <f t="shared" si="44"/>
        <v>#REF!</v>
      </c>
      <c r="AN73" s="70" t="e">
        <f t="shared" si="44"/>
        <v>#REF!</v>
      </c>
      <c r="AO73" s="70" t="e">
        <f t="shared" si="44"/>
        <v>#REF!</v>
      </c>
      <c r="AP73" s="70"/>
      <c r="AQ73" s="70"/>
      <c r="AR73" s="70" t="e">
        <f t="shared" ref="AR73:BA73" si="45">AR38+AR39+AR43+AR45</f>
        <v>#REF!</v>
      </c>
      <c r="AS73" s="70" t="e">
        <f t="shared" si="45"/>
        <v>#REF!</v>
      </c>
      <c r="AT73" s="70" t="e">
        <f t="shared" si="45"/>
        <v>#REF!</v>
      </c>
      <c r="AU73" s="70" t="e">
        <f t="shared" si="45"/>
        <v>#REF!</v>
      </c>
      <c r="AV73" s="70" t="e">
        <f t="shared" si="45"/>
        <v>#REF!</v>
      </c>
      <c r="AW73" s="70" t="e">
        <f t="shared" si="45"/>
        <v>#REF!</v>
      </c>
      <c r="AX73" s="70" t="e">
        <f t="shared" si="45"/>
        <v>#REF!</v>
      </c>
      <c r="AY73" s="70" t="e">
        <f t="shared" si="45"/>
        <v>#REF!</v>
      </c>
      <c r="AZ73" s="70" t="e">
        <f t="shared" si="45"/>
        <v>#REF!</v>
      </c>
      <c r="BA73" s="70" t="e">
        <f t="shared" si="45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6">AF16+AF17+AF21+AF24</f>
        <v>#REF!</v>
      </c>
      <c r="AG75" s="70" t="e">
        <f t="shared" si="46"/>
        <v>#REF!</v>
      </c>
      <c r="AH75" s="70" t="e">
        <f t="shared" si="46"/>
        <v>#REF!</v>
      </c>
      <c r="AI75" s="70" t="e">
        <f t="shared" si="46"/>
        <v>#REF!</v>
      </c>
      <c r="AJ75" s="70" t="e">
        <f t="shared" si="46"/>
        <v>#REF!</v>
      </c>
      <c r="AK75" s="70" t="e">
        <f t="shared" si="46"/>
        <v>#REF!</v>
      </c>
      <c r="AL75" s="70" t="e">
        <f t="shared" si="46"/>
        <v>#REF!</v>
      </c>
      <c r="AM75" s="70" t="e">
        <f t="shared" si="46"/>
        <v>#REF!</v>
      </c>
      <c r="AN75" s="70" t="e">
        <f t="shared" si="46"/>
        <v>#REF!</v>
      </c>
      <c r="AO75" s="70" t="e">
        <f t="shared" si="46"/>
        <v>#REF!</v>
      </c>
      <c r="AP75" s="70"/>
      <c r="AQ75" s="70"/>
      <c r="AR75" s="70" t="e">
        <f t="shared" ref="AR75:BA75" si="47">AR16+AR17+AR21+AR24</f>
        <v>#REF!</v>
      </c>
      <c r="AS75" s="70" t="e">
        <f t="shared" si="47"/>
        <v>#REF!</v>
      </c>
      <c r="AT75" s="70" t="e">
        <f t="shared" si="47"/>
        <v>#REF!</v>
      </c>
      <c r="AU75" s="70" t="e">
        <f t="shared" si="47"/>
        <v>#REF!</v>
      </c>
      <c r="AV75" s="70" t="e">
        <f t="shared" si="47"/>
        <v>#REF!</v>
      </c>
      <c r="AW75" s="70" t="e">
        <f t="shared" si="47"/>
        <v>#REF!</v>
      </c>
      <c r="AX75" s="70" t="e">
        <f t="shared" si="47"/>
        <v>#REF!</v>
      </c>
      <c r="AY75" s="70" t="e">
        <f t="shared" si="47"/>
        <v>#REF!</v>
      </c>
      <c r="AZ75" s="70" t="e">
        <f t="shared" si="47"/>
        <v>#REF!</v>
      </c>
      <c r="BA75" s="70" t="e">
        <f t="shared" si="47"/>
        <v>#REF!</v>
      </c>
    </row>
    <row r="76" spans="27:53" hidden="1">
      <c r="AA76" s="71" t="s">
        <v>41</v>
      </c>
      <c r="AB76" s="35"/>
      <c r="AF76" s="70" t="e">
        <f t="shared" ref="AF76:AO76" si="48">AF27+AF28+AF32+AF35</f>
        <v>#REF!</v>
      </c>
      <c r="AG76" s="70" t="e">
        <f t="shared" si="48"/>
        <v>#REF!</v>
      </c>
      <c r="AH76" s="70" t="e">
        <f t="shared" si="48"/>
        <v>#REF!</v>
      </c>
      <c r="AI76" s="70" t="e">
        <f t="shared" si="48"/>
        <v>#REF!</v>
      </c>
      <c r="AJ76" s="70" t="e">
        <f t="shared" si="48"/>
        <v>#REF!</v>
      </c>
      <c r="AK76" s="70" t="e">
        <f t="shared" si="48"/>
        <v>#REF!</v>
      </c>
      <c r="AL76" s="70" t="e">
        <f t="shared" si="48"/>
        <v>#REF!</v>
      </c>
      <c r="AM76" s="70" t="e">
        <f t="shared" si="48"/>
        <v>#REF!</v>
      </c>
      <c r="AN76" s="70" t="e">
        <f t="shared" si="48"/>
        <v>#REF!</v>
      </c>
      <c r="AO76" s="70" t="e">
        <f t="shared" si="48"/>
        <v>#REF!</v>
      </c>
      <c r="AP76" s="70"/>
      <c r="AQ76" s="70"/>
      <c r="AR76" s="70" t="e">
        <f t="shared" ref="AR76:BA76" si="49">AR27+AR28+AR32+AR35</f>
        <v>#REF!</v>
      </c>
      <c r="AS76" s="70" t="e">
        <f t="shared" si="49"/>
        <v>#REF!</v>
      </c>
      <c r="AT76" s="70" t="e">
        <f t="shared" si="49"/>
        <v>#REF!</v>
      </c>
      <c r="AU76" s="70" t="e">
        <f t="shared" si="49"/>
        <v>#REF!</v>
      </c>
      <c r="AV76" s="70" t="e">
        <f t="shared" si="49"/>
        <v>#REF!</v>
      </c>
      <c r="AW76" s="70" t="e">
        <f t="shared" si="49"/>
        <v>#REF!</v>
      </c>
      <c r="AX76" s="70" t="e">
        <f t="shared" si="49"/>
        <v>#REF!</v>
      </c>
      <c r="AY76" s="70" t="e">
        <f t="shared" si="49"/>
        <v>#REF!</v>
      </c>
      <c r="AZ76" s="70" t="e">
        <f t="shared" si="49"/>
        <v>#REF!</v>
      </c>
      <c r="BA76" s="70" t="e">
        <f t="shared" si="49"/>
        <v>#REF!</v>
      </c>
    </row>
    <row r="77" spans="27:53" hidden="1">
      <c r="AA77" s="71" t="s">
        <v>42</v>
      </c>
      <c r="AB77" s="35"/>
      <c r="AF77" s="70" t="e">
        <f t="shared" ref="AF77:AO77" si="50">AF38+AF39+AF43+AF46</f>
        <v>#REF!</v>
      </c>
      <c r="AG77" s="70" t="e">
        <f t="shared" si="50"/>
        <v>#REF!</v>
      </c>
      <c r="AH77" s="70" t="e">
        <f t="shared" si="50"/>
        <v>#REF!</v>
      </c>
      <c r="AI77" s="70" t="e">
        <f t="shared" si="50"/>
        <v>#REF!</v>
      </c>
      <c r="AJ77" s="70" t="e">
        <f t="shared" si="50"/>
        <v>#REF!</v>
      </c>
      <c r="AK77" s="70" t="e">
        <f t="shared" si="50"/>
        <v>#REF!</v>
      </c>
      <c r="AL77" s="70" t="e">
        <f t="shared" si="50"/>
        <v>#REF!</v>
      </c>
      <c r="AM77" s="70" t="e">
        <f t="shared" si="50"/>
        <v>#REF!</v>
      </c>
      <c r="AN77" s="70" t="e">
        <f t="shared" si="50"/>
        <v>#REF!</v>
      </c>
      <c r="AO77" s="70" t="e">
        <f t="shared" si="50"/>
        <v>#REF!</v>
      </c>
      <c r="AP77" s="70"/>
      <c r="AQ77" s="70"/>
      <c r="AR77" s="70" t="e">
        <f t="shared" ref="AR77:BA77" si="51">AR38+AR39+AR43+AR46</f>
        <v>#REF!</v>
      </c>
      <c r="AS77" s="70" t="e">
        <f t="shared" si="51"/>
        <v>#REF!</v>
      </c>
      <c r="AT77" s="70" t="e">
        <f t="shared" si="51"/>
        <v>#REF!</v>
      </c>
      <c r="AU77" s="70" t="e">
        <f t="shared" si="51"/>
        <v>#REF!</v>
      </c>
      <c r="AV77" s="70" t="e">
        <f t="shared" si="51"/>
        <v>#REF!</v>
      </c>
      <c r="AW77" s="70" t="e">
        <f t="shared" si="51"/>
        <v>#REF!</v>
      </c>
      <c r="AX77" s="70" t="e">
        <f t="shared" si="51"/>
        <v>#REF!</v>
      </c>
      <c r="AY77" s="70" t="e">
        <f t="shared" si="51"/>
        <v>#REF!</v>
      </c>
      <c r="AZ77" s="70" t="e">
        <f t="shared" si="51"/>
        <v>#REF!</v>
      </c>
      <c r="BA77" s="70" t="e">
        <f t="shared" si="51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67" t="s">
        <v>55</v>
      </c>
      <c r="G89" s="567" t="s">
        <v>73</v>
      </c>
      <c r="H89" s="567" t="s">
        <v>74</v>
      </c>
      <c r="I89" s="567" t="s">
        <v>58</v>
      </c>
      <c r="J89" s="567" t="s">
        <v>59</v>
      </c>
      <c r="K89" s="567" t="s">
        <v>60</v>
      </c>
      <c r="L89" s="566" t="s">
        <v>75</v>
      </c>
      <c r="M89" s="566" t="s">
        <v>76</v>
      </c>
      <c r="N89" s="566" t="s">
        <v>61</v>
      </c>
      <c r="O89" s="566" t="s">
        <v>62</v>
      </c>
      <c r="P89" s="566" t="s">
        <v>63</v>
      </c>
      <c r="AN89" s="38"/>
      <c r="AZ89" s="36"/>
    </row>
    <row r="90" spans="1:52" ht="25.5">
      <c r="A90" s="44" t="str">
        <f>A4</f>
        <v>General Construction</v>
      </c>
      <c r="B90" s="45" t="str">
        <f>B4</f>
        <v>Light-Duty Truck, catalyst</v>
      </c>
      <c r="C90" s="46">
        <f>C4</f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2" si="52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ref="A91:C92" si="53">A5</f>
        <v>Site and Access Road Grading</v>
      </c>
      <c r="B91" s="45" t="str">
        <f t="shared" si="53"/>
        <v>Light-Duty Truck, catalyst</v>
      </c>
      <c r="C91" s="46">
        <f t="shared" si="53"/>
        <v>20</v>
      </c>
      <c r="D91" s="46">
        <v>35</v>
      </c>
      <c r="E91" s="46">
        <v>80</v>
      </c>
      <c r="F91" s="50">
        <f>C5*($E5*$F5+($G5))/453.59</f>
        <v>9.7143877176184024</v>
      </c>
      <c r="G91" s="50">
        <f>C5*($E5*$H5+($I5))/453.59</f>
        <v>0.87341314588756025</v>
      </c>
      <c r="H91" s="50">
        <f>C5*(($E5*$J5)+($K5)+($L5)+($E5*$N5)+(($M5+$O5)))/453.59</f>
        <v>1.0099996064790666</v>
      </c>
      <c r="I91" s="50">
        <f>C5*($E5*$P5+($Q5))/453.59</f>
        <v>1.453594054321232E-2</v>
      </c>
      <c r="J91" s="50">
        <f>C5*(($E5*($R5+$T5+$U5))+($S5))/453.59</f>
        <v>0.17048180910415792</v>
      </c>
      <c r="K91" s="50">
        <f>$C5*(($E5*($V5+$X5+$Y5))+($W5))/453.59</f>
        <v>7.4240106485062823E-2</v>
      </c>
      <c r="L91" s="50">
        <f>$B$23*C5*(E5+6)</f>
        <v>0.16877165172143796</v>
      </c>
      <c r="M91" s="50">
        <f t="shared" si="52"/>
        <v>6.9196377205789555E-2</v>
      </c>
      <c r="N91" s="50">
        <f>C5*($E5*$Z5+($AA5))/453.59</f>
        <v>1108.4715345207778</v>
      </c>
      <c r="O91" s="50">
        <f>C5*($E5*$AB5+($AC5))/453.59</f>
        <v>6.3409507780604987E-2</v>
      </c>
      <c r="P91" s="50">
        <f>C5*($E5*$AD5+($AE5))/453.59</f>
        <v>0.11542239827686719</v>
      </c>
      <c r="AN91" s="38"/>
      <c r="AZ91" s="36"/>
    </row>
    <row r="92" spans="1:52" ht="25.5">
      <c r="A92" s="44" t="str">
        <f t="shared" si="53"/>
        <v>Retaining Walls</v>
      </c>
      <c r="B92" s="45" t="str">
        <f t="shared" si="53"/>
        <v>Light-Duty Truck, catalyst</v>
      </c>
      <c r="C92" s="46">
        <f t="shared" si="53"/>
        <v>20</v>
      </c>
      <c r="D92" s="46">
        <v>35</v>
      </c>
      <c r="E92" s="46">
        <v>80</v>
      </c>
      <c r="F92" s="50">
        <f>C6*($E6*$F6+($G6))/453.59</f>
        <v>9.7143877176184024</v>
      </c>
      <c r="G92" s="50">
        <f>C6*($E6*$H6+($I6))/453.59</f>
        <v>0.87341314588756025</v>
      </c>
      <c r="H92" s="50">
        <f>C6*(($E6*$J6)+($K6)+($L6)+($E6*$N6)+(($M6+$O6)))/453.59</f>
        <v>1.0099996064790666</v>
      </c>
      <c r="I92" s="50">
        <f>C6*($E6*$P6+($Q6))/453.59</f>
        <v>1.453594054321232E-2</v>
      </c>
      <c r="J92" s="50">
        <f>C6*(($E6*($R6+$T6+$U6))+($S6))/453.59</f>
        <v>0.17048180910415792</v>
      </c>
      <c r="K92" s="50">
        <f>$C6*(($E6*($V6+$X6+$Y6))+($W6))/453.59</f>
        <v>7.4240106485062823E-2</v>
      </c>
      <c r="L92" s="50">
        <f>$B$23*C6*(E6+6)</f>
        <v>0.16877165172143796</v>
      </c>
      <c r="M92" s="50">
        <f t="shared" si="52"/>
        <v>6.9196377205789555E-2</v>
      </c>
      <c r="N92" s="50">
        <f>C6*($E6*$Z6+($AA6))/453.59</f>
        <v>1108.4715345207778</v>
      </c>
      <c r="O92" s="50">
        <f>C6*($E6*$AB6+($AC6))/453.59</f>
        <v>6.3409507780604987E-2</v>
      </c>
      <c r="P92" s="50">
        <f>C6*($E6*$AD6+($AE6))/453.59</f>
        <v>0.11542239827686719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 t="shared" ref="F93:P93" si="54">SUM(F90:F92)</f>
        <v>20.885933592879567</v>
      </c>
      <c r="G93" s="81">
        <f t="shared" si="54"/>
        <v>1.8778382636582545</v>
      </c>
      <c r="H93" s="81">
        <f t="shared" si="54"/>
        <v>2.171499153929993</v>
      </c>
      <c r="I93" s="81">
        <f t="shared" si="54"/>
        <v>3.1252272167906485E-2</v>
      </c>
      <c r="J93" s="81">
        <f t="shared" si="54"/>
        <v>0.36653588957393951</v>
      </c>
      <c r="K93" s="81">
        <f t="shared" si="54"/>
        <v>0.15961622894288507</v>
      </c>
      <c r="L93" s="81">
        <f t="shared" si="54"/>
        <v>0.36285905120109163</v>
      </c>
      <c r="M93" s="81">
        <f t="shared" si="54"/>
        <v>0.14877221099244753</v>
      </c>
      <c r="N93" s="81">
        <f t="shared" si="54"/>
        <v>2383.2137992196722</v>
      </c>
      <c r="O93" s="81">
        <f t="shared" si="54"/>
        <v>0.13633044172830072</v>
      </c>
      <c r="P93" s="81">
        <f t="shared" si="54"/>
        <v>0.24815815629526444</v>
      </c>
      <c r="AN93" s="38"/>
      <c r="AZ93" s="36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638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67" ht="25.5">
      <c r="A5" s="44" t="s">
        <v>334</v>
      </c>
      <c r="B5" s="45" t="s">
        <v>102</v>
      </c>
      <c r="C5" s="46">
        <v>10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336</v>
      </c>
      <c r="B6" s="45" t="s">
        <v>102</v>
      </c>
      <c r="C6" s="46">
        <v>5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546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2">AG$11*$AC16</f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>AR$11*$AC16</f>
        <v>#REF!</v>
      </c>
      <c r="AS16" s="36" t="e">
        <f t="shared" ref="AS16:BA24" si="3">AS$11*$AC16</f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4">AF$11*$AC17</f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ref="AR17:AR24" si="5">AR$11*$AC17</f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6">AF$11*$AC27</f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ref="AR27:BA35" si="7">AR$11*$AC27</f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8">AF$11*$AC38</f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ref="AR38:BA46" si="9">AR$11*$AC38</f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0">AF16+AF18+AF19</f>
        <v>#REF!</v>
      </c>
      <c r="AG51" s="70" t="e">
        <f t="shared" si="10"/>
        <v>#REF!</v>
      </c>
      <c r="AH51" s="70" t="e">
        <f t="shared" si="10"/>
        <v>#REF!</v>
      </c>
      <c r="AI51" s="70" t="e">
        <f t="shared" si="10"/>
        <v>#REF!</v>
      </c>
      <c r="AJ51" s="70" t="e">
        <f t="shared" si="10"/>
        <v>#REF!</v>
      </c>
      <c r="AK51" s="70" t="e">
        <f t="shared" si="10"/>
        <v>#REF!</v>
      </c>
      <c r="AL51" s="70" t="e">
        <f t="shared" si="10"/>
        <v>#REF!</v>
      </c>
      <c r="AM51" s="70" t="e">
        <f t="shared" si="10"/>
        <v>#REF!</v>
      </c>
      <c r="AN51" s="70" t="e">
        <f t="shared" si="10"/>
        <v>#REF!</v>
      </c>
      <c r="AO51" s="70" t="e">
        <f t="shared" si="10"/>
        <v>#REF!</v>
      </c>
      <c r="AP51" s="70"/>
      <c r="AQ51" s="70"/>
      <c r="AR51" s="70" t="e">
        <f t="shared" ref="AR51:BA51" si="11">AR16+AR18+AR19</f>
        <v>#REF!</v>
      </c>
      <c r="AS51" s="70" t="e">
        <f t="shared" si="11"/>
        <v>#REF!</v>
      </c>
      <c r="AT51" s="70" t="e">
        <f t="shared" si="11"/>
        <v>#REF!</v>
      </c>
      <c r="AU51" s="70" t="e">
        <f t="shared" si="11"/>
        <v>#REF!</v>
      </c>
      <c r="AV51" s="70" t="e">
        <f t="shared" si="11"/>
        <v>#REF!</v>
      </c>
      <c r="AW51" s="70" t="e">
        <f t="shared" si="11"/>
        <v>#REF!</v>
      </c>
      <c r="AX51" s="70" t="e">
        <f t="shared" si="11"/>
        <v>#REF!</v>
      </c>
      <c r="AY51" s="70" t="e">
        <f t="shared" si="11"/>
        <v>#REF!</v>
      </c>
      <c r="AZ51" s="70" t="e">
        <f t="shared" si="11"/>
        <v>#REF!</v>
      </c>
      <c r="BA51" s="70" t="e">
        <f t="shared" si="11"/>
        <v>#REF!</v>
      </c>
    </row>
    <row r="52" spans="27:53" hidden="1">
      <c r="AA52" s="71" t="s">
        <v>41</v>
      </c>
      <c r="AB52" s="35"/>
      <c r="AF52" s="70" t="e">
        <f t="shared" ref="AF52:AO52" si="12">AF27+AF29+AF30</f>
        <v>#REF!</v>
      </c>
      <c r="AG52" s="70" t="e">
        <f t="shared" si="12"/>
        <v>#REF!</v>
      </c>
      <c r="AH52" s="70" t="e">
        <f t="shared" si="12"/>
        <v>#REF!</v>
      </c>
      <c r="AI52" s="70" t="e">
        <f t="shared" si="12"/>
        <v>#REF!</v>
      </c>
      <c r="AJ52" s="70" t="e">
        <f t="shared" si="12"/>
        <v>#REF!</v>
      </c>
      <c r="AK52" s="70" t="e">
        <f t="shared" si="12"/>
        <v>#REF!</v>
      </c>
      <c r="AL52" s="70" t="e">
        <f t="shared" si="12"/>
        <v>#REF!</v>
      </c>
      <c r="AM52" s="70" t="e">
        <f t="shared" si="12"/>
        <v>#REF!</v>
      </c>
      <c r="AN52" s="70" t="e">
        <f t="shared" si="12"/>
        <v>#REF!</v>
      </c>
      <c r="AO52" s="70" t="e">
        <f t="shared" si="12"/>
        <v>#REF!</v>
      </c>
      <c r="AP52" s="70"/>
      <c r="AQ52" s="70"/>
      <c r="AR52" s="70" t="e">
        <f t="shared" ref="AR52:BA52" si="13">AR27+AR29+AR30</f>
        <v>#REF!</v>
      </c>
      <c r="AS52" s="70" t="e">
        <f t="shared" si="13"/>
        <v>#REF!</v>
      </c>
      <c r="AT52" s="70" t="e">
        <f t="shared" si="13"/>
        <v>#REF!</v>
      </c>
      <c r="AU52" s="70" t="e">
        <f t="shared" si="13"/>
        <v>#REF!</v>
      </c>
      <c r="AV52" s="70" t="e">
        <f t="shared" si="13"/>
        <v>#REF!</v>
      </c>
      <c r="AW52" s="70" t="e">
        <f t="shared" si="13"/>
        <v>#REF!</v>
      </c>
      <c r="AX52" s="70" t="e">
        <f t="shared" si="13"/>
        <v>#REF!</v>
      </c>
      <c r="AY52" s="70" t="e">
        <f t="shared" si="13"/>
        <v>#REF!</v>
      </c>
      <c r="AZ52" s="70" t="e">
        <f t="shared" si="13"/>
        <v>#REF!</v>
      </c>
      <c r="BA52" s="70" t="e">
        <f t="shared" si="13"/>
        <v>#REF!</v>
      </c>
    </row>
    <row r="53" spans="27:53" hidden="1">
      <c r="AA53" s="71" t="s">
        <v>42</v>
      </c>
      <c r="AB53" s="35"/>
      <c r="AF53" s="70" t="e">
        <f t="shared" ref="AF53:AO53" si="14">AF38+AF40+AF41</f>
        <v>#REF!</v>
      </c>
      <c r="AG53" s="70" t="e">
        <f t="shared" si="14"/>
        <v>#REF!</v>
      </c>
      <c r="AH53" s="70" t="e">
        <f t="shared" si="14"/>
        <v>#REF!</v>
      </c>
      <c r="AI53" s="70" t="e">
        <f t="shared" si="14"/>
        <v>#REF!</v>
      </c>
      <c r="AJ53" s="70" t="e">
        <f t="shared" si="14"/>
        <v>#REF!</v>
      </c>
      <c r="AK53" s="70" t="e">
        <f t="shared" si="14"/>
        <v>#REF!</v>
      </c>
      <c r="AL53" s="70" t="e">
        <f t="shared" si="14"/>
        <v>#REF!</v>
      </c>
      <c r="AM53" s="70" t="e">
        <f t="shared" si="14"/>
        <v>#REF!</v>
      </c>
      <c r="AN53" s="70" t="e">
        <f t="shared" si="14"/>
        <v>#REF!</v>
      </c>
      <c r="AO53" s="70" t="e">
        <f t="shared" si="14"/>
        <v>#REF!</v>
      </c>
      <c r="AP53" s="70"/>
      <c r="AQ53" s="70"/>
      <c r="AR53" s="70" t="e">
        <f t="shared" ref="AR53:BA53" si="15">AR38+AR40+AR41</f>
        <v>#REF!</v>
      </c>
      <c r="AS53" s="70" t="e">
        <f t="shared" si="15"/>
        <v>#REF!</v>
      </c>
      <c r="AT53" s="70" t="e">
        <f t="shared" si="15"/>
        <v>#REF!</v>
      </c>
      <c r="AU53" s="70" t="e">
        <f t="shared" si="15"/>
        <v>#REF!</v>
      </c>
      <c r="AV53" s="70" t="e">
        <f t="shared" si="15"/>
        <v>#REF!</v>
      </c>
      <c r="AW53" s="70" t="e">
        <f t="shared" si="15"/>
        <v>#REF!</v>
      </c>
      <c r="AX53" s="70" t="e">
        <f t="shared" si="15"/>
        <v>#REF!</v>
      </c>
      <c r="AY53" s="70" t="e">
        <f t="shared" si="15"/>
        <v>#REF!</v>
      </c>
      <c r="AZ53" s="70" t="e">
        <f t="shared" si="15"/>
        <v>#REF!</v>
      </c>
      <c r="BA53" s="70" t="e">
        <f t="shared" si="15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6">AF16+AF18+AF20+AF22</f>
        <v>#REF!</v>
      </c>
      <c r="AG55" s="70" t="e">
        <f t="shared" si="16"/>
        <v>#REF!</v>
      </c>
      <c r="AH55" s="70" t="e">
        <f t="shared" si="16"/>
        <v>#REF!</v>
      </c>
      <c r="AI55" s="70" t="e">
        <f t="shared" si="16"/>
        <v>#REF!</v>
      </c>
      <c r="AJ55" s="70" t="e">
        <f t="shared" si="16"/>
        <v>#REF!</v>
      </c>
      <c r="AK55" s="70" t="e">
        <f t="shared" si="16"/>
        <v>#REF!</v>
      </c>
      <c r="AL55" s="70" t="e">
        <f t="shared" si="16"/>
        <v>#REF!</v>
      </c>
      <c r="AM55" s="70" t="e">
        <f t="shared" si="16"/>
        <v>#REF!</v>
      </c>
      <c r="AN55" s="70" t="e">
        <f t="shared" si="16"/>
        <v>#REF!</v>
      </c>
      <c r="AO55" s="70" t="e">
        <f t="shared" si="16"/>
        <v>#REF!</v>
      </c>
      <c r="AP55" s="70"/>
      <c r="AQ55" s="70"/>
      <c r="AR55" s="70" t="e">
        <f t="shared" ref="AR55:BA55" si="17">AR16+AR18+AR20+AR22</f>
        <v>#REF!</v>
      </c>
      <c r="AS55" s="70" t="e">
        <f t="shared" si="17"/>
        <v>#REF!</v>
      </c>
      <c r="AT55" s="70" t="e">
        <f t="shared" si="17"/>
        <v>#REF!</v>
      </c>
      <c r="AU55" s="70" t="e">
        <f t="shared" si="17"/>
        <v>#REF!</v>
      </c>
      <c r="AV55" s="70" t="e">
        <f t="shared" si="17"/>
        <v>#REF!</v>
      </c>
      <c r="AW55" s="70" t="e">
        <f t="shared" si="17"/>
        <v>#REF!</v>
      </c>
      <c r="AX55" s="70" t="e">
        <f t="shared" si="17"/>
        <v>#REF!</v>
      </c>
      <c r="AY55" s="70" t="e">
        <f t="shared" si="17"/>
        <v>#REF!</v>
      </c>
      <c r="AZ55" s="70" t="e">
        <f t="shared" si="17"/>
        <v>#REF!</v>
      </c>
      <c r="BA55" s="70" t="e">
        <f t="shared" si="17"/>
        <v>#REF!</v>
      </c>
    </row>
    <row r="56" spans="27:53" hidden="1">
      <c r="AA56" s="71" t="s">
        <v>41</v>
      </c>
      <c r="AB56" s="35"/>
      <c r="AF56" s="70" t="e">
        <f t="shared" ref="AF56:AO56" si="18">AF27+AF29+AF31+AF33</f>
        <v>#REF!</v>
      </c>
      <c r="AG56" s="70" t="e">
        <f t="shared" si="18"/>
        <v>#REF!</v>
      </c>
      <c r="AH56" s="70" t="e">
        <f t="shared" si="18"/>
        <v>#REF!</v>
      </c>
      <c r="AI56" s="70" t="e">
        <f t="shared" si="18"/>
        <v>#REF!</v>
      </c>
      <c r="AJ56" s="70" t="e">
        <f t="shared" si="18"/>
        <v>#REF!</v>
      </c>
      <c r="AK56" s="70" t="e">
        <f t="shared" si="18"/>
        <v>#REF!</v>
      </c>
      <c r="AL56" s="70" t="e">
        <f t="shared" si="18"/>
        <v>#REF!</v>
      </c>
      <c r="AM56" s="70" t="e">
        <f t="shared" si="18"/>
        <v>#REF!</v>
      </c>
      <c r="AN56" s="70" t="e">
        <f t="shared" si="18"/>
        <v>#REF!</v>
      </c>
      <c r="AO56" s="70" t="e">
        <f t="shared" si="18"/>
        <v>#REF!</v>
      </c>
      <c r="AP56" s="70"/>
      <c r="AQ56" s="70"/>
      <c r="AR56" s="70" t="e">
        <f t="shared" ref="AR56:BA56" si="19">AR27+AR29+AR31+AR33</f>
        <v>#REF!</v>
      </c>
      <c r="AS56" s="70" t="e">
        <f t="shared" si="19"/>
        <v>#REF!</v>
      </c>
      <c r="AT56" s="70" t="e">
        <f t="shared" si="19"/>
        <v>#REF!</v>
      </c>
      <c r="AU56" s="70" t="e">
        <f t="shared" si="19"/>
        <v>#REF!</v>
      </c>
      <c r="AV56" s="70" t="e">
        <f t="shared" si="19"/>
        <v>#REF!</v>
      </c>
      <c r="AW56" s="70" t="e">
        <f t="shared" si="19"/>
        <v>#REF!</v>
      </c>
      <c r="AX56" s="70" t="e">
        <f t="shared" si="19"/>
        <v>#REF!</v>
      </c>
      <c r="AY56" s="70" t="e">
        <f t="shared" si="19"/>
        <v>#REF!</v>
      </c>
      <c r="AZ56" s="70" t="e">
        <f t="shared" si="19"/>
        <v>#REF!</v>
      </c>
      <c r="BA56" s="70" t="e">
        <f t="shared" si="19"/>
        <v>#REF!</v>
      </c>
    </row>
    <row r="57" spans="27:53" hidden="1">
      <c r="AA57" s="71" t="s">
        <v>42</v>
      </c>
      <c r="AB57" s="35"/>
      <c r="AF57" s="70" t="e">
        <f t="shared" ref="AF57:AO57" si="20">AF38+AF40+AF42+AF44</f>
        <v>#REF!</v>
      </c>
      <c r="AG57" s="70" t="e">
        <f t="shared" si="20"/>
        <v>#REF!</v>
      </c>
      <c r="AH57" s="70" t="e">
        <f t="shared" si="20"/>
        <v>#REF!</v>
      </c>
      <c r="AI57" s="70" t="e">
        <f t="shared" si="20"/>
        <v>#REF!</v>
      </c>
      <c r="AJ57" s="70" t="e">
        <f t="shared" si="20"/>
        <v>#REF!</v>
      </c>
      <c r="AK57" s="70" t="e">
        <f t="shared" si="20"/>
        <v>#REF!</v>
      </c>
      <c r="AL57" s="70" t="e">
        <f t="shared" si="20"/>
        <v>#REF!</v>
      </c>
      <c r="AM57" s="70" t="e">
        <f t="shared" si="20"/>
        <v>#REF!</v>
      </c>
      <c r="AN57" s="70" t="e">
        <f t="shared" si="20"/>
        <v>#REF!</v>
      </c>
      <c r="AO57" s="70" t="e">
        <f t="shared" si="20"/>
        <v>#REF!</v>
      </c>
      <c r="AP57" s="70"/>
      <c r="AQ57" s="70"/>
      <c r="AR57" s="70" t="e">
        <f t="shared" ref="AR57:BA57" si="21">AR38+AR40+AR42+AR44</f>
        <v>#REF!</v>
      </c>
      <c r="AS57" s="70" t="e">
        <f t="shared" si="21"/>
        <v>#REF!</v>
      </c>
      <c r="AT57" s="70" t="e">
        <f t="shared" si="21"/>
        <v>#REF!</v>
      </c>
      <c r="AU57" s="70" t="e">
        <f t="shared" si="21"/>
        <v>#REF!</v>
      </c>
      <c r="AV57" s="70" t="e">
        <f t="shared" si="21"/>
        <v>#REF!</v>
      </c>
      <c r="AW57" s="70" t="e">
        <f t="shared" si="21"/>
        <v>#REF!</v>
      </c>
      <c r="AX57" s="70" t="e">
        <f t="shared" si="21"/>
        <v>#REF!</v>
      </c>
      <c r="AY57" s="70" t="e">
        <f t="shared" si="21"/>
        <v>#REF!</v>
      </c>
      <c r="AZ57" s="70" t="e">
        <f t="shared" si="21"/>
        <v>#REF!</v>
      </c>
      <c r="BA57" s="70" t="e">
        <f t="shared" si="21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2">AF16+AF18+AF20+AF21+AF23</f>
        <v>#REF!</v>
      </c>
      <c r="AG59" s="70" t="e">
        <f t="shared" si="22"/>
        <v>#REF!</v>
      </c>
      <c r="AH59" s="70" t="e">
        <f t="shared" si="22"/>
        <v>#REF!</v>
      </c>
      <c r="AI59" s="70" t="e">
        <f t="shared" si="22"/>
        <v>#REF!</v>
      </c>
      <c r="AJ59" s="70" t="e">
        <f t="shared" si="22"/>
        <v>#REF!</v>
      </c>
      <c r="AK59" s="70" t="e">
        <f t="shared" si="22"/>
        <v>#REF!</v>
      </c>
      <c r="AL59" s="70" t="e">
        <f t="shared" si="22"/>
        <v>#REF!</v>
      </c>
      <c r="AM59" s="70" t="e">
        <f t="shared" si="22"/>
        <v>#REF!</v>
      </c>
      <c r="AN59" s="70" t="e">
        <f t="shared" si="22"/>
        <v>#REF!</v>
      </c>
      <c r="AO59" s="70" t="e">
        <f t="shared" si="22"/>
        <v>#REF!</v>
      </c>
      <c r="AP59" s="70"/>
      <c r="AQ59" s="70"/>
      <c r="AR59" s="70" t="e">
        <f t="shared" ref="AR59:BA59" si="23">AR16+AR18+AR20+AR21+AR23</f>
        <v>#REF!</v>
      </c>
      <c r="AS59" s="70" t="e">
        <f t="shared" si="23"/>
        <v>#REF!</v>
      </c>
      <c r="AT59" s="70" t="e">
        <f t="shared" si="23"/>
        <v>#REF!</v>
      </c>
      <c r="AU59" s="70" t="e">
        <f t="shared" si="23"/>
        <v>#REF!</v>
      </c>
      <c r="AV59" s="70" t="e">
        <f t="shared" si="23"/>
        <v>#REF!</v>
      </c>
      <c r="AW59" s="70" t="e">
        <f t="shared" si="23"/>
        <v>#REF!</v>
      </c>
      <c r="AX59" s="70" t="e">
        <f t="shared" si="23"/>
        <v>#REF!</v>
      </c>
      <c r="AY59" s="70" t="e">
        <f t="shared" si="23"/>
        <v>#REF!</v>
      </c>
      <c r="AZ59" s="70" t="e">
        <f t="shared" si="23"/>
        <v>#REF!</v>
      </c>
      <c r="BA59" s="70" t="e">
        <f t="shared" si="23"/>
        <v>#REF!</v>
      </c>
    </row>
    <row r="60" spans="27:53" hidden="1">
      <c r="AA60" s="71" t="s">
        <v>41</v>
      </c>
      <c r="AB60" s="35"/>
      <c r="AF60" s="70" t="e">
        <f t="shared" ref="AF60:AO60" si="24">AF27+AF29+AF31+AF32+AF34</f>
        <v>#REF!</v>
      </c>
      <c r="AG60" s="70" t="e">
        <f t="shared" si="24"/>
        <v>#REF!</v>
      </c>
      <c r="AH60" s="70" t="e">
        <f t="shared" si="24"/>
        <v>#REF!</v>
      </c>
      <c r="AI60" s="70" t="e">
        <f t="shared" si="24"/>
        <v>#REF!</v>
      </c>
      <c r="AJ60" s="70" t="e">
        <f t="shared" si="24"/>
        <v>#REF!</v>
      </c>
      <c r="AK60" s="70" t="e">
        <f t="shared" si="24"/>
        <v>#REF!</v>
      </c>
      <c r="AL60" s="70" t="e">
        <f t="shared" si="24"/>
        <v>#REF!</v>
      </c>
      <c r="AM60" s="70" t="e">
        <f t="shared" si="24"/>
        <v>#REF!</v>
      </c>
      <c r="AN60" s="70" t="e">
        <f t="shared" si="24"/>
        <v>#REF!</v>
      </c>
      <c r="AO60" s="70" t="e">
        <f t="shared" si="24"/>
        <v>#REF!</v>
      </c>
      <c r="AP60" s="70"/>
      <c r="AQ60" s="70"/>
      <c r="AR60" s="70" t="e">
        <f t="shared" ref="AR60:BA60" si="25">AR27+AR29+AR31+AR32+AR34</f>
        <v>#REF!</v>
      </c>
      <c r="AS60" s="70" t="e">
        <f t="shared" si="25"/>
        <v>#REF!</v>
      </c>
      <c r="AT60" s="70" t="e">
        <f t="shared" si="25"/>
        <v>#REF!</v>
      </c>
      <c r="AU60" s="70" t="e">
        <f t="shared" si="25"/>
        <v>#REF!</v>
      </c>
      <c r="AV60" s="70" t="e">
        <f t="shared" si="25"/>
        <v>#REF!</v>
      </c>
      <c r="AW60" s="70" t="e">
        <f t="shared" si="25"/>
        <v>#REF!</v>
      </c>
      <c r="AX60" s="70" t="e">
        <f t="shared" si="25"/>
        <v>#REF!</v>
      </c>
      <c r="AY60" s="70" t="e">
        <f t="shared" si="25"/>
        <v>#REF!</v>
      </c>
      <c r="AZ60" s="70" t="e">
        <f t="shared" si="25"/>
        <v>#REF!</v>
      </c>
      <c r="BA60" s="70" t="e">
        <f t="shared" si="25"/>
        <v>#REF!</v>
      </c>
    </row>
    <row r="61" spans="27:53" hidden="1">
      <c r="AA61" s="71" t="s">
        <v>42</v>
      </c>
      <c r="AB61" s="35"/>
      <c r="AF61" s="70" t="e">
        <f t="shared" ref="AF61:AO61" si="26">AF38+AF40+AF42+AF43+AF45</f>
        <v>#REF!</v>
      </c>
      <c r="AG61" s="70" t="e">
        <f t="shared" si="26"/>
        <v>#REF!</v>
      </c>
      <c r="AH61" s="70" t="e">
        <f t="shared" si="26"/>
        <v>#REF!</v>
      </c>
      <c r="AI61" s="70" t="e">
        <f t="shared" si="26"/>
        <v>#REF!</v>
      </c>
      <c r="AJ61" s="70" t="e">
        <f t="shared" si="26"/>
        <v>#REF!</v>
      </c>
      <c r="AK61" s="70" t="e">
        <f t="shared" si="26"/>
        <v>#REF!</v>
      </c>
      <c r="AL61" s="70" t="e">
        <f t="shared" si="26"/>
        <v>#REF!</v>
      </c>
      <c r="AM61" s="70" t="e">
        <f t="shared" si="26"/>
        <v>#REF!</v>
      </c>
      <c r="AN61" s="70" t="e">
        <f t="shared" si="26"/>
        <v>#REF!</v>
      </c>
      <c r="AO61" s="70" t="e">
        <f t="shared" si="26"/>
        <v>#REF!</v>
      </c>
      <c r="AP61" s="70"/>
      <c r="AQ61" s="70"/>
      <c r="AR61" s="70" t="e">
        <f t="shared" ref="AR61:BA61" si="27">AR38+AR40+AR42+AR43+AR45</f>
        <v>#REF!</v>
      </c>
      <c r="AS61" s="70" t="e">
        <f t="shared" si="27"/>
        <v>#REF!</v>
      </c>
      <c r="AT61" s="70" t="e">
        <f t="shared" si="27"/>
        <v>#REF!</v>
      </c>
      <c r="AU61" s="70" t="e">
        <f t="shared" si="27"/>
        <v>#REF!</v>
      </c>
      <c r="AV61" s="70" t="e">
        <f t="shared" si="27"/>
        <v>#REF!</v>
      </c>
      <c r="AW61" s="70" t="e">
        <f t="shared" si="27"/>
        <v>#REF!</v>
      </c>
      <c r="AX61" s="70" t="e">
        <f t="shared" si="27"/>
        <v>#REF!</v>
      </c>
      <c r="AY61" s="70" t="e">
        <f t="shared" si="27"/>
        <v>#REF!</v>
      </c>
      <c r="AZ61" s="70" t="e">
        <f t="shared" si="27"/>
        <v>#REF!</v>
      </c>
      <c r="BA61" s="70" t="e">
        <f t="shared" si="27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28">AF16+AF18+AF20+AF21+AF24</f>
        <v>#REF!</v>
      </c>
      <c r="AG63" s="70" t="e">
        <f t="shared" si="28"/>
        <v>#REF!</v>
      </c>
      <c r="AH63" s="70" t="e">
        <f t="shared" si="28"/>
        <v>#REF!</v>
      </c>
      <c r="AI63" s="70" t="e">
        <f t="shared" si="28"/>
        <v>#REF!</v>
      </c>
      <c r="AJ63" s="70" t="e">
        <f t="shared" si="28"/>
        <v>#REF!</v>
      </c>
      <c r="AK63" s="70" t="e">
        <f t="shared" si="28"/>
        <v>#REF!</v>
      </c>
      <c r="AL63" s="70" t="e">
        <f t="shared" si="28"/>
        <v>#REF!</v>
      </c>
      <c r="AM63" s="70" t="e">
        <f t="shared" si="28"/>
        <v>#REF!</v>
      </c>
      <c r="AN63" s="70" t="e">
        <f t="shared" si="28"/>
        <v>#REF!</v>
      </c>
      <c r="AO63" s="70" t="e">
        <f t="shared" si="28"/>
        <v>#REF!</v>
      </c>
      <c r="AP63" s="70"/>
      <c r="AQ63" s="70"/>
      <c r="AR63" s="70" t="e">
        <f t="shared" ref="AR63:BA63" si="29">AR16+AR18+AR20+AR21+AR24</f>
        <v>#REF!</v>
      </c>
      <c r="AS63" s="70" t="e">
        <f t="shared" si="29"/>
        <v>#REF!</v>
      </c>
      <c r="AT63" s="70" t="e">
        <f t="shared" si="29"/>
        <v>#REF!</v>
      </c>
      <c r="AU63" s="70" t="e">
        <f t="shared" si="29"/>
        <v>#REF!</v>
      </c>
      <c r="AV63" s="70" t="e">
        <f t="shared" si="29"/>
        <v>#REF!</v>
      </c>
      <c r="AW63" s="70" t="e">
        <f t="shared" si="29"/>
        <v>#REF!</v>
      </c>
      <c r="AX63" s="70" t="e">
        <f t="shared" si="29"/>
        <v>#REF!</v>
      </c>
      <c r="AY63" s="70" t="e">
        <f t="shared" si="29"/>
        <v>#REF!</v>
      </c>
      <c r="AZ63" s="70" t="e">
        <f t="shared" si="29"/>
        <v>#REF!</v>
      </c>
      <c r="BA63" s="70" t="e">
        <f t="shared" si="29"/>
        <v>#REF!</v>
      </c>
    </row>
    <row r="64" spans="27:53" hidden="1">
      <c r="AA64" s="71" t="s">
        <v>41</v>
      </c>
      <c r="AB64" s="35"/>
      <c r="AF64" s="70" t="e">
        <f t="shared" ref="AF64:AO64" si="30">AF27+AF29+AF31+AF32+AF35</f>
        <v>#REF!</v>
      </c>
      <c r="AG64" s="70" t="e">
        <f t="shared" si="30"/>
        <v>#REF!</v>
      </c>
      <c r="AH64" s="70" t="e">
        <f t="shared" si="30"/>
        <v>#REF!</v>
      </c>
      <c r="AI64" s="70" t="e">
        <f t="shared" si="30"/>
        <v>#REF!</v>
      </c>
      <c r="AJ64" s="70" t="e">
        <f t="shared" si="30"/>
        <v>#REF!</v>
      </c>
      <c r="AK64" s="70" t="e">
        <f t="shared" si="30"/>
        <v>#REF!</v>
      </c>
      <c r="AL64" s="70" t="e">
        <f t="shared" si="30"/>
        <v>#REF!</v>
      </c>
      <c r="AM64" s="70" t="e">
        <f t="shared" si="30"/>
        <v>#REF!</v>
      </c>
      <c r="AN64" s="70" t="e">
        <f t="shared" si="30"/>
        <v>#REF!</v>
      </c>
      <c r="AO64" s="70" t="e">
        <f t="shared" si="30"/>
        <v>#REF!</v>
      </c>
      <c r="AP64" s="70"/>
      <c r="AQ64" s="70"/>
      <c r="AR64" s="70" t="e">
        <f t="shared" ref="AR64:BA64" si="31">AR27+AR29+AR31+AR32+AR35</f>
        <v>#REF!</v>
      </c>
      <c r="AS64" s="70" t="e">
        <f t="shared" si="31"/>
        <v>#REF!</v>
      </c>
      <c r="AT64" s="70" t="e">
        <f t="shared" si="31"/>
        <v>#REF!</v>
      </c>
      <c r="AU64" s="70" t="e">
        <f t="shared" si="31"/>
        <v>#REF!</v>
      </c>
      <c r="AV64" s="70" t="e">
        <f t="shared" si="31"/>
        <v>#REF!</v>
      </c>
      <c r="AW64" s="70" t="e">
        <f t="shared" si="31"/>
        <v>#REF!</v>
      </c>
      <c r="AX64" s="70" t="e">
        <f t="shared" si="31"/>
        <v>#REF!</v>
      </c>
      <c r="AY64" s="70" t="e">
        <f t="shared" si="31"/>
        <v>#REF!</v>
      </c>
      <c r="AZ64" s="70" t="e">
        <f t="shared" si="31"/>
        <v>#REF!</v>
      </c>
      <c r="BA64" s="70" t="e">
        <f t="shared" si="31"/>
        <v>#REF!</v>
      </c>
    </row>
    <row r="65" spans="27:53" hidden="1">
      <c r="AA65" s="71" t="s">
        <v>42</v>
      </c>
      <c r="AB65" s="35"/>
      <c r="AF65" s="70" t="e">
        <f t="shared" ref="AF65:AO65" si="32">AF38+AF40+AF42+AF43+AF46</f>
        <v>#REF!</v>
      </c>
      <c r="AG65" s="70" t="e">
        <f t="shared" si="32"/>
        <v>#REF!</v>
      </c>
      <c r="AH65" s="70" t="e">
        <f t="shared" si="32"/>
        <v>#REF!</v>
      </c>
      <c r="AI65" s="70" t="e">
        <f t="shared" si="32"/>
        <v>#REF!</v>
      </c>
      <c r="AJ65" s="70" t="e">
        <f t="shared" si="32"/>
        <v>#REF!</v>
      </c>
      <c r="AK65" s="70" t="e">
        <f t="shared" si="32"/>
        <v>#REF!</v>
      </c>
      <c r="AL65" s="70" t="e">
        <f t="shared" si="32"/>
        <v>#REF!</v>
      </c>
      <c r="AM65" s="70" t="e">
        <f t="shared" si="32"/>
        <v>#REF!</v>
      </c>
      <c r="AN65" s="70" t="e">
        <f t="shared" si="32"/>
        <v>#REF!</v>
      </c>
      <c r="AO65" s="70" t="e">
        <f t="shared" si="32"/>
        <v>#REF!</v>
      </c>
      <c r="AP65" s="70"/>
      <c r="AQ65" s="70"/>
      <c r="AR65" s="70" t="e">
        <f t="shared" ref="AR65:BA65" si="33">AR38+AR40+AR42+AR43+AR46</f>
        <v>#REF!</v>
      </c>
      <c r="AS65" s="70" t="e">
        <f t="shared" si="33"/>
        <v>#REF!</v>
      </c>
      <c r="AT65" s="70" t="e">
        <f t="shared" si="33"/>
        <v>#REF!</v>
      </c>
      <c r="AU65" s="70" t="e">
        <f t="shared" si="33"/>
        <v>#REF!</v>
      </c>
      <c r="AV65" s="70" t="e">
        <f t="shared" si="33"/>
        <v>#REF!</v>
      </c>
      <c r="AW65" s="70" t="e">
        <f t="shared" si="33"/>
        <v>#REF!</v>
      </c>
      <c r="AX65" s="70" t="e">
        <f t="shared" si="33"/>
        <v>#REF!</v>
      </c>
      <c r="AY65" s="70" t="e">
        <f t="shared" si="33"/>
        <v>#REF!</v>
      </c>
      <c r="AZ65" s="70" t="e">
        <f t="shared" si="33"/>
        <v>#REF!</v>
      </c>
      <c r="BA65" s="70" t="e">
        <f t="shared" si="33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4">AF16+AF17+AF22</f>
        <v>#REF!</v>
      </c>
      <c r="AG67" s="70" t="e">
        <f t="shared" si="34"/>
        <v>#REF!</v>
      </c>
      <c r="AH67" s="70" t="e">
        <f t="shared" si="34"/>
        <v>#REF!</v>
      </c>
      <c r="AI67" s="70" t="e">
        <f t="shared" si="34"/>
        <v>#REF!</v>
      </c>
      <c r="AJ67" s="70" t="e">
        <f t="shared" si="34"/>
        <v>#REF!</v>
      </c>
      <c r="AK67" s="70" t="e">
        <f t="shared" si="34"/>
        <v>#REF!</v>
      </c>
      <c r="AL67" s="70" t="e">
        <f t="shared" si="34"/>
        <v>#REF!</v>
      </c>
      <c r="AM67" s="70" t="e">
        <f t="shared" si="34"/>
        <v>#REF!</v>
      </c>
      <c r="AN67" s="70" t="e">
        <f t="shared" si="34"/>
        <v>#REF!</v>
      </c>
      <c r="AO67" s="70" t="e">
        <f t="shared" si="34"/>
        <v>#REF!</v>
      </c>
      <c r="AP67" s="70"/>
      <c r="AQ67" s="70"/>
      <c r="AR67" s="70" t="e">
        <f t="shared" ref="AR67:BA67" si="35">AR16+AR17+AR22</f>
        <v>#REF!</v>
      </c>
      <c r="AS67" s="70" t="e">
        <f t="shared" si="35"/>
        <v>#REF!</v>
      </c>
      <c r="AT67" s="70" t="e">
        <f t="shared" si="35"/>
        <v>#REF!</v>
      </c>
      <c r="AU67" s="70" t="e">
        <f t="shared" si="35"/>
        <v>#REF!</v>
      </c>
      <c r="AV67" s="70" t="e">
        <f t="shared" si="35"/>
        <v>#REF!</v>
      </c>
      <c r="AW67" s="70" t="e">
        <f t="shared" si="35"/>
        <v>#REF!</v>
      </c>
      <c r="AX67" s="70" t="e">
        <f t="shared" si="35"/>
        <v>#REF!</v>
      </c>
      <c r="AY67" s="70" t="e">
        <f t="shared" si="35"/>
        <v>#REF!</v>
      </c>
      <c r="AZ67" s="70" t="e">
        <f t="shared" si="35"/>
        <v>#REF!</v>
      </c>
      <c r="BA67" s="70" t="e">
        <f t="shared" si="35"/>
        <v>#REF!</v>
      </c>
    </row>
    <row r="68" spans="27:53" hidden="1">
      <c r="AA68" s="71" t="s">
        <v>41</v>
      </c>
      <c r="AB68" s="35"/>
      <c r="AF68" s="70" t="e">
        <f t="shared" ref="AF68:AO68" si="36">AF27+AF28+AF33</f>
        <v>#REF!</v>
      </c>
      <c r="AG68" s="70" t="e">
        <f t="shared" si="36"/>
        <v>#REF!</v>
      </c>
      <c r="AH68" s="70" t="e">
        <f t="shared" si="36"/>
        <v>#REF!</v>
      </c>
      <c r="AI68" s="70" t="e">
        <f t="shared" si="36"/>
        <v>#REF!</v>
      </c>
      <c r="AJ68" s="70" t="e">
        <f t="shared" si="36"/>
        <v>#REF!</v>
      </c>
      <c r="AK68" s="70" t="e">
        <f t="shared" si="36"/>
        <v>#REF!</v>
      </c>
      <c r="AL68" s="70" t="e">
        <f t="shared" si="36"/>
        <v>#REF!</v>
      </c>
      <c r="AM68" s="70" t="e">
        <f t="shared" si="36"/>
        <v>#REF!</v>
      </c>
      <c r="AN68" s="70" t="e">
        <f t="shared" si="36"/>
        <v>#REF!</v>
      </c>
      <c r="AO68" s="70" t="e">
        <f t="shared" si="36"/>
        <v>#REF!</v>
      </c>
      <c r="AP68" s="70"/>
      <c r="AQ68" s="70"/>
      <c r="AR68" s="70" t="e">
        <f t="shared" ref="AR68:BA68" si="37">AR27+AR28+AR33</f>
        <v>#REF!</v>
      </c>
      <c r="AS68" s="70" t="e">
        <f t="shared" si="37"/>
        <v>#REF!</v>
      </c>
      <c r="AT68" s="70" t="e">
        <f t="shared" si="37"/>
        <v>#REF!</v>
      </c>
      <c r="AU68" s="70" t="e">
        <f t="shared" si="37"/>
        <v>#REF!</v>
      </c>
      <c r="AV68" s="70" t="e">
        <f t="shared" si="37"/>
        <v>#REF!</v>
      </c>
      <c r="AW68" s="70" t="e">
        <f t="shared" si="37"/>
        <v>#REF!</v>
      </c>
      <c r="AX68" s="70" t="e">
        <f t="shared" si="37"/>
        <v>#REF!</v>
      </c>
      <c r="AY68" s="70" t="e">
        <f t="shared" si="37"/>
        <v>#REF!</v>
      </c>
      <c r="AZ68" s="70" t="e">
        <f t="shared" si="37"/>
        <v>#REF!</v>
      </c>
      <c r="BA68" s="70" t="e">
        <f t="shared" si="37"/>
        <v>#REF!</v>
      </c>
    </row>
    <row r="69" spans="27:53" hidden="1">
      <c r="AA69" s="71" t="s">
        <v>42</v>
      </c>
      <c r="AB69" s="35"/>
      <c r="AF69" s="70" t="e">
        <f t="shared" ref="AF69:AO69" si="38">AF38+AF39+AF44</f>
        <v>#REF!</v>
      </c>
      <c r="AG69" s="70" t="e">
        <f t="shared" si="38"/>
        <v>#REF!</v>
      </c>
      <c r="AH69" s="70" t="e">
        <f t="shared" si="38"/>
        <v>#REF!</v>
      </c>
      <c r="AI69" s="70" t="e">
        <f t="shared" si="38"/>
        <v>#REF!</v>
      </c>
      <c r="AJ69" s="70" t="e">
        <f t="shared" si="38"/>
        <v>#REF!</v>
      </c>
      <c r="AK69" s="70" t="e">
        <f t="shared" si="38"/>
        <v>#REF!</v>
      </c>
      <c r="AL69" s="70" t="e">
        <f t="shared" si="38"/>
        <v>#REF!</v>
      </c>
      <c r="AM69" s="70" t="e">
        <f t="shared" si="38"/>
        <v>#REF!</v>
      </c>
      <c r="AN69" s="70" t="e">
        <f t="shared" si="38"/>
        <v>#REF!</v>
      </c>
      <c r="AO69" s="70" t="e">
        <f t="shared" si="38"/>
        <v>#REF!</v>
      </c>
      <c r="AP69" s="70"/>
      <c r="AQ69" s="70"/>
      <c r="AR69" s="70" t="e">
        <f t="shared" ref="AR69:BA69" si="39">AR38+AR39+AR44</f>
        <v>#REF!</v>
      </c>
      <c r="AS69" s="70" t="e">
        <f t="shared" si="39"/>
        <v>#REF!</v>
      </c>
      <c r="AT69" s="70" t="e">
        <f t="shared" si="39"/>
        <v>#REF!</v>
      </c>
      <c r="AU69" s="70" t="e">
        <f t="shared" si="39"/>
        <v>#REF!</v>
      </c>
      <c r="AV69" s="70" t="e">
        <f t="shared" si="39"/>
        <v>#REF!</v>
      </c>
      <c r="AW69" s="70" t="e">
        <f t="shared" si="39"/>
        <v>#REF!</v>
      </c>
      <c r="AX69" s="70" t="e">
        <f t="shared" si="39"/>
        <v>#REF!</v>
      </c>
      <c r="AY69" s="70" t="e">
        <f t="shared" si="39"/>
        <v>#REF!</v>
      </c>
      <c r="AZ69" s="70" t="e">
        <f t="shared" si="39"/>
        <v>#REF!</v>
      </c>
      <c r="BA69" s="70" t="e">
        <f t="shared" si="39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0">AF16+AF17+AF21+AF23</f>
        <v>#REF!</v>
      </c>
      <c r="AG71" s="70" t="e">
        <f t="shared" si="40"/>
        <v>#REF!</v>
      </c>
      <c r="AH71" s="70" t="e">
        <f t="shared" si="40"/>
        <v>#REF!</v>
      </c>
      <c r="AI71" s="70" t="e">
        <f t="shared" si="40"/>
        <v>#REF!</v>
      </c>
      <c r="AJ71" s="70" t="e">
        <f t="shared" si="40"/>
        <v>#REF!</v>
      </c>
      <c r="AK71" s="70" t="e">
        <f t="shared" si="40"/>
        <v>#REF!</v>
      </c>
      <c r="AL71" s="70" t="e">
        <f t="shared" si="40"/>
        <v>#REF!</v>
      </c>
      <c r="AM71" s="70" t="e">
        <f t="shared" si="40"/>
        <v>#REF!</v>
      </c>
      <c r="AN71" s="70" t="e">
        <f t="shared" si="40"/>
        <v>#REF!</v>
      </c>
      <c r="AO71" s="70" t="e">
        <f t="shared" si="40"/>
        <v>#REF!</v>
      </c>
      <c r="AP71" s="70"/>
      <c r="AQ71" s="70"/>
      <c r="AR71" s="70" t="e">
        <f t="shared" ref="AR71:BA71" si="41">AR16+AR17+AR21+AR23</f>
        <v>#REF!</v>
      </c>
      <c r="AS71" s="70" t="e">
        <f t="shared" si="41"/>
        <v>#REF!</v>
      </c>
      <c r="AT71" s="70" t="e">
        <f t="shared" si="41"/>
        <v>#REF!</v>
      </c>
      <c r="AU71" s="70" t="e">
        <f t="shared" si="41"/>
        <v>#REF!</v>
      </c>
      <c r="AV71" s="70" t="e">
        <f t="shared" si="41"/>
        <v>#REF!</v>
      </c>
      <c r="AW71" s="70" t="e">
        <f t="shared" si="41"/>
        <v>#REF!</v>
      </c>
      <c r="AX71" s="70" t="e">
        <f t="shared" si="41"/>
        <v>#REF!</v>
      </c>
      <c r="AY71" s="70" t="e">
        <f t="shared" si="41"/>
        <v>#REF!</v>
      </c>
      <c r="AZ71" s="70" t="e">
        <f t="shared" si="41"/>
        <v>#REF!</v>
      </c>
      <c r="BA71" s="70" t="e">
        <f t="shared" si="41"/>
        <v>#REF!</v>
      </c>
    </row>
    <row r="72" spans="27:53" hidden="1">
      <c r="AA72" s="71" t="s">
        <v>41</v>
      </c>
      <c r="AB72" s="35"/>
      <c r="AF72" s="70" t="e">
        <f t="shared" ref="AF72:AO72" si="42">AF27+AF28+AF32+AF34</f>
        <v>#REF!</v>
      </c>
      <c r="AG72" s="70" t="e">
        <f t="shared" si="42"/>
        <v>#REF!</v>
      </c>
      <c r="AH72" s="70" t="e">
        <f t="shared" si="42"/>
        <v>#REF!</v>
      </c>
      <c r="AI72" s="70" t="e">
        <f t="shared" si="42"/>
        <v>#REF!</v>
      </c>
      <c r="AJ72" s="70" t="e">
        <f t="shared" si="42"/>
        <v>#REF!</v>
      </c>
      <c r="AK72" s="70" t="e">
        <f t="shared" si="42"/>
        <v>#REF!</v>
      </c>
      <c r="AL72" s="70" t="e">
        <f t="shared" si="42"/>
        <v>#REF!</v>
      </c>
      <c r="AM72" s="70" t="e">
        <f t="shared" si="42"/>
        <v>#REF!</v>
      </c>
      <c r="AN72" s="70" t="e">
        <f t="shared" si="42"/>
        <v>#REF!</v>
      </c>
      <c r="AO72" s="70" t="e">
        <f t="shared" si="42"/>
        <v>#REF!</v>
      </c>
      <c r="AP72" s="70"/>
      <c r="AQ72" s="70"/>
      <c r="AR72" s="70" t="e">
        <f t="shared" ref="AR72:BA72" si="43">AR27+AR28+AR32+AR34</f>
        <v>#REF!</v>
      </c>
      <c r="AS72" s="70" t="e">
        <f t="shared" si="43"/>
        <v>#REF!</v>
      </c>
      <c r="AT72" s="70" t="e">
        <f t="shared" si="43"/>
        <v>#REF!</v>
      </c>
      <c r="AU72" s="70" t="e">
        <f t="shared" si="43"/>
        <v>#REF!</v>
      </c>
      <c r="AV72" s="70" t="e">
        <f t="shared" si="43"/>
        <v>#REF!</v>
      </c>
      <c r="AW72" s="70" t="e">
        <f t="shared" si="43"/>
        <v>#REF!</v>
      </c>
      <c r="AX72" s="70" t="e">
        <f t="shared" si="43"/>
        <v>#REF!</v>
      </c>
      <c r="AY72" s="70" t="e">
        <f t="shared" si="43"/>
        <v>#REF!</v>
      </c>
      <c r="AZ72" s="70" t="e">
        <f t="shared" si="43"/>
        <v>#REF!</v>
      </c>
      <c r="BA72" s="70" t="e">
        <f t="shared" si="43"/>
        <v>#REF!</v>
      </c>
    </row>
    <row r="73" spans="27:53" hidden="1">
      <c r="AA73" s="71" t="s">
        <v>42</v>
      </c>
      <c r="AB73" s="35"/>
      <c r="AF73" s="70" t="e">
        <f t="shared" ref="AF73:AO73" si="44">AF38+AF39+AF43+AF45</f>
        <v>#REF!</v>
      </c>
      <c r="AG73" s="70" t="e">
        <f t="shared" si="44"/>
        <v>#REF!</v>
      </c>
      <c r="AH73" s="70" t="e">
        <f t="shared" si="44"/>
        <v>#REF!</v>
      </c>
      <c r="AI73" s="70" t="e">
        <f t="shared" si="44"/>
        <v>#REF!</v>
      </c>
      <c r="AJ73" s="70" t="e">
        <f t="shared" si="44"/>
        <v>#REF!</v>
      </c>
      <c r="AK73" s="70" t="e">
        <f t="shared" si="44"/>
        <v>#REF!</v>
      </c>
      <c r="AL73" s="70" t="e">
        <f t="shared" si="44"/>
        <v>#REF!</v>
      </c>
      <c r="AM73" s="70" t="e">
        <f t="shared" si="44"/>
        <v>#REF!</v>
      </c>
      <c r="AN73" s="70" t="e">
        <f t="shared" si="44"/>
        <v>#REF!</v>
      </c>
      <c r="AO73" s="70" t="e">
        <f t="shared" si="44"/>
        <v>#REF!</v>
      </c>
      <c r="AP73" s="70"/>
      <c r="AQ73" s="70"/>
      <c r="AR73" s="70" t="e">
        <f t="shared" ref="AR73:BA73" si="45">AR38+AR39+AR43+AR45</f>
        <v>#REF!</v>
      </c>
      <c r="AS73" s="70" t="e">
        <f t="shared" si="45"/>
        <v>#REF!</v>
      </c>
      <c r="AT73" s="70" t="e">
        <f t="shared" si="45"/>
        <v>#REF!</v>
      </c>
      <c r="AU73" s="70" t="e">
        <f t="shared" si="45"/>
        <v>#REF!</v>
      </c>
      <c r="AV73" s="70" t="e">
        <f t="shared" si="45"/>
        <v>#REF!</v>
      </c>
      <c r="AW73" s="70" t="e">
        <f t="shared" si="45"/>
        <v>#REF!</v>
      </c>
      <c r="AX73" s="70" t="e">
        <f t="shared" si="45"/>
        <v>#REF!</v>
      </c>
      <c r="AY73" s="70" t="e">
        <f t="shared" si="45"/>
        <v>#REF!</v>
      </c>
      <c r="AZ73" s="70" t="e">
        <f t="shared" si="45"/>
        <v>#REF!</v>
      </c>
      <c r="BA73" s="70" t="e">
        <f t="shared" si="45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6">AF16+AF17+AF21+AF24</f>
        <v>#REF!</v>
      </c>
      <c r="AG75" s="70" t="e">
        <f t="shared" si="46"/>
        <v>#REF!</v>
      </c>
      <c r="AH75" s="70" t="e">
        <f t="shared" si="46"/>
        <v>#REF!</v>
      </c>
      <c r="AI75" s="70" t="e">
        <f t="shared" si="46"/>
        <v>#REF!</v>
      </c>
      <c r="AJ75" s="70" t="e">
        <f t="shared" si="46"/>
        <v>#REF!</v>
      </c>
      <c r="AK75" s="70" t="e">
        <f t="shared" si="46"/>
        <v>#REF!</v>
      </c>
      <c r="AL75" s="70" t="e">
        <f t="shared" si="46"/>
        <v>#REF!</v>
      </c>
      <c r="AM75" s="70" t="e">
        <f t="shared" si="46"/>
        <v>#REF!</v>
      </c>
      <c r="AN75" s="70" t="e">
        <f t="shared" si="46"/>
        <v>#REF!</v>
      </c>
      <c r="AO75" s="70" t="e">
        <f t="shared" si="46"/>
        <v>#REF!</v>
      </c>
      <c r="AP75" s="70"/>
      <c r="AQ75" s="70"/>
      <c r="AR75" s="70" t="e">
        <f t="shared" ref="AR75:BA75" si="47">AR16+AR17+AR21+AR24</f>
        <v>#REF!</v>
      </c>
      <c r="AS75" s="70" t="e">
        <f t="shared" si="47"/>
        <v>#REF!</v>
      </c>
      <c r="AT75" s="70" t="e">
        <f t="shared" si="47"/>
        <v>#REF!</v>
      </c>
      <c r="AU75" s="70" t="e">
        <f t="shared" si="47"/>
        <v>#REF!</v>
      </c>
      <c r="AV75" s="70" t="e">
        <f t="shared" si="47"/>
        <v>#REF!</v>
      </c>
      <c r="AW75" s="70" t="e">
        <f t="shared" si="47"/>
        <v>#REF!</v>
      </c>
      <c r="AX75" s="70" t="e">
        <f t="shared" si="47"/>
        <v>#REF!</v>
      </c>
      <c r="AY75" s="70" t="e">
        <f t="shared" si="47"/>
        <v>#REF!</v>
      </c>
      <c r="AZ75" s="70" t="e">
        <f t="shared" si="47"/>
        <v>#REF!</v>
      </c>
      <c r="BA75" s="70" t="e">
        <f t="shared" si="47"/>
        <v>#REF!</v>
      </c>
    </row>
    <row r="76" spans="27:53" hidden="1">
      <c r="AA76" s="71" t="s">
        <v>41</v>
      </c>
      <c r="AB76" s="35"/>
      <c r="AF76" s="70" t="e">
        <f t="shared" ref="AF76:AO76" si="48">AF27+AF28+AF32+AF35</f>
        <v>#REF!</v>
      </c>
      <c r="AG76" s="70" t="e">
        <f t="shared" si="48"/>
        <v>#REF!</v>
      </c>
      <c r="AH76" s="70" t="e">
        <f t="shared" si="48"/>
        <v>#REF!</v>
      </c>
      <c r="AI76" s="70" t="e">
        <f t="shared" si="48"/>
        <v>#REF!</v>
      </c>
      <c r="AJ76" s="70" t="e">
        <f t="shared" si="48"/>
        <v>#REF!</v>
      </c>
      <c r="AK76" s="70" t="e">
        <f t="shared" si="48"/>
        <v>#REF!</v>
      </c>
      <c r="AL76" s="70" t="e">
        <f t="shared" si="48"/>
        <v>#REF!</v>
      </c>
      <c r="AM76" s="70" t="e">
        <f t="shared" si="48"/>
        <v>#REF!</v>
      </c>
      <c r="AN76" s="70" t="e">
        <f t="shared" si="48"/>
        <v>#REF!</v>
      </c>
      <c r="AO76" s="70" t="e">
        <f t="shared" si="48"/>
        <v>#REF!</v>
      </c>
      <c r="AP76" s="70"/>
      <c r="AQ76" s="70"/>
      <c r="AR76" s="70" t="e">
        <f t="shared" ref="AR76:BA76" si="49">AR27+AR28+AR32+AR35</f>
        <v>#REF!</v>
      </c>
      <c r="AS76" s="70" t="e">
        <f t="shared" si="49"/>
        <v>#REF!</v>
      </c>
      <c r="AT76" s="70" t="e">
        <f t="shared" si="49"/>
        <v>#REF!</v>
      </c>
      <c r="AU76" s="70" t="e">
        <f t="shared" si="49"/>
        <v>#REF!</v>
      </c>
      <c r="AV76" s="70" t="e">
        <f t="shared" si="49"/>
        <v>#REF!</v>
      </c>
      <c r="AW76" s="70" t="e">
        <f t="shared" si="49"/>
        <v>#REF!</v>
      </c>
      <c r="AX76" s="70" t="e">
        <f t="shared" si="49"/>
        <v>#REF!</v>
      </c>
      <c r="AY76" s="70" t="e">
        <f t="shared" si="49"/>
        <v>#REF!</v>
      </c>
      <c r="AZ76" s="70" t="e">
        <f t="shared" si="49"/>
        <v>#REF!</v>
      </c>
      <c r="BA76" s="70" t="e">
        <f t="shared" si="49"/>
        <v>#REF!</v>
      </c>
    </row>
    <row r="77" spans="27:53" hidden="1">
      <c r="AA77" s="71" t="s">
        <v>42</v>
      </c>
      <c r="AB77" s="35"/>
      <c r="AF77" s="70" t="e">
        <f t="shared" ref="AF77:AO77" si="50">AF38+AF39+AF43+AF46</f>
        <v>#REF!</v>
      </c>
      <c r="AG77" s="70" t="e">
        <f t="shared" si="50"/>
        <v>#REF!</v>
      </c>
      <c r="AH77" s="70" t="e">
        <f t="shared" si="50"/>
        <v>#REF!</v>
      </c>
      <c r="AI77" s="70" t="e">
        <f t="shared" si="50"/>
        <v>#REF!</v>
      </c>
      <c r="AJ77" s="70" t="e">
        <f t="shared" si="50"/>
        <v>#REF!</v>
      </c>
      <c r="AK77" s="70" t="e">
        <f t="shared" si="50"/>
        <v>#REF!</v>
      </c>
      <c r="AL77" s="70" t="e">
        <f t="shared" si="50"/>
        <v>#REF!</v>
      </c>
      <c r="AM77" s="70" t="e">
        <f t="shared" si="50"/>
        <v>#REF!</v>
      </c>
      <c r="AN77" s="70" t="e">
        <f t="shared" si="50"/>
        <v>#REF!</v>
      </c>
      <c r="AO77" s="70" t="e">
        <f t="shared" si="50"/>
        <v>#REF!</v>
      </c>
      <c r="AP77" s="70"/>
      <c r="AQ77" s="70"/>
      <c r="AR77" s="70" t="e">
        <f t="shared" ref="AR77:BA77" si="51">AR38+AR39+AR43+AR46</f>
        <v>#REF!</v>
      </c>
      <c r="AS77" s="70" t="e">
        <f t="shared" si="51"/>
        <v>#REF!</v>
      </c>
      <c r="AT77" s="70" t="e">
        <f t="shared" si="51"/>
        <v>#REF!</v>
      </c>
      <c r="AU77" s="70" t="e">
        <f t="shared" si="51"/>
        <v>#REF!</v>
      </c>
      <c r="AV77" s="70" t="e">
        <f t="shared" si="51"/>
        <v>#REF!</v>
      </c>
      <c r="AW77" s="70" t="e">
        <f t="shared" si="51"/>
        <v>#REF!</v>
      </c>
      <c r="AX77" s="70" t="e">
        <f t="shared" si="51"/>
        <v>#REF!</v>
      </c>
      <c r="AY77" s="70" t="e">
        <f t="shared" si="51"/>
        <v>#REF!</v>
      </c>
      <c r="AZ77" s="70" t="e">
        <f t="shared" si="51"/>
        <v>#REF!</v>
      </c>
      <c r="BA77" s="70" t="e">
        <f t="shared" si="51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45" t="s">
        <v>55</v>
      </c>
      <c r="G89" s="545" t="s">
        <v>73</v>
      </c>
      <c r="H89" s="545" t="s">
        <v>74</v>
      </c>
      <c r="I89" s="545" t="s">
        <v>58</v>
      </c>
      <c r="J89" s="545" t="s">
        <v>59</v>
      </c>
      <c r="K89" s="545" t="s">
        <v>60</v>
      </c>
      <c r="L89" s="544" t="s">
        <v>75</v>
      </c>
      <c r="M89" s="544" t="s">
        <v>76</v>
      </c>
      <c r="N89" s="544" t="s">
        <v>61</v>
      </c>
      <c r="O89" s="544" t="s">
        <v>62</v>
      </c>
      <c r="P89" s="544" t="s">
        <v>63</v>
      </c>
      <c r="AN89" s="38"/>
      <c r="AZ89" s="36"/>
    </row>
    <row r="90" spans="1:52" ht="25.5">
      <c r="A90" s="44" t="str">
        <f>A4</f>
        <v>Substation General Construction</v>
      </c>
      <c r="B90" s="45" t="str">
        <f>B4</f>
        <v>Light-Duty Truck, catalyst</v>
      </c>
      <c r="C90" s="46">
        <f>C4</f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1" si="52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ref="A91:C92" si="53">A5</f>
        <v>Substation Below Grade Construction</v>
      </c>
      <c r="B91" s="45" t="str">
        <f t="shared" si="53"/>
        <v>Light-Duty Truck, catalyst</v>
      </c>
      <c r="C91" s="46">
        <f t="shared" si="53"/>
        <v>10</v>
      </c>
      <c r="D91" s="46">
        <v>35</v>
      </c>
      <c r="E91" s="46">
        <v>80</v>
      </c>
      <c r="F91" s="50">
        <f>C5*($E5*$F5+($G5))/453.59</f>
        <v>4.8571938588092012</v>
      </c>
      <c r="G91" s="50">
        <f>C5*($E5*$H5+($I5))/453.59</f>
        <v>0.43670657294378012</v>
      </c>
      <c r="H91" s="50">
        <f>C5*(($E5*$J5)+($K5)+($L5)+($E5*$N5)+(($M5+$O5)))/453.59</f>
        <v>0.50499980323953331</v>
      </c>
      <c r="I91" s="50">
        <f>C5*($E5*$P5+($Q5))/453.59</f>
        <v>7.2679702716061598E-3</v>
      </c>
      <c r="J91" s="50">
        <f>C5*(($E5*($R5+$T5+$U5))+($S5))/453.59</f>
        <v>8.5240904552078958E-2</v>
      </c>
      <c r="K91" s="50">
        <f>$C5*(($E5*($V5+$X5+$Y5))+($W5))/453.59</f>
        <v>3.7120053242531412E-2</v>
      </c>
      <c r="L91" s="50">
        <f>$B$23*C5*(E5+6)</f>
        <v>8.438582586071898E-2</v>
      </c>
      <c r="M91" s="50">
        <f t="shared" si="52"/>
        <v>3.4598188602894778E-2</v>
      </c>
      <c r="N91" s="50">
        <f>C5*($E5*$Z5+($AA5))/453.59</f>
        <v>554.23576726038891</v>
      </c>
      <c r="O91" s="50">
        <f>C5*($E5*$AB5+($AC5))/453.59</f>
        <v>3.1704753890302494E-2</v>
      </c>
      <c r="P91" s="50">
        <f>C5*($E5*$AD5+($AE5))/453.59</f>
        <v>5.7711199138433596E-2</v>
      </c>
      <c r="AN91" s="38"/>
      <c r="AZ91" s="36"/>
    </row>
    <row r="92" spans="1:52" ht="25.5">
      <c r="A92" s="44" t="str">
        <f t="shared" si="53"/>
        <v>Substation Above Grade Construction</v>
      </c>
      <c r="B92" s="45" t="str">
        <f t="shared" si="53"/>
        <v>Light-Duty Truck, catalyst</v>
      </c>
      <c r="C92" s="46">
        <f t="shared" si="53"/>
        <v>5</v>
      </c>
      <c r="D92" s="46">
        <v>35</v>
      </c>
      <c r="E92" s="46">
        <v>80</v>
      </c>
      <c r="F92" s="50">
        <f>C6*($E6*$F6+($G6))/453.59</f>
        <v>2.4285969294046006</v>
      </c>
      <c r="G92" s="50">
        <f>C6*($E6*$H6+($I6))/453.59</f>
        <v>0.21835328647189006</v>
      </c>
      <c r="H92" s="50">
        <f>C6*(($E6*$J6)+($K6)+($L6)+($E6*$N6)+(($M6+$O6)))/453.59</f>
        <v>0.25249990161976665</v>
      </c>
      <c r="I92" s="50">
        <f>C6*($E6*$P6+($Q6))/453.59</f>
        <v>3.6339851358030799E-3</v>
      </c>
      <c r="J92" s="50">
        <f>C6*(($E6*($R6+$T6+$U6))+($S6))/453.59</f>
        <v>4.2620452276039479E-2</v>
      </c>
      <c r="K92" s="50">
        <f>$C6*(($E6*($V6+$X6+$Y6))+($W6))/453.59</f>
        <v>1.8560026621265706E-2</v>
      </c>
      <c r="L92" s="50">
        <f>$B$23*C6*(E6+6)</f>
        <v>4.219291293035949E-2</v>
      </c>
      <c r="M92" s="50">
        <f t="shared" ref="M92" si="54">0.41*L92</f>
        <v>1.7299094301447389E-2</v>
      </c>
      <c r="N92" s="50">
        <f>C6*($E6*$Z6+($AA6))/453.59</f>
        <v>277.11788363019446</v>
      </c>
      <c r="O92" s="50">
        <f>C6*($E6*$AB6+($AC6))/453.59</f>
        <v>1.5852376945151247E-2</v>
      </c>
      <c r="P92" s="50">
        <f>C6*($E6*$AD6+($AE6))/453.59</f>
        <v>2.8855599569216798E-2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>SUM(F90:F92)</f>
        <v>8.7429489458565612</v>
      </c>
      <c r="G93" s="81">
        <f t="shared" ref="G93:P93" si="55">SUM(G90:G92)</f>
        <v>0.7860718312988042</v>
      </c>
      <c r="H93" s="81">
        <f t="shared" si="55"/>
        <v>0.90899964583116</v>
      </c>
      <c r="I93" s="81">
        <f t="shared" si="55"/>
        <v>1.3082346488891087E-2</v>
      </c>
      <c r="J93" s="81">
        <f t="shared" si="55"/>
        <v>0.15343362819374212</v>
      </c>
      <c r="K93" s="81">
        <f t="shared" si="55"/>
        <v>6.6816095836556538E-2</v>
      </c>
      <c r="L93" s="81">
        <f t="shared" si="55"/>
        <v>0.15189448654929416</v>
      </c>
      <c r="M93" s="81">
        <f t="shared" si="55"/>
        <v>6.2276739485210598E-2</v>
      </c>
      <c r="N93" s="81">
        <f t="shared" si="55"/>
        <v>997.62438106870013</v>
      </c>
      <c r="O93" s="81">
        <f t="shared" si="55"/>
        <v>5.7068557002544484E-2</v>
      </c>
      <c r="P93" s="81">
        <f t="shared" si="55"/>
        <v>0.10388015844918047</v>
      </c>
      <c r="AN93" s="38"/>
      <c r="AZ93" s="36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3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639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398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100" t="s">
        <v>287</v>
      </c>
      <c r="B14" s="97" t="s">
        <v>27</v>
      </c>
      <c r="C14" s="97">
        <v>37</v>
      </c>
      <c r="D14" s="22">
        <v>0.37</v>
      </c>
      <c r="E14" s="102">
        <v>3.2313389441625637E-2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0.12374118165784832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0.16056172839506169</v>
      </c>
      <c r="H14" s="102">
        <v>3.2989906092678058E-4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1.3581349206349205E-2</v>
      </c>
      <c r="J14" s="100">
        <f t="shared" ref="J14:J16" si="4">0.89*I14</f>
        <v>1.2087400793650793E-2</v>
      </c>
      <c r="K14" s="103">
        <v>25.519156990664225</v>
      </c>
      <c r="L14" s="102">
        <v>3.413848047070189E-3</v>
      </c>
      <c r="M14" s="104">
        <f t="shared" ref="M14:M16" si="5">0.095*G14</f>
        <v>1.5253364197530862E-2</v>
      </c>
      <c r="N14" s="88">
        <v>1</v>
      </c>
      <c r="O14" s="88">
        <v>1</v>
      </c>
      <c r="P14" s="367">
        <v>75</v>
      </c>
      <c r="Q14" s="26">
        <f t="shared" ref="Q14:Y16" si="6">(E14*$N14*$O14)</f>
        <v>3.2313389441625637E-2</v>
      </c>
      <c r="R14" s="26">
        <f t="shared" si="6"/>
        <v>0.12374118165784832</v>
      </c>
      <c r="S14" s="26">
        <f t="shared" si="6"/>
        <v>0.16056172839506169</v>
      </c>
      <c r="T14" s="26">
        <f t="shared" si="6"/>
        <v>3.2989906092678058E-4</v>
      </c>
      <c r="U14" s="26">
        <f t="shared" si="6"/>
        <v>1.3581349206349205E-2</v>
      </c>
      <c r="V14" s="26">
        <f t="shared" si="6"/>
        <v>1.2087400793650793E-2</v>
      </c>
      <c r="W14" s="26">
        <f t="shared" si="6"/>
        <v>25.519156990664225</v>
      </c>
      <c r="X14" s="26">
        <f t="shared" si="6"/>
        <v>3.413848047070189E-3</v>
      </c>
      <c r="Y14" s="26">
        <f t="shared" si="6"/>
        <v>1.5253364197530862E-2</v>
      </c>
    </row>
    <row r="15" spans="1:25" s="3" customFormat="1">
      <c r="A15" s="100" t="s">
        <v>292</v>
      </c>
      <c r="B15" s="22" t="s">
        <v>27</v>
      </c>
      <c r="C15" s="97">
        <v>69</v>
      </c>
      <c r="D15" s="22">
        <v>0.5</v>
      </c>
      <c r="E15" s="102">
        <v>0.10796897189848784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0.2814153439153439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0.40462962962962956</v>
      </c>
      <c r="H15" s="102">
        <v>7.6125329247041284E-4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2.2817460317460316E-2</v>
      </c>
      <c r="J15" s="100">
        <f t="shared" si="4"/>
        <v>2.030753968253968E-2</v>
      </c>
      <c r="K15" s="103">
        <v>64.895144949977833</v>
      </c>
      <c r="L15" s="102">
        <v>1.0324742188913067E-2</v>
      </c>
      <c r="M15" s="104">
        <f t="shared" si="5"/>
        <v>3.8439814814814809E-2</v>
      </c>
      <c r="N15" s="87">
        <v>1</v>
      </c>
      <c r="O15" s="87">
        <v>6</v>
      </c>
      <c r="P15" s="88">
        <f>8*22</f>
        <v>176</v>
      </c>
      <c r="Q15" s="34">
        <f t="shared" si="6"/>
        <v>0.64781383139092696</v>
      </c>
      <c r="R15" s="26">
        <f t="shared" si="6"/>
        <v>1.6884920634920633</v>
      </c>
      <c r="S15" s="26">
        <f t="shared" si="6"/>
        <v>2.4277777777777771</v>
      </c>
      <c r="T15" s="26">
        <f t="shared" si="6"/>
        <v>4.567519754822477E-3</v>
      </c>
      <c r="U15" s="26">
        <f t="shared" si="6"/>
        <v>0.13690476190476189</v>
      </c>
      <c r="V15" s="26">
        <f t="shared" si="6"/>
        <v>0.12184523809523809</v>
      </c>
      <c r="W15" s="26">
        <f t="shared" si="6"/>
        <v>389.370869699867</v>
      </c>
      <c r="X15" s="26">
        <f t="shared" si="6"/>
        <v>6.1948453133478402E-2</v>
      </c>
      <c r="Y15" s="26">
        <f t="shared" si="6"/>
        <v>0.23063888888888884</v>
      </c>
    </row>
    <row r="16" spans="1:25" s="3" customFormat="1">
      <c r="A16" s="100" t="s">
        <v>126</v>
      </c>
      <c r="B16" s="22" t="s">
        <v>27</v>
      </c>
      <c r="C16" s="22">
        <v>175</v>
      </c>
      <c r="D16" s="22"/>
      <c r="E16" s="102">
        <v>0.11792220738547983</v>
      </c>
      <c r="F16" s="102">
        <v>0.36512193352152528</v>
      </c>
      <c r="G16" s="102">
        <v>0.86781464282266541</v>
      </c>
      <c r="H16" s="102">
        <v>1.8739217498104396E-3</v>
      </c>
      <c r="I16" s="102">
        <v>2.9041712295589866E-2</v>
      </c>
      <c r="J16" s="100">
        <f t="shared" si="4"/>
        <v>2.5847123943074982E-2</v>
      </c>
      <c r="K16" s="103">
        <v>166.54541562452522</v>
      </c>
      <c r="L16" s="102">
        <v>1.063993297769634E-2</v>
      </c>
      <c r="M16" s="104">
        <f t="shared" si="5"/>
        <v>8.2442391068153209E-2</v>
      </c>
      <c r="N16" s="88">
        <v>1</v>
      </c>
      <c r="O16" s="88">
        <v>3</v>
      </c>
      <c r="P16" s="367">
        <v>40</v>
      </c>
      <c r="Q16" s="26">
        <f t="shared" si="6"/>
        <v>0.3537666221564395</v>
      </c>
      <c r="R16" s="26">
        <f t="shared" si="6"/>
        <v>1.0953658005645759</v>
      </c>
      <c r="S16" s="26">
        <f t="shared" si="6"/>
        <v>2.6034439284679962</v>
      </c>
      <c r="T16" s="26">
        <f t="shared" si="6"/>
        <v>5.6217652494313184E-3</v>
      </c>
      <c r="U16" s="26">
        <f t="shared" si="6"/>
        <v>8.7125136886769594E-2</v>
      </c>
      <c r="V16" s="26">
        <f t="shared" si="6"/>
        <v>7.754137182922495E-2</v>
      </c>
      <c r="W16" s="26">
        <f t="shared" si="6"/>
        <v>499.63624687357566</v>
      </c>
      <c r="X16" s="26">
        <f t="shared" si="6"/>
        <v>3.1919798933089022E-2</v>
      </c>
      <c r="Y16" s="26">
        <f t="shared" si="6"/>
        <v>0.24732717320445963</v>
      </c>
    </row>
    <row r="17" spans="1:25" s="3" customFormat="1">
      <c r="A17" s="17" t="s">
        <v>28</v>
      </c>
      <c r="B17" s="97"/>
      <c r="C17" s="22"/>
      <c r="D17" s="22"/>
      <c r="E17" s="23"/>
      <c r="F17" s="23"/>
      <c r="G17" s="23"/>
      <c r="H17" s="23"/>
      <c r="I17" s="23"/>
      <c r="J17" s="24"/>
      <c r="K17" s="25"/>
      <c r="L17" s="23"/>
      <c r="M17" s="23"/>
      <c r="N17" s="88"/>
      <c r="O17" s="88"/>
      <c r="P17" s="88"/>
      <c r="Q17" s="27">
        <f t="shared" ref="Q17:Y17" si="7">SUM(Q14:Q16)</f>
        <v>1.0338938429889921</v>
      </c>
      <c r="R17" s="27">
        <f t="shared" si="7"/>
        <v>2.9075990457144876</v>
      </c>
      <c r="S17" s="27">
        <f t="shared" si="7"/>
        <v>5.1917834346408345</v>
      </c>
      <c r="T17" s="27">
        <f t="shared" si="7"/>
        <v>1.0519184065180577E-2</v>
      </c>
      <c r="U17" s="27">
        <f t="shared" si="7"/>
        <v>0.23761124799788069</v>
      </c>
      <c r="V17" s="27">
        <f t="shared" si="7"/>
        <v>0.21147401071811384</v>
      </c>
      <c r="W17" s="27">
        <f t="shared" si="7"/>
        <v>914.52627356410687</v>
      </c>
      <c r="X17" s="27">
        <f t="shared" si="7"/>
        <v>9.728210011363761E-2</v>
      </c>
      <c r="Y17" s="27">
        <f t="shared" si="7"/>
        <v>0.49321942629087934</v>
      </c>
    </row>
    <row r="18" spans="1:25" s="3" customFormat="1">
      <c r="A18" s="17"/>
      <c r="B18" s="97"/>
      <c r="C18" s="22"/>
      <c r="D18" s="22"/>
      <c r="E18" s="23"/>
      <c r="F18" s="23"/>
      <c r="G18" s="23"/>
      <c r="H18" s="23"/>
      <c r="I18" s="23"/>
      <c r="J18" s="24"/>
      <c r="K18" s="25"/>
      <c r="L18" s="23"/>
      <c r="M18" s="23"/>
      <c r="N18" s="88"/>
      <c r="O18" s="88"/>
      <c r="P18" s="88"/>
      <c r="Q18" s="27"/>
      <c r="R18" s="27"/>
      <c r="S18" s="27"/>
      <c r="T18" s="27"/>
      <c r="U18" s="27"/>
      <c r="V18" s="27"/>
      <c r="W18" s="27"/>
      <c r="X18" s="27"/>
      <c r="Y18" s="27"/>
    </row>
    <row r="19" spans="1:25" s="3" customFormat="1">
      <c r="A19" s="11" t="s">
        <v>399</v>
      </c>
      <c r="B19" s="22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11"/>
      <c r="O19" s="11"/>
      <c r="P19" s="11"/>
      <c r="Q19" s="27"/>
      <c r="R19" s="27"/>
      <c r="S19" s="27"/>
      <c r="T19" s="27"/>
      <c r="U19" s="27"/>
      <c r="V19" s="27"/>
      <c r="W19" s="28"/>
      <c r="X19" s="27"/>
      <c r="Y19" s="27"/>
    </row>
    <row r="20" spans="1:25">
      <c r="A20" s="24" t="s">
        <v>400</v>
      </c>
      <c r="B20" s="29" t="s">
        <v>27</v>
      </c>
      <c r="C20" s="97">
        <v>235</v>
      </c>
      <c r="D20" s="97"/>
      <c r="E20" s="102">
        <v>0.11792220738547983</v>
      </c>
      <c r="F20" s="102">
        <v>0.36512193352152528</v>
      </c>
      <c r="G20" s="102">
        <v>0.86781464282266541</v>
      </c>
      <c r="H20" s="102">
        <v>1.8739217498104396E-3</v>
      </c>
      <c r="I20" s="102">
        <v>2.9041712295589866E-2</v>
      </c>
      <c r="J20" s="100">
        <f t="shared" ref="J20:J21" si="8">0.89*I20</f>
        <v>2.5847123943074982E-2</v>
      </c>
      <c r="K20" s="103">
        <v>166.54541562452522</v>
      </c>
      <c r="L20" s="102">
        <v>1.063993297769634E-2</v>
      </c>
      <c r="M20" s="104">
        <f t="shared" ref="M20:M21" si="9">0.095*G20</f>
        <v>8.2442391068153209E-2</v>
      </c>
      <c r="N20" s="98">
        <v>1</v>
      </c>
      <c r="O20" s="87">
        <v>8</v>
      </c>
      <c r="P20" s="88">
        <v>4</v>
      </c>
      <c r="Q20" s="34">
        <f t="shared" ref="Q20:Y21" si="10">(E20*$N20*$O20)</f>
        <v>0.94337765908383864</v>
      </c>
      <c r="R20" s="26">
        <f t="shared" si="10"/>
        <v>2.9209754681722022</v>
      </c>
      <c r="S20" s="26">
        <f t="shared" si="10"/>
        <v>6.9425171425813232</v>
      </c>
      <c r="T20" s="26">
        <f t="shared" si="10"/>
        <v>1.4991373998483517E-2</v>
      </c>
      <c r="U20" s="26">
        <f t="shared" si="10"/>
        <v>0.23233369836471893</v>
      </c>
      <c r="V20" s="26">
        <f t="shared" si="10"/>
        <v>0.20677699154459986</v>
      </c>
      <c r="W20" s="26">
        <f t="shared" si="10"/>
        <v>1332.3633249962018</v>
      </c>
      <c r="X20" s="26">
        <f t="shared" si="10"/>
        <v>8.5119463821570721E-2</v>
      </c>
      <c r="Y20" s="26">
        <f t="shared" si="10"/>
        <v>0.65953912854522567</v>
      </c>
    </row>
    <row r="21" spans="1:25">
      <c r="A21" s="24" t="s">
        <v>297</v>
      </c>
      <c r="B21" s="29" t="s">
        <v>27</v>
      </c>
      <c r="C21" s="97">
        <v>235</v>
      </c>
      <c r="D21" s="97"/>
      <c r="E21" s="102">
        <v>0.11792220738547983</v>
      </c>
      <c r="F21" s="102">
        <v>0.36512193352152528</v>
      </c>
      <c r="G21" s="102">
        <v>0.86781464282266541</v>
      </c>
      <c r="H21" s="102">
        <v>1.8739217498104396E-3</v>
      </c>
      <c r="I21" s="102">
        <v>2.9041712295589866E-2</v>
      </c>
      <c r="J21" s="100">
        <f t="shared" si="8"/>
        <v>2.5847123943074982E-2</v>
      </c>
      <c r="K21" s="103">
        <v>166.54541562452522</v>
      </c>
      <c r="L21" s="102">
        <v>1.063993297769634E-2</v>
      </c>
      <c r="M21" s="104">
        <f t="shared" si="9"/>
        <v>8.2442391068153209E-2</v>
      </c>
      <c r="N21" s="98">
        <v>1</v>
      </c>
      <c r="O21" s="87">
        <v>8</v>
      </c>
      <c r="P21" s="88">
        <v>4</v>
      </c>
      <c r="Q21" s="34">
        <f t="shared" si="10"/>
        <v>0.94337765908383864</v>
      </c>
      <c r="R21" s="26">
        <f t="shared" si="10"/>
        <v>2.9209754681722022</v>
      </c>
      <c r="S21" s="26">
        <f t="shared" si="10"/>
        <v>6.9425171425813232</v>
      </c>
      <c r="T21" s="26">
        <f t="shared" si="10"/>
        <v>1.4991373998483517E-2</v>
      </c>
      <c r="U21" s="26">
        <f t="shared" si="10"/>
        <v>0.23233369836471893</v>
      </c>
      <c r="V21" s="26">
        <f t="shared" si="10"/>
        <v>0.20677699154459986</v>
      </c>
      <c r="W21" s="26">
        <f t="shared" si="10"/>
        <v>1332.3633249962018</v>
      </c>
      <c r="X21" s="26">
        <f t="shared" si="10"/>
        <v>8.5119463821570721E-2</v>
      </c>
      <c r="Y21" s="26">
        <f t="shared" si="10"/>
        <v>0.65953912854522567</v>
      </c>
    </row>
    <row r="22" spans="1:25">
      <c r="A22" s="17" t="s">
        <v>28</v>
      </c>
      <c r="B22" s="97"/>
      <c r="C22" s="22"/>
      <c r="D22" s="22"/>
      <c r="E22" s="23"/>
      <c r="F22" s="23"/>
      <c r="G22" s="23"/>
      <c r="H22" s="23"/>
      <c r="I22" s="23"/>
      <c r="J22" s="24"/>
      <c r="K22" s="25"/>
      <c r="L22" s="23"/>
      <c r="M22" s="23"/>
      <c r="N22" s="88"/>
      <c r="O22" s="88"/>
      <c r="P22" s="88"/>
      <c r="Q22" s="27">
        <f t="shared" ref="Q22:Y22" si="11">SUM(Q20:Q21)</f>
        <v>1.8867553181676773</v>
      </c>
      <c r="R22" s="27">
        <f t="shared" si="11"/>
        <v>5.8419509363444044</v>
      </c>
      <c r="S22" s="27">
        <f t="shared" si="11"/>
        <v>13.885034285162646</v>
      </c>
      <c r="T22" s="27">
        <f t="shared" si="11"/>
        <v>2.9982747996967034E-2</v>
      </c>
      <c r="U22" s="27">
        <f t="shared" si="11"/>
        <v>0.46466739672943785</v>
      </c>
      <c r="V22" s="27">
        <f t="shared" si="11"/>
        <v>0.41355398308919972</v>
      </c>
      <c r="W22" s="27">
        <f t="shared" si="11"/>
        <v>2664.7266499924035</v>
      </c>
      <c r="X22" s="27">
        <f t="shared" si="11"/>
        <v>0.17023892764314144</v>
      </c>
      <c r="Y22" s="27">
        <f t="shared" si="11"/>
        <v>1.3190782570904513</v>
      </c>
    </row>
    <row r="23" spans="1:25">
      <c r="A23" s="17" t="s">
        <v>499</v>
      </c>
      <c r="B23" s="549"/>
      <c r="C23" s="18"/>
      <c r="D23" s="22"/>
      <c r="E23" s="19"/>
      <c r="F23" s="19"/>
      <c r="G23" s="19"/>
      <c r="H23" s="19"/>
      <c r="I23" s="19"/>
      <c r="J23" s="19"/>
      <c r="K23" s="19"/>
      <c r="L23" s="19"/>
      <c r="M23" s="19"/>
      <c r="N23" s="30"/>
      <c r="O23" s="30"/>
      <c r="P23" s="364"/>
      <c r="Q23" s="20">
        <f>Q11+Q17+Q22</f>
        <v>3.635226284248267</v>
      </c>
      <c r="R23" s="20">
        <f t="shared" ref="R23:Y23" si="12">R11+R17+R22</f>
        <v>11.703709193017286</v>
      </c>
      <c r="S23" s="20">
        <f t="shared" si="12"/>
        <v>23.497874165942637</v>
      </c>
      <c r="T23" s="20">
        <f t="shared" si="12"/>
        <v>4.8824998298225494E-2</v>
      </c>
      <c r="U23" s="20">
        <f t="shared" si="12"/>
        <v>0.948086937043366</v>
      </c>
      <c r="V23" s="20">
        <f t="shared" si="12"/>
        <v>0.84379737396859578</v>
      </c>
      <c r="W23" s="20">
        <f t="shared" si="12"/>
        <v>4275.7064160415384</v>
      </c>
      <c r="X23" s="20">
        <f t="shared" si="12"/>
        <v>0.34006083394734876</v>
      </c>
      <c r="Y23" s="20">
        <f t="shared" si="12"/>
        <v>2.2322980457645505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4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640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C9*(F9)*$B$282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C10*(F10)*$B$282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334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C14*(F14)*$B$224</f>
        <v>0</v>
      </c>
      <c r="AA14" s="50">
        <f>Z14*0.21</f>
        <v>0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0.19978255106729004</v>
      </c>
      <c r="U15" s="81">
        <f t="shared" si="1"/>
        <v>0.36881875565943734</v>
      </c>
      <c r="V15" s="81">
        <f t="shared" si="1"/>
        <v>4.50613455258927E-2</v>
      </c>
      <c r="W15" s="81">
        <f t="shared" si="1"/>
        <v>2.7797226812149543E-3</v>
      </c>
      <c r="X15" s="81">
        <f t="shared" si="1"/>
        <v>7.2738929740302244E-2</v>
      </c>
      <c r="Y15" s="81">
        <f t="shared" si="1"/>
        <v>4.8332197965954803E-2</v>
      </c>
      <c r="Z15" s="81">
        <f t="shared" si="1"/>
        <v>0</v>
      </c>
      <c r="AA15" s="81">
        <f t="shared" si="1"/>
        <v>0</v>
      </c>
      <c r="AB15" s="81">
        <f t="shared" si="1"/>
        <v>193.62821118051326</v>
      </c>
      <c r="AC15" s="81">
        <f t="shared" si="1"/>
        <v>1.1064496871488068E-2</v>
      </c>
      <c r="AD15" s="81">
        <f t="shared" si="1"/>
        <v>4.9599802576000274E-3</v>
      </c>
    </row>
    <row r="16" spans="1:30">
      <c r="A16" s="75"/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</row>
    <row r="17" spans="1:30">
      <c r="A17" s="114" t="s">
        <v>336</v>
      </c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61"/>
      <c r="U17" s="61"/>
      <c r="V17" s="61"/>
      <c r="W17" s="61"/>
      <c r="X17" s="61"/>
      <c r="Y17" s="61"/>
      <c r="Z17" s="62"/>
      <c r="AA17" s="62"/>
      <c r="AB17" s="62"/>
      <c r="AC17" s="62"/>
      <c r="AD17" s="62"/>
    </row>
    <row r="18" spans="1:30">
      <c r="A18" s="78" t="s">
        <v>320</v>
      </c>
      <c r="B18" s="76" t="s">
        <v>95</v>
      </c>
      <c r="C18" s="79">
        <v>3</v>
      </c>
      <c r="D18" s="77"/>
      <c r="E18" s="77">
        <v>35</v>
      </c>
      <c r="F18" s="77">
        <v>60</v>
      </c>
      <c r="G18" s="106">
        <v>0.25172046482947802</v>
      </c>
      <c r="H18" s="106">
        <v>0.464701387165456</v>
      </c>
      <c r="I18" s="106">
        <v>5.6776043658582402E-2</v>
      </c>
      <c r="J18" s="106">
        <v>3.5023733638119199E-3</v>
      </c>
      <c r="K18" s="106">
        <v>4.6899256897933901E-2</v>
      </c>
      <c r="L18" s="47">
        <v>7.99995847163921E-3</v>
      </c>
      <c r="M18" s="47">
        <v>3.6749815577381599E-2</v>
      </c>
      <c r="N18" s="106">
        <v>4.3147317248333997E-2</v>
      </c>
      <c r="O18" s="47">
        <v>1.9999896145790402E-3</v>
      </c>
      <c r="P18" s="47">
        <v>1.57499200131354E-2</v>
      </c>
      <c r="Q18" s="106">
        <v>243.966167526025</v>
      </c>
      <c r="R18" s="47">
        <f>0.000057143*Q18</f>
        <v>1.3940958710939646E-2</v>
      </c>
      <c r="S18" s="80">
        <f>0.000025616*Q18</f>
        <v>6.2494373473466567E-3</v>
      </c>
      <c r="T18" s="50">
        <f>C18*($F18*$G18)/453.59</f>
        <v>9.9891275533645019E-2</v>
      </c>
      <c r="U18" s="50">
        <f>C18*($F18*$H18)/453.59</f>
        <v>0.18440937782971867</v>
      </c>
      <c r="V18" s="50">
        <f>C18*(($F18*$I18))/453.59</f>
        <v>2.253067276294635E-2</v>
      </c>
      <c r="W18" s="50">
        <f>C18*($F18*$J18)/453.59</f>
        <v>1.3898613406074772E-3</v>
      </c>
      <c r="X18" s="50">
        <f>C18*(($F18*($K18+$L18+$M18)))/453.59</f>
        <v>3.6369464870151122E-2</v>
      </c>
      <c r="Y18" s="50">
        <f>C18*(($F18*($N18+$O18+$P18)))/453.59</f>
        <v>2.4166098982977401E-2</v>
      </c>
      <c r="Z18" s="50">
        <f>C18*(F18)*$B$307</f>
        <v>0</v>
      </c>
      <c r="AA18" s="50">
        <f>Z18*0.21</f>
        <v>0</v>
      </c>
      <c r="AB18" s="50">
        <f>C18*(($F18*($Q18)))/453.59</f>
        <v>96.814105590256631</v>
      </c>
      <c r="AC18" s="50">
        <f>C18*(($F18*($R18)))/453.59</f>
        <v>5.5322484357440338E-3</v>
      </c>
      <c r="AD18" s="50">
        <f>C18*(($F18*($S18)))/453.59</f>
        <v>2.4799901288000137E-3</v>
      </c>
    </row>
    <row r="19" spans="1:30">
      <c r="A19" s="75" t="s">
        <v>28</v>
      </c>
      <c r="B19" s="74"/>
      <c r="C19" s="112"/>
      <c r="D19" s="112"/>
      <c r="E19" s="74"/>
      <c r="F19" s="74"/>
      <c r="G19" s="577"/>
      <c r="H19" s="41"/>
      <c r="I19" s="41"/>
      <c r="J19" s="41"/>
      <c r="K19" s="574"/>
      <c r="L19" s="574"/>
      <c r="M19" s="574"/>
      <c r="N19" s="574"/>
      <c r="O19" s="574"/>
      <c r="P19" s="574"/>
      <c r="Q19" s="41"/>
      <c r="R19" s="574"/>
      <c r="S19" s="574"/>
      <c r="T19" s="81">
        <f t="shared" ref="T19:AD19" si="2">SUM(T18:T18)</f>
        <v>9.9891275533645019E-2</v>
      </c>
      <c r="U19" s="81">
        <f t="shared" si="2"/>
        <v>0.18440937782971867</v>
      </c>
      <c r="V19" s="81">
        <f t="shared" si="2"/>
        <v>2.253067276294635E-2</v>
      </c>
      <c r="W19" s="81">
        <f t="shared" si="2"/>
        <v>1.3898613406074772E-3</v>
      </c>
      <c r="X19" s="81">
        <f t="shared" si="2"/>
        <v>3.6369464870151122E-2</v>
      </c>
      <c r="Y19" s="81">
        <f t="shared" si="2"/>
        <v>2.4166098982977401E-2</v>
      </c>
      <c r="Z19" s="81">
        <f t="shared" si="2"/>
        <v>0</v>
      </c>
      <c r="AA19" s="81">
        <f t="shared" si="2"/>
        <v>0</v>
      </c>
      <c r="AB19" s="81">
        <f t="shared" si="2"/>
        <v>96.814105590256631</v>
      </c>
      <c r="AC19" s="81">
        <f t="shared" si="2"/>
        <v>5.5322484357440338E-3</v>
      </c>
      <c r="AD19" s="81">
        <f t="shared" si="2"/>
        <v>2.4799901288000137E-3</v>
      </c>
    </row>
    <row r="20" spans="1:30">
      <c r="A20" s="75" t="s">
        <v>388</v>
      </c>
      <c r="B20" s="74"/>
      <c r="C20" s="112"/>
      <c r="D20" s="112"/>
      <c r="E20" s="74"/>
      <c r="F20" s="74"/>
      <c r="G20" s="547"/>
      <c r="H20" s="41"/>
      <c r="I20" s="41"/>
      <c r="J20" s="41"/>
      <c r="K20" s="544"/>
      <c r="L20" s="544"/>
      <c r="M20" s="544"/>
      <c r="N20" s="544"/>
      <c r="O20" s="544"/>
      <c r="P20" s="544"/>
      <c r="Q20" s="41"/>
      <c r="R20" s="544"/>
      <c r="S20" s="544"/>
      <c r="T20" s="81">
        <f>T11+T15+T19</f>
        <v>0.59051106942383247</v>
      </c>
      <c r="U20" s="81">
        <f t="shared" ref="U20:AD20" si="3">U11+U15+U19</f>
        <v>1.6144243701047405</v>
      </c>
      <c r="V20" s="81">
        <f t="shared" si="3"/>
        <v>0.13641650277605957</v>
      </c>
      <c r="W20" s="81">
        <f t="shared" si="3"/>
        <v>7.448696536397589E-3</v>
      </c>
      <c r="X20" s="81">
        <f t="shared" si="3"/>
        <v>0.17535848125533138</v>
      </c>
      <c r="Y20" s="81">
        <f t="shared" si="3"/>
        <v>0.11867638057804074</v>
      </c>
      <c r="Z20" s="81">
        <f t="shared" si="3"/>
        <v>0</v>
      </c>
      <c r="AA20" s="81">
        <f t="shared" si="3"/>
        <v>0</v>
      </c>
      <c r="AB20" s="81">
        <f t="shared" si="3"/>
        <v>688.97843208459187</v>
      </c>
      <c r="AC20" s="81">
        <f t="shared" si="3"/>
        <v>2.4816045271017211E-2</v>
      </c>
      <c r="AD20" s="81">
        <f t="shared" si="3"/>
        <v>1.7648871516278905E-2</v>
      </c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372" spans="1:2" ht="25.5">
      <c r="A372" s="82" t="s">
        <v>109</v>
      </c>
    </row>
    <row r="374" spans="1:2">
      <c r="A374" s="36" t="s">
        <v>81</v>
      </c>
    </row>
    <row r="375" spans="1:2">
      <c r="A375" s="36" t="s">
        <v>82</v>
      </c>
    </row>
    <row r="376" spans="1:2">
      <c r="A376" s="36" t="s">
        <v>83</v>
      </c>
    </row>
    <row r="377" spans="1:2">
      <c r="A377" s="37" t="s">
        <v>96</v>
      </c>
    </row>
    <row r="378" spans="1:2">
      <c r="A378" s="36" t="s">
        <v>85</v>
      </c>
    </row>
    <row r="379" spans="1:2">
      <c r="A379" s="36" t="s">
        <v>86</v>
      </c>
    </row>
    <row r="380" spans="1:2">
      <c r="A380" s="36" t="s">
        <v>87</v>
      </c>
    </row>
    <row r="381" spans="1:2">
      <c r="A381" s="36" t="s">
        <v>0</v>
      </c>
    </row>
    <row r="382" spans="1:2">
      <c r="A382" s="37" t="s">
        <v>97</v>
      </c>
      <c r="B382" s="36">
        <f>(0.016*(0.03/2)^0.65*(2/3)^1.5)-0.00047</f>
        <v>9.8123053326417428E-5</v>
      </c>
    </row>
    <row r="383" spans="1:2">
      <c r="A383" s="37" t="s">
        <v>98</v>
      </c>
      <c r="B383" s="36">
        <f>(0.016*(0.03/2)^0.65*(13/3)^1.5)-0.00047</f>
        <v>8.9448292388582783E-3</v>
      </c>
    </row>
    <row r="384" spans="1:2">
      <c r="A384" s="37" t="s">
        <v>99</v>
      </c>
      <c r="B384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641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 ht="25.5">
      <c r="A5" s="44" t="s">
        <v>334</v>
      </c>
      <c r="B5" s="45" t="s">
        <v>102</v>
      </c>
      <c r="C5" s="46">
        <v>10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ref="AC5:AC6" si="2">0.000049261*AA5</f>
        <v>2.2095931710230707E-2</v>
      </c>
      <c r="AD5" s="49">
        <v>3.2599999999999997E-2</v>
      </c>
      <c r="AE5" s="47">
        <f t="shared" ref="AE5:AE6" si="3">0.000021675*AA5</f>
        <v>9.7222817202097123E-3</v>
      </c>
    </row>
    <row r="6" spans="1:67" ht="25.5">
      <c r="A6" s="44" t="s">
        <v>336</v>
      </c>
      <c r="B6" s="45" t="s">
        <v>102</v>
      </c>
      <c r="C6" s="46">
        <v>5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2"/>
        <v>2.2095931710230707E-2</v>
      </c>
      <c r="AD6" s="49">
        <v>3.2599999999999997E-2</v>
      </c>
      <c r="AE6" s="47">
        <f t="shared" si="3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546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4">AG$11*$AC16</f>
        <v>#REF!</v>
      </c>
      <c r="AH16" s="36" t="e">
        <f t="shared" si="4"/>
        <v>#REF!</v>
      </c>
      <c r="AI16" s="36" t="e">
        <f t="shared" si="4"/>
        <v>#REF!</v>
      </c>
      <c r="AJ16" s="36" t="e">
        <f t="shared" si="4"/>
        <v>#REF!</v>
      </c>
      <c r="AK16" s="36" t="e">
        <f t="shared" si="4"/>
        <v>#REF!</v>
      </c>
      <c r="AL16" s="36" t="e">
        <f t="shared" si="4"/>
        <v>#REF!</v>
      </c>
      <c r="AM16" s="36" t="e">
        <f t="shared" si="4"/>
        <v>#REF!</v>
      </c>
      <c r="AN16" s="36" t="e">
        <f t="shared" si="4"/>
        <v>#REF!</v>
      </c>
      <c r="AO16" s="36" t="e">
        <f t="shared" si="4"/>
        <v>#REF!</v>
      </c>
      <c r="AQ16" s="38"/>
      <c r="AR16" s="36" t="e">
        <f>AR$11*$AC16</f>
        <v>#REF!</v>
      </c>
      <c r="AS16" s="36" t="e">
        <f t="shared" ref="AS16:BA24" si="5">AS$11*$AC16</f>
        <v>#REF!</v>
      </c>
      <c r="AT16" s="36" t="e">
        <f t="shared" si="5"/>
        <v>#REF!</v>
      </c>
      <c r="AU16" s="36" t="e">
        <f t="shared" si="5"/>
        <v>#REF!</v>
      </c>
      <c r="AV16" s="36" t="e">
        <f t="shared" si="5"/>
        <v>#REF!</v>
      </c>
      <c r="AW16" s="36" t="e">
        <f t="shared" si="5"/>
        <v>#REF!</v>
      </c>
      <c r="AX16" s="36" t="e">
        <f t="shared" si="5"/>
        <v>#REF!</v>
      </c>
      <c r="AY16" s="36" t="e">
        <f t="shared" si="5"/>
        <v>#REF!</v>
      </c>
      <c r="AZ16" s="36" t="e">
        <f t="shared" si="5"/>
        <v>#REF!</v>
      </c>
      <c r="BA16" s="36" t="e">
        <f t="shared" si="5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6">AF$11*$AC17</f>
        <v>#REF!</v>
      </c>
      <c r="AG17" s="36" t="e">
        <f t="shared" si="4"/>
        <v>#REF!</v>
      </c>
      <c r="AH17" s="36" t="e">
        <f t="shared" si="4"/>
        <v>#REF!</v>
      </c>
      <c r="AI17" s="36" t="e">
        <f t="shared" si="4"/>
        <v>#REF!</v>
      </c>
      <c r="AJ17" s="36" t="e">
        <f t="shared" si="4"/>
        <v>#REF!</v>
      </c>
      <c r="AK17" s="36" t="e">
        <f t="shared" si="4"/>
        <v>#REF!</v>
      </c>
      <c r="AL17" s="36" t="e">
        <f t="shared" si="4"/>
        <v>#REF!</v>
      </c>
      <c r="AM17" s="36" t="e">
        <f t="shared" si="4"/>
        <v>#REF!</v>
      </c>
      <c r="AN17" s="36" t="e">
        <f t="shared" si="4"/>
        <v>#REF!</v>
      </c>
      <c r="AO17" s="36" t="e">
        <f t="shared" si="4"/>
        <v>#REF!</v>
      </c>
      <c r="AQ17" s="38"/>
      <c r="AR17" s="36" t="e">
        <f t="shared" ref="AR17:AR24" si="7">AR$11*$AC17</f>
        <v>#REF!</v>
      </c>
      <c r="AS17" s="36" t="e">
        <f t="shared" si="5"/>
        <v>#REF!</v>
      </c>
      <c r="AT17" s="36" t="e">
        <f t="shared" si="5"/>
        <v>#REF!</v>
      </c>
      <c r="AU17" s="36" t="e">
        <f t="shared" si="5"/>
        <v>#REF!</v>
      </c>
      <c r="AV17" s="36" t="e">
        <f t="shared" si="5"/>
        <v>#REF!</v>
      </c>
      <c r="AW17" s="36" t="e">
        <f t="shared" si="5"/>
        <v>#REF!</v>
      </c>
      <c r="AX17" s="36" t="e">
        <f t="shared" si="5"/>
        <v>#REF!</v>
      </c>
      <c r="AY17" s="36" t="e">
        <f t="shared" si="5"/>
        <v>#REF!</v>
      </c>
      <c r="AZ17" s="36" t="e">
        <f t="shared" si="5"/>
        <v>#REF!</v>
      </c>
      <c r="BA17" s="36" t="e">
        <f t="shared" si="5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6"/>
        <v>#REF!</v>
      </c>
      <c r="AG18" s="36" t="e">
        <f t="shared" si="4"/>
        <v>#REF!</v>
      </c>
      <c r="AH18" s="36" t="e">
        <f t="shared" si="4"/>
        <v>#REF!</v>
      </c>
      <c r="AI18" s="36" t="e">
        <f t="shared" si="4"/>
        <v>#REF!</v>
      </c>
      <c r="AJ18" s="36" t="e">
        <f t="shared" si="4"/>
        <v>#REF!</v>
      </c>
      <c r="AK18" s="36" t="e">
        <f t="shared" si="4"/>
        <v>#REF!</v>
      </c>
      <c r="AL18" s="36" t="e">
        <f t="shared" si="4"/>
        <v>#REF!</v>
      </c>
      <c r="AM18" s="36" t="e">
        <f t="shared" si="4"/>
        <v>#REF!</v>
      </c>
      <c r="AN18" s="36" t="e">
        <f t="shared" si="4"/>
        <v>#REF!</v>
      </c>
      <c r="AO18" s="36" t="e">
        <f t="shared" si="4"/>
        <v>#REF!</v>
      </c>
      <c r="AQ18" s="38"/>
      <c r="AR18" s="36" t="e">
        <f t="shared" si="7"/>
        <v>#REF!</v>
      </c>
      <c r="AS18" s="36" t="e">
        <f t="shared" si="5"/>
        <v>#REF!</v>
      </c>
      <c r="AT18" s="36" t="e">
        <f t="shared" si="5"/>
        <v>#REF!</v>
      </c>
      <c r="AU18" s="36" t="e">
        <f t="shared" si="5"/>
        <v>#REF!</v>
      </c>
      <c r="AV18" s="36" t="e">
        <f t="shared" si="5"/>
        <v>#REF!</v>
      </c>
      <c r="AW18" s="36" t="e">
        <f t="shared" si="5"/>
        <v>#REF!</v>
      </c>
      <c r="AX18" s="36" t="e">
        <f t="shared" si="5"/>
        <v>#REF!</v>
      </c>
      <c r="AY18" s="36" t="e">
        <f t="shared" si="5"/>
        <v>#REF!</v>
      </c>
      <c r="AZ18" s="36" t="e">
        <f t="shared" si="5"/>
        <v>#REF!</v>
      </c>
      <c r="BA18" s="36" t="e">
        <f t="shared" si="5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6"/>
        <v>#REF!</v>
      </c>
      <c r="AG19" s="36" t="e">
        <f t="shared" si="4"/>
        <v>#REF!</v>
      </c>
      <c r="AH19" s="36" t="e">
        <f t="shared" si="4"/>
        <v>#REF!</v>
      </c>
      <c r="AI19" s="36" t="e">
        <f t="shared" si="4"/>
        <v>#REF!</v>
      </c>
      <c r="AJ19" s="36" t="e">
        <f t="shared" si="4"/>
        <v>#REF!</v>
      </c>
      <c r="AK19" s="36" t="e">
        <f t="shared" si="4"/>
        <v>#REF!</v>
      </c>
      <c r="AL19" s="36" t="e">
        <f t="shared" si="4"/>
        <v>#REF!</v>
      </c>
      <c r="AM19" s="36" t="e">
        <f t="shared" si="4"/>
        <v>#REF!</v>
      </c>
      <c r="AN19" s="36" t="e">
        <f t="shared" si="4"/>
        <v>#REF!</v>
      </c>
      <c r="AO19" s="36" t="e">
        <f t="shared" si="4"/>
        <v>#REF!</v>
      </c>
      <c r="AQ19" s="38"/>
      <c r="AR19" s="36" t="e">
        <f t="shared" si="7"/>
        <v>#REF!</v>
      </c>
      <c r="AS19" s="36" t="e">
        <f t="shared" si="5"/>
        <v>#REF!</v>
      </c>
      <c r="AT19" s="36" t="e">
        <f t="shared" si="5"/>
        <v>#REF!</v>
      </c>
      <c r="AU19" s="36" t="e">
        <f t="shared" si="5"/>
        <v>#REF!</v>
      </c>
      <c r="AV19" s="36" t="e">
        <f t="shared" si="5"/>
        <v>#REF!</v>
      </c>
      <c r="AW19" s="36" t="e">
        <f t="shared" si="5"/>
        <v>#REF!</v>
      </c>
      <c r="AX19" s="36" t="e">
        <f t="shared" si="5"/>
        <v>#REF!</v>
      </c>
      <c r="AY19" s="36" t="e">
        <f t="shared" si="5"/>
        <v>#REF!</v>
      </c>
      <c r="AZ19" s="36" t="e">
        <f t="shared" si="5"/>
        <v>#REF!</v>
      </c>
      <c r="BA19" s="36" t="e">
        <f t="shared" si="5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6"/>
        <v>#REF!</v>
      </c>
      <c r="AG20" s="36" t="e">
        <f t="shared" si="4"/>
        <v>#REF!</v>
      </c>
      <c r="AH20" s="36" t="e">
        <f t="shared" si="4"/>
        <v>#REF!</v>
      </c>
      <c r="AI20" s="36" t="e">
        <f t="shared" si="4"/>
        <v>#REF!</v>
      </c>
      <c r="AJ20" s="36" t="e">
        <f t="shared" si="4"/>
        <v>#REF!</v>
      </c>
      <c r="AK20" s="36" t="e">
        <f t="shared" si="4"/>
        <v>#REF!</v>
      </c>
      <c r="AL20" s="36" t="e">
        <f t="shared" si="4"/>
        <v>#REF!</v>
      </c>
      <c r="AM20" s="36" t="e">
        <f t="shared" si="4"/>
        <v>#REF!</v>
      </c>
      <c r="AN20" s="36" t="e">
        <f t="shared" si="4"/>
        <v>#REF!</v>
      </c>
      <c r="AO20" s="36" t="e">
        <f t="shared" si="4"/>
        <v>#REF!</v>
      </c>
      <c r="AQ20" s="38"/>
      <c r="AR20" s="36" t="e">
        <f t="shared" si="7"/>
        <v>#REF!</v>
      </c>
      <c r="AS20" s="36" t="e">
        <f t="shared" si="5"/>
        <v>#REF!</v>
      </c>
      <c r="AT20" s="36" t="e">
        <f t="shared" si="5"/>
        <v>#REF!</v>
      </c>
      <c r="AU20" s="36" t="e">
        <f t="shared" si="5"/>
        <v>#REF!</v>
      </c>
      <c r="AV20" s="36" t="e">
        <f t="shared" si="5"/>
        <v>#REF!</v>
      </c>
      <c r="AW20" s="36" t="e">
        <f t="shared" si="5"/>
        <v>#REF!</v>
      </c>
      <c r="AX20" s="36" t="e">
        <f t="shared" si="5"/>
        <v>#REF!</v>
      </c>
      <c r="AY20" s="36" t="e">
        <f t="shared" si="5"/>
        <v>#REF!</v>
      </c>
      <c r="AZ20" s="36" t="e">
        <f t="shared" si="5"/>
        <v>#REF!</v>
      </c>
      <c r="BA20" s="36" t="e">
        <f t="shared" si="5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6"/>
        <v>#REF!</v>
      </c>
      <c r="AG21" s="36" t="e">
        <f t="shared" si="4"/>
        <v>#REF!</v>
      </c>
      <c r="AH21" s="36" t="e">
        <f t="shared" si="4"/>
        <v>#REF!</v>
      </c>
      <c r="AI21" s="36" t="e">
        <f t="shared" si="4"/>
        <v>#REF!</v>
      </c>
      <c r="AJ21" s="36" t="e">
        <f t="shared" si="4"/>
        <v>#REF!</v>
      </c>
      <c r="AK21" s="36" t="e">
        <f t="shared" si="4"/>
        <v>#REF!</v>
      </c>
      <c r="AL21" s="36" t="e">
        <f t="shared" si="4"/>
        <v>#REF!</v>
      </c>
      <c r="AM21" s="36" t="e">
        <f t="shared" si="4"/>
        <v>#REF!</v>
      </c>
      <c r="AN21" s="36" t="e">
        <f t="shared" si="4"/>
        <v>#REF!</v>
      </c>
      <c r="AO21" s="36" t="e">
        <f t="shared" si="4"/>
        <v>#REF!</v>
      </c>
      <c r="AQ21" s="38"/>
      <c r="AR21" s="36" t="e">
        <f t="shared" si="7"/>
        <v>#REF!</v>
      </c>
      <c r="AS21" s="36" t="e">
        <f t="shared" si="5"/>
        <v>#REF!</v>
      </c>
      <c r="AT21" s="36" t="e">
        <f t="shared" si="5"/>
        <v>#REF!</v>
      </c>
      <c r="AU21" s="36" t="e">
        <f t="shared" si="5"/>
        <v>#REF!</v>
      </c>
      <c r="AV21" s="36" t="e">
        <f t="shared" si="5"/>
        <v>#REF!</v>
      </c>
      <c r="AW21" s="36" t="e">
        <f t="shared" si="5"/>
        <v>#REF!</v>
      </c>
      <c r="AX21" s="36" t="e">
        <f t="shared" si="5"/>
        <v>#REF!</v>
      </c>
      <c r="AY21" s="36" t="e">
        <f t="shared" si="5"/>
        <v>#REF!</v>
      </c>
      <c r="AZ21" s="36" t="e">
        <f t="shared" si="5"/>
        <v>#REF!</v>
      </c>
      <c r="BA21" s="36" t="e">
        <f t="shared" si="5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6"/>
        <v>#REF!</v>
      </c>
      <c r="AG22" s="36" t="e">
        <f t="shared" si="4"/>
        <v>#REF!</v>
      </c>
      <c r="AH22" s="36" t="e">
        <f t="shared" si="4"/>
        <v>#REF!</v>
      </c>
      <c r="AI22" s="36" t="e">
        <f t="shared" si="4"/>
        <v>#REF!</v>
      </c>
      <c r="AJ22" s="36" t="e">
        <f t="shared" si="4"/>
        <v>#REF!</v>
      </c>
      <c r="AK22" s="36" t="e">
        <f t="shared" si="4"/>
        <v>#REF!</v>
      </c>
      <c r="AL22" s="36" t="e">
        <f t="shared" si="4"/>
        <v>#REF!</v>
      </c>
      <c r="AM22" s="36" t="e">
        <f t="shared" si="4"/>
        <v>#REF!</v>
      </c>
      <c r="AN22" s="36" t="e">
        <f t="shared" si="4"/>
        <v>#REF!</v>
      </c>
      <c r="AO22" s="36" t="e">
        <f t="shared" si="4"/>
        <v>#REF!</v>
      </c>
      <c r="AQ22" s="38"/>
      <c r="AR22" s="36" t="e">
        <f t="shared" si="7"/>
        <v>#REF!</v>
      </c>
      <c r="AS22" s="36" t="e">
        <f t="shared" si="5"/>
        <v>#REF!</v>
      </c>
      <c r="AT22" s="36" t="e">
        <f t="shared" si="5"/>
        <v>#REF!</v>
      </c>
      <c r="AU22" s="36" t="e">
        <f t="shared" si="5"/>
        <v>#REF!</v>
      </c>
      <c r="AV22" s="36" t="e">
        <f t="shared" si="5"/>
        <v>#REF!</v>
      </c>
      <c r="AW22" s="36" t="e">
        <f t="shared" si="5"/>
        <v>#REF!</v>
      </c>
      <c r="AX22" s="36" t="e">
        <f t="shared" si="5"/>
        <v>#REF!</v>
      </c>
      <c r="AY22" s="36" t="e">
        <f t="shared" si="5"/>
        <v>#REF!</v>
      </c>
      <c r="AZ22" s="36" t="e">
        <f t="shared" si="5"/>
        <v>#REF!</v>
      </c>
      <c r="BA22" s="36" t="e">
        <f t="shared" si="5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6"/>
        <v>#REF!</v>
      </c>
      <c r="AG23" s="36" t="e">
        <f t="shared" si="4"/>
        <v>#REF!</v>
      </c>
      <c r="AH23" s="36" t="e">
        <f t="shared" si="4"/>
        <v>#REF!</v>
      </c>
      <c r="AI23" s="36" t="e">
        <f t="shared" si="4"/>
        <v>#REF!</v>
      </c>
      <c r="AJ23" s="36" t="e">
        <f t="shared" si="4"/>
        <v>#REF!</v>
      </c>
      <c r="AK23" s="36" t="e">
        <f t="shared" si="4"/>
        <v>#REF!</v>
      </c>
      <c r="AL23" s="36" t="e">
        <f t="shared" si="4"/>
        <v>#REF!</v>
      </c>
      <c r="AM23" s="36" t="e">
        <f t="shared" si="4"/>
        <v>#REF!</v>
      </c>
      <c r="AN23" s="36" t="e">
        <f t="shared" si="4"/>
        <v>#REF!</v>
      </c>
      <c r="AO23" s="36" t="e">
        <f t="shared" si="4"/>
        <v>#REF!</v>
      </c>
      <c r="AQ23" s="38"/>
      <c r="AR23" s="36" t="e">
        <f t="shared" si="7"/>
        <v>#REF!</v>
      </c>
      <c r="AS23" s="36" t="e">
        <f t="shared" si="5"/>
        <v>#REF!</v>
      </c>
      <c r="AT23" s="36" t="e">
        <f t="shared" si="5"/>
        <v>#REF!</v>
      </c>
      <c r="AU23" s="36" t="e">
        <f t="shared" si="5"/>
        <v>#REF!</v>
      </c>
      <c r="AV23" s="36" t="e">
        <f t="shared" si="5"/>
        <v>#REF!</v>
      </c>
      <c r="AW23" s="36" t="e">
        <f t="shared" si="5"/>
        <v>#REF!</v>
      </c>
      <c r="AX23" s="36" t="e">
        <f t="shared" si="5"/>
        <v>#REF!</v>
      </c>
      <c r="AY23" s="36" t="e">
        <f t="shared" si="5"/>
        <v>#REF!</v>
      </c>
      <c r="AZ23" s="36" t="e">
        <f t="shared" si="5"/>
        <v>#REF!</v>
      </c>
      <c r="BA23" s="36" t="e">
        <f t="shared" si="5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6"/>
        <v>#REF!</v>
      </c>
      <c r="AG24" s="36" t="e">
        <f t="shared" si="4"/>
        <v>#REF!</v>
      </c>
      <c r="AH24" s="36" t="e">
        <f t="shared" si="4"/>
        <v>#REF!</v>
      </c>
      <c r="AI24" s="36" t="e">
        <f t="shared" si="4"/>
        <v>#REF!</v>
      </c>
      <c r="AJ24" s="36" t="e">
        <f t="shared" si="4"/>
        <v>#REF!</v>
      </c>
      <c r="AK24" s="36" t="e">
        <f t="shared" si="4"/>
        <v>#REF!</v>
      </c>
      <c r="AL24" s="36" t="e">
        <f t="shared" si="4"/>
        <v>#REF!</v>
      </c>
      <c r="AM24" s="36" t="e">
        <f t="shared" si="4"/>
        <v>#REF!</v>
      </c>
      <c r="AN24" s="36" t="e">
        <f t="shared" si="4"/>
        <v>#REF!</v>
      </c>
      <c r="AO24" s="36" t="e">
        <f t="shared" si="4"/>
        <v>#REF!</v>
      </c>
      <c r="AQ24" s="38"/>
      <c r="AR24" s="36" t="e">
        <f t="shared" si="7"/>
        <v>#REF!</v>
      </c>
      <c r="AS24" s="36" t="e">
        <f t="shared" si="5"/>
        <v>#REF!</v>
      </c>
      <c r="AT24" s="36" t="e">
        <f t="shared" si="5"/>
        <v>#REF!</v>
      </c>
      <c r="AU24" s="36" t="e">
        <f t="shared" si="5"/>
        <v>#REF!</v>
      </c>
      <c r="AV24" s="36" t="e">
        <f t="shared" si="5"/>
        <v>#REF!</v>
      </c>
      <c r="AW24" s="36" t="e">
        <f t="shared" si="5"/>
        <v>#REF!</v>
      </c>
      <c r="AX24" s="36" t="e">
        <f t="shared" si="5"/>
        <v>#REF!</v>
      </c>
      <c r="AY24" s="36" t="e">
        <f t="shared" si="5"/>
        <v>#REF!</v>
      </c>
      <c r="AZ24" s="36" t="e">
        <f t="shared" si="5"/>
        <v>#REF!</v>
      </c>
      <c r="BA24" s="36" t="e">
        <f t="shared" si="5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8">AF$11*$AC27</f>
        <v>#REF!</v>
      </c>
      <c r="AG27" s="36" t="e">
        <f t="shared" si="8"/>
        <v>#REF!</v>
      </c>
      <c r="AH27" s="36" t="e">
        <f t="shared" si="8"/>
        <v>#REF!</v>
      </c>
      <c r="AI27" s="36" t="e">
        <f t="shared" si="8"/>
        <v>#REF!</v>
      </c>
      <c r="AJ27" s="36" t="e">
        <f t="shared" si="8"/>
        <v>#REF!</v>
      </c>
      <c r="AK27" s="36" t="e">
        <f t="shared" si="8"/>
        <v>#REF!</v>
      </c>
      <c r="AL27" s="36" t="e">
        <f t="shared" si="8"/>
        <v>#REF!</v>
      </c>
      <c r="AM27" s="36" t="e">
        <f t="shared" si="8"/>
        <v>#REF!</v>
      </c>
      <c r="AN27" s="36" t="e">
        <f t="shared" si="8"/>
        <v>#REF!</v>
      </c>
      <c r="AO27" s="36" t="e">
        <f t="shared" si="8"/>
        <v>#REF!</v>
      </c>
      <c r="AQ27" s="38"/>
      <c r="AR27" s="36" t="e">
        <f t="shared" ref="AR27:BA35" si="9">AR$11*$AC27</f>
        <v>#REF!</v>
      </c>
      <c r="AS27" s="36" t="e">
        <f t="shared" si="9"/>
        <v>#REF!</v>
      </c>
      <c r="AT27" s="36" t="e">
        <f t="shared" si="9"/>
        <v>#REF!</v>
      </c>
      <c r="AU27" s="36" t="e">
        <f t="shared" si="9"/>
        <v>#REF!</v>
      </c>
      <c r="AV27" s="36" t="e">
        <f t="shared" si="9"/>
        <v>#REF!</v>
      </c>
      <c r="AW27" s="36" t="e">
        <f t="shared" si="9"/>
        <v>#REF!</v>
      </c>
      <c r="AX27" s="36" t="e">
        <f t="shared" si="9"/>
        <v>#REF!</v>
      </c>
      <c r="AY27" s="36" t="e">
        <f t="shared" si="9"/>
        <v>#REF!</v>
      </c>
      <c r="AZ27" s="36" t="e">
        <f t="shared" si="9"/>
        <v>#REF!</v>
      </c>
      <c r="BA27" s="36" t="e">
        <f t="shared" si="9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8"/>
        <v>#REF!</v>
      </c>
      <c r="AG28" s="36" t="e">
        <f t="shared" si="8"/>
        <v>#REF!</v>
      </c>
      <c r="AH28" s="36" t="e">
        <f t="shared" si="8"/>
        <v>#REF!</v>
      </c>
      <c r="AI28" s="36" t="e">
        <f t="shared" si="8"/>
        <v>#REF!</v>
      </c>
      <c r="AJ28" s="36" t="e">
        <f t="shared" si="8"/>
        <v>#REF!</v>
      </c>
      <c r="AK28" s="36" t="e">
        <f t="shared" si="8"/>
        <v>#REF!</v>
      </c>
      <c r="AL28" s="36" t="e">
        <f t="shared" si="8"/>
        <v>#REF!</v>
      </c>
      <c r="AM28" s="36" t="e">
        <f t="shared" si="8"/>
        <v>#REF!</v>
      </c>
      <c r="AN28" s="36" t="e">
        <f t="shared" si="8"/>
        <v>#REF!</v>
      </c>
      <c r="AO28" s="36" t="e">
        <f t="shared" si="8"/>
        <v>#REF!</v>
      </c>
      <c r="AQ28" s="38"/>
      <c r="AR28" s="36" t="e">
        <f t="shared" si="9"/>
        <v>#REF!</v>
      </c>
      <c r="AS28" s="36" t="e">
        <f t="shared" si="9"/>
        <v>#REF!</v>
      </c>
      <c r="AT28" s="36" t="e">
        <f t="shared" si="9"/>
        <v>#REF!</v>
      </c>
      <c r="AU28" s="36" t="e">
        <f t="shared" si="9"/>
        <v>#REF!</v>
      </c>
      <c r="AV28" s="36" t="e">
        <f t="shared" si="9"/>
        <v>#REF!</v>
      </c>
      <c r="AW28" s="36" t="e">
        <f t="shared" si="9"/>
        <v>#REF!</v>
      </c>
      <c r="AX28" s="36" t="e">
        <f t="shared" si="9"/>
        <v>#REF!</v>
      </c>
      <c r="AY28" s="36" t="e">
        <f t="shared" si="9"/>
        <v>#REF!</v>
      </c>
      <c r="AZ28" s="36" t="e">
        <f t="shared" si="9"/>
        <v>#REF!</v>
      </c>
      <c r="BA28" s="36" t="e">
        <f t="shared" si="9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8"/>
        <v>#REF!</v>
      </c>
      <c r="AG29" s="36" t="e">
        <f t="shared" si="8"/>
        <v>#REF!</v>
      </c>
      <c r="AH29" s="36" t="e">
        <f t="shared" si="8"/>
        <v>#REF!</v>
      </c>
      <c r="AI29" s="36" t="e">
        <f t="shared" si="8"/>
        <v>#REF!</v>
      </c>
      <c r="AJ29" s="36" t="e">
        <f t="shared" si="8"/>
        <v>#REF!</v>
      </c>
      <c r="AK29" s="36" t="e">
        <f t="shared" si="8"/>
        <v>#REF!</v>
      </c>
      <c r="AL29" s="36" t="e">
        <f t="shared" si="8"/>
        <v>#REF!</v>
      </c>
      <c r="AM29" s="36" t="e">
        <f t="shared" si="8"/>
        <v>#REF!</v>
      </c>
      <c r="AN29" s="36" t="e">
        <f t="shared" si="8"/>
        <v>#REF!</v>
      </c>
      <c r="AO29" s="36" t="e">
        <f t="shared" si="8"/>
        <v>#REF!</v>
      </c>
      <c r="AQ29" s="38"/>
      <c r="AR29" s="36" t="e">
        <f t="shared" si="9"/>
        <v>#REF!</v>
      </c>
      <c r="AS29" s="36" t="e">
        <f t="shared" si="9"/>
        <v>#REF!</v>
      </c>
      <c r="AT29" s="36" t="e">
        <f t="shared" si="9"/>
        <v>#REF!</v>
      </c>
      <c r="AU29" s="36" t="e">
        <f t="shared" si="9"/>
        <v>#REF!</v>
      </c>
      <c r="AV29" s="36" t="e">
        <f t="shared" si="9"/>
        <v>#REF!</v>
      </c>
      <c r="AW29" s="36" t="e">
        <f t="shared" si="9"/>
        <v>#REF!</v>
      </c>
      <c r="AX29" s="36" t="e">
        <f t="shared" si="9"/>
        <v>#REF!</v>
      </c>
      <c r="AY29" s="36" t="e">
        <f t="shared" si="9"/>
        <v>#REF!</v>
      </c>
      <c r="AZ29" s="36" t="e">
        <f t="shared" si="9"/>
        <v>#REF!</v>
      </c>
      <c r="BA29" s="36" t="e">
        <f t="shared" si="9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8"/>
        <v>#REF!</v>
      </c>
      <c r="AG30" s="36" t="e">
        <f t="shared" si="8"/>
        <v>#REF!</v>
      </c>
      <c r="AH30" s="36" t="e">
        <f t="shared" si="8"/>
        <v>#REF!</v>
      </c>
      <c r="AI30" s="36" t="e">
        <f t="shared" si="8"/>
        <v>#REF!</v>
      </c>
      <c r="AJ30" s="36" t="e">
        <f t="shared" si="8"/>
        <v>#REF!</v>
      </c>
      <c r="AK30" s="36" t="e">
        <f t="shared" si="8"/>
        <v>#REF!</v>
      </c>
      <c r="AL30" s="36" t="e">
        <f t="shared" si="8"/>
        <v>#REF!</v>
      </c>
      <c r="AM30" s="36" t="e">
        <f t="shared" si="8"/>
        <v>#REF!</v>
      </c>
      <c r="AN30" s="36" t="e">
        <f t="shared" si="8"/>
        <v>#REF!</v>
      </c>
      <c r="AO30" s="36" t="e">
        <f t="shared" si="8"/>
        <v>#REF!</v>
      </c>
      <c r="AQ30" s="38"/>
      <c r="AR30" s="36" t="e">
        <f t="shared" si="9"/>
        <v>#REF!</v>
      </c>
      <c r="AS30" s="36" t="e">
        <f t="shared" si="9"/>
        <v>#REF!</v>
      </c>
      <c r="AT30" s="36" t="e">
        <f t="shared" si="9"/>
        <v>#REF!</v>
      </c>
      <c r="AU30" s="36" t="e">
        <f t="shared" si="9"/>
        <v>#REF!</v>
      </c>
      <c r="AV30" s="36" t="e">
        <f t="shared" si="9"/>
        <v>#REF!</v>
      </c>
      <c r="AW30" s="36" t="e">
        <f t="shared" si="9"/>
        <v>#REF!</v>
      </c>
      <c r="AX30" s="36" t="e">
        <f t="shared" si="9"/>
        <v>#REF!</v>
      </c>
      <c r="AY30" s="36" t="e">
        <f t="shared" si="9"/>
        <v>#REF!</v>
      </c>
      <c r="AZ30" s="36" t="e">
        <f t="shared" si="9"/>
        <v>#REF!</v>
      </c>
      <c r="BA30" s="36" t="e">
        <f t="shared" si="9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8"/>
        <v>#REF!</v>
      </c>
      <c r="AG31" s="36" t="e">
        <f t="shared" si="8"/>
        <v>#REF!</v>
      </c>
      <c r="AH31" s="36" t="e">
        <f t="shared" si="8"/>
        <v>#REF!</v>
      </c>
      <c r="AI31" s="36" t="e">
        <f t="shared" si="8"/>
        <v>#REF!</v>
      </c>
      <c r="AJ31" s="36" t="e">
        <f t="shared" si="8"/>
        <v>#REF!</v>
      </c>
      <c r="AK31" s="36" t="e">
        <f t="shared" si="8"/>
        <v>#REF!</v>
      </c>
      <c r="AL31" s="36" t="e">
        <f t="shared" si="8"/>
        <v>#REF!</v>
      </c>
      <c r="AM31" s="36" t="e">
        <f t="shared" si="8"/>
        <v>#REF!</v>
      </c>
      <c r="AN31" s="36" t="e">
        <f t="shared" si="8"/>
        <v>#REF!</v>
      </c>
      <c r="AO31" s="36" t="e">
        <f t="shared" si="8"/>
        <v>#REF!</v>
      </c>
      <c r="AQ31" s="38"/>
      <c r="AR31" s="36" t="e">
        <f t="shared" si="9"/>
        <v>#REF!</v>
      </c>
      <c r="AS31" s="36" t="e">
        <f t="shared" si="9"/>
        <v>#REF!</v>
      </c>
      <c r="AT31" s="36" t="e">
        <f t="shared" si="9"/>
        <v>#REF!</v>
      </c>
      <c r="AU31" s="36" t="e">
        <f t="shared" si="9"/>
        <v>#REF!</v>
      </c>
      <c r="AV31" s="36" t="e">
        <f t="shared" si="9"/>
        <v>#REF!</v>
      </c>
      <c r="AW31" s="36" t="e">
        <f t="shared" si="9"/>
        <v>#REF!</v>
      </c>
      <c r="AX31" s="36" t="e">
        <f t="shared" si="9"/>
        <v>#REF!</v>
      </c>
      <c r="AY31" s="36" t="e">
        <f t="shared" si="9"/>
        <v>#REF!</v>
      </c>
      <c r="AZ31" s="36" t="e">
        <f t="shared" si="9"/>
        <v>#REF!</v>
      </c>
      <c r="BA31" s="36" t="e">
        <f t="shared" si="9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8"/>
        <v>#REF!</v>
      </c>
      <c r="AG32" s="36" t="e">
        <f t="shared" si="8"/>
        <v>#REF!</v>
      </c>
      <c r="AH32" s="36" t="e">
        <f t="shared" si="8"/>
        <v>#REF!</v>
      </c>
      <c r="AI32" s="36" t="e">
        <f t="shared" si="8"/>
        <v>#REF!</v>
      </c>
      <c r="AJ32" s="36" t="e">
        <f t="shared" si="8"/>
        <v>#REF!</v>
      </c>
      <c r="AK32" s="36" t="e">
        <f t="shared" si="8"/>
        <v>#REF!</v>
      </c>
      <c r="AL32" s="36" t="e">
        <f t="shared" si="8"/>
        <v>#REF!</v>
      </c>
      <c r="AM32" s="36" t="e">
        <f t="shared" si="8"/>
        <v>#REF!</v>
      </c>
      <c r="AN32" s="36" t="e">
        <f t="shared" si="8"/>
        <v>#REF!</v>
      </c>
      <c r="AO32" s="36" t="e">
        <f t="shared" si="8"/>
        <v>#REF!</v>
      </c>
      <c r="AQ32" s="38"/>
      <c r="AR32" s="36" t="e">
        <f t="shared" si="9"/>
        <v>#REF!</v>
      </c>
      <c r="AS32" s="36" t="e">
        <f t="shared" si="9"/>
        <v>#REF!</v>
      </c>
      <c r="AT32" s="36" t="e">
        <f t="shared" si="9"/>
        <v>#REF!</v>
      </c>
      <c r="AU32" s="36" t="e">
        <f t="shared" si="9"/>
        <v>#REF!</v>
      </c>
      <c r="AV32" s="36" t="e">
        <f t="shared" si="9"/>
        <v>#REF!</v>
      </c>
      <c r="AW32" s="36" t="e">
        <f t="shared" si="9"/>
        <v>#REF!</v>
      </c>
      <c r="AX32" s="36" t="e">
        <f t="shared" si="9"/>
        <v>#REF!</v>
      </c>
      <c r="AY32" s="36" t="e">
        <f t="shared" si="9"/>
        <v>#REF!</v>
      </c>
      <c r="AZ32" s="36" t="e">
        <f t="shared" si="9"/>
        <v>#REF!</v>
      </c>
      <c r="BA32" s="36" t="e">
        <f t="shared" si="9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8"/>
        <v>#REF!</v>
      </c>
      <c r="AG33" s="36" t="e">
        <f t="shared" si="8"/>
        <v>#REF!</v>
      </c>
      <c r="AH33" s="36" t="e">
        <f t="shared" si="8"/>
        <v>#REF!</v>
      </c>
      <c r="AI33" s="36" t="e">
        <f t="shared" si="8"/>
        <v>#REF!</v>
      </c>
      <c r="AJ33" s="36" t="e">
        <f t="shared" si="8"/>
        <v>#REF!</v>
      </c>
      <c r="AK33" s="36" t="e">
        <f t="shared" si="8"/>
        <v>#REF!</v>
      </c>
      <c r="AL33" s="36" t="e">
        <f t="shared" si="8"/>
        <v>#REF!</v>
      </c>
      <c r="AM33" s="36" t="e">
        <f t="shared" si="8"/>
        <v>#REF!</v>
      </c>
      <c r="AN33" s="36" t="e">
        <f t="shared" si="8"/>
        <v>#REF!</v>
      </c>
      <c r="AO33" s="36" t="e">
        <f t="shared" si="8"/>
        <v>#REF!</v>
      </c>
      <c r="AQ33" s="38"/>
      <c r="AR33" s="36" t="e">
        <f t="shared" si="9"/>
        <v>#REF!</v>
      </c>
      <c r="AS33" s="36" t="e">
        <f t="shared" si="9"/>
        <v>#REF!</v>
      </c>
      <c r="AT33" s="36" t="e">
        <f t="shared" si="9"/>
        <v>#REF!</v>
      </c>
      <c r="AU33" s="36" t="e">
        <f t="shared" si="9"/>
        <v>#REF!</v>
      </c>
      <c r="AV33" s="36" t="e">
        <f t="shared" si="9"/>
        <v>#REF!</v>
      </c>
      <c r="AW33" s="36" t="e">
        <f t="shared" si="9"/>
        <v>#REF!</v>
      </c>
      <c r="AX33" s="36" t="e">
        <f t="shared" si="9"/>
        <v>#REF!</v>
      </c>
      <c r="AY33" s="36" t="e">
        <f t="shared" si="9"/>
        <v>#REF!</v>
      </c>
      <c r="AZ33" s="36" t="e">
        <f t="shared" si="9"/>
        <v>#REF!</v>
      </c>
      <c r="BA33" s="36" t="e">
        <f t="shared" si="9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8"/>
        <v>#REF!</v>
      </c>
      <c r="AG34" s="36" t="e">
        <f t="shared" si="8"/>
        <v>#REF!</v>
      </c>
      <c r="AH34" s="36" t="e">
        <f t="shared" si="8"/>
        <v>#REF!</v>
      </c>
      <c r="AI34" s="36" t="e">
        <f t="shared" si="8"/>
        <v>#REF!</v>
      </c>
      <c r="AJ34" s="36" t="e">
        <f t="shared" si="8"/>
        <v>#REF!</v>
      </c>
      <c r="AK34" s="36" t="e">
        <f t="shared" si="8"/>
        <v>#REF!</v>
      </c>
      <c r="AL34" s="36" t="e">
        <f t="shared" si="8"/>
        <v>#REF!</v>
      </c>
      <c r="AM34" s="36" t="e">
        <f t="shared" si="8"/>
        <v>#REF!</v>
      </c>
      <c r="AN34" s="36" t="e">
        <f t="shared" si="8"/>
        <v>#REF!</v>
      </c>
      <c r="AO34" s="36" t="e">
        <f t="shared" si="8"/>
        <v>#REF!</v>
      </c>
      <c r="AQ34" s="38"/>
      <c r="AR34" s="36" t="e">
        <f t="shared" si="9"/>
        <v>#REF!</v>
      </c>
      <c r="AS34" s="36" t="e">
        <f t="shared" si="9"/>
        <v>#REF!</v>
      </c>
      <c r="AT34" s="36" t="e">
        <f t="shared" si="9"/>
        <v>#REF!</v>
      </c>
      <c r="AU34" s="36" t="e">
        <f t="shared" si="9"/>
        <v>#REF!</v>
      </c>
      <c r="AV34" s="36" t="e">
        <f t="shared" si="9"/>
        <v>#REF!</v>
      </c>
      <c r="AW34" s="36" t="e">
        <f t="shared" si="9"/>
        <v>#REF!</v>
      </c>
      <c r="AX34" s="36" t="e">
        <f t="shared" si="9"/>
        <v>#REF!</v>
      </c>
      <c r="AY34" s="36" t="e">
        <f t="shared" si="9"/>
        <v>#REF!</v>
      </c>
      <c r="AZ34" s="36" t="e">
        <f t="shared" si="9"/>
        <v>#REF!</v>
      </c>
      <c r="BA34" s="36" t="e">
        <f t="shared" si="9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8"/>
        <v>#REF!</v>
      </c>
      <c r="AG35" s="36" t="e">
        <f t="shared" si="8"/>
        <v>#REF!</v>
      </c>
      <c r="AH35" s="36" t="e">
        <f t="shared" si="8"/>
        <v>#REF!</v>
      </c>
      <c r="AI35" s="36" t="e">
        <f t="shared" si="8"/>
        <v>#REF!</v>
      </c>
      <c r="AJ35" s="36" t="e">
        <f t="shared" si="8"/>
        <v>#REF!</v>
      </c>
      <c r="AK35" s="36" t="e">
        <f t="shared" si="8"/>
        <v>#REF!</v>
      </c>
      <c r="AL35" s="36" t="e">
        <f t="shared" si="8"/>
        <v>#REF!</v>
      </c>
      <c r="AM35" s="36" t="e">
        <f t="shared" si="8"/>
        <v>#REF!</v>
      </c>
      <c r="AN35" s="36" t="e">
        <f t="shared" si="8"/>
        <v>#REF!</v>
      </c>
      <c r="AO35" s="36" t="e">
        <f t="shared" si="8"/>
        <v>#REF!</v>
      </c>
      <c r="AQ35" s="38"/>
      <c r="AR35" s="36" t="e">
        <f t="shared" si="9"/>
        <v>#REF!</v>
      </c>
      <c r="AS35" s="36" t="e">
        <f t="shared" si="9"/>
        <v>#REF!</v>
      </c>
      <c r="AT35" s="36" t="e">
        <f t="shared" si="9"/>
        <v>#REF!</v>
      </c>
      <c r="AU35" s="36" t="e">
        <f t="shared" si="9"/>
        <v>#REF!</v>
      </c>
      <c r="AV35" s="36" t="e">
        <f t="shared" si="9"/>
        <v>#REF!</v>
      </c>
      <c r="AW35" s="36" t="e">
        <f t="shared" si="9"/>
        <v>#REF!</v>
      </c>
      <c r="AX35" s="36" t="e">
        <f t="shared" si="9"/>
        <v>#REF!</v>
      </c>
      <c r="AY35" s="36" t="e">
        <f t="shared" si="9"/>
        <v>#REF!</v>
      </c>
      <c r="AZ35" s="36" t="e">
        <f t="shared" si="9"/>
        <v>#REF!</v>
      </c>
      <c r="BA35" s="36" t="e">
        <f t="shared" si="9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10">AF$11*$AC38</f>
        <v>#REF!</v>
      </c>
      <c r="AG38" s="36" t="e">
        <f t="shared" si="10"/>
        <v>#REF!</v>
      </c>
      <c r="AH38" s="36" t="e">
        <f t="shared" si="10"/>
        <v>#REF!</v>
      </c>
      <c r="AI38" s="36" t="e">
        <f t="shared" si="10"/>
        <v>#REF!</v>
      </c>
      <c r="AJ38" s="36" t="e">
        <f t="shared" si="10"/>
        <v>#REF!</v>
      </c>
      <c r="AK38" s="36" t="e">
        <f t="shared" si="10"/>
        <v>#REF!</v>
      </c>
      <c r="AL38" s="36" t="e">
        <f t="shared" si="10"/>
        <v>#REF!</v>
      </c>
      <c r="AM38" s="36" t="e">
        <f t="shared" si="10"/>
        <v>#REF!</v>
      </c>
      <c r="AN38" s="36" t="e">
        <f t="shared" si="10"/>
        <v>#REF!</v>
      </c>
      <c r="AO38" s="36" t="e">
        <f t="shared" si="10"/>
        <v>#REF!</v>
      </c>
      <c r="AQ38" s="38"/>
      <c r="AR38" s="36" t="e">
        <f t="shared" ref="AR38:BA46" si="11">AR$11*$AC38</f>
        <v>#REF!</v>
      </c>
      <c r="AS38" s="36" t="e">
        <f t="shared" si="11"/>
        <v>#REF!</v>
      </c>
      <c r="AT38" s="36" t="e">
        <f t="shared" si="11"/>
        <v>#REF!</v>
      </c>
      <c r="AU38" s="36" t="e">
        <f t="shared" si="11"/>
        <v>#REF!</v>
      </c>
      <c r="AV38" s="36" t="e">
        <f t="shared" si="11"/>
        <v>#REF!</v>
      </c>
      <c r="AW38" s="36" t="e">
        <f t="shared" si="11"/>
        <v>#REF!</v>
      </c>
      <c r="AX38" s="36" t="e">
        <f t="shared" si="11"/>
        <v>#REF!</v>
      </c>
      <c r="AY38" s="36" t="e">
        <f t="shared" si="11"/>
        <v>#REF!</v>
      </c>
      <c r="AZ38" s="36" t="e">
        <f t="shared" si="11"/>
        <v>#REF!</v>
      </c>
      <c r="BA38" s="36" t="e">
        <f t="shared" si="11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10"/>
        <v>#REF!</v>
      </c>
      <c r="AG39" s="36" t="e">
        <f t="shared" si="10"/>
        <v>#REF!</v>
      </c>
      <c r="AH39" s="36" t="e">
        <f t="shared" si="10"/>
        <v>#REF!</v>
      </c>
      <c r="AI39" s="36" t="e">
        <f t="shared" si="10"/>
        <v>#REF!</v>
      </c>
      <c r="AJ39" s="36" t="e">
        <f t="shared" si="10"/>
        <v>#REF!</v>
      </c>
      <c r="AK39" s="36" t="e">
        <f t="shared" si="10"/>
        <v>#REF!</v>
      </c>
      <c r="AL39" s="36" t="e">
        <f t="shared" si="10"/>
        <v>#REF!</v>
      </c>
      <c r="AM39" s="36" t="e">
        <f t="shared" si="10"/>
        <v>#REF!</v>
      </c>
      <c r="AN39" s="36" t="e">
        <f t="shared" si="10"/>
        <v>#REF!</v>
      </c>
      <c r="AO39" s="36" t="e">
        <f t="shared" si="10"/>
        <v>#REF!</v>
      </c>
      <c r="AQ39" s="38"/>
      <c r="AR39" s="36" t="e">
        <f t="shared" si="11"/>
        <v>#REF!</v>
      </c>
      <c r="AS39" s="36" t="e">
        <f t="shared" si="11"/>
        <v>#REF!</v>
      </c>
      <c r="AT39" s="36" t="e">
        <f t="shared" si="11"/>
        <v>#REF!</v>
      </c>
      <c r="AU39" s="36" t="e">
        <f t="shared" si="11"/>
        <v>#REF!</v>
      </c>
      <c r="AV39" s="36" t="e">
        <f t="shared" si="11"/>
        <v>#REF!</v>
      </c>
      <c r="AW39" s="36" t="e">
        <f t="shared" si="11"/>
        <v>#REF!</v>
      </c>
      <c r="AX39" s="36" t="e">
        <f t="shared" si="11"/>
        <v>#REF!</v>
      </c>
      <c r="AY39" s="36" t="e">
        <f t="shared" si="11"/>
        <v>#REF!</v>
      </c>
      <c r="AZ39" s="36" t="e">
        <f t="shared" si="11"/>
        <v>#REF!</v>
      </c>
      <c r="BA39" s="36" t="e">
        <f t="shared" si="11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10"/>
        <v>#REF!</v>
      </c>
      <c r="AG40" s="36" t="e">
        <f t="shared" si="10"/>
        <v>#REF!</v>
      </c>
      <c r="AH40" s="36" t="e">
        <f t="shared" si="10"/>
        <v>#REF!</v>
      </c>
      <c r="AI40" s="36" t="e">
        <f t="shared" si="10"/>
        <v>#REF!</v>
      </c>
      <c r="AJ40" s="36" t="e">
        <f t="shared" si="10"/>
        <v>#REF!</v>
      </c>
      <c r="AK40" s="36" t="e">
        <f t="shared" si="10"/>
        <v>#REF!</v>
      </c>
      <c r="AL40" s="36" t="e">
        <f t="shared" si="10"/>
        <v>#REF!</v>
      </c>
      <c r="AM40" s="36" t="e">
        <f t="shared" si="10"/>
        <v>#REF!</v>
      </c>
      <c r="AN40" s="36" t="e">
        <f t="shared" si="10"/>
        <v>#REF!</v>
      </c>
      <c r="AO40" s="36" t="e">
        <f t="shared" si="10"/>
        <v>#REF!</v>
      </c>
      <c r="AQ40" s="38"/>
      <c r="AR40" s="36" t="e">
        <f t="shared" si="11"/>
        <v>#REF!</v>
      </c>
      <c r="AS40" s="36" t="e">
        <f t="shared" si="11"/>
        <v>#REF!</v>
      </c>
      <c r="AT40" s="36" t="e">
        <f t="shared" si="11"/>
        <v>#REF!</v>
      </c>
      <c r="AU40" s="36" t="e">
        <f t="shared" si="11"/>
        <v>#REF!</v>
      </c>
      <c r="AV40" s="36" t="e">
        <f t="shared" si="11"/>
        <v>#REF!</v>
      </c>
      <c r="AW40" s="36" t="e">
        <f t="shared" si="11"/>
        <v>#REF!</v>
      </c>
      <c r="AX40" s="36" t="e">
        <f t="shared" si="11"/>
        <v>#REF!</v>
      </c>
      <c r="AY40" s="36" t="e">
        <f t="shared" si="11"/>
        <v>#REF!</v>
      </c>
      <c r="AZ40" s="36" t="e">
        <f t="shared" si="11"/>
        <v>#REF!</v>
      </c>
      <c r="BA40" s="36" t="e">
        <f t="shared" si="11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10"/>
        <v>#REF!</v>
      </c>
      <c r="AG41" s="36" t="e">
        <f t="shared" si="10"/>
        <v>#REF!</v>
      </c>
      <c r="AH41" s="36" t="e">
        <f t="shared" si="10"/>
        <v>#REF!</v>
      </c>
      <c r="AI41" s="36" t="e">
        <f t="shared" si="10"/>
        <v>#REF!</v>
      </c>
      <c r="AJ41" s="36" t="e">
        <f t="shared" si="10"/>
        <v>#REF!</v>
      </c>
      <c r="AK41" s="36" t="e">
        <f t="shared" si="10"/>
        <v>#REF!</v>
      </c>
      <c r="AL41" s="36" t="e">
        <f t="shared" si="10"/>
        <v>#REF!</v>
      </c>
      <c r="AM41" s="36" t="e">
        <f t="shared" si="10"/>
        <v>#REF!</v>
      </c>
      <c r="AN41" s="36" t="e">
        <f t="shared" si="10"/>
        <v>#REF!</v>
      </c>
      <c r="AO41" s="36" t="e">
        <f t="shared" si="10"/>
        <v>#REF!</v>
      </c>
      <c r="AQ41" s="38"/>
      <c r="AR41" s="36" t="e">
        <f t="shared" si="11"/>
        <v>#REF!</v>
      </c>
      <c r="AS41" s="36" t="e">
        <f t="shared" si="11"/>
        <v>#REF!</v>
      </c>
      <c r="AT41" s="36" t="e">
        <f t="shared" si="11"/>
        <v>#REF!</v>
      </c>
      <c r="AU41" s="36" t="e">
        <f t="shared" si="11"/>
        <v>#REF!</v>
      </c>
      <c r="AV41" s="36" t="e">
        <f t="shared" si="11"/>
        <v>#REF!</v>
      </c>
      <c r="AW41" s="36" t="e">
        <f t="shared" si="11"/>
        <v>#REF!</v>
      </c>
      <c r="AX41" s="36" t="e">
        <f t="shared" si="11"/>
        <v>#REF!</v>
      </c>
      <c r="AY41" s="36" t="e">
        <f t="shared" si="11"/>
        <v>#REF!</v>
      </c>
      <c r="AZ41" s="36" t="e">
        <f t="shared" si="11"/>
        <v>#REF!</v>
      </c>
      <c r="BA41" s="36" t="e">
        <f t="shared" si="11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10"/>
        <v>#REF!</v>
      </c>
      <c r="AG42" s="36" t="e">
        <f t="shared" si="10"/>
        <v>#REF!</v>
      </c>
      <c r="AH42" s="36" t="e">
        <f t="shared" si="10"/>
        <v>#REF!</v>
      </c>
      <c r="AI42" s="36" t="e">
        <f t="shared" si="10"/>
        <v>#REF!</v>
      </c>
      <c r="AJ42" s="36" t="e">
        <f t="shared" si="10"/>
        <v>#REF!</v>
      </c>
      <c r="AK42" s="36" t="e">
        <f t="shared" si="10"/>
        <v>#REF!</v>
      </c>
      <c r="AL42" s="36" t="e">
        <f t="shared" si="10"/>
        <v>#REF!</v>
      </c>
      <c r="AM42" s="36" t="e">
        <f t="shared" si="10"/>
        <v>#REF!</v>
      </c>
      <c r="AN42" s="36" t="e">
        <f t="shared" si="10"/>
        <v>#REF!</v>
      </c>
      <c r="AO42" s="36" t="e">
        <f t="shared" si="10"/>
        <v>#REF!</v>
      </c>
      <c r="AQ42" s="38"/>
      <c r="AR42" s="36" t="e">
        <f t="shared" si="11"/>
        <v>#REF!</v>
      </c>
      <c r="AS42" s="36" t="e">
        <f t="shared" si="11"/>
        <v>#REF!</v>
      </c>
      <c r="AT42" s="36" t="e">
        <f t="shared" si="11"/>
        <v>#REF!</v>
      </c>
      <c r="AU42" s="36" t="e">
        <f t="shared" si="11"/>
        <v>#REF!</v>
      </c>
      <c r="AV42" s="36" t="e">
        <f t="shared" si="11"/>
        <v>#REF!</v>
      </c>
      <c r="AW42" s="36" t="e">
        <f t="shared" si="11"/>
        <v>#REF!</v>
      </c>
      <c r="AX42" s="36" t="e">
        <f t="shared" si="11"/>
        <v>#REF!</v>
      </c>
      <c r="AY42" s="36" t="e">
        <f t="shared" si="11"/>
        <v>#REF!</v>
      </c>
      <c r="AZ42" s="36" t="e">
        <f t="shared" si="11"/>
        <v>#REF!</v>
      </c>
      <c r="BA42" s="36" t="e">
        <f t="shared" si="11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10"/>
        <v>#REF!</v>
      </c>
      <c r="AG43" s="36" t="e">
        <f t="shared" si="10"/>
        <v>#REF!</v>
      </c>
      <c r="AH43" s="36" t="e">
        <f t="shared" si="10"/>
        <v>#REF!</v>
      </c>
      <c r="AI43" s="36" t="e">
        <f t="shared" si="10"/>
        <v>#REF!</v>
      </c>
      <c r="AJ43" s="36" t="e">
        <f t="shared" si="10"/>
        <v>#REF!</v>
      </c>
      <c r="AK43" s="36" t="e">
        <f t="shared" si="10"/>
        <v>#REF!</v>
      </c>
      <c r="AL43" s="36" t="e">
        <f t="shared" si="10"/>
        <v>#REF!</v>
      </c>
      <c r="AM43" s="36" t="e">
        <f t="shared" si="10"/>
        <v>#REF!</v>
      </c>
      <c r="AN43" s="36" t="e">
        <f t="shared" si="10"/>
        <v>#REF!</v>
      </c>
      <c r="AO43" s="36" t="e">
        <f t="shared" si="10"/>
        <v>#REF!</v>
      </c>
      <c r="AQ43" s="38"/>
      <c r="AR43" s="36" t="e">
        <f t="shared" si="11"/>
        <v>#REF!</v>
      </c>
      <c r="AS43" s="36" t="e">
        <f t="shared" si="11"/>
        <v>#REF!</v>
      </c>
      <c r="AT43" s="36" t="e">
        <f t="shared" si="11"/>
        <v>#REF!</v>
      </c>
      <c r="AU43" s="36" t="e">
        <f t="shared" si="11"/>
        <v>#REF!</v>
      </c>
      <c r="AV43" s="36" t="e">
        <f t="shared" si="11"/>
        <v>#REF!</v>
      </c>
      <c r="AW43" s="36" t="e">
        <f t="shared" si="11"/>
        <v>#REF!</v>
      </c>
      <c r="AX43" s="36" t="e">
        <f t="shared" si="11"/>
        <v>#REF!</v>
      </c>
      <c r="AY43" s="36" t="e">
        <f t="shared" si="11"/>
        <v>#REF!</v>
      </c>
      <c r="AZ43" s="36" t="e">
        <f t="shared" si="11"/>
        <v>#REF!</v>
      </c>
      <c r="BA43" s="36" t="e">
        <f t="shared" si="11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10"/>
        <v>#REF!</v>
      </c>
      <c r="AG44" s="36" t="e">
        <f t="shared" si="10"/>
        <v>#REF!</v>
      </c>
      <c r="AH44" s="36" t="e">
        <f t="shared" si="10"/>
        <v>#REF!</v>
      </c>
      <c r="AI44" s="36" t="e">
        <f t="shared" si="10"/>
        <v>#REF!</v>
      </c>
      <c r="AJ44" s="36" t="e">
        <f t="shared" si="10"/>
        <v>#REF!</v>
      </c>
      <c r="AK44" s="36" t="e">
        <f t="shared" si="10"/>
        <v>#REF!</v>
      </c>
      <c r="AL44" s="36" t="e">
        <f t="shared" si="10"/>
        <v>#REF!</v>
      </c>
      <c r="AM44" s="36" t="e">
        <f t="shared" si="10"/>
        <v>#REF!</v>
      </c>
      <c r="AN44" s="36" t="e">
        <f t="shared" si="10"/>
        <v>#REF!</v>
      </c>
      <c r="AO44" s="36" t="e">
        <f t="shared" si="10"/>
        <v>#REF!</v>
      </c>
      <c r="AQ44" s="38"/>
      <c r="AR44" s="36" t="e">
        <f t="shared" si="11"/>
        <v>#REF!</v>
      </c>
      <c r="AS44" s="36" t="e">
        <f t="shared" si="11"/>
        <v>#REF!</v>
      </c>
      <c r="AT44" s="36" t="e">
        <f t="shared" si="11"/>
        <v>#REF!</v>
      </c>
      <c r="AU44" s="36" t="e">
        <f t="shared" si="11"/>
        <v>#REF!</v>
      </c>
      <c r="AV44" s="36" t="e">
        <f t="shared" si="11"/>
        <v>#REF!</v>
      </c>
      <c r="AW44" s="36" t="e">
        <f t="shared" si="11"/>
        <v>#REF!</v>
      </c>
      <c r="AX44" s="36" t="e">
        <f t="shared" si="11"/>
        <v>#REF!</v>
      </c>
      <c r="AY44" s="36" t="e">
        <f t="shared" si="11"/>
        <v>#REF!</v>
      </c>
      <c r="AZ44" s="36" t="e">
        <f t="shared" si="11"/>
        <v>#REF!</v>
      </c>
      <c r="BA44" s="36" t="e">
        <f t="shared" si="11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10"/>
        <v>#REF!</v>
      </c>
      <c r="AG45" s="36" t="e">
        <f t="shared" si="10"/>
        <v>#REF!</v>
      </c>
      <c r="AH45" s="36" t="e">
        <f t="shared" si="10"/>
        <v>#REF!</v>
      </c>
      <c r="AI45" s="36" t="e">
        <f t="shared" si="10"/>
        <v>#REF!</v>
      </c>
      <c r="AJ45" s="36" t="e">
        <f t="shared" si="10"/>
        <v>#REF!</v>
      </c>
      <c r="AK45" s="36" t="e">
        <f t="shared" si="10"/>
        <v>#REF!</v>
      </c>
      <c r="AL45" s="36" t="e">
        <f t="shared" si="10"/>
        <v>#REF!</v>
      </c>
      <c r="AM45" s="36" t="e">
        <f t="shared" si="10"/>
        <v>#REF!</v>
      </c>
      <c r="AN45" s="36" t="e">
        <f t="shared" si="10"/>
        <v>#REF!</v>
      </c>
      <c r="AO45" s="36" t="e">
        <f t="shared" si="10"/>
        <v>#REF!</v>
      </c>
      <c r="AQ45" s="38"/>
      <c r="AR45" s="36" t="e">
        <f t="shared" si="11"/>
        <v>#REF!</v>
      </c>
      <c r="AS45" s="36" t="e">
        <f t="shared" si="11"/>
        <v>#REF!</v>
      </c>
      <c r="AT45" s="36" t="e">
        <f t="shared" si="11"/>
        <v>#REF!</v>
      </c>
      <c r="AU45" s="36" t="e">
        <f t="shared" si="11"/>
        <v>#REF!</v>
      </c>
      <c r="AV45" s="36" t="e">
        <f t="shared" si="11"/>
        <v>#REF!</v>
      </c>
      <c r="AW45" s="36" t="e">
        <f t="shared" si="11"/>
        <v>#REF!</v>
      </c>
      <c r="AX45" s="36" t="e">
        <f t="shared" si="11"/>
        <v>#REF!</v>
      </c>
      <c r="AY45" s="36" t="e">
        <f t="shared" si="11"/>
        <v>#REF!</v>
      </c>
      <c r="AZ45" s="36" t="e">
        <f t="shared" si="11"/>
        <v>#REF!</v>
      </c>
      <c r="BA45" s="36" t="e">
        <f t="shared" si="11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10"/>
        <v>#REF!</v>
      </c>
      <c r="AG46" s="36" t="e">
        <f t="shared" si="10"/>
        <v>#REF!</v>
      </c>
      <c r="AH46" s="36" t="e">
        <f t="shared" si="10"/>
        <v>#REF!</v>
      </c>
      <c r="AI46" s="36" t="e">
        <f t="shared" si="10"/>
        <v>#REF!</v>
      </c>
      <c r="AJ46" s="36" t="e">
        <f t="shared" si="10"/>
        <v>#REF!</v>
      </c>
      <c r="AK46" s="36" t="e">
        <f t="shared" si="10"/>
        <v>#REF!</v>
      </c>
      <c r="AL46" s="36" t="e">
        <f t="shared" si="10"/>
        <v>#REF!</v>
      </c>
      <c r="AM46" s="36" t="e">
        <f t="shared" si="10"/>
        <v>#REF!</v>
      </c>
      <c r="AN46" s="36" t="e">
        <f t="shared" si="10"/>
        <v>#REF!</v>
      </c>
      <c r="AO46" s="36" t="e">
        <f t="shared" si="10"/>
        <v>#REF!</v>
      </c>
      <c r="AQ46" s="38"/>
      <c r="AR46" s="36" t="e">
        <f t="shared" si="11"/>
        <v>#REF!</v>
      </c>
      <c r="AS46" s="36" t="e">
        <f t="shared" si="11"/>
        <v>#REF!</v>
      </c>
      <c r="AT46" s="36" t="e">
        <f t="shared" si="11"/>
        <v>#REF!</v>
      </c>
      <c r="AU46" s="36" t="e">
        <f t="shared" si="11"/>
        <v>#REF!</v>
      </c>
      <c r="AV46" s="36" t="e">
        <f t="shared" si="11"/>
        <v>#REF!</v>
      </c>
      <c r="AW46" s="36" t="e">
        <f t="shared" si="11"/>
        <v>#REF!</v>
      </c>
      <c r="AX46" s="36" t="e">
        <f t="shared" si="11"/>
        <v>#REF!</v>
      </c>
      <c r="AY46" s="36" t="e">
        <f t="shared" si="11"/>
        <v>#REF!</v>
      </c>
      <c r="AZ46" s="36" t="e">
        <f t="shared" si="11"/>
        <v>#REF!</v>
      </c>
      <c r="BA46" s="36" t="e">
        <f t="shared" si="11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2">AF16+AF18+AF19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AR16+AR18+AR19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41</v>
      </c>
      <c r="AB52" s="35"/>
      <c r="AF52" s="70" t="e">
        <f t="shared" ref="AF52:AO52" si="14">AF27+AF29+AF30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AR27+AR29+AR30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71" t="s">
        <v>42</v>
      </c>
      <c r="AB53" s="35"/>
      <c r="AF53" s="70" t="e">
        <f t="shared" ref="AF53:AO53" si="16">AF38+AF40+AF41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AR38+AR40+AR41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8">AF16+AF18+AF20+AF22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AR16+AR18+AR20+AR22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41</v>
      </c>
      <c r="AB56" s="35"/>
      <c r="AF56" s="70" t="e">
        <f t="shared" ref="AF56:AO56" si="20">AF27+AF29+AF31+AF33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AR27+AR29+AR31+AR33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71" t="s">
        <v>42</v>
      </c>
      <c r="AB57" s="35"/>
      <c r="AF57" s="70" t="e">
        <f t="shared" ref="AF57:AO57" si="22">AF38+AF40+AF42+AF44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AR38+AR40+AR42+AR44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4">AF16+AF18+AF20+AF21+AF23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AR16+AR18+AR20+AR21+AR23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41</v>
      </c>
      <c r="AB60" s="35"/>
      <c r="AF60" s="70" t="e">
        <f t="shared" ref="AF60:AO60" si="26">AF27+AF29+AF31+AF32+AF34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AR27+AR29+AR31+AR32+AR34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71" t="s">
        <v>42</v>
      </c>
      <c r="AB61" s="35"/>
      <c r="AF61" s="70" t="e">
        <f t="shared" ref="AF61:AO61" si="28">AF38+AF40+AF42+AF43+AF45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AR38+AR40+AR42+AR43+AR45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30">AF16+AF18+AF20+AF21+AF24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AR16+AR18+AR20+AR21+AR24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41</v>
      </c>
      <c r="AB64" s="35"/>
      <c r="AF64" s="70" t="e">
        <f t="shared" ref="AF64:AO64" si="32">AF27+AF29+AF31+AF32+AF35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AR27+AR29+AR31+AR32+AR35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71" t="s">
        <v>42</v>
      </c>
      <c r="AB65" s="35"/>
      <c r="AF65" s="70" t="e">
        <f t="shared" ref="AF65:AO65" si="34">AF38+AF40+AF42+AF43+AF46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AR38+AR40+AR42+AR43+AR46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6">AF16+AF17+AF22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AR16+AR17+AR22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41</v>
      </c>
      <c r="AB68" s="35"/>
      <c r="AF68" s="70" t="e">
        <f t="shared" ref="AF68:AO68" si="38">AF27+AF28+AF33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AR27+AR28+AR33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1" t="s">
        <v>42</v>
      </c>
      <c r="AB69" s="35"/>
      <c r="AF69" s="70" t="e">
        <f t="shared" ref="AF69:AO69" si="40">AF38+AF39+AF44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AR38+AR39+AR44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2">AF16+AF17+AF21+AF23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AR16+AR17+AR21+AR23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41</v>
      </c>
      <c r="AB72" s="35"/>
      <c r="AF72" s="70" t="e">
        <f t="shared" ref="AF72:AO72" si="44">AF27+AF28+AF32+AF34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AR27+AR28+AR32+AR34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71" t="s">
        <v>42</v>
      </c>
      <c r="AB73" s="35"/>
      <c r="AF73" s="70" t="e">
        <f t="shared" ref="AF73:AO73" si="46">AF38+AF39+AF43+AF45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AR38+AR39+AR43+AR45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8">AF16+AF17+AF21+AF24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AR16+AR17+AR21+AR24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41</v>
      </c>
      <c r="AB76" s="35"/>
      <c r="AF76" s="70" t="e">
        <f t="shared" ref="AF76:AO76" si="50">AF27+AF28+AF32+AF35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AR27+AR28+AR32+AR35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>
      <c r="AA77" s="71" t="s">
        <v>42</v>
      </c>
      <c r="AB77" s="35"/>
      <c r="AF77" s="70" t="e">
        <f t="shared" ref="AF77:AO77" si="52">AF38+AF39+AF43+AF46</f>
        <v>#REF!</v>
      </c>
      <c r="AG77" s="70" t="e">
        <f t="shared" si="52"/>
        <v>#REF!</v>
      </c>
      <c r="AH77" s="70" t="e">
        <f t="shared" si="52"/>
        <v>#REF!</v>
      </c>
      <c r="AI77" s="70" t="e">
        <f t="shared" si="52"/>
        <v>#REF!</v>
      </c>
      <c r="AJ77" s="70" t="e">
        <f t="shared" si="52"/>
        <v>#REF!</v>
      </c>
      <c r="AK77" s="70" t="e">
        <f t="shared" si="52"/>
        <v>#REF!</v>
      </c>
      <c r="AL77" s="70" t="e">
        <f t="shared" si="52"/>
        <v>#REF!</v>
      </c>
      <c r="AM77" s="70" t="e">
        <f t="shared" si="52"/>
        <v>#REF!</v>
      </c>
      <c r="AN77" s="70" t="e">
        <f t="shared" si="52"/>
        <v>#REF!</v>
      </c>
      <c r="AO77" s="70" t="e">
        <f t="shared" si="52"/>
        <v>#REF!</v>
      </c>
      <c r="AP77" s="70"/>
      <c r="AQ77" s="70"/>
      <c r="AR77" s="70" t="e">
        <f t="shared" ref="AR77:BA77" si="53">AR38+AR39+AR43+AR46</f>
        <v>#REF!</v>
      </c>
      <c r="AS77" s="70" t="e">
        <f t="shared" si="53"/>
        <v>#REF!</v>
      </c>
      <c r="AT77" s="70" t="e">
        <f t="shared" si="53"/>
        <v>#REF!</v>
      </c>
      <c r="AU77" s="70" t="e">
        <f t="shared" si="53"/>
        <v>#REF!</v>
      </c>
      <c r="AV77" s="70" t="e">
        <f t="shared" si="53"/>
        <v>#REF!</v>
      </c>
      <c r="AW77" s="70" t="e">
        <f t="shared" si="53"/>
        <v>#REF!</v>
      </c>
      <c r="AX77" s="70" t="e">
        <f t="shared" si="53"/>
        <v>#REF!</v>
      </c>
      <c r="AY77" s="70" t="e">
        <f t="shared" si="53"/>
        <v>#REF!</v>
      </c>
      <c r="AZ77" s="70" t="e">
        <f t="shared" si="53"/>
        <v>#REF!</v>
      </c>
      <c r="BA77" s="70" t="e">
        <f t="shared" si="53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45" t="s">
        <v>55</v>
      </c>
      <c r="G89" s="545" t="s">
        <v>73</v>
      </c>
      <c r="H89" s="545" t="s">
        <v>74</v>
      </c>
      <c r="I89" s="545" t="s">
        <v>58</v>
      </c>
      <c r="J89" s="545" t="s">
        <v>59</v>
      </c>
      <c r="K89" s="545" t="s">
        <v>60</v>
      </c>
      <c r="L89" s="544" t="s">
        <v>75</v>
      </c>
      <c r="M89" s="544" t="s">
        <v>76</v>
      </c>
      <c r="N89" s="544" t="s">
        <v>61</v>
      </c>
      <c r="O89" s="544" t="s">
        <v>62</v>
      </c>
      <c r="P89" s="544" t="s">
        <v>63</v>
      </c>
      <c r="AN89" s="38"/>
      <c r="AZ89" s="36"/>
    </row>
    <row r="90" spans="1:52" ht="25.5">
      <c r="A90" s="44" t="str">
        <f t="shared" ref="A90:C92" si="54">A4</f>
        <v>Substation General Construction</v>
      </c>
      <c r="B90" s="45" t="str">
        <f t="shared" si="54"/>
        <v>Light-Duty Truck, catalyst</v>
      </c>
      <c r="C90" s="46">
        <f t="shared" si="54"/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2" si="55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si="54"/>
        <v>Substation Below Grade Construction</v>
      </c>
      <c r="B91" s="45" t="str">
        <f t="shared" si="54"/>
        <v>Light-Duty Truck, catalyst</v>
      </c>
      <c r="C91" s="46">
        <f t="shared" si="54"/>
        <v>10</v>
      </c>
      <c r="D91" s="46">
        <v>35</v>
      </c>
      <c r="E91" s="46">
        <v>80</v>
      </c>
      <c r="F91" s="50">
        <f>C5*($E5*$F5+($G5))/453.59</f>
        <v>4.8571938588092012</v>
      </c>
      <c r="G91" s="50">
        <f>C5*($E5*$H5+($I5))/453.59</f>
        <v>0.43670657294378012</v>
      </c>
      <c r="H91" s="50">
        <f t="shared" ref="H91:H92" si="56">C5*(($E5*$J5)+($K5)+($L5)+($E5*$N5)+(($M5+$O5)))/453.59</f>
        <v>0.50499980323953331</v>
      </c>
      <c r="I91" s="50">
        <f>C5*($E5*$P5+($Q5))/453.59</f>
        <v>7.2679702716061598E-3</v>
      </c>
      <c r="J91" s="50">
        <f>C5*(($E5*($R5+$T5+$U5))+($S5))/453.59</f>
        <v>8.5240904552078958E-2</v>
      </c>
      <c r="K91" s="50">
        <f>$C5*(($E5*($V5+$X5+$Y5))+($W5))/453.59</f>
        <v>3.7120053242531412E-2</v>
      </c>
      <c r="L91" s="50">
        <f>$B$23*C5*(E5+6)</f>
        <v>8.438582586071898E-2</v>
      </c>
      <c r="M91" s="50">
        <f t="shared" si="55"/>
        <v>3.4598188602894778E-2</v>
      </c>
      <c r="N91" s="50">
        <f>C5*($E5*$Z5+($AA5))/453.59</f>
        <v>554.23576726038891</v>
      </c>
      <c r="O91" s="50">
        <f>C5*($E5*$AB5+($AC5))/453.59</f>
        <v>3.1704753890302494E-2</v>
      </c>
      <c r="P91" s="50">
        <f>C5*($E5*$AD5+($AE5))/453.59</f>
        <v>5.7711199138433596E-2</v>
      </c>
      <c r="AN91" s="38"/>
      <c r="AZ91" s="36"/>
    </row>
    <row r="92" spans="1:52" ht="25.5">
      <c r="A92" s="44" t="str">
        <f t="shared" si="54"/>
        <v>Substation Above Grade Construction</v>
      </c>
      <c r="B92" s="45" t="str">
        <f t="shared" si="54"/>
        <v>Light-Duty Truck, catalyst</v>
      </c>
      <c r="C92" s="46">
        <f t="shared" si="54"/>
        <v>5</v>
      </c>
      <c r="D92" s="46">
        <v>35</v>
      </c>
      <c r="E92" s="46">
        <v>80</v>
      </c>
      <c r="F92" s="50">
        <f>C6*($E6*$F6+($G6))/453.59</f>
        <v>2.4285969294046006</v>
      </c>
      <c r="G92" s="50">
        <f>C6*($E6*$H6+($I6))/453.59</f>
        <v>0.21835328647189006</v>
      </c>
      <c r="H92" s="50">
        <f t="shared" si="56"/>
        <v>0.25249990161976665</v>
      </c>
      <c r="I92" s="50">
        <f>C6*($E6*$P6+($Q6))/453.59</f>
        <v>3.6339851358030799E-3</v>
      </c>
      <c r="J92" s="50">
        <f>C6*(($E6*($R6+$T6+$U6))+($S6))/453.59</f>
        <v>4.2620452276039479E-2</v>
      </c>
      <c r="K92" s="50">
        <f>$C6*(($E6*($V6+$X6+$Y6))+($W6))/453.59</f>
        <v>1.8560026621265706E-2</v>
      </c>
      <c r="L92" s="50">
        <f>$B$23*C6*(E6+6)</f>
        <v>4.219291293035949E-2</v>
      </c>
      <c r="M92" s="50">
        <f t="shared" si="55"/>
        <v>1.7299094301447389E-2</v>
      </c>
      <c r="N92" s="50">
        <f>C6*($E6*$Z6+($AA6))/453.59</f>
        <v>277.11788363019446</v>
      </c>
      <c r="O92" s="50">
        <f>C6*($E6*$AB6+($AC6))/453.59</f>
        <v>1.5852376945151247E-2</v>
      </c>
      <c r="P92" s="50">
        <f>C6*($E6*$AD6+($AE6))/453.59</f>
        <v>2.8855599569216798E-2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 t="shared" ref="F93:P93" si="57">SUM(F90:F92)</f>
        <v>8.7429489458565612</v>
      </c>
      <c r="G93" s="81">
        <f t="shared" si="57"/>
        <v>0.7860718312988042</v>
      </c>
      <c r="H93" s="81">
        <f t="shared" si="57"/>
        <v>0.90899964583116</v>
      </c>
      <c r="I93" s="81">
        <f t="shared" si="57"/>
        <v>1.3082346488891087E-2</v>
      </c>
      <c r="J93" s="81">
        <f t="shared" si="57"/>
        <v>0.15343362819374212</v>
      </c>
      <c r="K93" s="81">
        <f t="shared" si="57"/>
        <v>6.6816095836556538E-2</v>
      </c>
      <c r="L93" s="81">
        <f t="shared" si="57"/>
        <v>0.15189448654929416</v>
      </c>
      <c r="M93" s="81">
        <f t="shared" si="57"/>
        <v>6.2276739485210598E-2</v>
      </c>
      <c r="N93" s="81">
        <f t="shared" si="57"/>
        <v>997.62438106870013</v>
      </c>
      <c r="O93" s="81">
        <f t="shared" si="57"/>
        <v>5.7068557002544484E-2</v>
      </c>
      <c r="P93" s="81">
        <f t="shared" si="57"/>
        <v>0.10388015844918047</v>
      </c>
      <c r="AN93" s="38"/>
      <c r="AZ93" s="36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4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642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398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100" t="s">
        <v>287</v>
      </c>
      <c r="B14" s="97" t="s">
        <v>27</v>
      </c>
      <c r="C14" s="97">
        <v>37</v>
      </c>
      <c r="D14" s="22">
        <v>0.37</v>
      </c>
      <c r="E14" s="102">
        <v>3.2313389441625637E-2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0.12374118165784832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0.16056172839506169</v>
      </c>
      <c r="H14" s="102">
        <v>3.2989906092678058E-4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1.3581349206349205E-2</v>
      </c>
      <c r="J14" s="100">
        <f t="shared" ref="J14:J16" si="4">0.89*I14</f>
        <v>1.2087400793650793E-2</v>
      </c>
      <c r="K14" s="103">
        <v>25.519156990664225</v>
      </c>
      <c r="L14" s="102">
        <v>3.413848047070189E-3</v>
      </c>
      <c r="M14" s="104">
        <f t="shared" ref="M14:M16" si="5">0.095*G14</f>
        <v>1.5253364197530862E-2</v>
      </c>
      <c r="N14" s="88">
        <v>1</v>
      </c>
      <c r="O14" s="88">
        <v>1</v>
      </c>
      <c r="P14" s="367">
        <v>75</v>
      </c>
      <c r="Q14" s="26">
        <f t="shared" ref="Q14:Y16" si="6">(E14*$N14*$O14)</f>
        <v>3.2313389441625637E-2</v>
      </c>
      <c r="R14" s="26">
        <f t="shared" si="6"/>
        <v>0.12374118165784832</v>
      </c>
      <c r="S14" s="26">
        <f t="shared" si="6"/>
        <v>0.16056172839506169</v>
      </c>
      <c r="T14" s="26">
        <f t="shared" si="6"/>
        <v>3.2989906092678058E-4</v>
      </c>
      <c r="U14" s="26">
        <f t="shared" si="6"/>
        <v>1.3581349206349205E-2</v>
      </c>
      <c r="V14" s="26">
        <f t="shared" si="6"/>
        <v>1.2087400793650793E-2</v>
      </c>
      <c r="W14" s="26">
        <f t="shared" si="6"/>
        <v>25.519156990664225</v>
      </c>
      <c r="X14" s="26">
        <f t="shared" si="6"/>
        <v>3.413848047070189E-3</v>
      </c>
      <c r="Y14" s="26">
        <f t="shared" si="6"/>
        <v>1.5253364197530862E-2</v>
      </c>
    </row>
    <row r="15" spans="1:25" s="3" customFormat="1">
      <c r="A15" s="100" t="s">
        <v>292</v>
      </c>
      <c r="B15" s="22" t="s">
        <v>27</v>
      </c>
      <c r="C15" s="97">
        <v>69</v>
      </c>
      <c r="D15" s="22">
        <v>0.5</v>
      </c>
      <c r="E15" s="102">
        <v>0.10796897189848784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0.2814153439153439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0.40462962962962956</v>
      </c>
      <c r="H15" s="102">
        <v>7.6125329247041284E-4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2.2817460317460316E-2</v>
      </c>
      <c r="J15" s="100">
        <f t="shared" si="4"/>
        <v>2.030753968253968E-2</v>
      </c>
      <c r="K15" s="103">
        <v>64.895144949977833</v>
      </c>
      <c r="L15" s="102">
        <v>1.0324742188913067E-2</v>
      </c>
      <c r="M15" s="104">
        <f t="shared" si="5"/>
        <v>3.8439814814814809E-2</v>
      </c>
      <c r="N15" s="87">
        <v>1</v>
      </c>
      <c r="O15" s="87">
        <v>6</v>
      </c>
      <c r="P15" s="88">
        <f>8*22</f>
        <v>176</v>
      </c>
      <c r="Q15" s="34">
        <f t="shared" si="6"/>
        <v>0.64781383139092696</v>
      </c>
      <c r="R15" s="26">
        <f t="shared" si="6"/>
        <v>1.6884920634920633</v>
      </c>
      <c r="S15" s="26">
        <f t="shared" si="6"/>
        <v>2.4277777777777771</v>
      </c>
      <c r="T15" s="26">
        <f t="shared" si="6"/>
        <v>4.567519754822477E-3</v>
      </c>
      <c r="U15" s="26">
        <f t="shared" si="6"/>
        <v>0.13690476190476189</v>
      </c>
      <c r="V15" s="26">
        <f t="shared" si="6"/>
        <v>0.12184523809523809</v>
      </c>
      <c r="W15" s="26">
        <f t="shared" si="6"/>
        <v>389.370869699867</v>
      </c>
      <c r="X15" s="26">
        <f t="shared" si="6"/>
        <v>6.1948453133478402E-2</v>
      </c>
      <c r="Y15" s="26">
        <f t="shared" si="6"/>
        <v>0.23063888888888884</v>
      </c>
    </row>
    <row r="16" spans="1:25" s="3" customFormat="1">
      <c r="A16" s="100" t="s">
        <v>126</v>
      </c>
      <c r="B16" s="22" t="s">
        <v>27</v>
      </c>
      <c r="C16" s="22">
        <v>175</v>
      </c>
      <c r="D16" s="22"/>
      <c r="E16" s="102">
        <v>0.11792220738547983</v>
      </c>
      <c r="F16" s="102">
        <v>0.36512193352152528</v>
      </c>
      <c r="G16" s="102">
        <v>0.86781464282266541</v>
      </c>
      <c r="H16" s="102">
        <v>1.8739217498104396E-3</v>
      </c>
      <c r="I16" s="102">
        <v>2.9041712295589866E-2</v>
      </c>
      <c r="J16" s="100">
        <f t="shared" si="4"/>
        <v>2.5847123943074982E-2</v>
      </c>
      <c r="K16" s="103">
        <v>166.54541562452522</v>
      </c>
      <c r="L16" s="102">
        <v>1.063993297769634E-2</v>
      </c>
      <c r="M16" s="104">
        <f t="shared" si="5"/>
        <v>8.2442391068153209E-2</v>
      </c>
      <c r="N16" s="88">
        <v>1</v>
      </c>
      <c r="O16" s="88">
        <v>3</v>
      </c>
      <c r="P16" s="367">
        <v>40</v>
      </c>
      <c r="Q16" s="26">
        <f t="shared" si="6"/>
        <v>0.3537666221564395</v>
      </c>
      <c r="R16" s="26">
        <f t="shared" si="6"/>
        <v>1.0953658005645759</v>
      </c>
      <c r="S16" s="26">
        <f t="shared" si="6"/>
        <v>2.6034439284679962</v>
      </c>
      <c r="T16" s="26">
        <f t="shared" si="6"/>
        <v>5.6217652494313184E-3</v>
      </c>
      <c r="U16" s="26">
        <f t="shared" si="6"/>
        <v>8.7125136886769594E-2</v>
      </c>
      <c r="V16" s="26">
        <f t="shared" si="6"/>
        <v>7.754137182922495E-2</v>
      </c>
      <c r="W16" s="26">
        <f t="shared" si="6"/>
        <v>499.63624687357566</v>
      </c>
      <c r="X16" s="26">
        <f t="shared" si="6"/>
        <v>3.1919798933089022E-2</v>
      </c>
      <c r="Y16" s="26">
        <f t="shared" si="6"/>
        <v>0.24732717320445963</v>
      </c>
    </row>
    <row r="17" spans="1:25" s="3" customFormat="1">
      <c r="A17" s="17" t="s">
        <v>28</v>
      </c>
      <c r="B17" s="97"/>
      <c r="C17" s="22"/>
      <c r="D17" s="22"/>
      <c r="E17" s="23"/>
      <c r="F17" s="23"/>
      <c r="G17" s="23"/>
      <c r="H17" s="23"/>
      <c r="I17" s="23"/>
      <c r="J17" s="24"/>
      <c r="K17" s="25"/>
      <c r="L17" s="23"/>
      <c r="M17" s="23"/>
      <c r="N17" s="88"/>
      <c r="O17" s="88"/>
      <c r="P17" s="88"/>
      <c r="Q17" s="27">
        <f t="shared" ref="Q17:Y17" si="7">SUM(Q14:Q16)</f>
        <v>1.0338938429889921</v>
      </c>
      <c r="R17" s="27">
        <f t="shared" si="7"/>
        <v>2.9075990457144876</v>
      </c>
      <c r="S17" s="27">
        <f t="shared" si="7"/>
        <v>5.1917834346408345</v>
      </c>
      <c r="T17" s="27">
        <f t="shared" si="7"/>
        <v>1.0519184065180577E-2</v>
      </c>
      <c r="U17" s="27">
        <f t="shared" si="7"/>
        <v>0.23761124799788069</v>
      </c>
      <c r="V17" s="27">
        <f t="shared" si="7"/>
        <v>0.21147401071811384</v>
      </c>
      <c r="W17" s="27">
        <f t="shared" si="7"/>
        <v>914.52627356410687</v>
      </c>
      <c r="X17" s="27">
        <f t="shared" si="7"/>
        <v>9.728210011363761E-2</v>
      </c>
      <c r="Y17" s="27">
        <f t="shared" si="7"/>
        <v>0.49321942629087934</v>
      </c>
    </row>
    <row r="18" spans="1:25" s="3" customFormat="1">
      <c r="A18" s="17"/>
      <c r="B18" s="97"/>
      <c r="C18" s="22"/>
      <c r="D18" s="22"/>
      <c r="E18" s="23"/>
      <c r="F18" s="23"/>
      <c r="G18" s="23"/>
      <c r="H18" s="23"/>
      <c r="I18" s="23"/>
      <c r="J18" s="24"/>
      <c r="K18" s="25"/>
      <c r="L18" s="23"/>
      <c r="M18" s="23"/>
      <c r="N18" s="88"/>
      <c r="O18" s="88"/>
      <c r="P18" s="88"/>
      <c r="Q18" s="27"/>
      <c r="R18" s="27"/>
      <c r="S18" s="27"/>
      <c r="T18" s="27"/>
      <c r="U18" s="27"/>
      <c r="V18" s="27"/>
      <c r="W18" s="27"/>
      <c r="X18" s="27"/>
      <c r="Y18" s="27"/>
    </row>
    <row r="19" spans="1:25" s="3" customFormat="1">
      <c r="A19" s="11" t="s">
        <v>399</v>
      </c>
      <c r="B19" s="22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11"/>
      <c r="O19" s="11"/>
      <c r="P19" s="11"/>
      <c r="Q19" s="27"/>
      <c r="R19" s="27"/>
      <c r="S19" s="27"/>
      <c r="T19" s="27"/>
      <c r="U19" s="27"/>
      <c r="V19" s="27"/>
      <c r="W19" s="28"/>
      <c r="X19" s="27"/>
      <c r="Y19" s="27"/>
    </row>
    <row r="20" spans="1:25">
      <c r="A20" s="24" t="s">
        <v>400</v>
      </c>
      <c r="B20" s="29" t="s">
        <v>27</v>
      </c>
      <c r="C20" s="97">
        <v>235</v>
      </c>
      <c r="D20" s="97"/>
      <c r="E20" s="102">
        <v>0.11792220738547983</v>
      </c>
      <c r="F20" s="102">
        <v>0.36512193352152528</v>
      </c>
      <c r="G20" s="102">
        <v>0.86781464282266541</v>
      </c>
      <c r="H20" s="102">
        <v>1.8739217498104396E-3</v>
      </c>
      <c r="I20" s="102">
        <v>2.9041712295589866E-2</v>
      </c>
      <c r="J20" s="100">
        <f t="shared" ref="J20:J22" si="8">0.89*I20</f>
        <v>2.5847123943074982E-2</v>
      </c>
      <c r="K20" s="103">
        <v>166.54541562452522</v>
      </c>
      <c r="L20" s="102">
        <v>1.063993297769634E-2</v>
      </c>
      <c r="M20" s="104">
        <f t="shared" ref="M20:M22" si="9">0.095*G20</f>
        <v>8.2442391068153209E-2</v>
      </c>
      <c r="N20" s="98">
        <v>1</v>
      </c>
      <c r="O20" s="87">
        <v>8</v>
      </c>
      <c r="P20" s="88">
        <v>4</v>
      </c>
      <c r="Q20" s="34">
        <f t="shared" ref="Q20:Y22" si="10">(E20*$N20*$O20)</f>
        <v>0.94337765908383864</v>
      </c>
      <c r="R20" s="26">
        <f t="shared" si="10"/>
        <v>2.9209754681722022</v>
      </c>
      <c r="S20" s="26">
        <f t="shared" si="10"/>
        <v>6.9425171425813232</v>
      </c>
      <c r="T20" s="26">
        <f t="shared" si="10"/>
        <v>1.4991373998483517E-2</v>
      </c>
      <c r="U20" s="26">
        <f t="shared" si="10"/>
        <v>0.23233369836471893</v>
      </c>
      <c r="V20" s="26">
        <f t="shared" si="10"/>
        <v>0.20677699154459986</v>
      </c>
      <c r="W20" s="26">
        <f t="shared" si="10"/>
        <v>1332.3633249962018</v>
      </c>
      <c r="X20" s="26">
        <f t="shared" si="10"/>
        <v>8.5119463821570721E-2</v>
      </c>
      <c r="Y20" s="26">
        <f t="shared" si="10"/>
        <v>0.65953912854522567</v>
      </c>
    </row>
    <row r="21" spans="1:25">
      <c r="A21" s="24" t="s">
        <v>297</v>
      </c>
      <c r="B21" s="29" t="s">
        <v>27</v>
      </c>
      <c r="C21" s="97">
        <v>235</v>
      </c>
      <c r="D21" s="97"/>
      <c r="E21" s="102">
        <v>0.11792220738547983</v>
      </c>
      <c r="F21" s="102">
        <v>0.36512193352152528</v>
      </c>
      <c r="G21" s="102">
        <v>0.86781464282266541</v>
      </c>
      <c r="H21" s="102">
        <v>1.8739217498104396E-3</v>
      </c>
      <c r="I21" s="102">
        <v>2.9041712295589866E-2</v>
      </c>
      <c r="J21" s="100">
        <f t="shared" si="8"/>
        <v>2.5847123943074982E-2</v>
      </c>
      <c r="K21" s="103">
        <v>166.54541562452522</v>
      </c>
      <c r="L21" s="102">
        <v>1.063993297769634E-2</v>
      </c>
      <c r="M21" s="104">
        <f t="shared" si="9"/>
        <v>8.2442391068153209E-2</v>
      </c>
      <c r="N21" s="98">
        <v>2</v>
      </c>
      <c r="O21" s="87">
        <v>8</v>
      </c>
      <c r="P21" s="88">
        <v>4</v>
      </c>
      <c r="Q21" s="34">
        <f t="shared" si="10"/>
        <v>1.8867553181676773</v>
      </c>
      <c r="R21" s="26">
        <f t="shared" si="10"/>
        <v>5.8419509363444044</v>
      </c>
      <c r="S21" s="26">
        <f t="shared" si="10"/>
        <v>13.885034285162646</v>
      </c>
      <c r="T21" s="26">
        <f t="shared" si="10"/>
        <v>2.9982747996967034E-2</v>
      </c>
      <c r="U21" s="26">
        <f t="shared" si="10"/>
        <v>0.46466739672943785</v>
      </c>
      <c r="V21" s="26">
        <f t="shared" si="10"/>
        <v>0.41355398308919972</v>
      </c>
      <c r="W21" s="26">
        <f t="shared" si="10"/>
        <v>2664.7266499924035</v>
      </c>
      <c r="X21" s="26">
        <f t="shared" si="10"/>
        <v>0.17023892764314144</v>
      </c>
      <c r="Y21" s="26">
        <f t="shared" si="10"/>
        <v>1.3190782570904513</v>
      </c>
    </row>
    <row r="22" spans="1:25" s="3" customFormat="1">
      <c r="A22" s="100" t="s">
        <v>287</v>
      </c>
      <c r="B22" s="97" t="s">
        <v>27</v>
      </c>
      <c r="C22" s="97">
        <v>37</v>
      </c>
      <c r="D22" s="22">
        <v>0.37</v>
      </c>
      <c r="E22" s="102">
        <v>3.7835624751667511E-2</v>
      </c>
      <c r="F22" s="397">
        <f>IF($C22&lt;11,'Offroad Tiers EF (2)'!$AN$4*$C22*$D22,IF($C22&lt;25,'Offroad Tiers EF (2)'!$AN$5*$C22*$D22,IF($C22&lt;50,'Offroad Tiers EF (2)'!$AN$6*$C22*$D22,IF($C22&lt;75,'Offroad Tiers EF (2)'!$AN$7*$C22*$D22,IF($C22&lt;100,'Offroad Tiers EF (2)'!$AN$8*$C22*$D22,IF($C22&lt;175,'Offroad Tiers EF (2)'!$AN$9*$C22*$D22,IF($C22&lt;300,'Offroad Tiers EF (2)'!$AN$10*$C22*$D22,IF($C22&lt;600,'Offroad Tiers EF (2)'!$AN$11*$C22*$D22,"!"))))))))</f>
        <v>0.12374118165784832</v>
      </c>
      <c r="G22" s="397">
        <f>IF($C22&lt;11,'Offroad Tiers EF (2)'!$AM$4*$C22*$D22,IF($C22&lt;25,'Offroad Tiers EF (2)'!$AM$5*$C22*$D22,IF($C22&lt;50,'Offroad Tiers EF (2)'!$AM$6*$C22*$D22,IF($C22&lt;75,'Offroad Tiers EF (2)'!$AM$7*$C22*$D22,IF($C22&lt;100,'Offroad Tiers EF (2)'!$AM$8*$C22*$D22,IF($C22&lt;175,'Offroad Tiers EF (2)'!$AM$9*$C22*$D22,IF($C22&lt;300,'Offroad Tiers EF (2)'!$AM$10*$C22*$D22,IF($C22&lt;600,'Offroad Tiers EF (2)'!$AM$11*$C22*$D22,"!"))))))))</f>
        <v>0.16056172839506169</v>
      </c>
      <c r="H22" s="102">
        <v>3.2989906092678058E-4</v>
      </c>
      <c r="I22" s="397">
        <f>IF($C22&lt;11,'Offroad Tiers EF (2)'!$AO$4*$C22*$D22,IF($C22&lt;25,'Offroad Tiers EF (2)'!$AO$5*$C22*$D22,IF($C22&lt;50,'Offroad Tiers EF (2)'!$AO$6*$C22*$D22,IF($C22&lt;75,'Offroad Tiers EF (2)'!$AO$7*$C22*$D22,IF($C22&lt;100,'Offroad Tiers EF (2)'!$AO$8*$C22*$D22,IF($C22&lt;175,'Offroad Tiers EF (2)'!$AO$9*$C22*$D22,IF($C22&lt;300,'Offroad Tiers EF (2)'!$AO$10*$C22*$D22,IF($C22&lt;600,'Offroad Tiers EF (2)'!$AO$11*$C22*$D22,"!"))))))))</f>
        <v>1.3581349206349205E-2</v>
      </c>
      <c r="J22" s="100">
        <f t="shared" si="8"/>
        <v>1.2087400793650793E-2</v>
      </c>
      <c r="K22" s="103">
        <v>25.519156990664225</v>
      </c>
      <c r="L22" s="102">
        <v>3.413848047070189E-3</v>
      </c>
      <c r="M22" s="104">
        <f t="shared" si="9"/>
        <v>1.5253364197530862E-2</v>
      </c>
      <c r="N22" s="88">
        <v>1</v>
      </c>
      <c r="O22" s="88">
        <v>4</v>
      </c>
      <c r="P22" s="367">
        <v>75</v>
      </c>
      <c r="Q22" s="26">
        <f t="shared" si="10"/>
        <v>0.15134249900667004</v>
      </c>
      <c r="R22" s="26">
        <f t="shared" si="10"/>
        <v>0.49496472663139329</v>
      </c>
      <c r="S22" s="26">
        <f t="shared" si="10"/>
        <v>0.64224691358024677</v>
      </c>
      <c r="T22" s="26">
        <f t="shared" si="10"/>
        <v>1.3195962437071223E-3</v>
      </c>
      <c r="U22" s="26">
        <f t="shared" si="10"/>
        <v>5.4325396825396818E-2</v>
      </c>
      <c r="V22" s="26">
        <f t="shared" si="10"/>
        <v>4.834960317460317E-2</v>
      </c>
      <c r="W22" s="26">
        <f t="shared" si="10"/>
        <v>102.0766279626569</v>
      </c>
      <c r="X22" s="26">
        <f t="shared" si="10"/>
        <v>1.3655392188280756E-2</v>
      </c>
      <c r="Y22" s="26">
        <f t="shared" si="10"/>
        <v>6.1013456790123446E-2</v>
      </c>
    </row>
    <row r="23" spans="1:25">
      <c r="A23" s="17" t="s">
        <v>28</v>
      </c>
      <c r="B23" s="97"/>
      <c r="C23" s="22"/>
      <c r="D23" s="22"/>
      <c r="E23" s="23"/>
      <c r="F23" s="23"/>
      <c r="G23" s="23"/>
      <c r="H23" s="23"/>
      <c r="I23" s="23"/>
      <c r="J23" s="24"/>
      <c r="K23" s="25"/>
      <c r="L23" s="23"/>
      <c r="M23" s="23"/>
      <c r="N23" s="88"/>
      <c r="O23" s="88"/>
      <c r="P23" s="88"/>
      <c r="Q23" s="27">
        <f>SUM(Q20:Q22)</f>
        <v>2.9814754762581859</v>
      </c>
      <c r="R23" s="27">
        <f t="shared" ref="R23:Y23" si="11">SUM(R20:R22)</f>
        <v>9.2578911311479999</v>
      </c>
      <c r="S23" s="27">
        <f t="shared" si="11"/>
        <v>21.469798341324218</v>
      </c>
      <c r="T23" s="27">
        <f t="shared" si="11"/>
        <v>4.629371823915767E-2</v>
      </c>
      <c r="U23" s="27">
        <f t="shared" si="11"/>
        <v>0.75132649191955359</v>
      </c>
      <c r="V23" s="27">
        <f t="shared" si="11"/>
        <v>0.66868057780840273</v>
      </c>
      <c r="W23" s="27">
        <f t="shared" si="11"/>
        <v>4099.1666029512626</v>
      </c>
      <c r="X23" s="27">
        <f t="shared" si="11"/>
        <v>0.26901378365299294</v>
      </c>
      <c r="Y23" s="27">
        <f t="shared" si="11"/>
        <v>2.0396308424258005</v>
      </c>
    </row>
    <row r="24" spans="1:25">
      <c r="A24" s="17" t="s">
        <v>499</v>
      </c>
      <c r="B24" s="549"/>
      <c r="C24" s="18"/>
      <c r="D24" s="22"/>
      <c r="E24" s="19"/>
      <c r="F24" s="19"/>
      <c r="G24" s="19"/>
      <c r="H24" s="19"/>
      <c r="I24" s="19"/>
      <c r="J24" s="19"/>
      <c r="K24" s="19"/>
      <c r="L24" s="19"/>
      <c r="M24" s="19"/>
      <c r="N24" s="30"/>
      <c r="O24" s="30"/>
      <c r="P24" s="364"/>
      <c r="Q24" s="20">
        <f>Q11+Q17+Q23</f>
        <v>4.7299464423387754</v>
      </c>
      <c r="R24" s="20">
        <f t="shared" ref="R24:Y24" si="12">R11+R17+R23</f>
        <v>15.119649387820882</v>
      </c>
      <c r="S24" s="20">
        <f t="shared" si="12"/>
        <v>31.082638222104208</v>
      </c>
      <c r="T24" s="20">
        <f t="shared" si="12"/>
        <v>6.5135968540416131E-2</v>
      </c>
      <c r="U24" s="20">
        <f t="shared" si="12"/>
        <v>1.2347460322334818</v>
      </c>
      <c r="V24" s="20">
        <f t="shared" si="12"/>
        <v>1.0989239686877987</v>
      </c>
      <c r="W24" s="20">
        <f t="shared" si="12"/>
        <v>5710.1463690003975</v>
      </c>
      <c r="X24" s="20">
        <f t="shared" si="12"/>
        <v>0.43883568995720029</v>
      </c>
      <c r="Y24" s="20">
        <f t="shared" si="12"/>
        <v>2.9528506310998996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5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643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C9*(F9)*$B$276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C10*(F10)*$B$276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334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C14*(F14)*$B$218</f>
        <v>0</v>
      </c>
      <c r="AA14" s="50">
        <f>Z14*0.21</f>
        <v>0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0.19978255106729004</v>
      </c>
      <c r="U15" s="81">
        <f t="shared" si="1"/>
        <v>0.36881875565943734</v>
      </c>
      <c r="V15" s="81">
        <f t="shared" si="1"/>
        <v>4.50613455258927E-2</v>
      </c>
      <c r="W15" s="81">
        <f t="shared" si="1"/>
        <v>2.7797226812149543E-3</v>
      </c>
      <c r="X15" s="81">
        <f t="shared" si="1"/>
        <v>7.2738929740302244E-2</v>
      </c>
      <c r="Y15" s="81">
        <f t="shared" si="1"/>
        <v>4.8332197965954803E-2</v>
      </c>
      <c r="Z15" s="81">
        <f t="shared" si="1"/>
        <v>0</v>
      </c>
      <c r="AA15" s="81">
        <f t="shared" si="1"/>
        <v>0</v>
      </c>
      <c r="AB15" s="81">
        <f t="shared" si="1"/>
        <v>193.62821118051326</v>
      </c>
      <c r="AC15" s="81">
        <f t="shared" si="1"/>
        <v>1.1064496871488068E-2</v>
      </c>
      <c r="AD15" s="81">
        <f t="shared" si="1"/>
        <v>4.9599802576000274E-3</v>
      </c>
    </row>
    <row r="16" spans="1:30">
      <c r="A16" s="75"/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</row>
    <row r="17" spans="1:30">
      <c r="A17" s="114" t="s">
        <v>336</v>
      </c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61"/>
      <c r="U17" s="61"/>
      <c r="V17" s="61"/>
      <c r="W17" s="61"/>
      <c r="X17" s="61"/>
      <c r="Y17" s="61"/>
      <c r="Z17" s="62"/>
      <c r="AA17" s="62"/>
      <c r="AB17" s="62"/>
      <c r="AC17" s="62"/>
      <c r="AD17" s="62"/>
    </row>
    <row r="18" spans="1:30">
      <c r="A18" s="78" t="s">
        <v>320</v>
      </c>
      <c r="B18" s="76" t="s">
        <v>95</v>
      </c>
      <c r="C18" s="79">
        <v>3</v>
      </c>
      <c r="D18" s="77"/>
      <c r="E18" s="77">
        <v>35</v>
      </c>
      <c r="F18" s="77">
        <v>60</v>
      </c>
      <c r="G18" s="106">
        <v>0.25172046482947802</v>
      </c>
      <c r="H18" s="106">
        <v>0.464701387165456</v>
      </c>
      <c r="I18" s="106">
        <v>5.6776043658582402E-2</v>
      </c>
      <c r="J18" s="106">
        <v>3.5023733638119199E-3</v>
      </c>
      <c r="K18" s="106">
        <v>4.6899256897933901E-2</v>
      </c>
      <c r="L18" s="47">
        <v>7.99995847163921E-3</v>
      </c>
      <c r="M18" s="47">
        <v>3.6749815577381599E-2</v>
      </c>
      <c r="N18" s="106">
        <v>4.3147317248333997E-2</v>
      </c>
      <c r="O18" s="47">
        <v>1.9999896145790402E-3</v>
      </c>
      <c r="P18" s="47">
        <v>1.57499200131354E-2</v>
      </c>
      <c r="Q18" s="106">
        <v>243.966167526025</v>
      </c>
      <c r="R18" s="47">
        <f>0.000057143*Q18</f>
        <v>1.3940958710939646E-2</v>
      </c>
      <c r="S18" s="80">
        <f>0.000025616*Q18</f>
        <v>6.2494373473466567E-3</v>
      </c>
      <c r="T18" s="50">
        <f>C18*($F18*$G18)/453.59</f>
        <v>9.9891275533645019E-2</v>
      </c>
      <c r="U18" s="50">
        <f>C18*($F18*$H18)/453.59</f>
        <v>0.18440937782971867</v>
      </c>
      <c r="V18" s="50">
        <f>C18*(($F18*$I18))/453.59</f>
        <v>2.253067276294635E-2</v>
      </c>
      <c r="W18" s="50">
        <f>C18*($F18*$J18)/453.59</f>
        <v>1.3898613406074772E-3</v>
      </c>
      <c r="X18" s="50">
        <f>C18*(($F18*($K18+$L18+$M18)))/453.59</f>
        <v>3.6369464870151122E-2</v>
      </c>
      <c r="Y18" s="50">
        <f>C18*(($F18*($N18+$O18+$P18)))/453.59</f>
        <v>2.4166098982977401E-2</v>
      </c>
      <c r="Z18" s="50">
        <f>C18*(F18)*$B$301</f>
        <v>0</v>
      </c>
      <c r="AA18" s="50">
        <f>Z18*0.21</f>
        <v>0</v>
      </c>
      <c r="AB18" s="50">
        <f>C18*(($F18*($Q18)))/453.59</f>
        <v>96.814105590256631</v>
      </c>
      <c r="AC18" s="50">
        <f>C18*(($F18*($R18)))/453.59</f>
        <v>5.5322484357440338E-3</v>
      </c>
      <c r="AD18" s="50">
        <f>C18*(($F18*($S18)))/453.59</f>
        <v>2.4799901288000137E-3</v>
      </c>
    </row>
    <row r="19" spans="1:30">
      <c r="A19" s="78" t="s">
        <v>309</v>
      </c>
      <c r="B19" s="76" t="s">
        <v>105</v>
      </c>
      <c r="C19" s="374">
        <v>1</v>
      </c>
      <c r="D19" s="77"/>
      <c r="E19" s="77">
        <v>35</v>
      </c>
      <c r="F19" s="77">
        <v>80</v>
      </c>
      <c r="G19" s="106">
        <v>1.08263976628415</v>
      </c>
      <c r="H19" s="106">
        <v>4.9712718909585103</v>
      </c>
      <c r="I19" s="106">
        <v>0.26248012575016899</v>
      </c>
      <c r="J19" s="106">
        <v>1.0711818E-2</v>
      </c>
      <c r="K19" s="106">
        <v>7.1679901072141505E-2</v>
      </c>
      <c r="L19" s="576">
        <v>3.59998119015979E-2</v>
      </c>
      <c r="M19" s="576">
        <v>6.1739677411240299E-2</v>
      </c>
      <c r="N19" s="106">
        <v>6.5945508986370194E-2</v>
      </c>
      <c r="O19" s="576">
        <v>2.9999843251331498E-3</v>
      </c>
      <c r="P19" s="576">
        <v>5.5859708133979398E-2</v>
      </c>
      <c r="Q19" s="106">
        <v>1710.7260798814</v>
      </c>
      <c r="R19" s="47">
        <v>1.5235246282551899E-2</v>
      </c>
      <c r="S19" s="80">
        <f>0.000025616*Q19</f>
        <v>4.3821959262241944E-2</v>
      </c>
      <c r="T19" s="50">
        <f>C19*($F19*$G19)/453.59</f>
        <v>0.19094596728925242</v>
      </c>
      <c r="U19" s="50">
        <f>C19*($F19*$H19)/453.59</f>
        <v>0.87678685878586582</v>
      </c>
      <c r="V19" s="50">
        <f>C19*(($F19*$I19))/453.59</f>
        <v>4.6293811724274173E-2</v>
      </c>
      <c r="W19" s="50">
        <f>C19*($F19*$J19)/453.59</f>
        <v>1.8892511739676801E-3</v>
      </c>
      <c r="X19" s="50">
        <f>C19*(($F19*($K19+$L19+$M19)))/453.59</f>
        <v>2.9880621774726907E-2</v>
      </c>
      <c r="Y19" s="50">
        <f>C19*(($F19*($N19+$O19+$P19)))/453.59</f>
        <v>2.2011984646131133E-2</v>
      </c>
      <c r="Z19" s="50">
        <f>C19*(F19)*$B$276</f>
        <v>0</v>
      </c>
      <c r="AA19" s="50">
        <f>Z19*0.21</f>
        <v>0</v>
      </c>
      <c r="AB19" s="50">
        <f>C19*(($F19*($Q19)))/453.59</f>
        <v>301.72200972356535</v>
      </c>
      <c r="AC19" s="50">
        <f>C19*(($F19*($R19)))/453.59</f>
        <v>2.6870515280410772E-3</v>
      </c>
      <c r="AD19" s="50">
        <f>C19*(($F19*($S19)))/453.59</f>
        <v>7.7289110010788503E-3</v>
      </c>
    </row>
    <row r="20" spans="1:30">
      <c r="A20" s="75" t="s">
        <v>28</v>
      </c>
      <c r="B20" s="74"/>
      <c r="C20" s="112"/>
      <c r="D20" s="112"/>
      <c r="E20" s="74"/>
      <c r="F20" s="74"/>
      <c r="G20" s="577"/>
      <c r="H20" s="41"/>
      <c r="I20" s="41"/>
      <c r="J20" s="41"/>
      <c r="K20" s="574"/>
      <c r="L20" s="574"/>
      <c r="M20" s="574"/>
      <c r="N20" s="574"/>
      <c r="O20" s="574"/>
      <c r="P20" s="574"/>
      <c r="Q20" s="41"/>
      <c r="R20" s="574"/>
      <c r="S20" s="574"/>
      <c r="T20" s="81">
        <f>SUM(T18:T19)</f>
        <v>0.29083724282289747</v>
      </c>
      <c r="U20" s="81">
        <f t="shared" ref="U20:AD20" si="2">SUM(U18:U19)</f>
        <v>1.0611962366155845</v>
      </c>
      <c r="V20" s="81">
        <f t="shared" si="2"/>
        <v>6.8824484487220519E-2</v>
      </c>
      <c r="W20" s="81">
        <f t="shared" si="2"/>
        <v>3.2791125145751575E-3</v>
      </c>
      <c r="X20" s="81">
        <f t="shared" si="2"/>
        <v>6.6250086644878026E-2</v>
      </c>
      <c r="Y20" s="81">
        <f t="shared" si="2"/>
        <v>4.6178083629108538E-2</v>
      </c>
      <c r="Z20" s="81">
        <f t="shared" si="2"/>
        <v>0</v>
      </c>
      <c r="AA20" s="81">
        <f t="shared" si="2"/>
        <v>0</v>
      </c>
      <c r="AB20" s="81">
        <f t="shared" si="2"/>
        <v>398.53611531382199</v>
      </c>
      <c r="AC20" s="81">
        <f t="shared" si="2"/>
        <v>8.2192999637851101E-3</v>
      </c>
      <c r="AD20" s="81">
        <f t="shared" si="2"/>
        <v>1.0208901129878864E-2</v>
      </c>
    </row>
    <row r="21" spans="1:30">
      <c r="A21" s="75" t="s">
        <v>388</v>
      </c>
      <c r="B21" s="74"/>
      <c r="C21" s="112"/>
      <c r="D21" s="112"/>
      <c r="E21" s="74"/>
      <c r="F21" s="74"/>
      <c r="G21" s="547"/>
      <c r="H21" s="41"/>
      <c r="I21" s="41"/>
      <c r="J21" s="41"/>
      <c r="K21" s="544"/>
      <c r="L21" s="544"/>
      <c r="M21" s="544"/>
      <c r="N21" s="544"/>
      <c r="O21" s="544"/>
      <c r="P21" s="544"/>
      <c r="Q21" s="41"/>
      <c r="R21" s="544"/>
      <c r="S21" s="544"/>
      <c r="T21" s="81">
        <f>T11+T15+T20</f>
        <v>0.78145703671308497</v>
      </c>
      <c r="U21" s="81">
        <f t="shared" ref="U21:AD21" si="3">U11+U15+U20</f>
        <v>2.4912112288906063</v>
      </c>
      <c r="V21" s="81">
        <f t="shared" si="3"/>
        <v>0.18271031450033376</v>
      </c>
      <c r="W21" s="81">
        <f t="shared" si="3"/>
        <v>9.3379477103652693E-3</v>
      </c>
      <c r="X21" s="81">
        <f t="shared" si="3"/>
        <v>0.2052391030300583</v>
      </c>
      <c r="Y21" s="81">
        <f t="shared" si="3"/>
        <v>0.14068836522417189</v>
      </c>
      <c r="Z21" s="81">
        <f t="shared" si="3"/>
        <v>0</v>
      </c>
      <c r="AA21" s="81">
        <f t="shared" si="3"/>
        <v>0</v>
      </c>
      <c r="AB21" s="81">
        <f t="shared" si="3"/>
        <v>990.70044180815717</v>
      </c>
      <c r="AC21" s="81">
        <f t="shared" si="3"/>
        <v>2.7503096799058286E-2</v>
      </c>
      <c r="AD21" s="81">
        <f t="shared" si="3"/>
        <v>2.5377782517357755E-2</v>
      </c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25" spans="1:30">
      <c r="A25" s="370"/>
      <c r="B25" s="371"/>
      <c r="C25" s="372"/>
      <c r="D25" s="372"/>
      <c r="E25" s="371"/>
      <c r="F25" s="371"/>
      <c r="G25" s="373"/>
      <c r="H25" s="373"/>
      <c r="I25" s="373"/>
      <c r="J25" s="373"/>
      <c r="K25" s="373"/>
      <c r="L25" s="373"/>
      <c r="M25" s="373"/>
      <c r="N25" s="373"/>
      <c r="O25" s="373"/>
      <c r="P25" s="373"/>
      <c r="Q25" s="373"/>
      <c r="R25" s="373"/>
      <c r="S25" s="373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</row>
    <row r="373" spans="1:2" ht="25.5">
      <c r="A373" s="82" t="s">
        <v>109</v>
      </c>
    </row>
    <row r="375" spans="1:2">
      <c r="A375" s="36" t="s">
        <v>81</v>
      </c>
    </row>
    <row r="376" spans="1:2">
      <c r="A376" s="36" t="s">
        <v>82</v>
      </c>
    </row>
    <row r="377" spans="1:2">
      <c r="A377" s="36" t="s">
        <v>83</v>
      </c>
    </row>
    <row r="378" spans="1:2">
      <c r="A378" s="37" t="s">
        <v>96</v>
      </c>
    </row>
    <row r="379" spans="1:2">
      <c r="A379" s="36" t="s">
        <v>85</v>
      </c>
    </row>
    <row r="380" spans="1:2">
      <c r="A380" s="36" t="s">
        <v>86</v>
      </c>
    </row>
    <row r="381" spans="1:2">
      <c r="A381" s="36" t="s">
        <v>87</v>
      </c>
    </row>
    <row r="382" spans="1:2">
      <c r="A382" s="36" t="s">
        <v>0</v>
      </c>
    </row>
    <row r="383" spans="1:2">
      <c r="A383" s="37" t="s">
        <v>97</v>
      </c>
      <c r="B383" s="36">
        <f>(0.016*(0.03/2)^0.65*(2/3)^1.5)-0.00047</f>
        <v>9.8123053326417428E-5</v>
      </c>
    </row>
    <row r="384" spans="1:2">
      <c r="A384" s="37" t="s">
        <v>98</v>
      </c>
      <c r="B384" s="36">
        <f>(0.016*(0.03/2)^0.65*(13/3)^1.5)-0.00047</f>
        <v>8.9448292388582783E-3</v>
      </c>
    </row>
    <row r="385" spans="1:2">
      <c r="A385" s="37" t="s">
        <v>99</v>
      </c>
      <c r="B385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644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 ht="25.5">
      <c r="A5" s="44" t="s">
        <v>334</v>
      </c>
      <c r="B5" s="45" t="s">
        <v>102</v>
      </c>
      <c r="C5" s="46">
        <v>10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ref="AC5:AC6" si="2">0.000049261*AA5</f>
        <v>2.2095931710230707E-2</v>
      </c>
      <c r="AD5" s="49">
        <v>3.2599999999999997E-2</v>
      </c>
      <c r="AE5" s="47">
        <f t="shared" ref="AE5:AE6" si="3">0.000021675*AA5</f>
        <v>9.7222817202097123E-3</v>
      </c>
    </row>
    <row r="6" spans="1:67" ht="25.5">
      <c r="A6" s="44" t="s">
        <v>336</v>
      </c>
      <c r="B6" s="45" t="s">
        <v>102</v>
      </c>
      <c r="C6" s="46">
        <v>8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2"/>
        <v>2.2095931710230707E-2</v>
      </c>
      <c r="AD6" s="49">
        <v>3.2599999999999997E-2</v>
      </c>
      <c r="AE6" s="47">
        <f t="shared" si="3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546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4">AG$11*$AC16</f>
        <v>#REF!</v>
      </c>
      <c r="AH16" s="36" t="e">
        <f t="shared" si="4"/>
        <v>#REF!</v>
      </c>
      <c r="AI16" s="36" t="e">
        <f t="shared" si="4"/>
        <v>#REF!</v>
      </c>
      <c r="AJ16" s="36" t="e">
        <f t="shared" si="4"/>
        <v>#REF!</v>
      </c>
      <c r="AK16" s="36" t="e">
        <f t="shared" si="4"/>
        <v>#REF!</v>
      </c>
      <c r="AL16" s="36" t="e">
        <f t="shared" si="4"/>
        <v>#REF!</v>
      </c>
      <c r="AM16" s="36" t="e">
        <f t="shared" si="4"/>
        <v>#REF!</v>
      </c>
      <c r="AN16" s="36" t="e">
        <f t="shared" si="4"/>
        <v>#REF!</v>
      </c>
      <c r="AO16" s="36" t="e">
        <f t="shared" si="4"/>
        <v>#REF!</v>
      </c>
      <c r="AQ16" s="38"/>
      <c r="AR16" s="36" t="e">
        <f>AR$11*$AC16</f>
        <v>#REF!</v>
      </c>
      <c r="AS16" s="36" t="e">
        <f t="shared" ref="AS16:BA24" si="5">AS$11*$AC16</f>
        <v>#REF!</v>
      </c>
      <c r="AT16" s="36" t="e">
        <f t="shared" si="5"/>
        <v>#REF!</v>
      </c>
      <c r="AU16" s="36" t="e">
        <f t="shared" si="5"/>
        <v>#REF!</v>
      </c>
      <c r="AV16" s="36" t="e">
        <f t="shared" si="5"/>
        <v>#REF!</v>
      </c>
      <c r="AW16" s="36" t="e">
        <f t="shared" si="5"/>
        <v>#REF!</v>
      </c>
      <c r="AX16" s="36" t="e">
        <f t="shared" si="5"/>
        <v>#REF!</v>
      </c>
      <c r="AY16" s="36" t="e">
        <f t="shared" si="5"/>
        <v>#REF!</v>
      </c>
      <c r="AZ16" s="36" t="e">
        <f t="shared" si="5"/>
        <v>#REF!</v>
      </c>
      <c r="BA16" s="36" t="e">
        <f t="shared" si="5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6">AF$11*$AC17</f>
        <v>#REF!</v>
      </c>
      <c r="AG17" s="36" t="e">
        <f t="shared" si="4"/>
        <v>#REF!</v>
      </c>
      <c r="AH17" s="36" t="e">
        <f t="shared" si="4"/>
        <v>#REF!</v>
      </c>
      <c r="AI17" s="36" t="e">
        <f t="shared" si="4"/>
        <v>#REF!</v>
      </c>
      <c r="AJ17" s="36" t="e">
        <f t="shared" si="4"/>
        <v>#REF!</v>
      </c>
      <c r="AK17" s="36" t="e">
        <f t="shared" si="4"/>
        <v>#REF!</v>
      </c>
      <c r="AL17" s="36" t="e">
        <f t="shared" si="4"/>
        <v>#REF!</v>
      </c>
      <c r="AM17" s="36" t="e">
        <f t="shared" si="4"/>
        <v>#REF!</v>
      </c>
      <c r="AN17" s="36" t="e">
        <f t="shared" si="4"/>
        <v>#REF!</v>
      </c>
      <c r="AO17" s="36" t="e">
        <f t="shared" si="4"/>
        <v>#REF!</v>
      </c>
      <c r="AQ17" s="38"/>
      <c r="AR17" s="36" t="e">
        <f t="shared" ref="AR17:AR24" si="7">AR$11*$AC17</f>
        <v>#REF!</v>
      </c>
      <c r="AS17" s="36" t="e">
        <f t="shared" si="5"/>
        <v>#REF!</v>
      </c>
      <c r="AT17" s="36" t="e">
        <f t="shared" si="5"/>
        <v>#REF!</v>
      </c>
      <c r="AU17" s="36" t="e">
        <f t="shared" si="5"/>
        <v>#REF!</v>
      </c>
      <c r="AV17" s="36" t="e">
        <f t="shared" si="5"/>
        <v>#REF!</v>
      </c>
      <c r="AW17" s="36" t="e">
        <f t="shared" si="5"/>
        <v>#REF!</v>
      </c>
      <c r="AX17" s="36" t="e">
        <f t="shared" si="5"/>
        <v>#REF!</v>
      </c>
      <c r="AY17" s="36" t="e">
        <f t="shared" si="5"/>
        <v>#REF!</v>
      </c>
      <c r="AZ17" s="36" t="e">
        <f t="shared" si="5"/>
        <v>#REF!</v>
      </c>
      <c r="BA17" s="36" t="e">
        <f t="shared" si="5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6"/>
        <v>#REF!</v>
      </c>
      <c r="AG18" s="36" t="e">
        <f t="shared" si="4"/>
        <v>#REF!</v>
      </c>
      <c r="AH18" s="36" t="e">
        <f t="shared" si="4"/>
        <v>#REF!</v>
      </c>
      <c r="AI18" s="36" t="e">
        <f t="shared" si="4"/>
        <v>#REF!</v>
      </c>
      <c r="AJ18" s="36" t="e">
        <f t="shared" si="4"/>
        <v>#REF!</v>
      </c>
      <c r="AK18" s="36" t="e">
        <f t="shared" si="4"/>
        <v>#REF!</v>
      </c>
      <c r="AL18" s="36" t="e">
        <f t="shared" si="4"/>
        <v>#REF!</v>
      </c>
      <c r="AM18" s="36" t="e">
        <f t="shared" si="4"/>
        <v>#REF!</v>
      </c>
      <c r="AN18" s="36" t="e">
        <f t="shared" si="4"/>
        <v>#REF!</v>
      </c>
      <c r="AO18" s="36" t="e">
        <f t="shared" si="4"/>
        <v>#REF!</v>
      </c>
      <c r="AQ18" s="38"/>
      <c r="AR18" s="36" t="e">
        <f t="shared" si="7"/>
        <v>#REF!</v>
      </c>
      <c r="AS18" s="36" t="e">
        <f t="shared" si="5"/>
        <v>#REF!</v>
      </c>
      <c r="AT18" s="36" t="e">
        <f t="shared" si="5"/>
        <v>#REF!</v>
      </c>
      <c r="AU18" s="36" t="e">
        <f t="shared" si="5"/>
        <v>#REF!</v>
      </c>
      <c r="AV18" s="36" t="e">
        <f t="shared" si="5"/>
        <v>#REF!</v>
      </c>
      <c r="AW18" s="36" t="e">
        <f t="shared" si="5"/>
        <v>#REF!</v>
      </c>
      <c r="AX18" s="36" t="e">
        <f t="shared" si="5"/>
        <v>#REF!</v>
      </c>
      <c r="AY18" s="36" t="e">
        <f t="shared" si="5"/>
        <v>#REF!</v>
      </c>
      <c r="AZ18" s="36" t="e">
        <f t="shared" si="5"/>
        <v>#REF!</v>
      </c>
      <c r="BA18" s="36" t="e">
        <f t="shared" si="5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6"/>
        <v>#REF!</v>
      </c>
      <c r="AG19" s="36" t="e">
        <f t="shared" si="4"/>
        <v>#REF!</v>
      </c>
      <c r="AH19" s="36" t="e">
        <f t="shared" si="4"/>
        <v>#REF!</v>
      </c>
      <c r="AI19" s="36" t="e">
        <f t="shared" si="4"/>
        <v>#REF!</v>
      </c>
      <c r="AJ19" s="36" t="e">
        <f t="shared" si="4"/>
        <v>#REF!</v>
      </c>
      <c r="AK19" s="36" t="e">
        <f t="shared" si="4"/>
        <v>#REF!</v>
      </c>
      <c r="AL19" s="36" t="e">
        <f t="shared" si="4"/>
        <v>#REF!</v>
      </c>
      <c r="AM19" s="36" t="e">
        <f t="shared" si="4"/>
        <v>#REF!</v>
      </c>
      <c r="AN19" s="36" t="e">
        <f t="shared" si="4"/>
        <v>#REF!</v>
      </c>
      <c r="AO19" s="36" t="e">
        <f t="shared" si="4"/>
        <v>#REF!</v>
      </c>
      <c r="AQ19" s="38"/>
      <c r="AR19" s="36" t="e">
        <f t="shared" si="7"/>
        <v>#REF!</v>
      </c>
      <c r="AS19" s="36" t="e">
        <f t="shared" si="5"/>
        <v>#REF!</v>
      </c>
      <c r="AT19" s="36" t="e">
        <f t="shared" si="5"/>
        <v>#REF!</v>
      </c>
      <c r="AU19" s="36" t="e">
        <f t="shared" si="5"/>
        <v>#REF!</v>
      </c>
      <c r="AV19" s="36" t="e">
        <f t="shared" si="5"/>
        <v>#REF!</v>
      </c>
      <c r="AW19" s="36" t="e">
        <f t="shared" si="5"/>
        <v>#REF!</v>
      </c>
      <c r="AX19" s="36" t="e">
        <f t="shared" si="5"/>
        <v>#REF!</v>
      </c>
      <c r="AY19" s="36" t="e">
        <f t="shared" si="5"/>
        <v>#REF!</v>
      </c>
      <c r="AZ19" s="36" t="e">
        <f t="shared" si="5"/>
        <v>#REF!</v>
      </c>
      <c r="BA19" s="36" t="e">
        <f t="shared" si="5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6"/>
        <v>#REF!</v>
      </c>
      <c r="AG20" s="36" t="e">
        <f t="shared" si="4"/>
        <v>#REF!</v>
      </c>
      <c r="AH20" s="36" t="e">
        <f t="shared" si="4"/>
        <v>#REF!</v>
      </c>
      <c r="AI20" s="36" t="e">
        <f t="shared" si="4"/>
        <v>#REF!</v>
      </c>
      <c r="AJ20" s="36" t="e">
        <f t="shared" si="4"/>
        <v>#REF!</v>
      </c>
      <c r="AK20" s="36" t="e">
        <f t="shared" si="4"/>
        <v>#REF!</v>
      </c>
      <c r="AL20" s="36" t="e">
        <f t="shared" si="4"/>
        <v>#REF!</v>
      </c>
      <c r="AM20" s="36" t="e">
        <f t="shared" si="4"/>
        <v>#REF!</v>
      </c>
      <c r="AN20" s="36" t="e">
        <f t="shared" si="4"/>
        <v>#REF!</v>
      </c>
      <c r="AO20" s="36" t="e">
        <f t="shared" si="4"/>
        <v>#REF!</v>
      </c>
      <c r="AQ20" s="38"/>
      <c r="AR20" s="36" t="e">
        <f t="shared" si="7"/>
        <v>#REF!</v>
      </c>
      <c r="AS20" s="36" t="e">
        <f t="shared" si="5"/>
        <v>#REF!</v>
      </c>
      <c r="AT20" s="36" t="e">
        <f t="shared" si="5"/>
        <v>#REF!</v>
      </c>
      <c r="AU20" s="36" t="e">
        <f t="shared" si="5"/>
        <v>#REF!</v>
      </c>
      <c r="AV20" s="36" t="e">
        <f t="shared" si="5"/>
        <v>#REF!</v>
      </c>
      <c r="AW20" s="36" t="e">
        <f t="shared" si="5"/>
        <v>#REF!</v>
      </c>
      <c r="AX20" s="36" t="e">
        <f t="shared" si="5"/>
        <v>#REF!</v>
      </c>
      <c r="AY20" s="36" t="e">
        <f t="shared" si="5"/>
        <v>#REF!</v>
      </c>
      <c r="AZ20" s="36" t="e">
        <f t="shared" si="5"/>
        <v>#REF!</v>
      </c>
      <c r="BA20" s="36" t="e">
        <f t="shared" si="5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6"/>
        <v>#REF!</v>
      </c>
      <c r="AG21" s="36" t="e">
        <f t="shared" si="4"/>
        <v>#REF!</v>
      </c>
      <c r="AH21" s="36" t="e">
        <f t="shared" si="4"/>
        <v>#REF!</v>
      </c>
      <c r="AI21" s="36" t="e">
        <f t="shared" si="4"/>
        <v>#REF!</v>
      </c>
      <c r="AJ21" s="36" t="e">
        <f t="shared" si="4"/>
        <v>#REF!</v>
      </c>
      <c r="AK21" s="36" t="e">
        <f t="shared" si="4"/>
        <v>#REF!</v>
      </c>
      <c r="AL21" s="36" t="e">
        <f t="shared" si="4"/>
        <v>#REF!</v>
      </c>
      <c r="AM21" s="36" t="e">
        <f t="shared" si="4"/>
        <v>#REF!</v>
      </c>
      <c r="AN21" s="36" t="e">
        <f t="shared" si="4"/>
        <v>#REF!</v>
      </c>
      <c r="AO21" s="36" t="e">
        <f t="shared" si="4"/>
        <v>#REF!</v>
      </c>
      <c r="AQ21" s="38"/>
      <c r="AR21" s="36" t="e">
        <f t="shared" si="7"/>
        <v>#REF!</v>
      </c>
      <c r="AS21" s="36" t="e">
        <f t="shared" si="5"/>
        <v>#REF!</v>
      </c>
      <c r="AT21" s="36" t="e">
        <f t="shared" si="5"/>
        <v>#REF!</v>
      </c>
      <c r="AU21" s="36" t="e">
        <f t="shared" si="5"/>
        <v>#REF!</v>
      </c>
      <c r="AV21" s="36" t="e">
        <f t="shared" si="5"/>
        <v>#REF!</v>
      </c>
      <c r="AW21" s="36" t="e">
        <f t="shared" si="5"/>
        <v>#REF!</v>
      </c>
      <c r="AX21" s="36" t="e">
        <f t="shared" si="5"/>
        <v>#REF!</v>
      </c>
      <c r="AY21" s="36" t="e">
        <f t="shared" si="5"/>
        <v>#REF!</v>
      </c>
      <c r="AZ21" s="36" t="e">
        <f t="shared" si="5"/>
        <v>#REF!</v>
      </c>
      <c r="BA21" s="36" t="e">
        <f t="shared" si="5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6"/>
        <v>#REF!</v>
      </c>
      <c r="AG22" s="36" t="e">
        <f t="shared" si="4"/>
        <v>#REF!</v>
      </c>
      <c r="AH22" s="36" t="e">
        <f t="shared" si="4"/>
        <v>#REF!</v>
      </c>
      <c r="AI22" s="36" t="e">
        <f t="shared" si="4"/>
        <v>#REF!</v>
      </c>
      <c r="AJ22" s="36" t="e">
        <f t="shared" si="4"/>
        <v>#REF!</v>
      </c>
      <c r="AK22" s="36" t="e">
        <f t="shared" si="4"/>
        <v>#REF!</v>
      </c>
      <c r="AL22" s="36" t="e">
        <f t="shared" si="4"/>
        <v>#REF!</v>
      </c>
      <c r="AM22" s="36" t="e">
        <f t="shared" si="4"/>
        <v>#REF!</v>
      </c>
      <c r="AN22" s="36" t="e">
        <f t="shared" si="4"/>
        <v>#REF!</v>
      </c>
      <c r="AO22" s="36" t="e">
        <f t="shared" si="4"/>
        <v>#REF!</v>
      </c>
      <c r="AQ22" s="38"/>
      <c r="AR22" s="36" t="e">
        <f t="shared" si="7"/>
        <v>#REF!</v>
      </c>
      <c r="AS22" s="36" t="e">
        <f t="shared" si="5"/>
        <v>#REF!</v>
      </c>
      <c r="AT22" s="36" t="e">
        <f t="shared" si="5"/>
        <v>#REF!</v>
      </c>
      <c r="AU22" s="36" t="e">
        <f t="shared" si="5"/>
        <v>#REF!</v>
      </c>
      <c r="AV22" s="36" t="e">
        <f t="shared" si="5"/>
        <v>#REF!</v>
      </c>
      <c r="AW22" s="36" t="e">
        <f t="shared" si="5"/>
        <v>#REF!</v>
      </c>
      <c r="AX22" s="36" t="e">
        <f t="shared" si="5"/>
        <v>#REF!</v>
      </c>
      <c r="AY22" s="36" t="e">
        <f t="shared" si="5"/>
        <v>#REF!</v>
      </c>
      <c r="AZ22" s="36" t="e">
        <f t="shared" si="5"/>
        <v>#REF!</v>
      </c>
      <c r="BA22" s="36" t="e">
        <f t="shared" si="5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6"/>
        <v>#REF!</v>
      </c>
      <c r="AG23" s="36" t="e">
        <f t="shared" si="4"/>
        <v>#REF!</v>
      </c>
      <c r="AH23" s="36" t="e">
        <f t="shared" si="4"/>
        <v>#REF!</v>
      </c>
      <c r="AI23" s="36" t="e">
        <f t="shared" si="4"/>
        <v>#REF!</v>
      </c>
      <c r="AJ23" s="36" t="e">
        <f t="shared" si="4"/>
        <v>#REF!</v>
      </c>
      <c r="AK23" s="36" t="e">
        <f t="shared" si="4"/>
        <v>#REF!</v>
      </c>
      <c r="AL23" s="36" t="e">
        <f t="shared" si="4"/>
        <v>#REF!</v>
      </c>
      <c r="AM23" s="36" t="e">
        <f t="shared" si="4"/>
        <v>#REF!</v>
      </c>
      <c r="AN23" s="36" t="e">
        <f t="shared" si="4"/>
        <v>#REF!</v>
      </c>
      <c r="AO23" s="36" t="e">
        <f t="shared" si="4"/>
        <v>#REF!</v>
      </c>
      <c r="AQ23" s="38"/>
      <c r="AR23" s="36" t="e">
        <f t="shared" si="7"/>
        <v>#REF!</v>
      </c>
      <c r="AS23" s="36" t="e">
        <f t="shared" si="5"/>
        <v>#REF!</v>
      </c>
      <c r="AT23" s="36" t="e">
        <f t="shared" si="5"/>
        <v>#REF!</v>
      </c>
      <c r="AU23" s="36" t="e">
        <f t="shared" si="5"/>
        <v>#REF!</v>
      </c>
      <c r="AV23" s="36" t="e">
        <f t="shared" si="5"/>
        <v>#REF!</v>
      </c>
      <c r="AW23" s="36" t="e">
        <f t="shared" si="5"/>
        <v>#REF!</v>
      </c>
      <c r="AX23" s="36" t="e">
        <f t="shared" si="5"/>
        <v>#REF!</v>
      </c>
      <c r="AY23" s="36" t="e">
        <f t="shared" si="5"/>
        <v>#REF!</v>
      </c>
      <c r="AZ23" s="36" t="e">
        <f t="shared" si="5"/>
        <v>#REF!</v>
      </c>
      <c r="BA23" s="36" t="e">
        <f t="shared" si="5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6"/>
        <v>#REF!</v>
      </c>
      <c r="AG24" s="36" t="e">
        <f t="shared" si="4"/>
        <v>#REF!</v>
      </c>
      <c r="AH24" s="36" t="e">
        <f t="shared" si="4"/>
        <v>#REF!</v>
      </c>
      <c r="AI24" s="36" t="e">
        <f t="shared" si="4"/>
        <v>#REF!</v>
      </c>
      <c r="AJ24" s="36" t="e">
        <f t="shared" si="4"/>
        <v>#REF!</v>
      </c>
      <c r="AK24" s="36" t="e">
        <f t="shared" si="4"/>
        <v>#REF!</v>
      </c>
      <c r="AL24" s="36" t="e">
        <f t="shared" si="4"/>
        <v>#REF!</v>
      </c>
      <c r="AM24" s="36" t="e">
        <f t="shared" si="4"/>
        <v>#REF!</v>
      </c>
      <c r="AN24" s="36" t="e">
        <f t="shared" si="4"/>
        <v>#REF!</v>
      </c>
      <c r="AO24" s="36" t="e">
        <f t="shared" si="4"/>
        <v>#REF!</v>
      </c>
      <c r="AQ24" s="38"/>
      <c r="AR24" s="36" t="e">
        <f t="shared" si="7"/>
        <v>#REF!</v>
      </c>
      <c r="AS24" s="36" t="e">
        <f t="shared" si="5"/>
        <v>#REF!</v>
      </c>
      <c r="AT24" s="36" t="e">
        <f t="shared" si="5"/>
        <v>#REF!</v>
      </c>
      <c r="AU24" s="36" t="e">
        <f t="shared" si="5"/>
        <v>#REF!</v>
      </c>
      <c r="AV24" s="36" t="e">
        <f t="shared" si="5"/>
        <v>#REF!</v>
      </c>
      <c r="AW24" s="36" t="e">
        <f t="shared" si="5"/>
        <v>#REF!</v>
      </c>
      <c r="AX24" s="36" t="e">
        <f t="shared" si="5"/>
        <v>#REF!</v>
      </c>
      <c r="AY24" s="36" t="e">
        <f t="shared" si="5"/>
        <v>#REF!</v>
      </c>
      <c r="AZ24" s="36" t="e">
        <f t="shared" si="5"/>
        <v>#REF!</v>
      </c>
      <c r="BA24" s="36" t="e">
        <f t="shared" si="5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8">AF$11*$AC27</f>
        <v>#REF!</v>
      </c>
      <c r="AG27" s="36" t="e">
        <f t="shared" si="8"/>
        <v>#REF!</v>
      </c>
      <c r="AH27" s="36" t="e">
        <f t="shared" si="8"/>
        <v>#REF!</v>
      </c>
      <c r="AI27" s="36" t="e">
        <f t="shared" si="8"/>
        <v>#REF!</v>
      </c>
      <c r="AJ27" s="36" t="e">
        <f t="shared" si="8"/>
        <v>#REF!</v>
      </c>
      <c r="AK27" s="36" t="e">
        <f t="shared" si="8"/>
        <v>#REF!</v>
      </c>
      <c r="AL27" s="36" t="e">
        <f t="shared" si="8"/>
        <v>#REF!</v>
      </c>
      <c r="AM27" s="36" t="e">
        <f t="shared" si="8"/>
        <v>#REF!</v>
      </c>
      <c r="AN27" s="36" t="e">
        <f t="shared" si="8"/>
        <v>#REF!</v>
      </c>
      <c r="AO27" s="36" t="e">
        <f t="shared" si="8"/>
        <v>#REF!</v>
      </c>
      <c r="AQ27" s="38"/>
      <c r="AR27" s="36" t="e">
        <f t="shared" ref="AR27:BA35" si="9">AR$11*$AC27</f>
        <v>#REF!</v>
      </c>
      <c r="AS27" s="36" t="e">
        <f t="shared" si="9"/>
        <v>#REF!</v>
      </c>
      <c r="AT27" s="36" t="e">
        <f t="shared" si="9"/>
        <v>#REF!</v>
      </c>
      <c r="AU27" s="36" t="e">
        <f t="shared" si="9"/>
        <v>#REF!</v>
      </c>
      <c r="AV27" s="36" t="e">
        <f t="shared" si="9"/>
        <v>#REF!</v>
      </c>
      <c r="AW27" s="36" t="e">
        <f t="shared" si="9"/>
        <v>#REF!</v>
      </c>
      <c r="AX27" s="36" t="e">
        <f t="shared" si="9"/>
        <v>#REF!</v>
      </c>
      <c r="AY27" s="36" t="e">
        <f t="shared" si="9"/>
        <v>#REF!</v>
      </c>
      <c r="AZ27" s="36" t="e">
        <f t="shared" si="9"/>
        <v>#REF!</v>
      </c>
      <c r="BA27" s="36" t="e">
        <f t="shared" si="9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8"/>
        <v>#REF!</v>
      </c>
      <c r="AG28" s="36" t="e">
        <f t="shared" si="8"/>
        <v>#REF!</v>
      </c>
      <c r="AH28" s="36" t="e">
        <f t="shared" si="8"/>
        <v>#REF!</v>
      </c>
      <c r="AI28" s="36" t="e">
        <f t="shared" si="8"/>
        <v>#REF!</v>
      </c>
      <c r="AJ28" s="36" t="e">
        <f t="shared" si="8"/>
        <v>#REF!</v>
      </c>
      <c r="AK28" s="36" t="e">
        <f t="shared" si="8"/>
        <v>#REF!</v>
      </c>
      <c r="AL28" s="36" t="e">
        <f t="shared" si="8"/>
        <v>#REF!</v>
      </c>
      <c r="AM28" s="36" t="e">
        <f t="shared" si="8"/>
        <v>#REF!</v>
      </c>
      <c r="AN28" s="36" t="e">
        <f t="shared" si="8"/>
        <v>#REF!</v>
      </c>
      <c r="AO28" s="36" t="e">
        <f t="shared" si="8"/>
        <v>#REF!</v>
      </c>
      <c r="AQ28" s="38"/>
      <c r="AR28" s="36" t="e">
        <f t="shared" si="9"/>
        <v>#REF!</v>
      </c>
      <c r="AS28" s="36" t="e">
        <f t="shared" si="9"/>
        <v>#REF!</v>
      </c>
      <c r="AT28" s="36" t="e">
        <f t="shared" si="9"/>
        <v>#REF!</v>
      </c>
      <c r="AU28" s="36" t="e">
        <f t="shared" si="9"/>
        <v>#REF!</v>
      </c>
      <c r="AV28" s="36" t="e">
        <f t="shared" si="9"/>
        <v>#REF!</v>
      </c>
      <c r="AW28" s="36" t="e">
        <f t="shared" si="9"/>
        <v>#REF!</v>
      </c>
      <c r="AX28" s="36" t="e">
        <f t="shared" si="9"/>
        <v>#REF!</v>
      </c>
      <c r="AY28" s="36" t="e">
        <f t="shared" si="9"/>
        <v>#REF!</v>
      </c>
      <c r="AZ28" s="36" t="e">
        <f t="shared" si="9"/>
        <v>#REF!</v>
      </c>
      <c r="BA28" s="36" t="e">
        <f t="shared" si="9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8"/>
        <v>#REF!</v>
      </c>
      <c r="AG29" s="36" t="e">
        <f t="shared" si="8"/>
        <v>#REF!</v>
      </c>
      <c r="AH29" s="36" t="e">
        <f t="shared" si="8"/>
        <v>#REF!</v>
      </c>
      <c r="AI29" s="36" t="e">
        <f t="shared" si="8"/>
        <v>#REF!</v>
      </c>
      <c r="AJ29" s="36" t="e">
        <f t="shared" si="8"/>
        <v>#REF!</v>
      </c>
      <c r="AK29" s="36" t="e">
        <f t="shared" si="8"/>
        <v>#REF!</v>
      </c>
      <c r="AL29" s="36" t="e">
        <f t="shared" si="8"/>
        <v>#REF!</v>
      </c>
      <c r="AM29" s="36" t="e">
        <f t="shared" si="8"/>
        <v>#REF!</v>
      </c>
      <c r="AN29" s="36" t="e">
        <f t="shared" si="8"/>
        <v>#REF!</v>
      </c>
      <c r="AO29" s="36" t="e">
        <f t="shared" si="8"/>
        <v>#REF!</v>
      </c>
      <c r="AQ29" s="38"/>
      <c r="AR29" s="36" t="e">
        <f t="shared" si="9"/>
        <v>#REF!</v>
      </c>
      <c r="AS29" s="36" t="e">
        <f t="shared" si="9"/>
        <v>#REF!</v>
      </c>
      <c r="AT29" s="36" t="e">
        <f t="shared" si="9"/>
        <v>#REF!</v>
      </c>
      <c r="AU29" s="36" t="e">
        <f t="shared" si="9"/>
        <v>#REF!</v>
      </c>
      <c r="AV29" s="36" t="e">
        <f t="shared" si="9"/>
        <v>#REF!</v>
      </c>
      <c r="AW29" s="36" t="e">
        <f t="shared" si="9"/>
        <v>#REF!</v>
      </c>
      <c r="AX29" s="36" t="e">
        <f t="shared" si="9"/>
        <v>#REF!</v>
      </c>
      <c r="AY29" s="36" t="e">
        <f t="shared" si="9"/>
        <v>#REF!</v>
      </c>
      <c r="AZ29" s="36" t="e">
        <f t="shared" si="9"/>
        <v>#REF!</v>
      </c>
      <c r="BA29" s="36" t="e">
        <f t="shared" si="9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8"/>
        <v>#REF!</v>
      </c>
      <c r="AG30" s="36" t="e">
        <f t="shared" si="8"/>
        <v>#REF!</v>
      </c>
      <c r="AH30" s="36" t="e">
        <f t="shared" si="8"/>
        <v>#REF!</v>
      </c>
      <c r="AI30" s="36" t="e">
        <f t="shared" si="8"/>
        <v>#REF!</v>
      </c>
      <c r="AJ30" s="36" t="e">
        <f t="shared" si="8"/>
        <v>#REF!</v>
      </c>
      <c r="AK30" s="36" t="e">
        <f t="shared" si="8"/>
        <v>#REF!</v>
      </c>
      <c r="AL30" s="36" t="e">
        <f t="shared" si="8"/>
        <v>#REF!</v>
      </c>
      <c r="AM30" s="36" t="e">
        <f t="shared" si="8"/>
        <v>#REF!</v>
      </c>
      <c r="AN30" s="36" t="e">
        <f t="shared" si="8"/>
        <v>#REF!</v>
      </c>
      <c r="AO30" s="36" t="e">
        <f t="shared" si="8"/>
        <v>#REF!</v>
      </c>
      <c r="AQ30" s="38"/>
      <c r="AR30" s="36" t="e">
        <f t="shared" si="9"/>
        <v>#REF!</v>
      </c>
      <c r="AS30" s="36" t="e">
        <f t="shared" si="9"/>
        <v>#REF!</v>
      </c>
      <c r="AT30" s="36" t="e">
        <f t="shared" si="9"/>
        <v>#REF!</v>
      </c>
      <c r="AU30" s="36" t="e">
        <f t="shared" si="9"/>
        <v>#REF!</v>
      </c>
      <c r="AV30" s="36" t="e">
        <f t="shared" si="9"/>
        <v>#REF!</v>
      </c>
      <c r="AW30" s="36" t="e">
        <f t="shared" si="9"/>
        <v>#REF!</v>
      </c>
      <c r="AX30" s="36" t="e">
        <f t="shared" si="9"/>
        <v>#REF!</v>
      </c>
      <c r="AY30" s="36" t="e">
        <f t="shared" si="9"/>
        <v>#REF!</v>
      </c>
      <c r="AZ30" s="36" t="e">
        <f t="shared" si="9"/>
        <v>#REF!</v>
      </c>
      <c r="BA30" s="36" t="e">
        <f t="shared" si="9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8"/>
        <v>#REF!</v>
      </c>
      <c r="AG31" s="36" t="e">
        <f t="shared" si="8"/>
        <v>#REF!</v>
      </c>
      <c r="AH31" s="36" t="e">
        <f t="shared" si="8"/>
        <v>#REF!</v>
      </c>
      <c r="AI31" s="36" t="e">
        <f t="shared" si="8"/>
        <v>#REF!</v>
      </c>
      <c r="AJ31" s="36" t="e">
        <f t="shared" si="8"/>
        <v>#REF!</v>
      </c>
      <c r="AK31" s="36" t="e">
        <f t="shared" si="8"/>
        <v>#REF!</v>
      </c>
      <c r="AL31" s="36" t="e">
        <f t="shared" si="8"/>
        <v>#REF!</v>
      </c>
      <c r="AM31" s="36" t="e">
        <f t="shared" si="8"/>
        <v>#REF!</v>
      </c>
      <c r="AN31" s="36" t="e">
        <f t="shared" si="8"/>
        <v>#REF!</v>
      </c>
      <c r="AO31" s="36" t="e">
        <f t="shared" si="8"/>
        <v>#REF!</v>
      </c>
      <c r="AQ31" s="38"/>
      <c r="AR31" s="36" t="e">
        <f t="shared" si="9"/>
        <v>#REF!</v>
      </c>
      <c r="AS31" s="36" t="e">
        <f t="shared" si="9"/>
        <v>#REF!</v>
      </c>
      <c r="AT31" s="36" t="e">
        <f t="shared" si="9"/>
        <v>#REF!</v>
      </c>
      <c r="AU31" s="36" t="e">
        <f t="shared" si="9"/>
        <v>#REF!</v>
      </c>
      <c r="AV31" s="36" t="e">
        <f t="shared" si="9"/>
        <v>#REF!</v>
      </c>
      <c r="AW31" s="36" t="e">
        <f t="shared" si="9"/>
        <v>#REF!</v>
      </c>
      <c r="AX31" s="36" t="e">
        <f t="shared" si="9"/>
        <v>#REF!</v>
      </c>
      <c r="AY31" s="36" t="e">
        <f t="shared" si="9"/>
        <v>#REF!</v>
      </c>
      <c r="AZ31" s="36" t="e">
        <f t="shared" si="9"/>
        <v>#REF!</v>
      </c>
      <c r="BA31" s="36" t="e">
        <f t="shared" si="9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8"/>
        <v>#REF!</v>
      </c>
      <c r="AG32" s="36" t="e">
        <f t="shared" si="8"/>
        <v>#REF!</v>
      </c>
      <c r="AH32" s="36" t="e">
        <f t="shared" si="8"/>
        <v>#REF!</v>
      </c>
      <c r="AI32" s="36" t="e">
        <f t="shared" si="8"/>
        <v>#REF!</v>
      </c>
      <c r="AJ32" s="36" t="e">
        <f t="shared" si="8"/>
        <v>#REF!</v>
      </c>
      <c r="AK32" s="36" t="e">
        <f t="shared" si="8"/>
        <v>#REF!</v>
      </c>
      <c r="AL32" s="36" t="e">
        <f t="shared" si="8"/>
        <v>#REF!</v>
      </c>
      <c r="AM32" s="36" t="e">
        <f t="shared" si="8"/>
        <v>#REF!</v>
      </c>
      <c r="AN32" s="36" t="e">
        <f t="shared" si="8"/>
        <v>#REF!</v>
      </c>
      <c r="AO32" s="36" t="e">
        <f t="shared" si="8"/>
        <v>#REF!</v>
      </c>
      <c r="AQ32" s="38"/>
      <c r="AR32" s="36" t="e">
        <f t="shared" si="9"/>
        <v>#REF!</v>
      </c>
      <c r="AS32" s="36" t="e">
        <f t="shared" si="9"/>
        <v>#REF!</v>
      </c>
      <c r="AT32" s="36" t="e">
        <f t="shared" si="9"/>
        <v>#REF!</v>
      </c>
      <c r="AU32" s="36" t="e">
        <f t="shared" si="9"/>
        <v>#REF!</v>
      </c>
      <c r="AV32" s="36" t="e">
        <f t="shared" si="9"/>
        <v>#REF!</v>
      </c>
      <c r="AW32" s="36" t="e">
        <f t="shared" si="9"/>
        <v>#REF!</v>
      </c>
      <c r="AX32" s="36" t="e">
        <f t="shared" si="9"/>
        <v>#REF!</v>
      </c>
      <c r="AY32" s="36" t="e">
        <f t="shared" si="9"/>
        <v>#REF!</v>
      </c>
      <c r="AZ32" s="36" t="e">
        <f t="shared" si="9"/>
        <v>#REF!</v>
      </c>
      <c r="BA32" s="36" t="e">
        <f t="shared" si="9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8"/>
        <v>#REF!</v>
      </c>
      <c r="AG33" s="36" t="e">
        <f t="shared" si="8"/>
        <v>#REF!</v>
      </c>
      <c r="AH33" s="36" t="e">
        <f t="shared" si="8"/>
        <v>#REF!</v>
      </c>
      <c r="AI33" s="36" t="e">
        <f t="shared" si="8"/>
        <v>#REF!</v>
      </c>
      <c r="AJ33" s="36" t="e">
        <f t="shared" si="8"/>
        <v>#REF!</v>
      </c>
      <c r="AK33" s="36" t="e">
        <f t="shared" si="8"/>
        <v>#REF!</v>
      </c>
      <c r="AL33" s="36" t="e">
        <f t="shared" si="8"/>
        <v>#REF!</v>
      </c>
      <c r="AM33" s="36" t="e">
        <f t="shared" si="8"/>
        <v>#REF!</v>
      </c>
      <c r="AN33" s="36" t="e">
        <f t="shared" si="8"/>
        <v>#REF!</v>
      </c>
      <c r="AO33" s="36" t="e">
        <f t="shared" si="8"/>
        <v>#REF!</v>
      </c>
      <c r="AQ33" s="38"/>
      <c r="AR33" s="36" t="e">
        <f t="shared" si="9"/>
        <v>#REF!</v>
      </c>
      <c r="AS33" s="36" t="e">
        <f t="shared" si="9"/>
        <v>#REF!</v>
      </c>
      <c r="AT33" s="36" t="e">
        <f t="shared" si="9"/>
        <v>#REF!</v>
      </c>
      <c r="AU33" s="36" t="e">
        <f t="shared" si="9"/>
        <v>#REF!</v>
      </c>
      <c r="AV33" s="36" t="e">
        <f t="shared" si="9"/>
        <v>#REF!</v>
      </c>
      <c r="AW33" s="36" t="e">
        <f t="shared" si="9"/>
        <v>#REF!</v>
      </c>
      <c r="AX33" s="36" t="e">
        <f t="shared" si="9"/>
        <v>#REF!</v>
      </c>
      <c r="AY33" s="36" t="e">
        <f t="shared" si="9"/>
        <v>#REF!</v>
      </c>
      <c r="AZ33" s="36" t="e">
        <f t="shared" si="9"/>
        <v>#REF!</v>
      </c>
      <c r="BA33" s="36" t="e">
        <f t="shared" si="9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8"/>
        <v>#REF!</v>
      </c>
      <c r="AG34" s="36" t="e">
        <f t="shared" si="8"/>
        <v>#REF!</v>
      </c>
      <c r="AH34" s="36" t="e">
        <f t="shared" si="8"/>
        <v>#REF!</v>
      </c>
      <c r="AI34" s="36" t="e">
        <f t="shared" si="8"/>
        <v>#REF!</v>
      </c>
      <c r="AJ34" s="36" t="e">
        <f t="shared" si="8"/>
        <v>#REF!</v>
      </c>
      <c r="AK34" s="36" t="e">
        <f t="shared" si="8"/>
        <v>#REF!</v>
      </c>
      <c r="AL34" s="36" t="e">
        <f t="shared" si="8"/>
        <v>#REF!</v>
      </c>
      <c r="AM34" s="36" t="e">
        <f t="shared" si="8"/>
        <v>#REF!</v>
      </c>
      <c r="AN34" s="36" t="e">
        <f t="shared" si="8"/>
        <v>#REF!</v>
      </c>
      <c r="AO34" s="36" t="e">
        <f t="shared" si="8"/>
        <v>#REF!</v>
      </c>
      <c r="AQ34" s="38"/>
      <c r="AR34" s="36" t="e">
        <f t="shared" si="9"/>
        <v>#REF!</v>
      </c>
      <c r="AS34" s="36" t="e">
        <f t="shared" si="9"/>
        <v>#REF!</v>
      </c>
      <c r="AT34" s="36" t="e">
        <f t="shared" si="9"/>
        <v>#REF!</v>
      </c>
      <c r="AU34" s="36" t="e">
        <f t="shared" si="9"/>
        <v>#REF!</v>
      </c>
      <c r="AV34" s="36" t="e">
        <f t="shared" si="9"/>
        <v>#REF!</v>
      </c>
      <c r="AW34" s="36" t="e">
        <f t="shared" si="9"/>
        <v>#REF!</v>
      </c>
      <c r="AX34" s="36" t="e">
        <f t="shared" si="9"/>
        <v>#REF!</v>
      </c>
      <c r="AY34" s="36" t="e">
        <f t="shared" si="9"/>
        <v>#REF!</v>
      </c>
      <c r="AZ34" s="36" t="e">
        <f t="shared" si="9"/>
        <v>#REF!</v>
      </c>
      <c r="BA34" s="36" t="e">
        <f t="shared" si="9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8"/>
        <v>#REF!</v>
      </c>
      <c r="AG35" s="36" t="e">
        <f t="shared" si="8"/>
        <v>#REF!</v>
      </c>
      <c r="AH35" s="36" t="e">
        <f t="shared" si="8"/>
        <v>#REF!</v>
      </c>
      <c r="AI35" s="36" t="e">
        <f t="shared" si="8"/>
        <v>#REF!</v>
      </c>
      <c r="AJ35" s="36" t="e">
        <f t="shared" si="8"/>
        <v>#REF!</v>
      </c>
      <c r="AK35" s="36" t="e">
        <f t="shared" si="8"/>
        <v>#REF!</v>
      </c>
      <c r="AL35" s="36" t="e">
        <f t="shared" si="8"/>
        <v>#REF!</v>
      </c>
      <c r="AM35" s="36" t="e">
        <f t="shared" si="8"/>
        <v>#REF!</v>
      </c>
      <c r="AN35" s="36" t="e">
        <f t="shared" si="8"/>
        <v>#REF!</v>
      </c>
      <c r="AO35" s="36" t="e">
        <f t="shared" si="8"/>
        <v>#REF!</v>
      </c>
      <c r="AQ35" s="38"/>
      <c r="AR35" s="36" t="e">
        <f t="shared" si="9"/>
        <v>#REF!</v>
      </c>
      <c r="AS35" s="36" t="e">
        <f t="shared" si="9"/>
        <v>#REF!</v>
      </c>
      <c r="AT35" s="36" t="e">
        <f t="shared" si="9"/>
        <v>#REF!</v>
      </c>
      <c r="AU35" s="36" t="e">
        <f t="shared" si="9"/>
        <v>#REF!</v>
      </c>
      <c r="AV35" s="36" t="e">
        <f t="shared" si="9"/>
        <v>#REF!</v>
      </c>
      <c r="AW35" s="36" t="e">
        <f t="shared" si="9"/>
        <v>#REF!</v>
      </c>
      <c r="AX35" s="36" t="e">
        <f t="shared" si="9"/>
        <v>#REF!</v>
      </c>
      <c r="AY35" s="36" t="e">
        <f t="shared" si="9"/>
        <v>#REF!</v>
      </c>
      <c r="AZ35" s="36" t="e">
        <f t="shared" si="9"/>
        <v>#REF!</v>
      </c>
      <c r="BA35" s="36" t="e">
        <f t="shared" si="9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10">AF$11*$AC38</f>
        <v>#REF!</v>
      </c>
      <c r="AG38" s="36" t="e">
        <f t="shared" si="10"/>
        <v>#REF!</v>
      </c>
      <c r="AH38" s="36" t="e">
        <f t="shared" si="10"/>
        <v>#REF!</v>
      </c>
      <c r="AI38" s="36" t="e">
        <f t="shared" si="10"/>
        <v>#REF!</v>
      </c>
      <c r="AJ38" s="36" t="e">
        <f t="shared" si="10"/>
        <v>#REF!</v>
      </c>
      <c r="AK38" s="36" t="e">
        <f t="shared" si="10"/>
        <v>#REF!</v>
      </c>
      <c r="AL38" s="36" t="e">
        <f t="shared" si="10"/>
        <v>#REF!</v>
      </c>
      <c r="AM38" s="36" t="e">
        <f t="shared" si="10"/>
        <v>#REF!</v>
      </c>
      <c r="AN38" s="36" t="e">
        <f t="shared" si="10"/>
        <v>#REF!</v>
      </c>
      <c r="AO38" s="36" t="e">
        <f t="shared" si="10"/>
        <v>#REF!</v>
      </c>
      <c r="AQ38" s="38"/>
      <c r="AR38" s="36" t="e">
        <f t="shared" ref="AR38:BA46" si="11">AR$11*$AC38</f>
        <v>#REF!</v>
      </c>
      <c r="AS38" s="36" t="e">
        <f t="shared" si="11"/>
        <v>#REF!</v>
      </c>
      <c r="AT38" s="36" t="e">
        <f t="shared" si="11"/>
        <v>#REF!</v>
      </c>
      <c r="AU38" s="36" t="e">
        <f t="shared" si="11"/>
        <v>#REF!</v>
      </c>
      <c r="AV38" s="36" t="e">
        <f t="shared" si="11"/>
        <v>#REF!</v>
      </c>
      <c r="AW38" s="36" t="e">
        <f t="shared" si="11"/>
        <v>#REF!</v>
      </c>
      <c r="AX38" s="36" t="e">
        <f t="shared" si="11"/>
        <v>#REF!</v>
      </c>
      <c r="AY38" s="36" t="e">
        <f t="shared" si="11"/>
        <v>#REF!</v>
      </c>
      <c r="AZ38" s="36" t="e">
        <f t="shared" si="11"/>
        <v>#REF!</v>
      </c>
      <c r="BA38" s="36" t="e">
        <f t="shared" si="11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10"/>
        <v>#REF!</v>
      </c>
      <c r="AG39" s="36" t="e">
        <f t="shared" si="10"/>
        <v>#REF!</v>
      </c>
      <c r="AH39" s="36" t="e">
        <f t="shared" si="10"/>
        <v>#REF!</v>
      </c>
      <c r="AI39" s="36" t="e">
        <f t="shared" si="10"/>
        <v>#REF!</v>
      </c>
      <c r="AJ39" s="36" t="e">
        <f t="shared" si="10"/>
        <v>#REF!</v>
      </c>
      <c r="AK39" s="36" t="e">
        <f t="shared" si="10"/>
        <v>#REF!</v>
      </c>
      <c r="AL39" s="36" t="e">
        <f t="shared" si="10"/>
        <v>#REF!</v>
      </c>
      <c r="AM39" s="36" t="e">
        <f t="shared" si="10"/>
        <v>#REF!</v>
      </c>
      <c r="AN39" s="36" t="e">
        <f t="shared" si="10"/>
        <v>#REF!</v>
      </c>
      <c r="AO39" s="36" t="e">
        <f t="shared" si="10"/>
        <v>#REF!</v>
      </c>
      <c r="AQ39" s="38"/>
      <c r="AR39" s="36" t="e">
        <f t="shared" si="11"/>
        <v>#REF!</v>
      </c>
      <c r="AS39" s="36" t="e">
        <f t="shared" si="11"/>
        <v>#REF!</v>
      </c>
      <c r="AT39" s="36" t="e">
        <f t="shared" si="11"/>
        <v>#REF!</v>
      </c>
      <c r="AU39" s="36" t="e">
        <f t="shared" si="11"/>
        <v>#REF!</v>
      </c>
      <c r="AV39" s="36" t="e">
        <f t="shared" si="11"/>
        <v>#REF!</v>
      </c>
      <c r="AW39" s="36" t="e">
        <f t="shared" si="11"/>
        <v>#REF!</v>
      </c>
      <c r="AX39" s="36" t="e">
        <f t="shared" si="11"/>
        <v>#REF!</v>
      </c>
      <c r="AY39" s="36" t="e">
        <f t="shared" si="11"/>
        <v>#REF!</v>
      </c>
      <c r="AZ39" s="36" t="e">
        <f t="shared" si="11"/>
        <v>#REF!</v>
      </c>
      <c r="BA39" s="36" t="e">
        <f t="shared" si="11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10"/>
        <v>#REF!</v>
      </c>
      <c r="AG40" s="36" t="e">
        <f t="shared" si="10"/>
        <v>#REF!</v>
      </c>
      <c r="AH40" s="36" t="e">
        <f t="shared" si="10"/>
        <v>#REF!</v>
      </c>
      <c r="AI40" s="36" t="e">
        <f t="shared" si="10"/>
        <v>#REF!</v>
      </c>
      <c r="AJ40" s="36" t="e">
        <f t="shared" si="10"/>
        <v>#REF!</v>
      </c>
      <c r="AK40" s="36" t="e">
        <f t="shared" si="10"/>
        <v>#REF!</v>
      </c>
      <c r="AL40" s="36" t="e">
        <f t="shared" si="10"/>
        <v>#REF!</v>
      </c>
      <c r="AM40" s="36" t="e">
        <f t="shared" si="10"/>
        <v>#REF!</v>
      </c>
      <c r="AN40" s="36" t="e">
        <f t="shared" si="10"/>
        <v>#REF!</v>
      </c>
      <c r="AO40" s="36" t="e">
        <f t="shared" si="10"/>
        <v>#REF!</v>
      </c>
      <c r="AQ40" s="38"/>
      <c r="AR40" s="36" t="e">
        <f t="shared" si="11"/>
        <v>#REF!</v>
      </c>
      <c r="AS40" s="36" t="e">
        <f t="shared" si="11"/>
        <v>#REF!</v>
      </c>
      <c r="AT40" s="36" t="e">
        <f t="shared" si="11"/>
        <v>#REF!</v>
      </c>
      <c r="AU40" s="36" t="e">
        <f t="shared" si="11"/>
        <v>#REF!</v>
      </c>
      <c r="AV40" s="36" t="e">
        <f t="shared" si="11"/>
        <v>#REF!</v>
      </c>
      <c r="AW40" s="36" t="e">
        <f t="shared" si="11"/>
        <v>#REF!</v>
      </c>
      <c r="AX40" s="36" t="e">
        <f t="shared" si="11"/>
        <v>#REF!</v>
      </c>
      <c r="AY40" s="36" t="e">
        <f t="shared" si="11"/>
        <v>#REF!</v>
      </c>
      <c r="AZ40" s="36" t="e">
        <f t="shared" si="11"/>
        <v>#REF!</v>
      </c>
      <c r="BA40" s="36" t="e">
        <f t="shared" si="11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10"/>
        <v>#REF!</v>
      </c>
      <c r="AG41" s="36" t="e">
        <f t="shared" si="10"/>
        <v>#REF!</v>
      </c>
      <c r="AH41" s="36" t="e">
        <f t="shared" si="10"/>
        <v>#REF!</v>
      </c>
      <c r="AI41" s="36" t="e">
        <f t="shared" si="10"/>
        <v>#REF!</v>
      </c>
      <c r="AJ41" s="36" t="e">
        <f t="shared" si="10"/>
        <v>#REF!</v>
      </c>
      <c r="AK41" s="36" t="e">
        <f t="shared" si="10"/>
        <v>#REF!</v>
      </c>
      <c r="AL41" s="36" t="e">
        <f t="shared" si="10"/>
        <v>#REF!</v>
      </c>
      <c r="AM41" s="36" t="e">
        <f t="shared" si="10"/>
        <v>#REF!</v>
      </c>
      <c r="AN41" s="36" t="e">
        <f t="shared" si="10"/>
        <v>#REF!</v>
      </c>
      <c r="AO41" s="36" t="e">
        <f t="shared" si="10"/>
        <v>#REF!</v>
      </c>
      <c r="AQ41" s="38"/>
      <c r="AR41" s="36" t="e">
        <f t="shared" si="11"/>
        <v>#REF!</v>
      </c>
      <c r="AS41" s="36" t="e">
        <f t="shared" si="11"/>
        <v>#REF!</v>
      </c>
      <c r="AT41" s="36" t="e">
        <f t="shared" si="11"/>
        <v>#REF!</v>
      </c>
      <c r="AU41" s="36" t="e">
        <f t="shared" si="11"/>
        <v>#REF!</v>
      </c>
      <c r="AV41" s="36" t="e">
        <f t="shared" si="11"/>
        <v>#REF!</v>
      </c>
      <c r="AW41" s="36" t="e">
        <f t="shared" si="11"/>
        <v>#REF!</v>
      </c>
      <c r="AX41" s="36" t="e">
        <f t="shared" si="11"/>
        <v>#REF!</v>
      </c>
      <c r="AY41" s="36" t="e">
        <f t="shared" si="11"/>
        <v>#REF!</v>
      </c>
      <c r="AZ41" s="36" t="e">
        <f t="shared" si="11"/>
        <v>#REF!</v>
      </c>
      <c r="BA41" s="36" t="e">
        <f t="shared" si="11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10"/>
        <v>#REF!</v>
      </c>
      <c r="AG42" s="36" t="e">
        <f t="shared" si="10"/>
        <v>#REF!</v>
      </c>
      <c r="AH42" s="36" t="e">
        <f t="shared" si="10"/>
        <v>#REF!</v>
      </c>
      <c r="AI42" s="36" t="e">
        <f t="shared" si="10"/>
        <v>#REF!</v>
      </c>
      <c r="AJ42" s="36" t="e">
        <f t="shared" si="10"/>
        <v>#REF!</v>
      </c>
      <c r="AK42" s="36" t="e">
        <f t="shared" si="10"/>
        <v>#REF!</v>
      </c>
      <c r="AL42" s="36" t="e">
        <f t="shared" si="10"/>
        <v>#REF!</v>
      </c>
      <c r="AM42" s="36" t="e">
        <f t="shared" si="10"/>
        <v>#REF!</v>
      </c>
      <c r="AN42" s="36" t="e">
        <f t="shared" si="10"/>
        <v>#REF!</v>
      </c>
      <c r="AO42" s="36" t="e">
        <f t="shared" si="10"/>
        <v>#REF!</v>
      </c>
      <c r="AQ42" s="38"/>
      <c r="AR42" s="36" t="e">
        <f t="shared" si="11"/>
        <v>#REF!</v>
      </c>
      <c r="AS42" s="36" t="e">
        <f t="shared" si="11"/>
        <v>#REF!</v>
      </c>
      <c r="AT42" s="36" t="e">
        <f t="shared" si="11"/>
        <v>#REF!</v>
      </c>
      <c r="AU42" s="36" t="e">
        <f t="shared" si="11"/>
        <v>#REF!</v>
      </c>
      <c r="AV42" s="36" t="e">
        <f t="shared" si="11"/>
        <v>#REF!</v>
      </c>
      <c r="AW42" s="36" t="e">
        <f t="shared" si="11"/>
        <v>#REF!</v>
      </c>
      <c r="AX42" s="36" t="e">
        <f t="shared" si="11"/>
        <v>#REF!</v>
      </c>
      <c r="AY42" s="36" t="e">
        <f t="shared" si="11"/>
        <v>#REF!</v>
      </c>
      <c r="AZ42" s="36" t="e">
        <f t="shared" si="11"/>
        <v>#REF!</v>
      </c>
      <c r="BA42" s="36" t="e">
        <f t="shared" si="11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10"/>
        <v>#REF!</v>
      </c>
      <c r="AG43" s="36" t="e">
        <f t="shared" si="10"/>
        <v>#REF!</v>
      </c>
      <c r="AH43" s="36" t="e">
        <f t="shared" si="10"/>
        <v>#REF!</v>
      </c>
      <c r="AI43" s="36" t="e">
        <f t="shared" si="10"/>
        <v>#REF!</v>
      </c>
      <c r="AJ43" s="36" t="e">
        <f t="shared" si="10"/>
        <v>#REF!</v>
      </c>
      <c r="AK43" s="36" t="e">
        <f t="shared" si="10"/>
        <v>#REF!</v>
      </c>
      <c r="AL43" s="36" t="e">
        <f t="shared" si="10"/>
        <v>#REF!</v>
      </c>
      <c r="AM43" s="36" t="e">
        <f t="shared" si="10"/>
        <v>#REF!</v>
      </c>
      <c r="AN43" s="36" t="e">
        <f t="shared" si="10"/>
        <v>#REF!</v>
      </c>
      <c r="AO43" s="36" t="e">
        <f t="shared" si="10"/>
        <v>#REF!</v>
      </c>
      <c r="AQ43" s="38"/>
      <c r="AR43" s="36" t="e">
        <f t="shared" si="11"/>
        <v>#REF!</v>
      </c>
      <c r="AS43" s="36" t="e">
        <f t="shared" si="11"/>
        <v>#REF!</v>
      </c>
      <c r="AT43" s="36" t="e">
        <f t="shared" si="11"/>
        <v>#REF!</v>
      </c>
      <c r="AU43" s="36" t="e">
        <f t="shared" si="11"/>
        <v>#REF!</v>
      </c>
      <c r="AV43" s="36" t="e">
        <f t="shared" si="11"/>
        <v>#REF!</v>
      </c>
      <c r="AW43" s="36" t="e">
        <f t="shared" si="11"/>
        <v>#REF!</v>
      </c>
      <c r="AX43" s="36" t="e">
        <f t="shared" si="11"/>
        <v>#REF!</v>
      </c>
      <c r="AY43" s="36" t="e">
        <f t="shared" si="11"/>
        <v>#REF!</v>
      </c>
      <c r="AZ43" s="36" t="e">
        <f t="shared" si="11"/>
        <v>#REF!</v>
      </c>
      <c r="BA43" s="36" t="e">
        <f t="shared" si="11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10"/>
        <v>#REF!</v>
      </c>
      <c r="AG44" s="36" t="e">
        <f t="shared" si="10"/>
        <v>#REF!</v>
      </c>
      <c r="AH44" s="36" t="e">
        <f t="shared" si="10"/>
        <v>#REF!</v>
      </c>
      <c r="AI44" s="36" t="e">
        <f t="shared" si="10"/>
        <v>#REF!</v>
      </c>
      <c r="AJ44" s="36" t="e">
        <f t="shared" si="10"/>
        <v>#REF!</v>
      </c>
      <c r="AK44" s="36" t="e">
        <f t="shared" si="10"/>
        <v>#REF!</v>
      </c>
      <c r="AL44" s="36" t="e">
        <f t="shared" si="10"/>
        <v>#REF!</v>
      </c>
      <c r="AM44" s="36" t="e">
        <f t="shared" si="10"/>
        <v>#REF!</v>
      </c>
      <c r="AN44" s="36" t="e">
        <f t="shared" si="10"/>
        <v>#REF!</v>
      </c>
      <c r="AO44" s="36" t="e">
        <f t="shared" si="10"/>
        <v>#REF!</v>
      </c>
      <c r="AQ44" s="38"/>
      <c r="AR44" s="36" t="e">
        <f t="shared" si="11"/>
        <v>#REF!</v>
      </c>
      <c r="AS44" s="36" t="e">
        <f t="shared" si="11"/>
        <v>#REF!</v>
      </c>
      <c r="AT44" s="36" t="e">
        <f t="shared" si="11"/>
        <v>#REF!</v>
      </c>
      <c r="AU44" s="36" t="e">
        <f t="shared" si="11"/>
        <v>#REF!</v>
      </c>
      <c r="AV44" s="36" t="e">
        <f t="shared" si="11"/>
        <v>#REF!</v>
      </c>
      <c r="AW44" s="36" t="e">
        <f t="shared" si="11"/>
        <v>#REF!</v>
      </c>
      <c r="AX44" s="36" t="e">
        <f t="shared" si="11"/>
        <v>#REF!</v>
      </c>
      <c r="AY44" s="36" t="e">
        <f t="shared" si="11"/>
        <v>#REF!</v>
      </c>
      <c r="AZ44" s="36" t="e">
        <f t="shared" si="11"/>
        <v>#REF!</v>
      </c>
      <c r="BA44" s="36" t="e">
        <f t="shared" si="11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10"/>
        <v>#REF!</v>
      </c>
      <c r="AG45" s="36" t="e">
        <f t="shared" si="10"/>
        <v>#REF!</v>
      </c>
      <c r="AH45" s="36" t="e">
        <f t="shared" si="10"/>
        <v>#REF!</v>
      </c>
      <c r="AI45" s="36" t="e">
        <f t="shared" si="10"/>
        <v>#REF!</v>
      </c>
      <c r="AJ45" s="36" t="e">
        <f t="shared" si="10"/>
        <v>#REF!</v>
      </c>
      <c r="AK45" s="36" t="e">
        <f t="shared" si="10"/>
        <v>#REF!</v>
      </c>
      <c r="AL45" s="36" t="e">
        <f t="shared" si="10"/>
        <v>#REF!</v>
      </c>
      <c r="AM45" s="36" t="e">
        <f t="shared" si="10"/>
        <v>#REF!</v>
      </c>
      <c r="AN45" s="36" t="e">
        <f t="shared" si="10"/>
        <v>#REF!</v>
      </c>
      <c r="AO45" s="36" t="e">
        <f t="shared" si="10"/>
        <v>#REF!</v>
      </c>
      <c r="AQ45" s="38"/>
      <c r="AR45" s="36" t="e">
        <f t="shared" si="11"/>
        <v>#REF!</v>
      </c>
      <c r="AS45" s="36" t="e">
        <f t="shared" si="11"/>
        <v>#REF!</v>
      </c>
      <c r="AT45" s="36" t="e">
        <f t="shared" si="11"/>
        <v>#REF!</v>
      </c>
      <c r="AU45" s="36" t="e">
        <f t="shared" si="11"/>
        <v>#REF!</v>
      </c>
      <c r="AV45" s="36" t="e">
        <f t="shared" si="11"/>
        <v>#REF!</v>
      </c>
      <c r="AW45" s="36" t="e">
        <f t="shared" si="11"/>
        <v>#REF!</v>
      </c>
      <c r="AX45" s="36" t="e">
        <f t="shared" si="11"/>
        <v>#REF!</v>
      </c>
      <c r="AY45" s="36" t="e">
        <f t="shared" si="11"/>
        <v>#REF!</v>
      </c>
      <c r="AZ45" s="36" t="e">
        <f t="shared" si="11"/>
        <v>#REF!</v>
      </c>
      <c r="BA45" s="36" t="e">
        <f t="shared" si="11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10"/>
        <v>#REF!</v>
      </c>
      <c r="AG46" s="36" t="e">
        <f t="shared" si="10"/>
        <v>#REF!</v>
      </c>
      <c r="AH46" s="36" t="e">
        <f t="shared" si="10"/>
        <v>#REF!</v>
      </c>
      <c r="AI46" s="36" t="e">
        <f t="shared" si="10"/>
        <v>#REF!</v>
      </c>
      <c r="AJ46" s="36" t="e">
        <f t="shared" si="10"/>
        <v>#REF!</v>
      </c>
      <c r="AK46" s="36" t="e">
        <f t="shared" si="10"/>
        <v>#REF!</v>
      </c>
      <c r="AL46" s="36" t="e">
        <f t="shared" si="10"/>
        <v>#REF!</v>
      </c>
      <c r="AM46" s="36" t="e">
        <f t="shared" si="10"/>
        <v>#REF!</v>
      </c>
      <c r="AN46" s="36" t="e">
        <f t="shared" si="10"/>
        <v>#REF!</v>
      </c>
      <c r="AO46" s="36" t="e">
        <f t="shared" si="10"/>
        <v>#REF!</v>
      </c>
      <c r="AQ46" s="38"/>
      <c r="AR46" s="36" t="e">
        <f t="shared" si="11"/>
        <v>#REF!</v>
      </c>
      <c r="AS46" s="36" t="e">
        <f t="shared" si="11"/>
        <v>#REF!</v>
      </c>
      <c r="AT46" s="36" t="e">
        <f t="shared" si="11"/>
        <v>#REF!</v>
      </c>
      <c r="AU46" s="36" t="e">
        <f t="shared" si="11"/>
        <v>#REF!</v>
      </c>
      <c r="AV46" s="36" t="e">
        <f t="shared" si="11"/>
        <v>#REF!</v>
      </c>
      <c r="AW46" s="36" t="e">
        <f t="shared" si="11"/>
        <v>#REF!</v>
      </c>
      <c r="AX46" s="36" t="e">
        <f t="shared" si="11"/>
        <v>#REF!</v>
      </c>
      <c r="AY46" s="36" t="e">
        <f t="shared" si="11"/>
        <v>#REF!</v>
      </c>
      <c r="AZ46" s="36" t="e">
        <f t="shared" si="11"/>
        <v>#REF!</v>
      </c>
      <c r="BA46" s="36" t="e">
        <f t="shared" si="11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2">AF16+AF18+AF19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AR16+AR18+AR19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41</v>
      </c>
      <c r="AB52" s="35"/>
      <c r="AF52" s="70" t="e">
        <f t="shared" ref="AF52:AO52" si="14">AF27+AF29+AF30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AR27+AR29+AR30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71" t="s">
        <v>42</v>
      </c>
      <c r="AB53" s="35"/>
      <c r="AF53" s="70" t="e">
        <f t="shared" ref="AF53:AO53" si="16">AF38+AF40+AF41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AR38+AR40+AR41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8">AF16+AF18+AF20+AF22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AR16+AR18+AR20+AR22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41</v>
      </c>
      <c r="AB56" s="35"/>
      <c r="AF56" s="70" t="e">
        <f t="shared" ref="AF56:AO56" si="20">AF27+AF29+AF31+AF33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AR27+AR29+AR31+AR33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71" t="s">
        <v>42</v>
      </c>
      <c r="AB57" s="35"/>
      <c r="AF57" s="70" t="e">
        <f t="shared" ref="AF57:AO57" si="22">AF38+AF40+AF42+AF44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AR38+AR40+AR42+AR44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4">AF16+AF18+AF20+AF21+AF23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AR16+AR18+AR20+AR21+AR23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41</v>
      </c>
      <c r="AB60" s="35"/>
      <c r="AF60" s="70" t="e">
        <f t="shared" ref="AF60:AO60" si="26">AF27+AF29+AF31+AF32+AF34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AR27+AR29+AR31+AR32+AR34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71" t="s">
        <v>42</v>
      </c>
      <c r="AB61" s="35"/>
      <c r="AF61" s="70" t="e">
        <f t="shared" ref="AF61:AO61" si="28">AF38+AF40+AF42+AF43+AF45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AR38+AR40+AR42+AR43+AR45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30">AF16+AF18+AF20+AF21+AF24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AR16+AR18+AR20+AR21+AR24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41</v>
      </c>
      <c r="AB64" s="35"/>
      <c r="AF64" s="70" t="e">
        <f t="shared" ref="AF64:AO64" si="32">AF27+AF29+AF31+AF32+AF35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AR27+AR29+AR31+AR32+AR35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71" t="s">
        <v>42</v>
      </c>
      <c r="AB65" s="35"/>
      <c r="AF65" s="70" t="e">
        <f t="shared" ref="AF65:AO65" si="34">AF38+AF40+AF42+AF43+AF46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AR38+AR40+AR42+AR43+AR46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6">AF16+AF17+AF22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AR16+AR17+AR22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41</v>
      </c>
      <c r="AB68" s="35"/>
      <c r="AF68" s="70" t="e">
        <f t="shared" ref="AF68:AO68" si="38">AF27+AF28+AF33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AR27+AR28+AR33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1" t="s">
        <v>42</v>
      </c>
      <c r="AB69" s="35"/>
      <c r="AF69" s="70" t="e">
        <f t="shared" ref="AF69:AO69" si="40">AF38+AF39+AF44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AR38+AR39+AR44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2">AF16+AF17+AF21+AF23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AR16+AR17+AR21+AR23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41</v>
      </c>
      <c r="AB72" s="35"/>
      <c r="AF72" s="70" t="e">
        <f t="shared" ref="AF72:AO72" si="44">AF27+AF28+AF32+AF34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AR27+AR28+AR32+AR34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71" t="s">
        <v>42</v>
      </c>
      <c r="AB73" s="35"/>
      <c r="AF73" s="70" t="e">
        <f t="shared" ref="AF73:AO73" si="46">AF38+AF39+AF43+AF45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AR38+AR39+AR43+AR45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8">AF16+AF17+AF21+AF24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AR16+AR17+AR21+AR24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41</v>
      </c>
      <c r="AB76" s="35"/>
      <c r="AF76" s="70" t="e">
        <f t="shared" ref="AF76:AO76" si="50">AF27+AF28+AF32+AF35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AR27+AR28+AR32+AR35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>
      <c r="AA77" s="71" t="s">
        <v>42</v>
      </c>
      <c r="AB77" s="35"/>
      <c r="AF77" s="70" t="e">
        <f t="shared" ref="AF77:AO77" si="52">AF38+AF39+AF43+AF46</f>
        <v>#REF!</v>
      </c>
      <c r="AG77" s="70" t="e">
        <f t="shared" si="52"/>
        <v>#REF!</v>
      </c>
      <c r="AH77" s="70" t="e">
        <f t="shared" si="52"/>
        <v>#REF!</v>
      </c>
      <c r="AI77" s="70" t="e">
        <f t="shared" si="52"/>
        <v>#REF!</v>
      </c>
      <c r="AJ77" s="70" t="e">
        <f t="shared" si="52"/>
        <v>#REF!</v>
      </c>
      <c r="AK77" s="70" t="e">
        <f t="shared" si="52"/>
        <v>#REF!</v>
      </c>
      <c r="AL77" s="70" t="e">
        <f t="shared" si="52"/>
        <v>#REF!</v>
      </c>
      <c r="AM77" s="70" t="e">
        <f t="shared" si="52"/>
        <v>#REF!</v>
      </c>
      <c r="AN77" s="70" t="e">
        <f t="shared" si="52"/>
        <v>#REF!</v>
      </c>
      <c r="AO77" s="70" t="e">
        <f t="shared" si="52"/>
        <v>#REF!</v>
      </c>
      <c r="AP77" s="70"/>
      <c r="AQ77" s="70"/>
      <c r="AR77" s="70" t="e">
        <f t="shared" ref="AR77:BA77" si="53">AR38+AR39+AR43+AR46</f>
        <v>#REF!</v>
      </c>
      <c r="AS77" s="70" t="e">
        <f t="shared" si="53"/>
        <v>#REF!</v>
      </c>
      <c r="AT77" s="70" t="e">
        <f t="shared" si="53"/>
        <v>#REF!</v>
      </c>
      <c r="AU77" s="70" t="e">
        <f t="shared" si="53"/>
        <v>#REF!</v>
      </c>
      <c r="AV77" s="70" t="e">
        <f t="shared" si="53"/>
        <v>#REF!</v>
      </c>
      <c r="AW77" s="70" t="e">
        <f t="shared" si="53"/>
        <v>#REF!</v>
      </c>
      <c r="AX77" s="70" t="e">
        <f t="shared" si="53"/>
        <v>#REF!</v>
      </c>
      <c r="AY77" s="70" t="e">
        <f t="shared" si="53"/>
        <v>#REF!</v>
      </c>
      <c r="AZ77" s="70" t="e">
        <f t="shared" si="53"/>
        <v>#REF!</v>
      </c>
      <c r="BA77" s="70" t="e">
        <f t="shared" si="53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45" t="s">
        <v>55</v>
      </c>
      <c r="G89" s="545" t="s">
        <v>73</v>
      </c>
      <c r="H89" s="545" t="s">
        <v>74</v>
      </c>
      <c r="I89" s="545" t="s">
        <v>58</v>
      </c>
      <c r="J89" s="545" t="s">
        <v>59</v>
      </c>
      <c r="K89" s="545" t="s">
        <v>60</v>
      </c>
      <c r="L89" s="544" t="s">
        <v>75</v>
      </c>
      <c r="M89" s="544" t="s">
        <v>76</v>
      </c>
      <c r="N89" s="544" t="s">
        <v>61</v>
      </c>
      <c r="O89" s="544" t="s">
        <v>62</v>
      </c>
      <c r="P89" s="544" t="s">
        <v>63</v>
      </c>
      <c r="AN89" s="38"/>
      <c r="AZ89" s="36"/>
    </row>
    <row r="90" spans="1:52" ht="25.5">
      <c r="A90" s="44" t="str">
        <f t="shared" ref="A90:C92" si="54">A4</f>
        <v>Substation General Construction</v>
      </c>
      <c r="B90" s="45" t="str">
        <f t="shared" si="54"/>
        <v>Light-Duty Truck, catalyst</v>
      </c>
      <c r="C90" s="46">
        <f t="shared" si="54"/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2" si="55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si="54"/>
        <v>Substation Below Grade Construction</v>
      </c>
      <c r="B91" s="45" t="str">
        <f t="shared" si="54"/>
        <v>Light-Duty Truck, catalyst</v>
      </c>
      <c r="C91" s="46">
        <f t="shared" si="54"/>
        <v>10</v>
      </c>
      <c r="D91" s="46">
        <v>35</v>
      </c>
      <c r="E91" s="46">
        <v>80</v>
      </c>
      <c r="F91" s="50">
        <f>C5*($E5*$F5+($G5))/453.59</f>
        <v>4.8571938588092012</v>
      </c>
      <c r="G91" s="50">
        <f>C5*($E5*$H5+($I5))/453.59</f>
        <v>0.43670657294378012</v>
      </c>
      <c r="H91" s="50">
        <f>C5*(($E5*$J5)+($K5)+($L5)+($E5*$N5)+(($M5+$O5)))/453.59</f>
        <v>0.50499980323953331</v>
      </c>
      <c r="I91" s="50">
        <f>C5*($E5*$P5+($Q5))/453.59</f>
        <v>7.2679702716061598E-3</v>
      </c>
      <c r="J91" s="50">
        <f>C5*(($E5*($R5+$T5+$U5))+($S5))/453.59</f>
        <v>8.5240904552078958E-2</v>
      </c>
      <c r="K91" s="50">
        <f>$C5*(($E5*($V5+$X5+$Y5))+($W5))/453.59</f>
        <v>3.7120053242531412E-2</v>
      </c>
      <c r="L91" s="50">
        <f>$B$23*C5*(E5+6)</f>
        <v>8.438582586071898E-2</v>
      </c>
      <c r="M91" s="50">
        <f t="shared" si="55"/>
        <v>3.4598188602894778E-2</v>
      </c>
      <c r="N91" s="50">
        <f>C5*($E5*$Z5+($AA5))/453.59</f>
        <v>554.23576726038891</v>
      </c>
      <c r="O91" s="50">
        <f>C5*($E5*$AB5+($AC5))/453.59</f>
        <v>3.1704753890302494E-2</v>
      </c>
      <c r="P91" s="50">
        <f>C5*($E5*$AD5+($AE5))/453.59</f>
        <v>5.7711199138433596E-2</v>
      </c>
      <c r="AN91" s="38"/>
      <c r="AZ91" s="36"/>
    </row>
    <row r="92" spans="1:52" ht="25.5">
      <c r="A92" s="44" t="str">
        <f t="shared" si="54"/>
        <v>Substation Above Grade Construction</v>
      </c>
      <c r="B92" s="45" t="str">
        <f t="shared" si="54"/>
        <v>Light-Duty Truck, catalyst</v>
      </c>
      <c r="C92" s="46">
        <f t="shared" si="54"/>
        <v>8</v>
      </c>
      <c r="D92" s="46">
        <v>35</v>
      </c>
      <c r="E92" s="46">
        <v>80</v>
      </c>
      <c r="F92" s="50">
        <f>C6*($E6*$F6+($G6))/453.59</f>
        <v>3.8857550870473605</v>
      </c>
      <c r="G92" s="50">
        <f>C6*($E6*$H6+($I6))/453.59</f>
        <v>0.34936525835502408</v>
      </c>
      <c r="H92" s="50">
        <f>C6*(($E6*$J6)+($K6)+($L6)+($E6*$N6)+(($M6+$O6)))/453.59</f>
        <v>0.40399984259162663</v>
      </c>
      <c r="I92" s="50">
        <f>C6*($E6*$P6+($Q6))/453.59</f>
        <v>5.8143762172849275E-3</v>
      </c>
      <c r="J92" s="50">
        <f>C6*(($E6*($R6+$T6+$U6))+($S6))/453.59</f>
        <v>6.8192723641663178E-2</v>
      </c>
      <c r="K92" s="50">
        <f>$C6*(($E6*($V6+$X6+$Y6))+($W6))/453.59</f>
        <v>2.9696042594025134E-2</v>
      </c>
      <c r="L92" s="50">
        <f>$B$23*C6*(E6+6)</f>
        <v>6.7508660688575195E-2</v>
      </c>
      <c r="M92" s="50">
        <f t="shared" si="55"/>
        <v>2.7678550882315828E-2</v>
      </c>
      <c r="N92" s="50">
        <f>C6*($E6*$Z6+($AA6))/453.59</f>
        <v>443.38861380831116</v>
      </c>
      <c r="O92" s="50">
        <f>C6*($E6*$AB6+($AC6))/453.59</f>
        <v>2.5363803112241994E-2</v>
      </c>
      <c r="P92" s="50">
        <f>C6*($E6*$AD6+($AE6))/453.59</f>
        <v>4.6168959310746882E-2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 t="shared" ref="F93:P93" si="56">SUM(F90:F92)</f>
        <v>10.200107103499322</v>
      </c>
      <c r="G93" s="81">
        <f t="shared" si="56"/>
        <v>0.91708380318193827</v>
      </c>
      <c r="H93" s="81">
        <f t="shared" si="56"/>
        <v>1.06049958680302</v>
      </c>
      <c r="I93" s="81">
        <f t="shared" si="56"/>
        <v>1.5262737570372935E-2</v>
      </c>
      <c r="J93" s="81">
        <f t="shared" si="56"/>
        <v>0.17900589955936583</v>
      </c>
      <c r="K93" s="81">
        <f t="shared" si="56"/>
        <v>7.7952111809315966E-2</v>
      </c>
      <c r="L93" s="81">
        <f t="shared" si="56"/>
        <v>0.17721023430750987</v>
      </c>
      <c r="M93" s="81">
        <f t="shared" si="56"/>
        <v>7.2656196066079037E-2</v>
      </c>
      <c r="N93" s="81">
        <f t="shared" si="56"/>
        <v>1163.8951112468169</v>
      </c>
      <c r="O93" s="81">
        <f t="shared" si="56"/>
        <v>6.6579983169635232E-2</v>
      </c>
      <c r="P93" s="81">
        <f t="shared" si="56"/>
        <v>0.12119351819071056</v>
      </c>
      <c r="AN93" s="38"/>
      <c r="AZ93" s="36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4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645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398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100" t="s">
        <v>287</v>
      </c>
      <c r="B14" s="97" t="s">
        <v>27</v>
      </c>
      <c r="C14" s="97">
        <v>37</v>
      </c>
      <c r="D14" s="22">
        <v>0.37</v>
      </c>
      <c r="E14" s="102">
        <v>3.2313389441625637E-2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0.12374118165784832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0.16056172839506169</v>
      </c>
      <c r="H14" s="102">
        <v>3.2989906092678058E-4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1.3581349206349205E-2</v>
      </c>
      <c r="J14" s="100">
        <f t="shared" ref="J14:J16" si="4">0.89*I14</f>
        <v>1.2087400793650793E-2</v>
      </c>
      <c r="K14" s="103">
        <v>25.519156990664225</v>
      </c>
      <c r="L14" s="102">
        <v>3.413848047070189E-3</v>
      </c>
      <c r="M14" s="104">
        <f t="shared" ref="M14:M16" si="5">0.095*G14</f>
        <v>1.5253364197530862E-2</v>
      </c>
      <c r="N14" s="88">
        <v>1</v>
      </c>
      <c r="O14" s="88">
        <v>1</v>
      </c>
      <c r="P14" s="367">
        <v>75</v>
      </c>
      <c r="Q14" s="26">
        <f t="shared" ref="Q14:Y16" si="6">(E14*$N14*$O14)</f>
        <v>3.2313389441625637E-2</v>
      </c>
      <c r="R14" s="26">
        <f t="shared" si="6"/>
        <v>0.12374118165784832</v>
      </c>
      <c r="S14" s="26">
        <f t="shared" si="6"/>
        <v>0.16056172839506169</v>
      </c>
      <c r="T14" s="26">
        <f t="shared" si="6"/>
        <v>3.2989906092678058E-4</v>
      </c>
      <c r="U14" s="26">
        <f t="shared" si="6"/>
        <v>1.3581349206349205E-2</v>
      </c>
      <c r="V14" s="26">
        <f t="shared" si="6"/>
        <v>1.2087400793650793E-2</v>
      </c>
      <c r="W14" s="26">
        <f t="shared" si="6"/>
        <v>25.519156990664225</v>
      </c>
      <c r="X14" s="26">
        <f t="shared" si="6"/>
        <v>3.413848047070189E-3</v>
      </c>
      <c r="Y14" s="26">
        <f t="shared" si="6"/>
        <v>1.5253364197530862E-2</v>
      </c>
    </row>
    <row r="15" spans="1:25" s="3" customFormat="1">
      <c r="A15" s="100" t="s">
        <v>292</v>
      </c>
      <c r="B15" s="22" t="s">
        <v>27</v>
      </c>
      <c r="C15" s="97">
        <v>69</v>
      </c>
      <c r="D15" s="22">
        <v>0.5</v>
      </c>
      <c r="E15" s="102">
        <v>0.10796897189848784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0.2814153439153439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0.40462962962962956</v>
      </c>
      <c r="H15" s="102">
        <v>7.6125329247041284E-4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2.2817460317460316E-2</v>
      </c>
      <c r="J15" s="100">
        <f t="shared" si="4"/>
        <v>2.030753968253968E-2</v>
      </c>
      <c r="K15" s="103">
        <v>64.895144949977833</v>
      </c>
      <c r="L15" s="102">
        <v>1.0324742188913067E-2</v>
      </c>
      <c r="M15" s="104">
        <f t="shared" si="5"/>
        <v>3.8439814814814809E-2</v>
      </c>
      <c r="N15" s="87">
        <v>1</v>
      </c>
      <c r="O15" s="87">
        <v>6</v>
      </c>
      <c r="P15" s="88">
        <f>8*22</f>
        <v>176</v>
      </c>
      <c r="Q15" s="34">
        <f t="shared" si="6"/>
        <v>0.64781383139092696</v>
      </c>
      <c r="R15" s="26">
        <f t="shared" si="6"/>
        <v>1.6884920634920633</v>
      </c>
      <c r="S15" s="26">
        <f t="shared" si="6"/>
        <v>2.4277777777777771</v>
      </c>
      <c r="T15" s="26">
        <f t="shared" si="6"/>
        <v>4.567519754822477E-3</v>
      </c>
      <c r="U15" s="26">
        <f t="shared" si="6"/>
        <v>0.13690476190476189</v>
      </c>
      <c r="V15" s="26">
        <f t="shared" si="6"/>
        <v>0.12184523809523809</v>
      </c>
      <c r="W15" s="26">
        <f t="shared" si="6"/>
        <v>389.370869699867</v>
      </c>
      <c r="X15" s="26">
        <f t="shared" si="6"/>
        <v>6.1948453133478402E-2</v>
      </c>
      <c r="Y15" s="26">
        <f t="shared" si="6"/>
        <v>0.23063888888888884</v>
      </c>
    </row>
    <row r="16" spans="1:25" s="3" customFormat="1">
      <c r="A16" s="100" t="s">
        <v>126</v>
      </c>
      <c r="B16" s="22" t="s">
        <v>27</v>
      </c>
      <c r="C16" s="22">
        <v>175</v>
      </c>
      <c r="D16" s="22"/>
      <c r="E16" s="102">
        <v>0.11792220738547983</v>
      </c>
      <c r="F16" s="102">
        <v>0.36512193352152528</v>
      </c>
      <c r="G16" s="102">
        <v>0.86781464282266541</v>
      </c>
      <c r="H16" s="102">
        <v>1.8739217498104396E-3</v>
      </c>
      <c r="I16" s="102">
        <v>2.9041712295589866E-2</v>
      </c>
      <c r="J16" s="100">
        <f t="shared" si="4"/>
        <v>2.5847123943074982E-2</v>
      </c>
      <c r="K16" s="103">
        <v>166.54541562452522</v>
      </c>
      <c r="L16" s="102">
        <v>1.063993297769634E-2</v>
      </c>
      <c r="M16" s="104">
        <f t="shared" si="5"/>
        <v>8.2442391068153209E-2</v>
      </c>
      <c r="N16" s="88">
        <v>1</v>
      </c>
      <c r="O16" s="88">
        <v>3</v>
      </c>
      <c r="P16" s="367">
        <v>40</v>
      </c>
      <c r="Q16" s="26">
        <f t="shared" si="6"/>
        <v>0.3537666221564395</v>
      </c>
      <c r="R16" s="26">
        <f t="shared" si="6"/>
        <v>1.0953658005645759</v>
      </c>
      <c r="S16" s="26">
        <f t="shared" si="6"/>
        <v>2.6034439284679962</v>
      </c>
      <c r="T16" s="26">
        <f t="shared" si="6"/>
        <v>5.6217652494313184E-3</v>
      </c>
      <c r="U16" s="26">
        <f t="shared" si="6"/>
        <v>8.7125136886769594E-2</v>
      </c>
      <c r="V16" s="26">
        <f t="shared" si="6"/>
        <v>7.754137182922495E-2</v>
      </c>
      <c r="W16" s="26">
        <f t="shared" si="6"/>
        <v>499.63624687357566</v>
      </c>
      <c r="X16" s="26">
        <f t="shared" si="6"/>
        <v>3.1919798933089022E-2</v>
      </c>
      <c r="Y16" s="26">
        <f t="shared" si="6"/>
        <v>0.24732717320445963</v>
      </c>
    </row>
    <row r="17" spans="1:25" s="3" customFormat="1">
      <c r="A17" s="17" t="s">
        <v>28</v>
      </c>
      <c r="B17" s="97"/>
      <c r="C17" s="22"/>
      <c r="D17" s="22"/>
      <c r="E17" s="23"/>
      <c r="F17" s="23"/>
      <c r="G17" s="23"/>
      <c r="H17" s="23"/>
      <c r="I17" s="23"/>
      <c r="J17" s="24"/>
      <c r="K17" s="25"/>
      <c r="L17" s="23"/>
      <c r="M17" s="23"/>
      <c r="N17" s="88"/>
      <c r="O17" s="88"/>
      <c r="P17" s="88"/>
      <c r="Q17" s="27">
        <f t="shared" ref="Q17:Y17" si="7">SUM(Q14:Q16)</f>
        <v>1.0338938429889921</v>
      </c>
      <c r="R17" s="27">
        <f t="shared" si="7"/>
        <v>2.9075990457144876</v>
      </c>
      <c r="S17" s="27">
        <f t="shared" si="7"/>
        <v>5.1917834346408345</v>
      </c>
      <c r="T17" s="27">
        <f t="shared" si="7"/>
        <v>1.0519184065180577E-2</v>
      </c>
      <c r="U17" s="27">
        <f t="shared" si="7"/>
        <v>0.23761124799788069</v>
      </c>
      <c r="V17" s="27">
        <f t="shared" si="7"/>
        <v>0.21147401071811384</v>
      </c>
      <c r="W17" s="27">
        <f t="shared" si="7"/>
        <v>914.52627356410687</v>
      </c>
      <c r="X17" s="27">
        <f t="shared" si="7"/>
        <v>9.728210011363761E-2</v>
      </c>
      <c r="Y17" s="27">
        <f t="shared" si="7"/>
        <v>0.49321942629087934</v>
      </c>
    </row>
    <row r="18" spans="1:25" s="3" customFormat="1">
      <c r="A18" s="17"/>
      <c r="B18" s="97"/>
      <c r="C18" s="22"/>
      <c r="D18" s="22"/>
      <c r="E18" s="23"/>
      <c r="F18" s="23"/>
      <c r="G18" s="23"/>
      <c r="H18" s="23"/>
      <c r="I18" s="23"/>
      <c r="J18" s="24"/>
      <c r="K18" s="25"/>
      <c r="L18" s="23"/>
      <c r="M18" s="23"/>
      <c r="N18" s="88"/>
      <c r="O18" s="88"/>
      <c r="P18" s="88"/>
      <c r="Q18" s="27"/>
      <c r="R18" s="27"/>
      <c r="S18" s="27"/>
      <c r="T18" s="27"/>
      <c r="U18" s="27"/>
      <c r="V18" s="27"/>
      <c r="W18" s="27"/>
      <c r="X18" s="27"/>
      <c r="Y18" s="27"/>
    </row>
    <row r="19" spans="1:25" s="3" customFormat="1">
      <c r="A19" s="11" t="s">
        <v>399</v>
      </c>
      <c r="B19" s="22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11"/>
      <c r="O19" s="11"/>
      <c r="P19" s="11"/>
      <c r="Q19" s="27"/>
      <c r="R19" s="27"/>
      <c r="S19" s="27"/>
      <c r="T19" s="27"/>
      <c r="U19" s="27"/>
      <c r="V19" s="27"/>
      <c r="W19" s="28"/>
      <c r="X19" s="27"/>
      <c r="Y19" s="27"/>
    </row>
    <row r="20" spans="1:25">
      <c r="A20" s="24" t="s">
        <v>400</v>
      </c>
      <c r="B20" s="29" t="s">
        <v>27</v>
      </c>
      <c r="C20" s="97">
        <v>235</v>
      </c>
      <c r="D20" s="97"/>
      <c r="E20" s="102">
        <v>0.11792220738547983</v>
      </c>
      <c r="F20" s="102">
        <v>0.36512193352152528</v>
      </c>
      <c r="G20" s="102">
        <v>0.86781464282266541</v>
      </c>
      <c r="H20" s="102">
        <v>1.8739217498104396E-3</v>
      </c>
      <c r="I20" s="102">
        <v>2.9041712295589866E-2</v>
      </c>
      <c r="J20" s="100">
        <f t="shared" ref="J20:J22" si="8">0.89*I20</f>
        <v>2.5847123943074982E-2</v>
      </c>
      <c r="K20" s="103">
        <v>166.54541562452522</v>
      </c>
      <c r="L20" s="102">
        <v>1.063993297769634E-2</v>
      </c>
      <c r="M20" s="104">
        <f t="shared" ref="M20:M22" si="9">0.095*G20</f>
        <v>8.2442391068153209E-2</v>
      </c>
      <c r="N20" s="98">
        <v>1</v>
      </c>
      <c r="O20" s="87">
        <v>8</v>
      </c>
      <c r="P20" s="88">
        <v>4</v>
      </c>
      <c r="Q20" s="34">
        <f t="shared" ref="Q20:Y22" si="10">(E20*$N20*$O20)</f>
        <v>0.94337765908383864</v>
      </c>
      <c r="R20" s="26">
        <f t="shared" si="10"/>
        <v>2.9209754681722022</v>
      </c>
      <c r="S20" s="26">
        <f t="shared" si="10"/>
        <v>6.9425171425813232</v>
      </c>
      <c r="T20" s="26">
        <f t="shared" si="10"/>
        <v>1.4991373998483517E-2</v>
      </c>
      <c r="U20" s="26">
        <f t="shared" si="10"/>
        <v>0.23233369836471893</v>
      </c>
      <c r="V20" s="26">
        <f t="shared" si="10"/>
        <v>0.20677699154459986</v>
      </c>
      <c r="W20" s="26">
        <f t="shared" si="10"/>
        <v>1332.3633249962018</v>
      </c>
      <c r="X20" s="26">
        <f t="shared" si="10"/>
        <v>8.5119463821570721E-2</v>
      </c>
      <c r="Y20" s="26">
        <f t="shared" si="10"/>
        <v>0.65953912854522567</v>
      </c>
    </row>
    <row r="21" spans="1:25">
      <c r="A21" s="24" t="s">
        <v>297</v>
      </c>
      <c r="B21" s="29" t="s">
        <v>27</v>
      </c>
      <c r="C21" s="97">
        <v>235</v>
      </c>
      <c r="D21" s="97"/>
      <c r="E21" s="102">
        <v>0.11792220738547983</v>
      </c>
      <c r="F21" s="102">
        <v>0.36512193352152528</v>
      </c>
      <c r="G21" s="102">
        <v>0.86781464282266541</v>
      </c>
      <c r="H21" s="102">
        <v>1.8739217498104396E-3</v>
      </c>
      <c r="I21" s="102">
        <v>2.9041712295589866E-2</v>
      </c>
      <c r="J21" s="100">
        <f t="shared" si="8"/>
        <v>2.5847123943074982E-2</v>
      </c>
      <c r="K21" s="103">
        <v>166.54541562452522</v>
      </c>
      <c r="L21" s="102">
        <v>1.063993297769634E-2</v>
      </c>
      <c r="M21" s="104">
        <f t="shared" si="9"/>
        <v>8.2442391068153209E-2</v>
      </c>
      <c r="N21" s="98">
        <v>2</v>
      </c>
      <c r="O21" s="87">
        <v>8</v>
      </c>
      <c r="P21" s="88">
        <v>4</v>
      </c>
      <c r="Q21" s="34">
        <f t="shared" si="10"/>
        <v>1.8867553181676773</v>
      </c>
      <c r="R21" s="26">
        <f t="shared" si="10"/>
        <v>5.8419509363444044</v>
      </c>
      <c r="S21" s="26">
        <f t="shared" si="10"/>
        <v>13.885034285162646</v>
      </c>
      <c r="T21" s="26">
        <f t="shared" si="10"/>
        <v>2.9982747996967034E-2</v>
      </c>
      <c r="U21" s="26">
        <f t="shared" si="10"/>
        <v>0.46466739672943785</v>
      </c>
      <c r="V21" s="26">
        <f t="shared" si="10"/>
        <v>0.41355398308919972</v>
      </c>
      <c r="W21" s="26">
        <f t="shared" si="10"/>
        <v>2664.7266499924035</v>
      </c>
      <c r="X21" s="26">
        <f t="shared" si="10"/>
        <v>0.17023892764314144</v>
      </c>
      <c r="Y21" s="26">
        <f t="shared" si="10"/>
        <v>1.3190782570904513</v>
      </c>
    </row>
    <row r="22" spans="1:25">
      <c r="A22" s="100" t="s">
        <v>287</v>
      </c>
      <c r="B22" s="97" t="s">
        <v>27</v>
      </c>
      <c r="C22" s="97">
        <v>37</v>
      </c>
      <c r="D22" s="22">
        <v>0.37</v>
      </c>
      <c r="E22" s="102">
        <v>3.7835624751667511E-2</v>
      </c>
      <c r="F22" s="397">
        <f>IF($C22&lt;11,'Offroad Tiers EF (2)'!$AN$4*$C22*$D22,IF($C22&lt;25,'Offroad Tiers EF (2)'!$AN$5*$C22*$D22,IF($C22&lt;50,'Offroad Tiers EF (2)'!$AN$6*$C22*$D22,IF($C22&lt;75,'Offroad Tiers EF (2)'!$AN$7*$C22*$D22,IF($C22&lt;100,'Offroad Tiers EF (2)'!$AN$8*$C22*$D22,IF($C22&lt;175,'Offroad Tiers EF (2)'!$AN$9*$C22*$D22,IF($C22&lt;300,'Offroad Tiers EF (2)'!$AN$10*$C22*$D22,IF($C22&lt;600,'Offroad Tiers EF (2)'!$AN$11*$C22*$D22,"!"))))))))</f>
        <v>0.12374118165784832</v>
      </c>
      <c r="G22" s="397">
        <f>IF($C22&lt;11,'Offroad Tiers EF (2)'!$AM$4*$C22*$D22,IF($C22&lt;25,'Offroad Tiers EF (2)'!$AM$5*$C22*$D22,IF($C22&lt;50,'Offroad Tiers EF (2)'!$AM$6*$C22*$D22,IF($C22&lt;75,'Offroad Tiers EF (2)'!$AM$7*$C22*$D22,IF($C22&lt;100,'Offroad Tiers EF (2)'!$AM$8*$C22*$D22,IF($C22&lt;175,'Offroad Tiers EF (2)'!$AM$9*$C22*$D22,IF($C22&lt;300,'Offroad Tiers EF (2)'!$AM$10*$C22*$D22,IF($C22&lt;600,'Offroad Tiers EF (2)'!$AM$11*$C22*$D22,"!"))))))))</f>
        <v>0.16056172839506169</v>
      </c>
      <c r="H22" s="102">
        <v>3.2989906092678058E-4</v>
      </c>
      <c r="I22" s="397">
        <f>IF($C22&lt;11,'Offroad Tiers EF (2)'!$AO$4*$C22*$D22,IF($C22&lt;25,'Offroad Tiers EF (2)'!$AO$5*$C22*$D22,IF($C22&lt;50,'Offroad Tiers EF (2)'!$AO$6*$C22*$D22,IF($C22&lt;75,'Offroad Tiers EF (2)'!$AO$7*$C22*$D22,IF($C22&lt;100,'Offroad Tiers EF (2)'!$AO$8*$C22*$D22,IF($C22&lt;175,'Offroad Tiers EF (2)'!$AO$9*$C22*$D22,IF($C22&lt;300,'Offroad Tiers EF (2)'!$AO$10*$C22*$D22,IF($C22&lt;600,'Offroad Tiers EF (2)'!$AO$11*$C22*$D22,"!"))))))))</f>
        <v>1.3581349206349205E-2</v>
      </c>
      <c r="J22" s="100">
        <f t="shared" si="8"/>
        <v>1.2087400793650793E-2</v>
      </c>
      <c r="K22" s="103">
        <v>25.519156990664225</v>
      </c>
      <c r="L22" s="102">
        <v>3.413848047070189E-3</v>
      </c>
      <c r="M22" s="104">
        <f t="shared" si="9"/>
        <v>1.5253364197530862E-2</v>
      </c>
      <c r="N22" s="88">
        <v>1</v>
      </c>
      <c r="O22" s="88">
        <v>4</v>
      </c>
      <c r="P22" s="367">
        <v>75</v>
      </c>
      <c r="Q22" s="26">
        <f t="shared" si="10"/>
        <v>0.15134249900667004</v>
      </c>
      <c r="R22" s="26">
        <f t="shared" si="10"/>
        <v>0.49496472663139329</v>
      </c>
      <c r="S22" s="26">
        <f t="shared" si="10"/>
        <v>0.64224691358024677</v>
      </c>
      <c r="T22" s="26">
        <f t="shared" si="10"/>
        <v>1.3195962437071223E-3</v>
      </c>
      <c r="U22" s="26">
        <f t="shared" si="10"/>
        <v>5.4325396825396818E-2</v>
      </c>
      <c r="V22" s="26">
        <f t="shared" si="10"/>
        <v>4.834960317460317E-2</v>
      </c>
      <c r="W22" s="26">
        <f t="shared" si="10"/>
        <v>102.0766279626569</v>
      </c>
      <c r="X22" s="26">
        <f t="shared" si="10"/>
        <v>1.3655392188280756E-2</v>
      </c>
      <c r="Y22" s="26">
        <f t="shared" si="10"/>
        <v>6.1013456790123446E-2</v>
      </c>
    </row>
    <row r="23" spans="1:25">
      <c r="A23" s="17" t="s">
        <v>28</v>
      </c>
      <c r="B23" s="97"/>
      <c r="C23" s="22"/>
      <c r="D23" s="22"/>
      <c r="E23" s="23"/>
      <c r="F23" s="23"/>
      <c r="G23" s="23"/>
      <c r="H23" s="23"/>
      <c r="I23" s="23"/>
      <c r="J23" s="24"/>
      <c r="K23" s="25"/>
      <c r="L23" s="23"/>
      <c r="M23" s="23"/>
      <c r="N23" s="88"/>
      <c r="O23" s="88"/>
      <c r="P23" s="88"/>
      <c r="Q23" s="27">
        <f t="shared" ref="Q23:Y23" si="11">SUM(Q20:Q22)</f>
        <v>2.9814754762581859</v>
      </c>
      <c r="R23" s="27">
        <f t="shared" si="11"/>
        <v>9.2578911311479999</v>
      </c>
      <c r="S23" s="27">
        <f t="shared" si="11"/>
        <v>21.469798341324218</v>
      </c>
      <c r="T23" s="27">
        <f t="shared" si="11"/>
        <v>4.629371823915767E-2</v>
      </c>
      <c r="U23" s="27">
        <f t="shared" si="11"/>
        <v>0.75132649191955359</v>
      </c>
      <c r="V23" s="27">
        <f t="shared" si="11"/>
        <v>0.66868057780840273</v>
      </c>
      <c r="W23" s="27">
        <f t="shared" si="11"/>
        <v>4099.1666029512626</v>
      </c>
      <c r="X23" s="27">
        <f t="shared" si="11"/>
        <v>0.26901378365299294</v>
      </c>
      <c r="Y23" s="27">
        <f t="shared" si="11"/>
        <v>2.0396308424258005</v>
      </c>
    </row>
    <row r="24" spans="1:25">
      <c r="A24" s="17" t="s">
        <v>499</v>
      </c>
      <c r="B24" s="549"/>
      <c r="C24" s="18"/>
      <c r="D24" s="22"/>
      <c r="E24" s="19"/>
      <c r="F24" s="19"/>
      <c r="G24" s="19"/>
      <c r="H24" s="19"/>
      <c r="I24" s="19"/>
      <c r="J24" s="19"/>
      <c r="K24" s="19"/>
      <c r="L24" s="19"/>
      <c r="M24" s="19"/>
      <c r="N24" s="30"/>
      <c r="O24" s="30"/>
      <c r="P24" s="364"/>
      <c r="Q24" s="20">
        <f t="shared" ref="Q24:Y24" si="12">Q11+Q17+Q23</f>
        <v>4.7299464423387754</v>
      </c>
      <c r="R24" s="20">
        <f t="shared" si="12"/>
        <v>15.119649387820882</v>
      </c>
      <c r="S24" s="20">
        <f t="shared" si="12"/>
        <v>31.082638222104208</v>
      </c>
      <c r="T24" s="20">
        <f t="shared" si="12"/>
        <v>6.5135968540416131E-2</v>
      </c>
      <c r="U24" s="20">
        <f t="shared" si="12"/>
        <v>1.2347460322334818</v>
      </c>
      <c r="V24" s="20">
        <f t="shared" si="12"/>
        <v>1.0989239686877987</v>
      </c>
      <c r="W24" s="20">
        <f t="shared" si="12"/>
        <v>5710.1463690003975</v>
      </c>
      <c r="X24" s="20">
        <f t="shared" si="12"/>
        <v>0.43883568995720029</v>
      </c>
      <c r="Y24" s="20">
        <f t="shared" si="12"/>
        <v>2.9528506310998996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4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646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C9*(F9)*$B$268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C10*(F10)*$B$268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334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C14*(F14)*$B$210</f>
        <v>0</v>
      </c>
      <c r="AA14" s="50">
        <f>Z14*0.21</f>
        <v>0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0.19978255106729004</v>
      </c>
      <c r="U15" s="81">
        <f t="shared" si="1"/>
        <v>0.36881875565943734</v>
      </c>
      <c r="V15" s="81">
        <f t="shared" si="1"/>
        <v>4.50613455258927E-2</v>
      </c>
      <c r="W15" s="81">
        <f t="shared" si="1"/>
        <v>2.7797226812149543E-3</v>
      </c>
      <c r="X15" s="81">
        <f t="shared" si="1"/>
        <v>7.2738929740302244E-2</v>
      </c>
      <c r="Y15" s="81">
        <f t="shared" si="1"/>
        <v>4.8332197965954803E-2</v>
      </c>
      <c r="Z15" s="81">
        <f t="shared" si="1"/>
        <v>0</v>
      </c>
      <c r="AA15" s="81">
        <f t="shared" si="1"/>
        <v>0</v>
      </c>
      <c r="AB15" s="81">
        <f t="shared" si="1"/>
        <v>193.62821118051326</v>
      </c>
      <c r="AC15" s="81">
        <f t="shared" si="1"/>
        <v>1.1064496871488068E-2</v>
      </c>
      <c r="AD15" s="81">
        <f t="shared" si="1"/>
        <v>4.9599802576000274E-3</v>
      </c>
    </row>
    <row r="16" spans="1:30">
      <c r="A16" s="75"/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</row>
    <row r="17" spans="1:30">
      <c r="A17" s="114" t="s">
        <v>336</v>
      </c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61"/>
      <c r="U17" s="61"/>
      <c r="V17" s="61"/>
      <c r="W17" s="61"/>
      <c r="X17" s="61"/>
      <c r="Y17" s="61"/>
      <c r="Z17" s="62"/>
      <c r="AA17" s="62"/>
      <c r="AB17" s="62"/>
      <c r="AC17" s="62"/>
      <c r="AD17" s="62"/>
    </row>
    <row r="18" spans="1:30">
      <c r="A18" s="78" t="s">
        <v>320</v>
      </c>
      <c r="B18" s="76" t="s">
        <v>95</v>
      </c>
      <c r="C18" s="79">
        <v>3</v>
      </c>
      <c r="D18" s="77"/>
      <c r="E18" s="77">
        <v>35</v>
      </c>
      <c r="F18" s="77">
        <v>60</v>
      </c>
      <c r="G18" s="106">
        <v>0.25172046482947802</v>
      </c>
      <c r="H18" s="106">
        <v>0.464701387165456</v>
      </c>
      <c r="I18" s="106">
        <v>5.6776043658582402E-2</v>
      </c>
      <c r="J18" s="106">
        <v>3.5023733638119199E-3</v>
      </c>
      <c r="K18" s="106">
        <v>4.6899256897933901E-2</v>
      </c>
      <c r="L18" s="47">
        <v>7.99995847163921E-3</v>
      </c>
      <c r="M18" s="47">
        <v>3.6749815577381599E-2</v>
      </c>
      <c r="N18" s="106">
        <v>4.3147317248333997E-2</v>
      </c>
      <c r="O18" s="47">
        <v>1.9999896145790402E-3</v>
      </c>
      <c r="P18" s="47">
        <v>1.57499200131354E-2</v>
      </c>
      <c r="Q18" s="106">
        <v>243.966167526025</v>
      </c>
      <c r="R18" s="47">
        <f>0.000057143*Q18</f>
        <v>1.3940958710939646E-2</v>
      </c>
      <c r="S18" s="80">
        <f>0.000025616*Q18</f>
        <v>6.2494373473466567E-3</v>
      </c>
      <c r="T18" s="50">
        <f>C18*($F18*$G18)/453.59</f>
        <v>9.9891275533645019E-2</v>
      </c>
      <c r="U18" s="50">
        <f>C18*($F18*$H18)/453.59</f>
        <v>0.18440937782971867</v>
      </c>
      <c r="V18" s="50">
        <f>C18*(($F18*$I18))/453.59</f>
        <v>2.253067276294635E-2</v>
      </c>
      <c r="W18" s="50">
        <f>C18*($F18*$J18)/453.59</f>
        <v>1.3898613406074772E-3</v>
      </c>
      <c r="X18" s="50">
        <f>C18*(($F18*($K18+$L18+$M18)))/453.59</f>
        <v>3.6369464870151122E-2</v>
      </c>
      <c r="Y18" s="50">
        <f>C18*(($F18*($N18+$O18+$P18)))/453.59</f>
        <v>2.4166098982977401E-2</v>
      </c>
      <c r="Z18" s="50">
        <f>C18*(F18)*$B$293</f>
        <v>0</v>
      </c>
      <c r="AA18" s="50">
        <f>Z18*0.21</f>
        <v>0</v>
      </c>
      <c r="AB18" s="50">
        <f>C18*(($F18*($Q18)))/453.59</f>
        <v>96.814105590256631</v>
      </c>
      <c r="AC18" s="50">
        <f>C18*(($F18*($R18)))/453.59</f>
        <v>5.5322484357440338E-3</v>
      </c>
      <c r="AD18" s="50">
        <f>C18*(($F18*($S18)))/453.59</f>
        <v>2.4799901288000137E-3</v>
      </c>
    </row>
    <row r="19" spans="1:30">
      <c r="A19" s="75" t="s">
        <v>28</v>
      </c>
      <c r="B19" s="74"/>
      <c r="C19" s="112"/>
      <c r="D19" s="112"/>
      <c r="E19" s="74"/>
      <c r="F19" s="74"/>
      <c r="G19" s="577"/>
      <c r="H19" s="41"/>
      <c r="I19" s="41"/>
      <c r="J19" s="41"/>
      <c r="K19" s="574"/>
      <c r="L19" s="574"/>
      <c r="M19" s="574"/>
      <c r="N19" s="574"/>
      <c r="O19" s="574"/>
      <c r="P19" s="574"/>
      <c r="Q19" s="41"/>
      <c r="R19" s="574"/>
      <c r="S19" s="574"/>
      <c r="T19" s="81">
        <f t="shared" ref="T19:AD19" si="2">SUM(T18:T18)</f>
        <v>9.9891275533645019E-2</v>
      </c>
      <c r="U19" s="81">
        <f t="shared" si="2"/>
        <v>0.18440937782971867</v>
      </c>
      <c r="V19" s="81">
        <f t="shared" si="2"/>
        <v>2.253067276294635E-2</v>
      </c>
      <c r="W19" s="81">
        <f t="shared" si="2"/>
        <v>1.3898613406074772E-3</v>
      </c>
      <c r="X19" s="81">
        <f t="shared" si="2"/>
        <v>3.6369464870151122E-2</v>
      </c>
      <c r="Y19" s="81">
        <f t="shared" si="2"/>
        <v>2.4166098982977401E-2</v>
      </c>
      <c r="Z19" s="81">
        <f t="shared" si="2"/>
        <v>0</v>
      </c>
      <c r="AA19" s="81">
        <f t="shared" si="2"/>
        <v>0</v>
      </c>
      <c r="AB19" s="81">
        <f t="shared" si="2"/>
        <v>96.814105590256631</v>
      </c>
      <c r="AC19" s="81">
        <f t="shared" si="2"/>
        <v>5.5322484357440338E-3</v>
      </c>
      <c r="AD19" s="81">
        <f t="shared" si="2"/>
        <v>2.4799901288000137E-3</v>
      </c>
    </row>
    <row r="20" spans="1:30">
      <c r="A20" s="75" t="s">
        <v>388</v>
      </c>
      <c r="B20" s="74"/>
      <c r="C20" s="112"/>
      <c r="D20" s="112"/>
      <c r="E20" s="74"/>
      <c r="F20" s="74"/>
      <c r="G20" s="547"/>
      <c r="H20" s="41"/>
      <c r="I20" s="41"/>
      <c r="J20" s="41"/>
      <c r="K20" s="544"/>
      <c r="L20" s="544"/>
      <c r="M20" s="544"/>
      <c r="N20" s="544"/>
      <c r="O20" s="544"/>
      <c r="P20" s="544"/>
      <c r="Q20" s="41"/>
      <c r="R20" s="544"/>
      <c r="S20" s="544"/>
      <c r="T20" s="81">
        <f t="shared" ref="T20:AD20" si="3">T11+T15+T19</f>
        <v>0.59051106942383247</v>
      </c>
      <c r="U20" s="81">
        <f t="shared" si="3"/>
        <v>1.6144243701047405</v>
      </c>
      <c r="V20" s="81">
        <f t="shared" si="3"/>
        <v>0.13641650277605957</v>
      </c>
      <c r="W20" s="81">
        <f t="shared" si="3"/>
        <v>7.448696536397589E-3</v>
      </c>
      <c r="X20" s="81">
        <f t="shared" si="3"/>
        <v>0.17535848125533138</v>
      </c>
      <c r="Y20" s="81">
        <f t="shared" si="3"/>
        <v>0.11867638057804074</v>
      </c>
      <c r="Z20" s="81">
        <f t="shared" si="3"/>
        <v>0</v>
      </c>
      <c r="AA20" s="81">
        <f t="shared" si="3"/>
        <v>0</v>
      </c>
      <c r="AB20" s="81">
        <f t="shared" si="3"/>
        <v>688.97843208459187</v>
      </c>
      <c r="AC20" s="81">
        <f t="shared" si="3"/>
        <v>2.4816045271017211E-2</v>
      </c>
      <c r="AD20" s="81">
        <f t="shared" si="3"/>
        <v>1.7648871516278905E-2</v>
      </c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372" spans="1:2" ht="25.5">
      <c r="A372" s="82" t="s">
        <v>109</v>
      </c>
    </row>
    <row r="374" spans="1:2">
      <c r="A374" s="36" t="s">
        <v>81</v>
      </c>
    </row>
    <row r="375" spans="1:2">
      <c r="A375" s="36" t="s">
        <v>82</v>
      </c>
    </row>
    <row r="376" spans="1:2">
      <c r="A376" s="36" t="s">
        <v>83</v>
      </c>
    </row>
    <row r="377" spans="1:2">
      <c r="A377" s="37" t="s">
        <v>96</v>
      </c>
    </row>
    <row r="378" spans="1:2">
      <c r="A378" s="36" t="s">
        <v>85</v>
      </c>
    </row>
    <row r="379" spans="1:2">
      <c r="A379" s="36" t="s">
        <v>86</v>
      </c>
    </row>
    <row r="380" spans="1:2">
      <c r="A380" s="36" t="s">
        <v>87</v>
      </c>
    </row>
    <row r="381" spans="1:2">
      <c r="A381" s="36" t="s">
        <v>0</v>
      </c>
    </row>
    <row r="382" spans="1:2">
      <c r="A382" s="37" t="s">
        <v>97</v>
      </c>
      <c r="B382" s="36">
        <f>(0.016*(0.03/2)^0.65*(2/3)^1.5)-0.00047</f>
        <v>9.8123053326417428E-5</v>
      </c>
    </row>
    <row r="383" spans="1:2">
      <c r="A383" s="37" t="s">
        <v>98</v>
      </c>
      <c r="B383" s="36">
        <f>(0.016*(0.03/2)^0.65*(13/3)^1.5)-0.00047</f>
        <v>8.9448292388582783E-3</v>
      </c>
    </row>
    <row r="384" spans="1:2">
      <c r="A384" s="37" t="s">
        <v>99</v>
      </c>
      <c r="B384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647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67" ht="25.5">
      <c r="A5" s="44" t="s">
        <v>334</v>
      </c>
      <c r="B5" s="45" t="s">
        <v>102</v>
      </c>
      <c r="C5" s="46">
        <v>10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336</v>
      </c>
      <c r="B6" s="45" t="s">
        <v>102</v>
      </c>
      <c r="C6" s="46">
        <v>9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546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2">AG$11*$AC16</f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>AR$11*$AC16</f>
        <v>#REF!</v>
      </c>
      <c r="AS16" s="36" t="e">
        <f t="shared" ref="AS16:BA24" si="3">AS$11*$AC16</f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4">AF$11*$AC17</f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ref="AR17:AR24" si="5">AR$11*$AC17</f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6">AF$11*$AC27</f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ref="AR27:BA35" si="7">AR$11*$AC27</f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8">AF$11*$AC38</f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ref="AR38:BA46" si="9">AR$11*$AC38</f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0">AF16+AF18+AF19</f>
        <v>#REF!</v>
      </c>
      <c r="AG51" s="70" t="e">
        <f t="shared" si="10"/>
        <v>#REF!</v>
      </c>
      <c r="AH51" s="70" t="e">
        <f t="shared" si="10"/>
        <v>#REF!</v>
      </c>
      <c r="AI51" s="70" t="e">
        <f t="shared" si="10"/>
        <v>#REF!</v>
      </c>
      <c r="AJ51" s="70" t="e">
        <f t="shared" si="10"/>
        <v>#REF!</v>
      </c>
      <c r="AK51" s="70" t="e">
        <f t="shared" si="10"/>
        <v>#REF!</v>
      </c>
      <c r="AL51" s="70" t="e">
        <f t="shared" si="10"/>
        <v>#REF!</v>
      </c>
      <c r="AM51" s="70" t="e">
        <f t="shared" si="10"/>
        <v>#REF!</v>
      </c>
      <c r="AN51" s="70" t="e">
        <f t="shared" si="10"/>
        <v>#REF!</v>
      </c>
      <c r="AO51" s="70" t="e">
        <f t="shared" si="10"/>
        <v>#REF!</v>
      </c>
      <c r="AP51" s="70"/>
      <c r="AQ51" s="70"/>
      <c r="AR51" s="70" t="e">
        <f t="shared" ref="AR51:BA51" si="11">AR16+AR18+AR19</f>
        <v>#REF!</v>
      </c>
      <c r="AS51" s="70" t="e">
        <f t="shared" si="11"/>
        <v>#REF!</v>
      </c>
      <c r="AT51" s="70" t="e">
        <f t="shared" si="11"/>
        <v>#REF!</v>
      </c>
      <c r="AU51" s="70" t="e">
        <f t="shared" si="11"/>
        <v>#REF!</v>
      </c>
      <c r="AV51" s="70" t="e">
        <f t="shared" si="11"/>
        <v>#REF!</v>
      </c>
      <c r="AW51" s="70" t="e">
        <f t="shared" si="11"/>
        <v>#REF!</v>
      </c>
      <c r="AX51" s="70" t="e">
        <f t="shared" si="11"/>
        <v>#REF!</v>
      </c>
      <c r="AY51" s="70" t="e">
        <f t="shared" si="11"/>
        <v>#REF!</v>
      </c>
      <c r="AZ51" s="70" t="e">
        <f t="shared" si="11"/>
        <v>#REF!</v>
      </c>
      <c r="BA51" s="70" t="e">
        <f t="shared" si="11"/>
        <v>#REF!</v>
      </c>
    </row>
    <row r="52" spans="27:53" hidden="1">
      <c r="AA52" s="71" t="s">
        <v>41</v>
      </c>
      <c r="AB52" s="35"/>
      <c r="AF52" s="70" t="e">
        <f t="shared" ref="AF52:AO52" si="12">AF27+AF29+AF30</f>
        <v>#REF!</v>
      </c>
      <c r="AG52" s="70" t="e">
        <f t="shared" si="12"/>
        <v>#REF!</v>
      </c>
      <c r="AH52" s="70" t="e">
        <f t="shared" si="12"/>
        <v>#REF!</v>
      </c>
      <c r="AI52" s="70" t="e">
        <f t="shared" si="12"/>
        <v>#REF!</v>
      </c>
      <c r="AJ52" s="70" t="e">
        <f t="shared" si="12"/>
        <v>#REF!</v>
      </c>
      <c r="AK52" s="70" t="e">
        <f t="shared" si="12"/>
        <v>#REF!</v>
      </c>
      <c r="AL52" s="70" t="e">
        <f t="shared" si="12"/>
        <v>#REF!</v>
      </c>
      <c r="AM52" s="70" t="e">
        <f t="shared" si="12"/>
        <v>#REF!</v>
      </c>
      <c r="AN52" s="70" t="e">
        <f t="shared" si="12"/>
        <v>#REF!</v>
      </c>
      <c r="AO52" s="70" t="e">
        <f t="shared" si="12"/>
        <v>#REF!</v>
      </c>
      <c r="AP52" s="70"/>
      <c r="AQ52" s="70"/>
      <c r="AR52" s="70" t="e">
        <f t="shared" ref="AR52:BA52" si="13">AR27+AR29+AR30</f>
        <v>#REF!</v>
      </c>
      <c r="AS52" s="70" t="e">
        <f t="shared" si="13"/>
        <v>#REF!</v>
      </c>
      <c r="AT52" s="70" t="e">
        <f t="shared" si="13"/>
        <v>#REF!</v>
      </c>
      <c r="AU52" s="70" t="e">
        <f t="shared" si="13"/>
        <v>#REF!</v>
      </c>
      <c r="AV52" s="70" t="e">
        <f t="shared" si="13"/>
        <v>#REF!</v>
      </c>
      <c r="AW52" s="70" t="e">
        <f t="shared" si="13"/>
        <v>#REF!</v>
      </c>
      <c r="AX52" s="70" t="e">
        <f t="shared" si="13"/>
        <v>#REF!</v>
      </c>
      <c r="AY52" s="70" t="e">
        <f t="shared" si="13"/>
        <v>#REF!</v>
      </c>
      <c r="AZ52" s="70" t="e">
        <f t="shared" si="13"/>
        <v>#REF!</v>
      </c>
      <c r="BA52" s="70" t="e">
        <f t="shared" si="13"/>
        <v>#REF!</v>
      </c>
    </row>
    <row r="53" spans="27:53" hidden="1">
      <c r="AA53" s="71" t="s">
        <v>42</v>
      </c>
      <c r="AB53" s="35"/>
      <c r="AF53" s="70" t="e">
        <f t="shared" ref="AF53:AO53" si="14">AF38+AF40+AF41</f>
        <v>#REF!</v>
      </c>
      <c r="AG53" s="70" t="e">
        <f t="shared" si="14"/>
        <v>#REF!</v>
      </c>
      <c r="AH53" s="70" t="e">
        <f t="shared" si="14"/>
        <v>#REF!</v>
      </c>
      <c r="AI53" s="70" t="e">
        <f t="shared" si="14"/>
        <v>#REF!</v>
      </c>
      <c r="AJ53" s="70" t="e">
        <f t="shared" si="14"/>
        <v>#REF!</v>
      </c>
      <c r="AK53" s="70" t="e">
        <f t="shared" si="14"/>
        <v>#REF!</v>
      </c>
      <c r="AL53" s="70" t="e">
        <f t="shared" si="14"/>
        <v>#REF!</v>
      </c>
      <c r="AM53" s="70" t="e">
        <f t="shared" si="14"/>
        <v>#REF!</v>
      </c>
      <c r="AN53" s="70" t="e">
        <f t="shared" si="14"/>
        <v>#REF!</v>
      </c>
      <c r="AO53" s="70" t="e">
        <f t="shared" si="14"/>
        <v>#REF!</v>
      </c>
      <c r="AP53" s="70"/>
      <c r="AQ53" s="70"/>
      <c r="AR53" s="70" t="e">
        <f t="shared" ref="AR53:BA53" si="15">AR38+AR40+AR41</f>
        <v>#REF!</v>
      </c>
      <c r="AS53" s="70" t="e">
        <f t="shared" si="15"/>
        <v>#REF!</v>
      </c>
      <c r="AT53" s="70" t="e">
        <f t="shared" si="15"/>
        <v>#REF!</v>
      </c>
      <c r="AU53" s="70" t="e">
        <f t="shared" si="15"/>
        <v>#REF!</v>
      </c>
      <c r="AV53" s="70" t="e">
        <f t="shared" si="15"/>
        <v>#REF!</v>
      </c>
      <c r="AW53" s="70" t="e">
        <f t="shared" si="15"/>
        <v>#REF!</v>
      </c>
      <c r="AX53" s="70" t="e">
        <f t="shared" si="15"/>
        <v>#REF!</v>
      </c>
      <c r="AY53" s="70" t="e">
        <f t="shared" si="15"/>
        <v>#REF!</v>
      </c>
      <c r="AZ53" s="70" t="e">
        <f t="shared" si="15"/>
        <v>#REF!</v>
      </c>
      <c r="BA53" s="70" t="e">
        <f t="shared" si="15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6">AF16+AF18+AF20+AF22</f>
        <v>#REF!</v>
      </c>
      <c r="AG55" s="70" t="e">
        <f t="shared" si="16"/>
        <v>#REF!</v>
      </c>
      <c r="AH55" s="70" t="e">
        <f t="shared" si="16"/>
        <v>#REF!</v>
      </c>
      <c r="AI55" s="70" t="e">
        <f t="shared" si="16"/>
        <v>#REF!</v>
      </c>
      <c r="AJ55" s="70" t="e">
        <f t="shared" si="16"/>
        <v>#REF!</v>
      </c>
      <c r="AK55" s="70" t="e">
        <f t="shared" si="16"/>
        <v>#REF!</v>
      </c>
      <c r="AL55" s="70" t="e">
        <f t="shared" si="16"/>
        <v>#REF!</v>
      </c>
      <c r="AM55" s="70" t="e">
        <f t="shared" si="16"/>
        <v>#REF!</v>
      </c>
      <c r="AN55" s="70" t="e">
        <f t="shared" si="16"/>
        <v>#REF!</v>
      </c>
      <c r="AO55" s="70" t="e">
        <f t="shared" si="16"/>
        <v>#REF!</v>
      </c>
      <c r="AP55" s="70"/>
      <c r="AQ55" s="70"/>
      <c r="AR55" s="70" t="e">
        <f t="shared" ref="AR55:BA55" si="17">AR16+AR18+AR20+AR22</f>
        <v>#REF!</v>
      </c>
      <c r="AS55" s="70" t="e">
        <f t="shared" si="17"/>
        <v>#REF!</v>
      </c>
      <c r="AT55" s="70" t="e">
        <f t="shared" si="17"/>
        <v>#REF!</v>
      </c>
      <c r="AU55" s="70" t="e">
        <f t="shared" si="17"/>
        <v>#REF!</v>
      </c>
      <c r="AV55" s="70" t="e">
        <f t="shared" si="17"/>
        <v>#REF!</v>
      </c>
      <c r="AW55" s="70" t="e">
        <f t="shared" si="17"/>
        <v>#REF!</v>
      </c>
      <c r="AX55" s="70" t="e">
        <f t="shared" si="17"/>
        <v>#REF!</v>
      </c>
      <c r="AY55" s="70" t="e">
        <f t="shared" si="17"/>
        <v>#REF!</v>
      </c>
      <c r="AZ55" s="70" t="e">
        <f t="shared" si="17"/>
        <v>#REF!</v>
      </c>
      <c r="BA55" s="70" t="e">
        <f t="shared" si="17"/>
        <v>#REF!</v>
      </c>
    </row>
    <row r="56" spans="27:53" hidden="1">
      <c r="AA56" s="71" t="s">
        <v>41</v>
      </c>
      <c r="AB56" s="35"/>
      <c r="AF56" s="70" t="e">
        <f t="shared" ref="AF56:AO56" si="18">AF27+AF29+AF31+AF33</f>
        <v>#REF!</v>
      </c>
      <c r="AG56" s="70" t="e">
        <f t="shared" si="18"/>
        <v>#REF!</v>
      </c>
      <c r="AH56" s="70" t="e">
        <f t="shared" si="18"/>
        <v>#REF!</v>
      </c>
      <c r="AI56" s="70" t="e">
        <f t="shared" si="18"/>
        <v>#REF!</v>
      </c>
      <c r="AJ56" s="70" t="e">
        <f t="shared" si="18"/>
        <v>#REF!</v>
      </c>
      <c r="AK56" s="70" t="e">
        <f t="shared" si="18"/>
        <v>#REF!</v>
      </c>
      <c r="AL56" s="70" t="e">
        <f t="shared" si="18"/>
        <v>#REF!</v>
      </c>
      <c r="AM56" s="70" t="e">
        <f t="shared" si="18"/>
        <v>#REF!</v>
      </c>
      <c r="AN56" s="70" t="e">
        <f t="shared" si="18"/>
        <v>#REF!</v>
      </c>
      <c r="AO56" s="70" t="e">
        <f t="shared" si="18"/>
        <v>#REF!</v>
      </c>
      <c r="AP56" s="70"/>
      <c r="AQ56" s="70"/>
      <c r="AR56" s="70" t="e">
        <f t="shared" ref="AR56:BA56" si="19">AR27+AR29+AR31+AR33</f>
        <v>#REF!</v>
      </c>
      <c r="AS56" s="70" t="e">
        <f t="shared" si="19"/>
        <v>#REF!</v>
      </c>
      <c r="AT56" s="70" t="e">
        <f t="shared" si="19"/>
        <v>#REF!</v>
      </c>
      <c r="AU56" s="70" t="e">
        <f t="shared" si="19"/>
        <v>#REF!</v>
      </c>
      <c r="AV56" s="70" t="e">
        <f t="shared" si="19"/>
        <v>#REF!</v>
      </c>
      <c r="AW56" s="70" t="e">
        <f t="shared" si="19"/>
        <v>#REF!</v>
      </c>
      <c r="AX56" s="70" t="e">
        <f t="shared" si="19"/>
        <v>#REF!</v>
      </c>
      <c r="AY56" s="70" t="e">
        <f t="shared" si="19"/>
        <v>#REF!</v>
      </c>
      <c r="AZ56" s="70" t="e">
        <f t="shared" si="19"/>
        <v>#REF!</v>
      </c>
      <c r="BA56" s="70" t="e">
        <f t="shared" si="19"/>
        <v>#REF!</v>
      </c>
    </row>
    <row r="57" spans="27:53" hidden="1">
      <c r="AA57" s="71" t="s">
        <v>42</v>
      </c>
      <c r="AB57" s="35"/>
      <c r="AF57" s="70" t="e">
        <f t="shared" ref="AF57:AO57" si="20">AF38+AF40+AF42+AF44</f>
        <v>#REF!</v>
      </c>
      <c r="AG57" s="70" t="e">
        <f t="shared" si="20"/>
        <v>#REF!</v>
      </c>
      <c r="AH57" s="70" t="e">
        <f t="shared" si="20"/>
        <v>#REF!</v>
      </c>
      <c r="AI57" s="70" t="e">
        <f t="shared" si="20"/>
        <v>#REF!</v>
      </c>
      <c r="AJ57" s="70" t="e">
        <f t="shared" si="20"/>
        <v>#REF!</v>
      </c>
      <c r="AK57" s="70" t="e">
        <f t="shared" si="20"/>
        <v>#REF!</v>
      </c>
      <c r="AL57" s="70" t="e">
        <f t="shared" si="20"/>
        <v>#REF!</v>
      </c>
      <c r="AM57" s="70" t="e">
        <f t="shared" si="20"/>
        <v>#REF!</v>
      </c>
      <c r="AN57" s="70" t="e">
        <f t="shared" si="20"/>
        <v>#REF!</v>
      </c>
      <c r="AO57" s="70" t="e">
        <f t="shared" si="20"/>
        <v>#REF!</v>
      </c>
      <c r="AP57" s="70"/>
      <c r="AQ57" s="70"/>
      <c r="AR57" s="70" t="e">
        <f t="shared" ref="AR57:BA57" si="21">AR38+AR40+AR42+AR44</f>
        <v>#REF!</v>
      </c>
      <c r="AS57" s="70" t="e">
        <f t="shared" si="21"/>
        <v>#REF!</v>
      </c>
      <c r="AT57" s="70" t="e">
        <f t="shared" si="21"/>
        <v>#REF!</v>
      </c>
      <c r="AU57" s="70" t="e">
        <f t="shared" si="21"/>
        <v>#REF!</v>
      </c>
      <c r="AV57" s="70" t="e">
        <f t="shared" si="21"/>
        <v>#REF!</v>
      </c>
      <c r="AW57" s="70" t="e">
        <f t="shared" si="21"/>
        <v>#REF!</v>
      </c>
      <c r="AX57" s="70" t="e">
        <f t="shared" si="21"/>
        <v>#REF!</v>
      </c>
      <c r="AY57" s="70" t="e">
        <f t="shared" si="21"/>
        <v>#REF!</v>
      </c>
      <c r="AZ57" s="70" t="e">
        <f t="shared" si="21"/>
        <v>#REF!</v>
      </c>
      <c r="BA57" s="70" t="e">
        <f t="shared" si="21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2">AF16+AF18+AF20+AF21+AF23</f>
        <v>#REF!</v>
      </c>
      <c r="AG59" s="70" t="e">
        <f t="shared" si="22"/>
        <v>#REF!</v>
      </c>
      <c r="AH59" s="70" t="e">
        <f t="shared" si="22"/>
        <v>#REF!</v>
      </c>
      <c r="AI59" s="70" t="e">
        <f t="shared" si="22"/>
        <v>#REF!</v>
      </c>
      <c r="AJ59" s="70" t="e">
        <f t="shared" si="22"/>
        <v>#REF!</v>
      </c>
      <c r="AK59" s="70" t="e">
        <f t="shared" si="22"/>
        <v>#REF!</v>
      </c>
      <c r="AL59" s="70" t="e">
        <f t="shared" si="22"/>
        <v>#REF!</v>
      </c>
      <c r="AM59" s="70" t="e">
        <f t="shared" si="22"/>
        <v>#REF!</v>
      </c>
      <c r="AN59" s="70" t="e">
        <f t="shared" si="22"/>
        <v>#REF!</v>
      </c>
      <c r="AO59" s="70" t="e">
        <f t="shared" si="22"/>
        <v>#REF!</v>
      </c>
      <c r="AP59" s="70"/>
      <c r="AQ59" s="70"/>
      <c r="AR59" s="70" t="e">
        <f t="shared" ref="AR59:BA59" si="23">AR16+AR18+AR20+AR21+AR23</f>
        <v>#REF!</v>
      </c>
      <c r="AS59" s="70" t="e">
        <f t="shared" si="23"/>
        <v>#REF!</v>
      </c>
      <c r="AT59" s="70" t="e">
        <f t="shared" si="23"/>
        <v>#REF!</v>
      </c>
      <c r="AU59" s="70" t="e">
        <f t="shared" si="23"/>
        <v>#REF!</v>
      </c>
      <c r="AV59" s="70" t="e">
        <f t="shared" si="23"/>
        <v>#REF!</v>
      </c>
      <c r="AW59" s="70" t="e">
        <f t="shared" si="23"/>
        <v>#REF!</v>
      </c>
      <c r="AX59" s="70" t="e">
        <f t="shared" si="23"/>
        <v>#REF!</v>
      </c>
      <c r="AY59" s="70" t="e">
        <f t="shared" si="23"/>
        <v>#REF!</v>
      </c>
      <c r="AZ59" s="70" t="e">
        <f t="shared" si="23"/>
        <v>#REF!</v>
      </c>
      <c r="BA59" s="70" t="e">
        <f t="shared" si="23"/>
        <v>#REF!</v>
      </c>
    </row>
    <row r="60" spans="27:53" hidden="1">
      <c r="AA60" s="71" t="s">
        <v>41</v>
      </c>
      <c r="AB60" s="35"/>
      <c r="AF60" s="70" t="e">
        <f t="shared" ref="AF60:AO60" si="24">AF27+AF29+AF31+AF32+AF34</f>
        <v>#REF!</v>
      </c>
      <c r="AG60" s="70" t="e">
        <f t="shared" si="24"/>
        <v>#REF!</v>
      </c>
      <c r="AH60" s="70" t="e">
        <f t="shared" si="24"/>
        <v>#REF!</v>
      </c>
      <c r="AI60" s="70" t="e">
        <f t="shared" si="24"/>
        <v>#REF!</v>
      </c>
      <c r="AJ60" s="70" t="e">
        <f t="shared" si="24"/>
        <v>#REF!</v>
      </c>
      <c r="AK60" s="70" t="e">
        <f t="shared" si="24"/>
        <v>#REF!</v>
      </c>
      <c r="AL60" s="70" t="e">
        <f t="shared" si="24"/>
        <v>#REF!</v>
      </c>
      <c r="AM60" s="70" t="e">
        <f t="shared" si="24"/>
        <v>#REF!</v>
      </c>
      <c r="AN60" s="70" t="e">
        <f t="shared" si="24"/>
        <v>#REF!</v>
      </c>
      <c r="AO60" s="70" t="e">
        <f t="shared" si="24"/>
        <v>#REF!</v>
      </c>
      <c r="AP60" s="70"/>
      <c r="AQ60" s="70"/>
      <c r="AR60" s="70" t="e">
        <f t="shared" ref="AR60:BA60" si="25">AR27+AR29+AR31+AR32+AR34</f>
        <v>#REF!</v>
      </c>
      <c r="AS60" s="70" t="e">
        <f t="shared" si="25"/>
        <v>#REF!</v>
      </c>
      <c r="AT60" s="70" t="e">
        <f t="shared" si="25"/>
        <v>#REF!</v>
      </c>
      <c r="AU60" s="70" t="e">
        <f t="shared" si="25"/>
        <v>#REF!</v>
      </c>
      <c r="AV60" s="70" t="e">
        <f t="shared" si="25"/>
        <v>#REF!</v>
      </c>
      <c r="AW60" s="70" t="e">
        <f t="shared" si="25"/>
        <v>#REF!</v>
      </c>
      <c r="AX60" s="70" t="e">
        <f t="shared" si="25"/>
        <v>#REF!</v>
      </c>
      <c r="AY60" s="70" t="e">
        <f t="shared" si="25"/>
        <v>#REF!</v>
      </c>
      <c r="AZ60" s="70" t="e">
        <f t="shared" si="25"/>
        <v>#REF!</v>
      </c>
      <c r="BA60" s="70" t="e">
        <f t="shared" si="25"/>
        <v>#REF!</v>
      </c>
    </row>
    <row r="61" spans="27:53" hidden="1">
      <c r="AA61" s="71" t="s">
        <v>42</v>
      </c>
      <c r="AB61" s="35"/>
      <c r="AF61" s="70" t="e">
        <f t="shared" ref="AF61:AO61" si="26">AF38+AF40+AF42+AF43+AF45</f>
        <v>#REF!</v>
      </c>
      <c r="AG61" s="70" t="e">
        <f t="shared" si="26"/>
        <v>#REF!</v>
      </c>
      <c r="AH61" s="70" t="e">
        <f t="shared" si="26"/>
        <v>#REF!</v>
      </c>
      <c r="AI61" s="70" t="e">
        <f t="shared" si="26"/>
        <v>#REF!</v>
      </c>
      <c r="AJ61" s="70" t="e">
        <f t="shared" si="26"/>
        <v>#REF!</v>
      </c>
      <c r="AK61" s="70" t="e">
        <f t="shared" si="26"/>
        <v>#REF!</v>
      </c>
      <c r="AL61" s="70" t="e">
        <f t="shared" si="26"/>
        <v>#REF!</v>
      </c>
      <c r="AM61" s="70" t="e">
        <f t="shared" si="26"/>
        <v>#REF!</v>
      </c>
      <c r="AN61" s="70" t="e">
        <f t="shared" si="26"/>
        <v>#REF!</v>
      </c>
      <c r="AO61" s="70" t="e">
        <f t="shared" si="26"/>
        <v>#REF!</v>
      </c>
      <c r="AP61" s="70"/>
      <c r="AQ61" s="70"/>
      <c r="AR61" s="70" t="e">
        <f t="shared" ref="AR61:BA61" si="27">AR38+AR40+AR42+AR43+AR45</f>
        <v>#REF!</v>
      </c>
      <c r="AS61" s="70" t="e">
        <f t="shared" si="27"/>
        <v>#REF!</v>
      </c>
      <c r="AT61" s="70" t="e">
        <f t="shared" si="27"/>
        <v>#REF!</v>
      </c>
      <c r="AU61" s="70" t="e">
        <f t="shared" si="27"/>
        <v>#REF!</v>
      </c>
      <c r="AV61" s="70" t="e">
        <f t="shared" si="27"/>
        <v>#REF!</v>
      </c>
      <c r="AW61" s="70" t="e">
        <f t="shared" si="27"/>
        <v>#REF!</v>
      </c>
      <c r="AX61" s="70" t="e">
        <f t="shared" si="27"/>
        <v>#REF!</v>
      </c>
      <c r="AY61" s="70" t="e">
        <f t="shared" si="27"/>
        <v>#REF!</v>
      </c>
      <c r="AZ61" s="70" t="e">
        <f t="shared" si="27"/>
        <v>#REF!</v>
      </c>
      <c r="BA61" s="70" t="e">
        <f t="shared" si="27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28">AF16+AF18+AF20+AF21+AF24</f>
        <v>#REF!</v>
      </c>
      <c r="AG63" s="70" t="e">
        <f t="shared" si="28"/>
        <v>#REF!</v>
      </c>
      <c r="AH63" s="70" t="e">
        <f t="shared" si="28"/>
        <v>#REF!</v>
      </c>
      <c r="AI63" s="70" t="e">
        <f t="shared" si="28"/>
        <v>#REF!</v>
      </c>
      <c r="AJ63" s="70" t="e">
        <f t="shared" si="28"/>
        <v>#REF!</v>
      </c>
      <c r="AK63" s="70" t="e">
        <f t="shared" si="28"/>
        <v>#REF!</v>
      </c>
      <c r="AL63" s="70" t="e">
        <f t="shared" si="28"/>
        <v>#REF!</v>
      </c>
      <c r="AM63" s="70" t="e">
        <f t="shared" si="28"/>
        <v>#REF!</v>
      </c>
      <c r="AN63" s="70" t="e">
        <f t="shared" si="28"/>
        <v>#REF!</v>
      </c>
      <c r="AO63" s="70" t="e">
        <f t="shared" si="28"/>
        <v>#REF!</v>
      </c>
      <c r="AP63" s="70"/>
      <c r="AQ63" s="70"/>
      <c r="AR63" s="70" t="e">
        <f t="shared" ref="AR63:BA63" si="29">AR16+AR18+AR20+AR21+AR24</f>
        <v>#REF!</v>
      </c>
      <c r="AS63" s="70" t="e">
        <f t="shared" si="29"/>
        <v>#REF!</v>
      </c>
      <c r="AT63" s="70" t="e">
        <f t="shared" si="29"/>
        <v>#REF!</v>
      </c>
      <c r="AU63" s="70" t="e">
        <f t="shared" si="29"/>
        <v>#REF!</v>
      </c>
      <c r="AV63" s="70" t="e">
        <f t="shared" si="29"/>
        <v>#REF!</v>
      </c>
      <c r="AW63" s="70" t="e">
        <f t="shared" si="29"/>
        <v>#REF!</v>
      </c>
      <c r="AX63" s="70" t="e">
        <f t="shared" si="29"/>
        <v>#REF!</v>
      </c>
      <c r="AY63" s="70" t="e">
        <f t="shared" si="29"/>
        <v>#REF!</v>
      </c>
      <c r="AZ63" s="70" t="e">
        <f t="shared" si="29"/>
        <v>#REF!</v>
      </c>
      <c r="BA63" s="70" t="e">
        <f t="shared" si="29"/>
        <v>#REF!</v>
      </c>
    </row>
    <row r="64" spans="27:53" hidden="1">
      <c r="AA64" s="71" t="s">
        <v>41</v>
      </c>
      <c r="AB64" s="35"/>
      <c r="AF64" s="70" t="e">
        <f t="shared" ref="AF64:AO64" si="30">AF27+AF29+AF31+AF32+AF35</f>
        <v>#REF!</v>
      </c>
      <c r="AG64" s="70" t="e">
        <f t="shared" si="30"/>
        <v>#REF!</v>
      </c>
      <c r="AH64" s="70" t="e">
        <f t="shared" si="30"/>
        <v>#REF!</v>
      </c>
      <c r="AI64" s="70" t="e">
        <f t="shared" si="30"/>
        <v>#REF!</v>
      </c>
      <c r="AJ64" s="70" t="e">
        <f t="shared" si="30"/>
        <v>#REF!</v>
      </c>
      <c r="AK64" s="70" t="e">
        <f t="shared" si="30"/>
        <v>#REF!</v>
      </c>
      <c r="AL64" s="70" t="e">
        <f t="shared" si="30"/>
        <v>#REF!</v>
      </c>
      <c r="AM64" s="70" t="e">
        <f t="shared" si="30"/>
        <v>#REF!</v>
      </c>
      <c r="AN64" s="70" t="e">
        <f t="shared" si="30"/>
        <v>#REF!</v>
      </c>
      <c r="AO64" s="70" t="e">
        <f t="shared" si="30"/>
        <v>#REF!</v>
      </c>
      <c r="AP64" s="70"/>
      <c r="AQ64" s="70"/>
      <c r="AR64" s="70" t="e">
        <f t="shared" ref="AR64:BA64" si="31">AR27+AR29+AR31+AR32+AR35</f>
        <v>#REF!</v>
      </c>
      <c r="AS64" s="70" t="e">
        <f t="shared" si="31"/>
        <v>#REF!</v>
      </c>
      <c r="AT64" s="70" t="e">
        <f t="shared" si="31"/>
        <v>#REF!</v>
      </c>
      <c r="AU64" s="70" t="e">
        <f t="shared" si="31"/>
        <v>#REF!</v>
      </c>
      <c r="AV64" s="70" t="e">
        <f t="shared" si="31"/>
        <v>#REF!</v>
      </c>
      <c r="AW64" s="70" t="e">
        <f t="shared" si="31"/>
        <v>#REF!</v>
      </c>
      <c r="AX64" s="70" t="e">
        <f t="shared" si="31"/>
        <v>#REF!</v>
      </c>
      <c r="AY64" s="70" t="e">
        <f t="shared" si="31"/>
        <v>#REF!</v>
      </c>
      <c r="AZ64" s="70" t="e">
        <f t="shared" si="31"/>
        <v>#REF!</v>
      </c>
      <c r="BA64" s="70" t="e">
        <f t="shared" si="31"/>
        <v>#REF!</v>
      </c>
    </row>
    <row r="65" spans="27:53" hidden="1">
      <c r="AA65" s="71" t="s">
        <v>42</v>
      </c>
      <c r="AB65" s="35"/>
      <c r="AF65" s="70" t="e">
        <f t="shared" ref="AF65:AO65" si="32">AF38+AF40+AF42+AF43+AF46</f>
        <v>#REF!</v>
      </c>
      <c r="AG65" s="70" t="e">
        <f t="shared" si="32"/>
        <v>#REF!</v>
      </c>
      <c r="AH65" s="70" t="e">
        <f t="shared" si="32"/>
        <v>#REF!</v>
      </c>
      <c r="AI65" s="70" t="e">
        <f t="shared" si="32"/>
        <v>#REF!</v>
      </c>
      <c r="AJ65" s="70" t="e">
        <f t="shared" si="32"/>
        <v>#REF!</v>
      </c>
      <c r="AK65" s="70" t="e">
        <f t="shared" si="32"/>
        <v>#REF!</v>
      </c>
      <c r="AL65" s="70" t="e">
        <f t="shared" si="32"/>
        <v>#REF!</v>
      </c>
      <c r="AM65" s="70" t="e">
        <f t="shared" si="32"/>
        <v>#REF!</v>
      </c>
      <c r="AN65" s="70" t="e">
        <f t="shared" si="32"/>
        <v>#REF!</v>
      </c>
      <c r="AO65" s="70" t="e">
        <f t="shared" si="32"/>
        <v>#REF!</v>
      </c>
      <c r="AP65" s="70"/>
      <c r="AQ65" s="70"/>
      <c r="AR65" s="70" t="e">
        <f t="shared" ref="AR65:BA65" si="33">AR38+AR40+AR42+AR43+AR46</f>
        <v>#REF!</v>
      </c>
      <c r="AS65" s="70" t="e">
        <f t="shared" si="33"/>
        <v>#REF!</v>
      </c>
      <c r="AT65" s="70" t="e">
        <f t="shared" si="33"/>
        <v>#REF!</v>
      </c>
      <c r="AU65" s="70" t="e">
        <f t="shared" si="33"/>
        <v>#REF!</v>
      </c>
      <c r="AV65" s="70" t="e">
        <f t="shared" si="33"/>
        <v>#REF!</v>
      </c>
      <c r="AW65" s="70" t="e">
        <f t="shared" si="33"/>
        <v>#REF!</v>
      </c>
      <c r="AX65" s="70" t="e">
        <f t="shared" si="33"/>
        <v>#REF!</v>
      </c>
      <c r="AY65" s="70" t="e">
        <f t="shared" si="33"/>
        <v>#REF!</v>
      </c>
      <c r="AZ65" s="70" t="e">
        <f t="shared" si="33"/>
        <v>#REF!</v>
      </c>
      <c r="BA65" s="70" t="e">
        <f t="shared" si="33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4">AF16+AF17+AF22</f>
        <v>#REF!</v>
      </c>
      <c r="AG67" s="70" t="e">
        <f t="shared" si="34"/>
        <v>#REF!</v>
      </c>
      <c r="AH67" s="70" t="e">
        <f t="shared" si="34"/>
        <v>#REF!</v>
      </c>
      <c r="AI67" s="70" t="e">
        <f t="shared" si="34"/>
        <v>#REF!</v>
      </c>
      <c r="AJ67" s="70" t="e">
        <f t="shared" si="34"/>
        <v>#REF!</v>
      </c>
      <c r="AK67" s="70" t="e">
        <f t="shared" si="34"/>
        <v>#REF!</v>
      </c>
      <c r="AL67" s="70" t="e">
        <f t="shared" si="34"/>
        <v>#REF!</v>
      </c>
      <c r="AM67" s="70" t="e">
        <f t="shared" si="34"/>
        <v>#REF!</v>
      </c>
      <c r="AN67" s="70" t="e">
        <f t="shared" si="34"/>
        <v>#REF!</v>
      </c>
      <c r="AO67" s="70" t="e">
        <f t="shared" si="34"/>
        <v>#REF!</v>
      </c>
      <c r="AP67" s="70"/>
      <c r="AQ67" s="70"/>
      <c r="AR67" s="70" t="e">
        <f t="shared" ref="AR67:BA67" si="35">AR16+AR17+AR22</f>
        <v>#REF!</v>
      </c>
      <c r="AS67" s="70" t="e">
        <f t="shared" si="35"/>
        <v>#REF!</v>
      </c>
      <c r="AT67" s="70" t="e">
        <f t="shared" si="35"/>
        <v>#REF!</v>
      </c>
      <c r="AU67" s="70" t="e">
        <f t="shared" si="35"/>
        <v>#REF!</v>
      </c>
      <c r="AV67" s="70" t="e">
        <f t="shared" si="35"/>
        <v>#REF!</v>
      </c>
      <c r="AW67" s="70" t="e">
        <f t="shared" si="35"/>
        <v>#REF!</v>
      </c>
      <c r="AX67" s="70" t="e">
        <f t="shared" si="35"/>
        <v>#REF!</v>
      </c>
      <c r="AY67" s="70" t="e">
        <f t="shared" si="35"/>
        <v>#REF!</v>
      </c>
      <c r="AZ67" s="70" t="e">
        <f t="shared" si="35"/>
        <v>#REF!</v>
      </c>
      <c r="BA67" s="70" t="e">
        <f t="shared" si="35"/>
        <v>#REF!</v>
      </c>
    </row>
    <row r="68" spans="27:53" hidden="1">
      <c r="AA68" s="71" t="s">
        <v>41</v>
      </c>
      <c r="AB68" s="35"/>
      <c r="AF68" s="70" t="e">
        <f t="shared" ref="AF68:AO68" si="36">AF27+AF28+AF33</f>
        <v>#REF!</v>
      </c>
      <c r="AG68" s="70" t="e">
        <f t="shared" si="36"/>
        <v>#REF!</v>
      </c>
      <c r="AH68" s="70" t="e">
        <f t="shared" si="36"/>
        <v>#REF!</v>
      </c>
      <c r="AI68" s="70" t="e">
        <f t="shared" si="36"/>
        <v>#REF!</v>
      </c>
      <c r="AJ68" s="70" t="e">
        <f t="shared" si="36"/>
        <v>#REF!</v>
      </c>
      <c r="AK68" s="70" t="e">
        <f t="shared" si="36"/>
        <v>#REF!</v>
      </c>
      <c r="AL68" s="70" t="e">
        <f t="shared" si="36"/>
        <v>#REF!</v>
      </c>
      <c r="AM68" s="70" t="e">
        <f t="shared" si="36"/>
        <v>#REF!</v>
      </c>
      <c r="AN68" s="70" t="e">
        <f t="shared" si="36"/>
        <v>#REF!</v>
      </c>
      <c r="AO68" s="70" t="e">
        <f t="shared" si="36"/>
        <v>#REF!</v>
      </c>
      <c r="AP68" s="70"/>
      <c r="AQ68" s="70"/>
      <c r="AR68" s="70" t="e">
        <f t="shared" ref="AR68:BA68" si="37">AR27+AR28+AR33</f>
        <v>#REF!</v>
      </c>
      <c r="AS68" s="70" t="e">
        <f t="shared" si="37"/>
        <v>#REF!</v>
      </c>
      <c r="AT68" s="70" t="e">
        <f t="shared" si="37"/>
        <v>#REF!</v>
      </c>
      <c r="AU68" s="70" t="e">
        <f t="shared" si="37"/>
        <v>#REF!</v>
      </c>
      <c r="AV68" s="70" t="e">
        <f t="shared" si="37"/>
        <v>#REF!</v>
      </c>
      <c r="AW68" s="70" t="e">
        <f t="shared" si="37"/>
        <v>#REF!</v>
      </c>
      <c r="AX68" s="70" t="e">
        <f t="shared" si="37"/>
        <v>#REF!</v>
      </c>
      <c r="AY68" s="70" t="e">
        <f t="shared" si="37"/>
        <v>#REF!</v>
      </c>
      <c r="AZ68" s="70" t="e">
        <f t="shared" si="37"/>
        <v>#REF!</v>
      </c>
      <c r="BA68" s="70" t="e">
        <f t="shared" si="37"/>
        <v>#REF!</v>
      </c>
    </row>
    <row r="69" spans="27:53" hidden="1">
      <c r="AA69" s="71" t="s">
        <v>42</v>
      </c>
      <c r="AB69" s="35"/>
      <c r="AF69" s="70" t="e">
        <f t="shared" ref="AF69:AO69" si="38">AF38+AF39+AF44</f>
        <v>#REF!</v>
      </c>
      <c r="AG69" s="70" t="e">
        <f t="shared" si="38"/>
        <v>#REF!</v>
      </c>
      <c r="AH69" s="70" t="e">
        <f t="shared" si="38"/>
        <v>#REF!</v>
      </c>
      <c r="AI69" s="70" t="e">
        <f t="shared" si="38"/>
        <v>#REF!</v>
      </c>
      <c r="AJ69" s="70" t="e">
        <f t="shared" si="38"/>
        <v>#REF!</v>
      </c>
      <c r="AK69" s="70" t="e">
        <f t="shared" si="38"/>
        <v>#REF!</v>
      </c>
      <c r="AL69" s="70" t="e">
        <f t="shared" si="38"/>
        <v>#REF!</v>
      </c>
      <c r="AM69" s="70" t="e">
        <f t="shared" si="38"/>
        <v>#REF!</v>
      </c>
      <c r="AN69" s="70" t="e">
        <f t="shared" si="38"/>
        <v>#REF!</v>
      </c>
      <c r="AO69" s="70" t="e">
        <f t="shared" si="38"/>
        <v>#REF!</v>
      </c>
      <c r="AP69" s="70"/>
      <c r="AQ69" s="70"/>
      <c r="AR69" s="70" t="e">
        <f t="shared" ref="AR69:BA69" si="39">AR38+AR39+AR44</f>
        <v>#REF!</v>
      </c>
      <c r="AS69" s="70" t="e">
        <f t="shared" si="39"/>
        <v>#REF!</v>
      </c>
      <c r="AT69" s="70" t="e">
        <f t="shared" si="39"/>
        <v>#REF!</v>
      </c>
      <c r="AU69" s="70" t="e">
        <f t="shared" si="39"/>
        <v>#REF!</v>
      </c>
      <c r="AV69" s="70" t="e">
        <f t="shared" si="39"/>
        <v>#REF!</v>
      </c>
      <c r="AW69" s="70" t="e">
        <f t="shared" si="39"/>
        <v>#REF!</v>
      </c>
      <c r="AX69" s="70" t="e">
        <f t="shared" si="39"/>
        <v>#REF!</v>
      </c>
      <c r="AY69" s="70" t="e">
        <f t="shared" si="39"/>
        <v>#REF!</v>
      </c>
      <c r="AZ69" s="70" t="e">
        <f t="shared" si="39"/>
        <v>#REF!</v>
      </c>
      <c r="BA69" s="70" t="e">
        <f t="shared" si="39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0">AF16+AF17+AF21+AF23</f>
        <v>#REF!</v>
      </c>
      <c r="AG71" s="70" t="e">
        <f t="shared" si="40"/>
        <v>#REF!</v>
      </c>
      <c r="AH71" s="70" t="e">
        <f t="shared" si="40"/>
        <v>#REF!</v>
      </c>
      <c r="AI71" s="70" t="e">
        <f t="shared" si="40"/>
        <v>#REF!</v>
      </c>
      <c r="AJ71" s="70" t="e">
        <f t="shared" si="40"/>
        <v>#REF!</v>
      </c>
      <c r="AK71" s="70" t="e">
        <f t="shared" si="40"/>
        <v>#REF!</v>
      </c>
      <c r="AL71" s="70" t="e">
        <f t="shared" si="40"/>
        <v>#REF!</v>
      </c>
      <c r="AM71" s="70" t="e">
        <f t="shared" si="40"/>
        <v>#REF!</v>
      </c>
      <c r="AN71" s="70" t="e">
        <f t="shared" si="40"/>
        <v>#REF!</v>
      </c>
      <c r="AO71" s="70" t="e">
        <f t="shared" si="40"/>
        <v>#REF!</v>
      </c>
      <c r="AP71" s="70"/>
      <c r="AQ71" s="70"/>
      <c r="AR71" s="70" t="e">
        <f t="shared" ref="AR71:BA71" si="41">AR16+AR17+AR21+AR23</f>
        <v>#REF!</v>
      </c>
      <c r="AS71" s="70" t="e">
        <f t="shared" si="41"/>
        <v>#REF!</v>
      </c>
      <c r="AT71" s="70" t="e">
        <f t="shared" si="41"/>
        <v>#REF!</v>
      </c>
      <c r="AU71" s="70" t="e">
        <f t="shared" si="41"/>
        <v>#REF!</v>
      </c>
      <c r="AV71" s="70" t="e">
        <f t="shared" si="41"/>
        <v>#REF!</v>
      </c>
      <c r="AW71" s="70" t="e">
        <f t="shared" si="41"/>
        <v>#REF!</v>
      </c>
      <c r="AX71" s="70" t="e">
        <f t="shared" si="41"/>
        <v>#REF!</v>
      </c>
      <c r="AY71" s="70" t="e">
        <f t="shared" si="41"/>
        <v>#REF!</v>
      </c>
      <c r="AZ71" s="70" t="e">
        <f t="shared" si="41"/>
        <v>#REF!</v>
      </c>
      <c r="BA71" s="70" t="e">
        <f t="shared" si="41"/>
        <v>#REF!</v>
      </c>
    </row>
    <row r="72" spans="27:53" hidden="1">
      <c r="AA72" s="71" t="s">
        <v>41</v>
      </c>
      <c r="AB72" s="35"/>
      <c r="AF72" s="70" t="e">
        <f t="shared" ref="AF72:AO72" si="42">AF27+AF28+AF32+AF34</f>
        <v>#REF!</v>
      </c>
      <c r="AG72" s="70" t="e">
        <f t="shared" si="42"/>
        <v>#REF!</v>
      </c>
      <c r="AH72" s="70" t="e">
        <f t="shared" si="42"/>
        <v>#REF!</v>
      </c>
      <c r="AI72" s="70" t="e">
        <f t="shared" si="42"/>
        <v>#REF!</v>
      </c>
      <c r="AJ72" s="70" t="e">
        <f t="shared" si="42"/>
        <v>#REF!</v>
      </c>
      <c r="AK72" s="70" t="e">
        <f t="shared" si="42"/>
        <v>#REF!</v>
      </c>
      <c r="AL72" s="70" t="e">
        <f t="shared" si="42"/>
        <v>#REF!</v>
      </c>
      <c r="AM72" s="70" t="e">
        <f t="shared" si="42"/>
        <v>#REF!</v>
      </c>
      <c r="AN72" s="70" t="e">
        <f t="shared" si="42"/>
        <v>#REF!</v>
      </c>
      <c r="AO72" s="70" t="e">
        <f t="shared" si="42"/>
        <v>#REF!</v>
      </c>
      <c r="AP72" s="70"/>
      <c r="AQ72" s="70"/>
      <c r="AR72" s="70" t="e">
        <f t="shared" ref="AR72:BA72" si="43">AR27+AR28+AR32+AR34</f>
        <v>#REF!</v>
      </c>
      <c r="AS72" s="70" t="e">
        <f t="shared" si="43"/>
        <v>#REF!</v>
      </c>
      <c r="AT72" s="70" t="e">
        <f t="shared" si="43"/>
        <v>#REF!</v>
      </c>
      <c r="AU72" s="70" t="e">
        <f t="shared" si="43"/>
        <v>#REF!</v>
      </c>
      <c r="AV72" s="70" t="e">
        <f t="shared" si="43"/>
        <v>#REF!</v>
      </c>
      <c r="AW72" s="70" t="e">
        <f t="shared" si="43"/>
        <v>#REF!</v>
      </c>
      <c r="AX72" s="70" t="e">
        <f t="shared" si="43"/>
        <v>#REF!</v>
      </c>
      <c r="AY72" s="70" t="e">
        <f t="shared" si="43"/>
        <v>#REF!</v>
      </c>
      <c r="AZ72" s="70" t="e">
        <f t="shared" si="43"/>
        <v>#REF!</v>
      </c>
      <c r="BA72" s="70" t="e">
        <f t="shared" si="43"/>
        <v>#REF!</v>
      </c>
    </row>
    <row r="73" spans="27:53" hidden="1">
      <c r="AA73" s="71" t="s">
        <v>42</v>
      </c>
      <c r="AB73" s="35"/>
      <c r="AF73" s="70" t="e">
        <f t="shared" ref="AF73:AO73" si="44">AF38+AF39+AF43+AF45</f>
        <v>#REF!</v>
      </c>
      <c r="AG73" s="70" t="e">
        <f t="shared" si="44"/>
        <v>#REF!</v>
      </c>
      <c r="AH73" s="70" t="e">
        <f t="shared" si="44"/>
        <v>#REF!</v>
      </c>
      <c r="AI73" s="70" t="e">
        <f t="shared" si="44"/>
        <v>#REF!</v>
      </c>
      <c r="AJ73" s="70" t="e">
        <f t="shared" si="44"/>
        <v>#REF!</v>
      </c>
      <c r="AK73" s="70" t="e">
        <f t="shared" si="44"/>
        <v>#REF!</v>
      </c>
      <c r="AL73" s="70" t="e">
        <f t="shared" si="44"/>
        <v>#REF!</v>
      </c>
      <c r="AM73" s="70" t="e">
        <f t="shared" si="44"/>
        <v>#REF!</v>
      </c>
      <c r="AN73" s="70" t="e">
        <f t="shared" si="44"/>
        <v>#REF!</v>
      </c>
      <c r="AO73" s="70" t="e">
        <f t="shared" si="44"/>
        <v>#REF!</v>
      </c>
      <c r="AP73" s="70"/>
      <c r="AQ73" s="70"/>
      <c r="AR73" s="70" t="e">
        <f t="shared" ref="AR73:BA73" si="45">AR38+AR39+AR43+AR45</f>
        <v>#REF!</v>
      </c>
      <c r="AS73" s="70" t="e">
        <f t="shared" si="45"/>
        <v>#REF!</v>
      </c>
      <c r="AT73" s="70" t="e">
        <f t="shared" si="45"/>
        <v>#REF!</v>
      </c>
      <c r="AU73" s="70" t="e">
        <f t="shared" si="45"/>
        <v>#REF!</v>
      </c>
      <c r="AV73" s="70" t="e">
        <f t="shared" si="45"/>
        <v>#REF!</v>
      </c>
      <c r="AW73" s="70" t="e">
        <f t="shared" si="45"/>
        <v>#REF!</v>
      </c>
      <c r="AX73" s="70" t="e">
        <f t="shared" si="45"/>
        <v>#REF!</v>
      </c>
      <c r="AY73" s="70" t="e">
        <f t="shared" si="45"/>
        <v>#REF!</v>
      </c>
      <c r="AZ73" s="70" t="e">
        <f t="shared" si="45"/>
        <v>#REF!</v>
      </c>
      <c r="BA73" s="70" t="e">
        <f t="shared" si="45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6">AF16+AF17+AF21+AF24</f>
        <v>#REF!</v>
      </c>
      <c r="AG75" s="70" t="e">
        <f t="shared" si="46"/>
        <v>#REF!</v>
      </c>
      <c r="AH75" s="70" t="e">
        <f t="shared" si="46"/>
        <v>#REF!</v>
      </c>
      <c r="AI75" s="70" t="e">
        <f t="shared" si="46"/>
        <v>#REF!</v>
      </c>
      <c r="AJ75" s="70" t="e">
        <f t="shared" si="46"/>
        <v>#REF!</v>
      </c>
      <c r="AK75" s="70" t="e">
        <f t="shared" si="46"/>
        <v>#REF!</v>
      </c>
      <c r="AL75" s="70" t="e">
        <f t="shared" si="46"/>
        <v>#REF!</v>
      </c>
      <c r="AM75" s="70" t="e">
        <f t="shared" si="46"/>
        <v>#REF!</v>
      </c>
      <c r="AN75" s="70" t="e">
        <f t="shared" si="46"/>
        <v>#REF!</v>
      </c>
      <c r="AO75" s="70" t="e">
        <f t="shared" si="46"/>
        <v>#REF!</v>
      </c>
      <c r="AP75" s="70"/>
      <c r="AQ75" s="70"/>
      <c r="AR75" s="70" t="e">
        <f t="shared" ref="AR75:BA75" si="47">AR16+AR17+AR21+AR24</f>
        <v>#REF!</v>
      </c>
      <c r="AS75" s="70" t="e">
        <f t="shared" si="47"/>
        <v>#REF!</v>
      </c>
      <c r="AT75" s="70" t="e">
        <f t="shared" si="47"/>
        <v>#REF!</v>
      </c>
      <c r="AU75" s="70" t="e">
        <f t="shared" si="47"/>
        <v>#REF!</v>
      </c>
      <c r="AV75" s="70" t="e">
        <f t="shared" si="47"/>
        <v>#REF!</v>
      </c>
      <c r="AW75" s="70" t="e">
        <f t="shared" si="47"/>
        <v>#REF!</v>
      </c>
      <c r="AX75" s="70" t="e">
        <f t="shared" si="47"/>
        <v>#REF!</v>
      </c>
      <c r="AY75" s="70" t="e">
        <f t="shared" si="47"/>
        <v>#REF!</v>
      </c>
      <c r="AZ75" s="70" t="e">
        <f t="shared" si="47"/>
        <v>#REF!</v>
      </c>
      <c r="BA75" s="70" t="e">
        <f t="shared" si="47"/>
        <v>#REF!</v>
      </c>
    </row>
    <row r="76" spans="27:53" hidden="1">
      <c r="AA76" s="71" t="s">
        <v>41</v>
      </c>
      <c r="AB76" s="35"/>
      <c r="AF76" s="70" t="e">
        <f t="shared" ref="AF76:AO76" si="48">AF27+AF28+AF32+AF35</f>
        <v>#REF!</v>
      </c>
      <c r="AG76" s="70" t="e">
        <f t="shared" si="48"/>
        <v>#REF!</v>
      </c>
      <c r="AH76" s="70" t="e">
        <f t="shared" si="48"/>
        <v>#REF!</v>
      </c>
      <c r="AI76" s="70" t="e">
        <f t="shared" si="48"/>
        <v>#REF!</v>
      </c>
      <c r="AJ76" s="70" t="e">
        <f t="shared" si="48"/>
        <v>#REF!</v>
      </c>
      <c r="AK76" s="70" t="e">
        <f t="shared" si="48"/>
        <v>#REF!</v>
      </c>
      <c r="AL76" s="70" t="e">
        <f t="shared" si="48"/>
        <v>#REF!</v>
      </c>
      <c r="AM76" s="70" t="e">
        <f t="shared" si="48"/>
        <v>#REF!</v>
      </c>
      <c r="AN76" s="70" t="e">
        <f t="shared" si="48"/>
        <v>#REF!</v>
      </c>
      <c r="AO76" s="70" t="e">
        <f t="shared" si="48"/>
        <v>#REF!</v>
      </c>
      <c r="AP76" s="70"/>
      <c r="AQ76" s="70"/>
      <c r="AR76" s="70" t="e">
        <f t="shared" ref="AR76:BA76" si="49">AR27+AR28+AR32+AR35</f>
        <v>#REF!</v>
      </c>
      <c r="AS76" s="70" t="e">
        <f t="shared" si="49"/>
        <v>#REF!</v>
      </c>
      <c r="AT76" s="70" t="e">
        <f t="shared" si="49"/>
        <v>#REF!</v>
      </c>
      <c r="AU76" s="70" t="e">
        <f t="shared" si="49"/>
        <v>#REF!</v>
      </c>
      <c r="AV76" s="70" t="e">
        <f t="shared" si="49"/>
        <v>#REF!</v>
      </c>
      <c r="AW76" s="70" t="e">
        <f t="shared" si="49"/>
        <v>#REF!</v>
      </c>
      <c r="AX76" s="70" t="e">
        <f t="shared" si="49"/>
        <v>#REF!</v>
      </c>
      <c r="AY76" s="70" t="e">
        <f t="shared" si="49"/>
        <v>#REF!</v>
      </c>
      <c r="AZ76" s="70" t="e">
        <f t="shared" si="49"/>
        <v>#REF!</v>
      </c>
      <c r="BA76" s="70" t="e">
        <f t="shared" si="49"/>
        <v>#REF!</v>
      </c>
    </row>
    <row r="77" spans="27:53" hidden="1">
      <c r="AA77" s="71" t="s">
        <v>42</v>
      </c>
      <c r="AB77" s="35"/>
      <c r="AF77" s="70" t="e">
        <f t="shared" ref="AF77:AO77" si="50">AF38+AF39+AF43+AF46</f>
        <v>#REF!</v>
      </c>
      <c r="AG77" s="70" t="e">
        <f t="shared" si="50"/>
        <v>#REF!</v>
      </c>
      <c r="AH77" s="70" t="e">
        <f t="shared" si="50"/>
        <v>#REF!</v>
      </c>
      <c r="AI77" s="70" t="e">
        <f t="shared" si="50"/>
        <v>#REF!</v>
      </c>
      <c r="AJ77" s="70" t="e">
        <f t="shared" si="50"/>
        <v>#REF!</v>
      </c>
      <c r="AK77" s="70" t="e">
        <f t="shared" si="50"/>
        <v>#REF!</v>
      </c>
      <c r="AL77" s="70" t="e">
        <f t="shared" si="50"/>
        <v>#REF!</v>
      </c>
      <c r="AM77" s="70" t="e">
        <f t="shared" si="50"/>
        <v>#REF!</v>
      </c>
      <c r="AN77" s="70" t="e">
        <f t="shared" si="50"/>
        <v>#REF!</v>
      </c>
      <c r="AO77" s="70" t="e">
        <f t="shared" si="50"/>
        <v>#REF!</v>
      </c>
      <c r="AP77" s="70"/>
      <c r="AQ77" s="70"/>
      <c r="AR77" s="70" t="e">
        <f t="shared" ref="AR77:BA77" si="51">AR38+AR39+AR43+AR46</f>
        <v>#REF!</v>
      </c>
      <c r="AS77" s="70" t="e">
        <f t="shared" si="51"/>
        <v>#REF!</v>
      </c>
      <c r="AT77" s="70" t="e">
        <f t="shared" si="51"/>
        <v>#REF!</v>
      </c>
      <c r="AU77" s="70" t="e">
        <f t="shared" si="51"/>
        <v>#REF!</v>
      </c>
      <c r="AV77" s="70" t="e">
        <f t="shared" si="51"/>
        <v>#REF!</v>
      </c>
      <c r="AW77" s="70" t="e">
        <f t="shared" si="51"/>
        <v>#REF!</v>
      </c>
      <c r="AX77" s="70" t="e">
        <f t="shared" si="51"/>
        <v>#REF!</v>
      </c>
      <c r="AY77" s="70" t="e">
        <f t="shared" si="51"/>
        <v>#REF!</v>
      </c>
      <c r="AZ77" s="70" t="e">
        <f t="shared" si="51"/>
        <v>#REF!</v>
      </c>
      <c r="BA77" s="70" t="e">
        <f t="shared" si="51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45" t="s">
        <v>55</v>
      </c>
      <c r="G89" s="545" t="s">
        <v>73</v>
      </c>
      <c r="H89" s="545" t="s">
        <v>74</v>
      </c>
      <c r="I89" s="545" t="s">
        <v>58</v>
      </c>
      <c r="J89" s="545" t="s">
        <v>59</v>
      </c>
      <c r="K89" s="545" t="s">
        <v>60</v>
      </c>
      <c r="L89" s="544" t="s">
        <v>75</v>
      </c>
      <c r="M89" s="544" t="s">
        <v>76</v>
      </c>
      <c r="N89" s="544" t="s">
        <v>61</v>
      </c>
      <c r="O89" s="544" t="s">
        <v>62</v>
      </c>
      <c r="P89" s="544" t="s">
        <v>63</v>
      </c>
      <c r="AN89" s="38"/>
      <c r="AZ89" s="36"/>
    </row>
    <row r="90" spans="1:52" ht="25.5">
      <c r="A90" s="44" t="str">
        <f t="shared" ref="A90:C92" si="52">A4</f>
        <v>Substation General Construction</v>
      </c>
      <c r="B90" s="45" t="str">
        <f t="shared" si="52"/>
        <v>Light-Duty Truck, catalyst</v>
      </c>
      <c r="C90" s="46">
        <f t="shared" si="52"/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2" si="53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si="52"/>
        <v>Substation Below Grade Construction</v>
      </c>
      <c r="B91" s="45" t="str">
        <f t="shared" si="52"/>
        <v>Light-Duty Truck, catalyst</v>
      </c>
      <c r="C91" s="46">
        <f t="shared" si="52"/>
        <v>10</v>
      </c>
      <c r="D91" s="46">
        <v>35</v>
      </c>
      <c r="E91" s="46">
        <v>80</v>
      </c>
      <c r="F91" s="50">
        <f>C5*($E5*$F5+($G5))/453.59</f>
        <v>4.8571938588092012</v>
      </c>
      <c r="G91" s="50">
        <f>C5*($E5*$H5+($I5))/453.59</f>
        <v>0.43670657294378012</v>
      </c>
      <c r="H91" s="50">
        <f>C5*(($E5*$J5)+($K5)+($L5)+($E5*$N5)+(($M5+$O5)))/453.59</f>
        <v>0.50499980323953331</v>
      </c>
      <c r="I91" s="50">
        <f>C5*($E5*$P5+($Q5))/453.59</f>
        <v>7.2679702716061598E-3</v>
      </c>
      <c r="J91" s="50">
        <f>C5*(($E5*($R5+$T5+$U5))+($S5))/453.59</f>
        <v>8.5240904552078958E-2</v>
      </c>
      <c r="K91" s="50">
        <f>$C5*(($E5*($V5+$X5+$Y5))+($W5))/453.59</f>
        <v>3.7120053242531412E-2</v>
      </c>
      <c r="L91" s="50">
        <f>$B$23*C5*(E5+6)</f>
        <v>8.438582586071898E-2</v>
      </c>
      <c r="M91" s="50">
        <f t="shared" ref="M91" si="54">0.41*L91</f>
        <v>3.4598188602894778E-2</v>
      </c>
      <c r="N91" s="50">
        <f>C5*($E5*$Z5+($AA5))/453.59</f>
        <v>554.23576726038891</v>
      </c>
      <c r="O91" s="50">
        <f>C5*($E5*$AB5+($AC5))/453.59</f>
        <v>3.1704753890302494E-2</v>
      </c>
      <c r="P91" s="50">
        <f>C5*($E5*$AD5+($AE5))/453.59</f>
        <v>5.7711199138433596E-2</v>
      </c>
      <c r="AN91" s="38"/>
      <c r="AZ91" s="36"/>
    </row>
    <row r="92" spans="1:52" ht="25.5">
      <c r="A92" s="44" t="str">
        <f t="shared" si="52"/>
        <v>Substation Above Grade Construction</v>
      </c>
      <c r="B92" s="45" t="str">
        <f t="shared" si="52"/>
        <v>Light-Duty Truck, catalyst</v>
      </c>
      <c r="C92" s="46">
        <f t="shared" si="52"/>
        <v>9</v>
      </c>
      <c r="D92" s="46">
        <v>35</v>
      </c>
      <c r="E92" s="46">
        <v>80</v>
      </c>
      <c r="F92" s="50">
        <f>C6*($E6*$F6+($G6))/453.59</f>
        <v>4.3714744729282806</v>
      </c>
      <c r="G92" s="50">
        <f>C6*($E6*$H6+($I6))/453.59</f>
        <v>0.3930359156494021</v>
      </c>
      <c r="H92" s="50">
        <f>C6*(($E6*$J6)+($K6)+($L6)+($E6*$N6)+(($M6+$O6)))/453.59</f>
        <v>0.45449982291557994</v>
      </c>
      <c r="I92" s="50">
        <f>C6*($E6*$P6+($Q6))/453.59</f>
        <v>6.5411732444455436E-3</v>
      </c>
      <c r="J92" s="50">
        <f>C6*(($E6*($R6+$T6+$U6))+($S6))/453.59</f>
        <v>7.6716814096871075E-2</v>
      </c>
      <c r="K92" s="50">
        <f>$C6*(($E6*($V6+$X6+$Y6))+($W6))/453.59</f>
        <v>3.3408047918278276E-2</v>
      </c>
      <c r="L92" s="50">
        <f>$B$23*C6*(E6+6)</f>
        <v>7.594724327464708E-2</v>
      </c>
      <c r="M92" s="50">
        <f t="shared" si="53"/>
        <v>3.1138369742605303E-2</v>
      </c>
      <c r="N92" s="50">
        <f>C6*($E6*$Z6+($AA6))/453.59</f>
        <v>498.81219053435007</v>
      </c>
      <c r="O92" s="50">
        <f>C6*($E6*$AB6+($AC6))/453.59</f>
        <v>2.8534278501272246E-2</v>
      </c>
      <c r="P92" s="50">
        <f>C6*($E6*$AD6+($AE6))/453.59</f>
        <v>5.1940079224590235E-2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 t="shared" ref="F93:P93" si="55">SUM(F90:F92)</f>
        <v>10.685826489380242</v>
      </c>
      <c r="G93" s="81">
        <f t="shared" si="55"/>
        <v>0.9607544604763163</v>
      </c>
      <c r="H93" s="81">
        <f t="shared" si="55"/>
        <v>1.1109995671269732</v>
      </c>
      <c r="I93" s="81">
        <f t="shared" si="55"/>
        <v>1.598953459753355E-2</v>
      </c>
      <c r="J93" s="81">
        <f t="shared" si="55"/>
        <v>0.18752999001457371</v>
      </c>
      <c r="K93" s="81">
        <f t="shared" si="55"/>
        <v>8.1664117133569109E-2</v>
      </c>
      <c r="L93" s="81">
        <f t="shared" si="55"/>
        <v>0.18564881689358176</v>
      </c>
      <c r="M93" s="81">
        <f t="shared" si="55"/>
        <v>7.6116014926368519E-2</v>
      </c>
      <c r="N93" s="81">
        <f t="shared" si="55"/>
        <v>1219.3186879728557</v>
      </c>
      <c r="O93" s="81">
        <f t="shared" si="55"/>
        <v>6.975045855866549E-2</v>
      </c>
      <c r="P93" s="81">
        <f t="shared" si="55"/>
        <v>0.12696463810455391</v>
      </c>
      <c r="AN93" s="38"/>
      <c r="AZ93" s="36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9"/>
  <sheetViews>
    <sheetView zoomScale="75" zoomScaleNormal="75" workbookViewId="0">
      <selection activeCell="A34" sqref="A34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531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64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314</v>
      </c>
      <c r="B7" s="571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8</v>
      </c>
      <c r="P8" s="88">
        <v>125</v>
      </c>
      <c r="Q8" s="34">
        <f t="shared" ref="Q8:Y10" si="2">(E8*$N8*$O8)</f>
        <v>0.49946184642775621</v>
      </c>
      <c r="R8" s="26">
        <f t="shared" si="2"/>
        <v>2.4431746031746027</v>
      </c>
      <c r="S8" s="26">
        <f t="shared" si="2"/>
        <v>3.1176888888888881</v>
      </c>
      <c r="T8" s="26">
        <f t="shared" si="2"/>
        <v>4.4060015200662857E-3</v>
      </c>
      <c r="U8" s="26">
        <f t="shared" si="2"/>
        <v>0.19809523809523807</v>
      </c>
      <c r="V8" s="26">
        <f t="shared" si="2"/>
        <v>0.17630476190476188</v>
      </c>
      <c r="W8" s="26">
        <f t="shared" si="2"/>
        <v>375.60183859341714</v>
      </c>
      <c r="X8" s="26">
        <f t="shared" si="2"/>
        <v>5.4697471816927752E-2</v>
      </c>
      <c r="Y8" s="26">
        <f t="shared" si="2"/>
        <v>0.29618044444444436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9</v>
      </c>
      <c r="P9" s="363">
        <v>125</v>
      </c>
      <c r="Q9" s="34">
        <f t="shared" si="2"/>
        <v>1.0612998664693185</v>
      </c>
      <c r="R9" s="26">
        <f t="shared" si="2"/>
        <v>3.2860974016937274</v>
      </c>
      <c r="S9" s="26">
        <f t="shared" si="2"/>
        <v>7.8103317854039886</v>
      </c>
      <c r="T9" s="26">
        <f t="shared" si="2"/>
        <v>1.6865295748293957E-2</v>
      </c>
      <c r="U9" s="26">
        <f t="shared" si="2"/>
        <v>0.26137541066030878</v>
      </c>
      <c r="V9" s="26">
        <f t="shared" si="2"/>
        <v>0.23262411548767484</v>
      </c>
      <c r="W9" s="26">
        <f t="shared" si="2"/>
        <v>1498.908740620727</v>
      </c>
      <c r="X9" s="26">
        <f t="shared" si="2"/>
        <v>9.5759396799267066E-2</v>
      </c>
      <c r="Y9" s="26">
        <f t="shared" si="2"/>
        <v>0.74198151961337888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3</v>
      </c>
      <c r="P10" s="363">
        <v>125</v>
      </c>
      <c r="Q10" s="34">
        <f t="shared" si="2"/>
        <v>3.9051121312432671E-2</v>
      </c>
      <c r="R10" s="26">
        <f t="shared" si="2"/>
        <v>0.1468253968253968</v>
      </c>
      <c r="S10" s="26">
        <f t="shared" si="2"/>
        <v>0.13018518518518515</v>
      </c>
      <c r="T10" s="26">
        <f t="shared" si="2"/>
        <v>4.7652059865273245E-4</v>
      </c>
      <c r="U10" s="26">
        <f t="shared" si="2"/>
        <v>1.4682539682539681E-2</v>
      </c>
      <c r="V10" s="26">
        <f t="shared" si="2"/>
        <v>1.3067460317460314E-2</v>
      </c>
      <c r="W10" s="26">
        <f t="shared" si="2"/>
        <v>30.622980859093083</v>
      </c>
      <c r="X10" s="26">
        <f t="shared" si="2"/>
        <v>3.8388136396804665E-3</v>
      </c>
      <c r="Y10" s="26">
        <f t="shared" si="2"/>
        <v>1.236759259259259E-2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1.5998128342095075</v>
      </c>
      <c r="R11" s="101">
        <f t="shared" ref="R11:Y11" si="3">SUM(R8:R10)</f>
        <v>5.8760974016937269</v>
      </c>
      <c r="S11" s="101">
        <f t="shared" si="3"/>
        <v>11.058205859478063</v>
      </c>
      <c r="T11" s="101">
        <f t="shared" si="3"/>
        <v>2.1747817867012974E-2</v>
      </c>
      <c r="U11" s="101">
        <f t="shared" si="3"/>
        <v>0.47415318843808657</v>
      </c>
      <c r="V11" s="101">
        <f t="shared" si="3"/>
        <v>0.42199633770989703</v>
      </c>
      <c r="W11" s="101">
        <f t="shared" si="3"/>
        <v>1905.1335600732373</v>
      </c>
      <c r="X11" s="101">
        <f t="shared" si="3"/>
        <v>0.15429568225587528</v>
      </c>
      <c r="Y11" s="101">
        <f t="shared" si="3"/>
        <v>1.0505295566504158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87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7" t="s">
        <v>281</v>
      </c>
      <c r="B13" s="90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30"/>
      <c r="O13" s="30"/>
      <c r="P13" s="30"/>
      <c r="Q13" s="20"/>
      <c r="R13" s="20"/>
      <c r="S13" s="27"/>
      <c r="T13" s="20"/>
      <c r="U13" s="20"/>
      <c r="V13" s="20"/>
      <c r="W13" s="21"/>
      <c r="X13" s="20"/>
      <c r="Y13" s="20"/>
    </row>
    <row r="14" spans="1:25" s="3" customFormat="1">
      <c r="A14" s="100" t="s">
        <v>120</v>
      </c>
      <c r="B14" s="29" t="s">
        <v>27</v>
      </c>
      <c r="C14" s="22">
        <v>358</v>
      </c>
      <c r="D14" s="22">
        <v>0.4</v>
      </c>
      <c r="E14" s="108">
        <v>0.27937428148624566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0.82081128747795418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1.2776243386243384</v>
      </c>
      <c r="H14" s="108">
        <v>2.5998088533883764E-3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4.735449735449735E-2</v>
      </c>
      <c r="J14" s="100">
        <f t="shared" ref="J14:J19" si="4">0.89*I14</f>
        <v>4.2145502645502646E-2</v>
      </c>
      <c r="K14" s="108">
        <v>264.8725636721183</v>
      </c>
      <c r="L14" s="108">
        <v>2.6451144743432839E-2</v>
      </c>
      <c r="M14" s="102">
        <f t="shared" ref="M14:M19" si="5">0.095*G14</f>
        <v>0.12137431216931216</v>
      </c>
      <c r="N14" s="98">
        <v>1</v>
      </c>
      <c r="O14" s="87">
        <v>8</v>
      </c>
      <c r="P14" s="363">
        <v>75</v>
      </c>
      <c r="Q14" s="34">
        <f t="shared" ref="Q14:Y19" si="6">(E14*$N14*$O14)</f>
        <v>2.2349942518899653</v>
      </c>
      <c r="R14" s="26">
        <f t="shared" si="6"/>
        <v>6.5664902998236334</v>
      </c>
      <c r="S14" s="26">
        <f t="shared" si="6"/>
        <v>10.220994708994708</v>
      </c>
      <c r="T14" s="26">
        <f t="shared" si="6"/>
        <v>2.0798470827107011E-2</v>
      </c>
      <c r="U14" s="26">
        <f t="shared" si="6"/>
        <v>0.3788359788359788</v>
      </c>
      <c r="V14" s="26">
        <f t="shared" si="6"/>
        <v>0.33716402116402117</v>
      </c>
      <c r="W14" s="26">
        <f t="shared" si="6"/>
        <v>2118.9805093769464</v>
      </c>
      <c r="X14" s="26">
        <f t="shared" si="6"/>
        <v>0.21160915794746271</v>
      </c>
      <c r="Y14" s="26">
        <f t="shared" si="6"/>
        <v>0.97099449735449728</v>
      </c>
    </row>
    <row r="15" spans="1:25" s="3" customFormat="1">
      <c r="A15" s="100" t="s">
        <v>121</v>
      </c>
      <c r="B15" s="29" t="s">
        <v>27</v>
      </c>
      <c r="C15" s="22">
        <v>162</v>
      </c>
      <c r="D15" s="22">
        <v>0.41</v>
      </c>
      <c r="E15" s="108">
        <v>0.12153885438656534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0.5417857142857142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0.60233392857142853</v>
      </c>
      <c r="H15" s="108">
        <v>1.3943296443626662E-3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3.2214285714285709E-2</v>
      </c>
      <c r="J15" s="100">
        <f t="shared" si="4"/>
        <v>2.8670714285714282E-2</v>
      </c>
      <c r="K15" s="365">
        <v>123.92149503712022</v>
      </c>
      <c r="L15" s="23">
        <v>1.1720218383966691E-2</v>
      </c>
      <c r="M15" s="102">
        <f t="shared" si="5"/>
        <v>5.7221723214285709E-2</v>
      </c>
      <c r="N15" s="98">
        <v>1</v>
      </c>
      <c r="O15" s="87">
        <v>8</v>
      </c>
      <c r="P15" s="363">
        <v>75</v>
      </c>
      <c r="Q15" s="34">
        <f t="shared" si="6"/>
        <v>0.9723108350925227</v>
      </c>
      <c r="R15" s="26">
        <f t="shared" si="6"/>
        <v>4.3342857142857136</v>
      </c>
      <c r="S15" s="26">
        <f t="shared" si="6"/>
        <v>4.8186714285714283</v>
      </c>
      <c r="T15" s="26">
        <f t="shared" si="6"/>
        <v>1.115463715490133E-2</v>
      </c>
      <c r="U15" s="26">
        <f t="shared" si="6"/>
        <v>0.25771428571428567</v>
      </c>
      <c r="V15" s="26">
        <f t="shared" si="6"/>
        <v>0.22936571428571426</v>
      </c>
      <c r="W15" s="26">
        <f t="shared" si="6"/>
        <v>991.37196029696179</v>
      </c>
      <c r="X15" s="26">
        <f t="shared" si="6"/>
        <v>9.3761747071733528E-2</v>
      </c>
      <c r="Y15" s="26">
        <f t="shared" si="6"/>
        <v>0.45777378571428567</v>
      </c>
    </row>
    <row r="16" spans="1:25" s="3" customFormat="1">
      <c r="A16" s="100" t="s">
        <v>122</v>
      </c>
      <c r="B16" s="29" t="s">
        <v>27</v>
      </c>
      <c r="C16" s="22">
        <v>356</v>
      </c>
      <c r="D16" s="22">
        <v>0.48</v>
      </c>
      <c r="E16" s="108">
        <v>0.27361983606105278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0.97947089947089949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1.5245841269841265</v>
      </c>
      <c r="H16" s="108">
        <v>3.1549250027299411E-3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5.65079365079365E-2</v>
      </c>
      <c r="J16" s="100">
        <f t="shared" si="4"/>
        <v>5.0292063492063485E-2</v>
      </c>
      <c r="K16" s="108">
        <v>321.42842594638495</v>
      </c>
      <c r="L16" s="108">
        <v>2.6010420981454316E-2</v>
      </c>
      <c r="M16" s="102">
        <f t="shared" si="5"/>
        <v>0.14483549206349203</v>
      </c>
      <c r="N16" s="98">
        <v>2</v>
      </c>
      <c r="O16" s="98">
        <v>8</v>
      </c>
      <c r="P16" s="99">
        <f>2*22</f>
        <v>44</v>
      </c>
      <c r="Q16" s="34">
        <f t="shared" si="6"/>
        <v>4.3779173769768445</v>
      </c>
      <c r="R16" s="26">
        <f t="shared" si="6"/>
        <v>15.671534391534392</v>
      </c>
      <c r="S16" s="26">
        <f t="shared" si="6"/>
        <v>24.393346031746024</v>
      </c>
      <c r="T16" s="26">
        <f t="shared" si="6"/>
        <v>5.0478800043679058E-2</v>
      </c>
      <c r="U16" s="26">
        <f t="shared" si="6"/>
        <v>0.904126984126984</v>
      </c>
      <c r="V16" s="26">
        <f t="shared" si="6"/>
        <v>0.80467301587301576</v>
      </c>
      <c r="W16" s="26">
        <f t="shared" si="6"/>
        <v>5142.8548151421592</v>
      </c>
      <c r="X16" s="26">
        <f t="shared" si="6"/>
        <v>0.41616673570326906</v>
      </c>
      <c r="Y16" s="26">
        <f t="shared" si="6"/>
        <v>2.3173678730158724</v>
      </c>
    </row>
    <row r="17" spans="1:32" s="3" customFormat="1">
      <c r="A17" s="100" t="s">
        <v>123</v>
      </c>
      <c r="B17" s="29" t="s">
        <v>27</v>
      </c>
      <c r="C17" s="22">
        <v>84</v>
      </c>
      <c r="D17" s="22">
        <v>0.38</v>
      </c>
      <c r="E17" s="102">
        <v>7.9534395197012789E-2</v>
      </c>
      <c r="F17" s="397">
        <f>IF($C17&lt;11,'Offroad Tiers EF (2)'!$AN$4*$C17*$D17,IF($C17&lt;25,'Offroad Tiers EF (2)'!$AN$5*$C17*$D17,IF($C17&lt;50,'Offroad Tiers EF (2)'!$AN$6*$C17*$D17,IF($C17&lt;75,'Offroad Tiers EF (2)'!$AN$7*$C17*$D17,IF($C17&lt;100,'Offroad Tiers EF (2)'!$AN$8*$C17*$D17,IF($C17&lt;175,'Offroad Tiers EF (2)'!$AN$9*$C17*$D17,IF($C17&lt;300,'Offroad Tiers EF (2)'!$AN$10*$C17*$D17,IF($C17&lt;600,'Offroad Tiers EF (2)'!$AN$11*$C17*$D17,"!"))))))))</f>
        <v>0.26037037037037036</v>
      </c>
      <c r="G17" s="397">
        <f>IF($C17&lt;11,'Offroad Tiers EF (2)'!$AM$4*$C17*$D17,IF($C17&lt;25,'Offroad Tiers EF (2)'!$AM$5*$C17*$D17,IF($C17&lt;50,'Offroad Tiers EF (2)'!$AM$6*$C17*$D17,IF($C17&lt;75,'Offroad Tiers EF (2)'!$AM$7*$C17*$D17,IF($C17&lt;100,'Offroad Tiers EF (2)'!$AM$8*$C17*$D17,IF($C17&lt;175,'Offroad Tiers EF (2)'!$AM$9*$C17*$D17,IF($C17&lt;300,'Offroad Tiers EF (2)'!$AM$10*$C17*$D17,IF($C17&lt;600,'Offroad Tiers EF (2)'!$AM$11*$C17*$D17,"!"))))))))</f>
        <v>0.33225370370370361</v>
      </c>
      <c r="H17" s="102">
        <v>6.9196834691909377E-4</v>
      </c>
      <c r="I17" s="397">
        <f>IF($C17&lt;11,'Offroad Tiers EF (2)'!$AO$4*$C17*$D17,IF($C17&lt;25,'Offroad Tiers EF (2)'!$AO$5*$C17*$D17,IF($C17&lt;50,'Offroad Tiers EF (2)'!$AO$6*$C17*$D17,IF($C17&lt;75,'Offroad Tiers EF (2)'!$AO$7*$C17*$D17,IF($C17&lt;100,'Offroad Tiers EF (2)'!$AO$8*$C17*$D17,IF($C17&lt;175,'Offroad Tiers EF (2)'!$AO$9*$C17*$D17,IF($C17&lt;300,'Offroad Tiers EF (2)'!$AO$10*$C17*$D17,IF($C17&lt;600,'Offroad Tiers EF (2)'!$AO$11*$C17*$D17,"!"))))))))</f>
        <v>2.1111111111111112E-2</v>
      </c>
      <c r="J17" s="100">
        <f t="shared" si="4"/>
        <v>1.878888888888889E-2</v>
      </c>
      <c r="K17" s="103">
        <v>58.988746640295226</v>
      </c>
      <c r="L17" s="102">
        <v>7.7311979659905822E-3</v>
      </c>
      <c r="M17" s="102">
        <f t="shared" si="5"/>
        <v>3.1564101851851843E-2</v>
      </c>
      <c r="N17" s="363">
        <v>1</v>
      </c>
      <c r="O17" s="87">
        <v>8</v>
      </c>
      <c r="P17" s="363">
        <v>75</v>
      </c>
      <c r="Q17" s="34">
        <f t="shared" si="6"/>
        <v>0.63627516157610231</v>
      </c>
      <c r="R17" s="26">
        <f t="shared" si="6"/>
        <v>2.0829629629629629</v>
      </c>
      <c r="S17" s="26">
        <f t="shared" si="6"/>
        <v>2.6580296296296289</v>
      </c>
      <c r="T17" s="26">
        <f t="shared" si="6"/>
        <v>5.5357467753527501E-3</v>
      </c>
      <c r="U17" s="26">
        <f t="shared" si="6"/>
        <v>0.16888888888888889</v>
      </c>
      <c r="V17" s="26">
        <f t="shared" si="6"/>
        <v>0.15031111111111112</v>
      </c>
      <c r="W17" s="26">
        <f t="shared" si="6"/>
        <v>471.90997312236181</v>
      </c>
      <c r="X17" s="26">
        <f t="shared" si="6"/>
        <v>6.1849583727924658E-2</v>
      </c>
      <c r="Y17" s="26">
        <f t="shared" si="6"/>
        <v>0.25251281481481475</v>
      </c>
    </row>
    <row r="18" spans="1:32" s="3" customFormat="1">
      <c r="A18" s="100" t="s">
        <v>282</v>
      </c>
      <c r="B18" s="29" t="s">
        <v>27</v>
      </c>
      <c r="C18" s="97">
        <v>37</v>
      </c>
      <c r="D18" s="22">
        <v>0.37</v>
      </c>
      <c r="E18" s="102">
        <v>3.2313389441625637E-2</v>
      </c>
      <c r="F18" s="397">
        <f>IF($C18&lt;11,'Offroad Tiers EF (2)'!$AN$4*$C18*$D18,IF($C18&lt;25,'Offroad Tiers EF (2)'!$AN$5*$C18*$D18,IF($C18&lt;50,'Offroad Tiers EF (2)'!$AN$6*$C18*$D18,IF($C18&lt;75,'Offroad Tiers EF (2)'!$AN$7*$C18*$D18,IF($C18&lt;100,'Offroad Tiers EF (2)'!$AN$8*$C18*$D18,IF($C18&lt;175,'Offroad Tiers EF (2)'!$AN$9*$C18*$D18,IF($C18&lt;300,'Offroad Tiers EF (2)'!$AN$10*$C18*$D18,IF($C18&lt;600,'Offroad Tiers EF (2)'!$AN$11*$C18*$D18,"!"))))))))</f>
        <v>0.12374118165784832</v>
      </c>
      <c r="G18" s="397">
        <f>IF($C18&lt;11,'Offroad Tiers EF (2)'!$AM$4*$C18*$D18,IF($C18&lt;25,'Offroad Tiers EF (2)'!$AM$5*$C18*$D18,IF($C18&lt;50,'Offroad Tiers EF (2)'!$AM$6*$C18*$D18,IF($C18&lt;75,'Offroad Tiers EF (2)'!$AM$7*$C18*$D18,IF($C18&lt;100,'Offroad Tiers EF (2)'!$AM$8*$C18*$D18,IF($C18&lt;175,'Offroad Tiers EF (2)'!$AM$9*$C18*$D18,IF($C18&lt;300,'Offroad Tiers EF (2)'!$AM$10*$C18*$D18,IF($C18&lt;600,'Offroad Tiers EF (2)'!$AM$11*$C18*$D18,"!"))))))))</f>
        <v>0.16056172839506169</v>
      </c>
      <c r="H18" s="102">
        <v>3.2989906092678058E-4</v>
      </c>
      <c r="I18" s="397">
        <f>IF($C18&lt;11,'Offroad Tiers EF (2)'!$AO$4*$C18*$D18,IF($C18&lt;25,'Offroad Tiers EF (2)'!$AO$5*$C18*$D18,IF($C18&lt;50,'Offroad Tiers EF (2)'!$AO$6*$C18*$D18,IF($C18&lt;75,'Offroad Tiers EF (2)'!$AO$7*$C18*$D18,IF($C18&lt;100,'Offroad Tiers EF (2)'!$AO$8*$C18*$D18,IF($C18&lt;175,'Offroad Tiers EF (2)'!$AO$9*$C18*$D18,IF($C18&lt;300,'Offroad Tiers EF (2)'!$AO$10*$C18*$D18,IF($C18&lt;600,'Offroad Tiers EF (2)'!$AO$11*$C18*$D18,"!"))))))))</f>
        <v>1.3581349206349205E-2</v>
      </c>
      <c r="J18" s="100">
        <f t="shared" si="4"/>
        <v>1.2087400793650793E-2</v>
      </c>
      <c r="K18" s="103">
        <v>25.519156990664225</v>
      </c>
      <c r="L18" s="102">
        <v>3.413848047070189E-3</v>
      </c>
      <c r="M18" s="104">
        <f t="shared" si="5"/>
        <v>1.5253364197530862E-2</v>
      </c>
      <c r="N18" s="87">
        <v>1</v>
      </c>
      <c r="O18" s="87">
        <v>8</v>
      </c>
      <c r="P18" s="363">
        <v>75</v>
      </c>
      <c r="Q18" s="34">
        <f t="shared" si="6"/>
        <v>0.25850711553300509</v>
      </c>
      <c r="R18" s="26">
        <f t="shared" si="6"/>
        <v>0.98992945326278659</v>
      </c>
      <c r="S18" s="26">
        <f t="shared" si="6"/>
        <v>1.2844938271604935</v>
      </c>
      <c r="T18" s="26">
        <f t="shared" si="6"/>
        <v>2.6391924874142447E-3</v>
      </c>
      <c r="U18" s="26">
        <f t="shared" si="6"/>
        <v>0.10865079365079364</v>
      </c>
      <c r="V18" s="26">
        <f t="shared" si="6"/>
        <v>9.669920634920634E-2</v>
      </c>
      <c r="W18" s="26">
        <f t="shared" si="6"/>
        <v>204.1532559253138</v>
      </c>
      <c r="X18" s="26">
        <f t="shared" si="6"/>
        <v>2.7310784376561512E-2</v>
      </c>
      <c r="Y18" s="26">
        <f t="shared" si="6"/>
        <v>0.12202691358024689</v>
      </c>
    </row>
    <row r="19" spans="1:32" s="3" customFormat="1">
      <c r="A19" s="100" t="s">
        <v>126</v>
      </c>
      <c r="B19" s="29" t="s">
        <v>27</v>
      </c>
      <c r="C19" s="22">
        <v>175</v>
      </c>
      <c r="D19" s="22"/>
      <c r="E19" s="102">
        <v>0.11792220738547983</v>
      </c>
      <c r="F19" s="102">
        <v>0.36512193352152528</v>
      </c>
      <c r="G19" s="102">
        <v>0.86781464282266541</v>
      </c>
      <c r="H19" s="102">
        <v>1.8739217498104396E-3</v>
      </c>
      <c r="I19" s="102">
        <v>2.9041712295589866E-2</v>
      </c>
      <c r="J19" s="100">
        <f t="shared" si="4"/>
        <v>2.5847123943074982E-2</v>
      </c>
      <c r="K19" s="103">
        <v>166.54541562452522</v>
      </c>
      <c r="L19" s="102">
        <v>1.063993297769634E-2</v>
      </c>
      <c r="M19" s="104">
        <f t="shared" si="5"/>
        <v>8.2442391068153209E-2</v>
      </c>
      <c r="N19" s="98">
        <v>2</v>
      </c>
      <c r="O19" s="87">
        <v>8</v>
      </c>
      <c r="P19" s="363">
        <v>75</v>
      </c>
      <c r="Q19" s="34">
        <f t="shared" si="6"/>
        <v>1.8867553181676773</v>
      </c>
      <c r="R19" s="26">
        <f t="shared" si="6"/>
        <v>5.8419509363444044</v>
      </c>
      <c r="S19" s="26">
        <f t="shared" si="6"/>
        <v>13.885034285162646</v>
      </c>
      <c r="T19" s="26">
        <f t="shared" si="6"/>
        <v>2.9982747996967034E-2</v>
      </c>
      <c r="U19" s="26">
        <f t="shared" si="6"/>
        <v>0.46466739672943785</v>
      </c>
      <c r="V19" s="26">
        <f t="shared" si="6"/>
        <v>0.41355398308919972</v>
      </c>
      <c r="W19" s="26">
        <f t="shared" si="6"/>
        <v>2664.7266499924035</v>
      </c>
      <c r="X19" s="26">
        <f t="shared" si="6"/>
        <v>0.17023892764314144</v>
      </c>
      <c r="Y19" s="26">
        <f t="shared" si="6"/>
        <v>1.3190782570904513</v>
      </c>
    </row>
    <row r="20" spans="1:32" s="3" customFormat="1">
      <c r="A20" s="11" t="s">
        <v>28</v>
      </c>
      <c r="B20" s="571"/>
      <c r="C20" s="18"/>
      <c r="D20" s="22"/>
      <c r="E20" s="19"/>
      <c r="F20" s="19"/>
      <c r="G20" s="19"/>
      <c r="H20" s="19"/>
      <c r="I20" s="19"/>
      <c r="J20" s="19"/>
      <c r="K20" s="19"/>
      <c r="L20" s="19"/>
      <c r="M20" s="19"/>
      <c r="N20" s="30"/>
      <c r="O20" s="30"/>
      <c r="P20" s="364"/>
      <c r="Q20" s="20">
        <f t="shared" ref="Q20:Y20" si="7">SUM(Q14:Q19)</f>
        <v>10.366760059236118</v>
      </c>
      <c r="R20" s="20">
        <f t="shared" si="7"/>
        <v>35.487153758213893</v>
      </c>
      <c r="S20" s="27">
        <f t="shared" si="7"/>
        <v>57.260569911264938</v>
      </c>
      <c r="T20" s="20">
        <f t="shared" si="7"/>
        <v>0.12058959528542143</v>
      </c>
      <c r="U20" s="20">
        <f t="shared" si="7"/>
        <v>2.2828843279463689</v>
      </c>
      <c r="V20" s="20">
        <f t="shared" si="7"/>
        <v>2.0317670518722681</v>
      </c>
      <c r="W20" s="20">
        <f t="shared" si="7"/>
        <v>11593.997163856147</v>
      </c>
      <c r="X20" s="20">
        <f t="shared" si="7"/>
        <v>0.98093693647009295</v>
      </c>
      <c r="Y20" s="20">
        <f t="shared" si="7"/>
        <v>5.4397541415701678</v>
      </c>
    </row>
    <row r="21" spans="1:32" s="3" customFormat="1">
      <c r="A21" s="11"/>
      <c r="B21" s="571"/>
      <c r="C21" s="18"/>
      <c r="D21" s="22"/>
      <c r="E21" s="19"/>
      <c r="F21" s="19"/>
      <c r="G21" s="19"/>
      <c r="H21" s="19"/>
      <c r="I21" s="19"/>
      <c r="J21" s="19"/>
      <c r="K21" s="19"/>
      <c r="L21" s="19"/>
      <c r="M21" s="19"/>
      <c r="N21" s="30"/>
      <c r="O21" s="375"/>
      <c r="P21" s="364"/>
      <c r="Q21" s="20"/>
      <c r="R21" s="20"/>
      <c r="S21" s="27"/>
      <c r="T21" s="20"/>
      <c r="U21" s="20"/>
      <c r="V21" s="20"/>
      <c r="W21" s="21"/>
      <c r="X21" s="20"/>
      <c r="Y21" s="20"/>
    </row>
    <row r="22" spans="1:32" s="3" customFormat="1">
      <c r="A22" s="11" t="s">
        <v>275</v>
      </c>
      <c r="B22" s="90"/>
      <c r="C22" s="18"/>
      <c r="D22" s="22"/>
      <c r="E22" s="19"/>
      <c r="F22" s="19"/>
      <c r="G22" s="19"/>
      <c r="H22" s="19"/>
      <c r="I22" s="19"/>
      <c r="J22" s="19"/>
      <c r="K22" s="19"/>
      <c r="L22" s="19"/>
      <c r="M22" s="19"/>
      <c r="N22" s="30"/>
      <c r="O22" s="87"/>
      <c r="P22" s="363"/>
      <c r="Q22" s="20"/>
      <c r="R22" s="20"/>
      <c r="S22" s="27"/>
      <c r="T22" s="20"/>
      <c r="U22" s="20"/>
      <c r="V22" s="20"/>
      <c r="W22" s="21"/>
      <c r="X22" s="20"/>
      <c r="Y22" s="20"/>
    </row>
    <row r="23" spans="1:32" s="3" customFormat="1">
      <c r="A23" s="100" t="s">
        <v>120</v>
      </c>
      <c r="B23" s="29" t="s">
        <v>27</v>
      </c>
      <c r="C23" s="22">
        <v>358</v>
      </c>
      <c r="D23" s="22">
        <v>0.4</v>
      </c>
      <c r="E23" s="108">
        <v>0.27937428148624566</v>
      </c>
      <c r="F23" s="397">
        <f>IF($C23&lt;11,'Offroad Tiers EF (2)'!$AN$4*$C23*$D23,IF($C23&lt;25,'Offroad Tiers EF (2)'!$AN$5*$C23*$D23,IF($C23&lt;50,'Offroad Tiers EF (2)'!$AN$6*$C23*$D23,IF($C23&lt;75,'Offroad Tiers EF (2)'!$AN$7*$C23*$D23,IF($C23&lt;100,'Offroad Tiers EF (2)'!$AN$8*$C23*$D23,IF($C23&lt;175,'Offroad Tiers EF (2)'!$AN$9*$C23*$D23,IF($C23&lt;300,'Offroad Tiers EF (2)'!$AN$10*$C23*$D23,IF($C23&lt;600,'Offroad Tiers EF (2)'!$AN$11*$C23*$D23,"!"))))))))</f>
        <v>0.82081128747795418</v>
      </c>
      <c r="G23" s="397">
        <f>IF($C23&lt;11,'Offroad Tiers EF (2)'!$AM$4*$C23*$D23,IF($C23&lt;25,'Offroad Tiers EF (2)'!$AM$5*$C23*$D23,IF($C23&lt;50,'Offroad Tiers EF (2)'!$AM$6*$C23*$D23,IF($C23&lt;75,'Offroad Tiers EF (2)'!$AM$7*$C23*$D23,IF($C23&lt;100,'Offroad Tiers EF (2)'!$AM$8*$C23*$D23,IF($C23&lt;175,'Offroad Tiers EF (2)'!$AM$9*$C23*$D23,IF($C23&lt;300,'Offroad Tiers EF (2)'!$AM$10*$C23*$D23,IF($C23&lt;600,'Offroad Tiers EF (2)'!$AM$11*$C23*$D23,"!"))))))))</f>
        <v>1.2776243386243384</v>
      </c>
      <c r="H23" s="108">
        <v>2.5998088533883764E-3</v>
      </c>
      <c r="I23" s="397">
        <f>IF($C23&lt;11,'Offroad Tiers EF (2)'!$AO$4*$C23*$D23,IF($C23&lt;25,'Offroad Tiers EF (2)'!$AO$5*$C23*$D23,IF($C23&lt;50,'Offroad Tiers EF (2)'!$AO$6*$C23*$D23,IF($C23&lt;75,'Offroad Tiers EF (2)'!$AO$7*$C23*$D23,IF($C23&lt;100,'Offroad Tiers EF (2)'!$AO$8*$C23*$D23,IF($C23&lt;175,'Offroad Tiers EF (2)'!$AO$9*$C23*$D23,IF($C23&lt;300,'Offroad Tiers EF (2)'!$AO$10*$C23*$D23,IF($C23&lt;600,'Offroad Tiers EF (2)'!$AO$11*$C23*$D23,"!"))))))))</f>
        <v>4.735449735449735E-2</v>
      </c>
      <c r="J23" s="100">
        <f t="shared" ref="J23:J27" si="8">0.89*I23</f>
        <v>4.2145502645502646E-2</v>
      </c>
      <c r="K23" s="108">
        <v>264.8725636721183</v>
      </c>
      <c r="L23" s="108">
        <v>2.6451144743432839E-2</v>
      </c>
      <c r="M23" s="102">
        <f t="shared" ref="M23:M27" si="9">0.095*G23</f>
        <v>0.12137431216931216</v>
      </c>
      <c r="N23" s="88">
        <v>1</v>
      </c>
      <c r="O23" s="88">
        <v>8</v>
      </c>
      <c r="P23" s="367">
        <v>30</v>
      </c>
      <c r="Q23" s="26">
        <f t="shared" ref="Q23:Y27" si="10">(E23*$N23*$O23)</f>
        <v>2.2349942518899653</v>
      </c>
      <c r="R23" s="26">
        <f t="shared" si="10"/>
        <v>6.5664902998236334</v>
      </c>
      <c r="S23" s="26">
        <f t="shared" si="10"/>
        <v>10.220994708994708</v>
      </c>
      <c r="T23" s="26">
        <f t="shared" si="10"/>
        <v>2.0798470827107011E-2</v>
      </c>
      <c r="U23" s="26">
        <f t="shared" si="10"/>
        <v>0.3788359788359788</v>
      </c>
      <c r="V23" s="26">
        <f t="shared" si="10"/>
        <v>0.33716402116402117</v>
      </c>
      <c r="W23" s="26">
        <f t="shared" si="10"/>
        <v>2118.9805093769464</v>
      </c>
      <c r="X23" s="26">
        <f t="shared" si="10"/>
        <v>0.21160915794746271</v>
      </c>
      <c r="Y23" s="26">
        <f t="shared" si="10"/>
        <v>0.97099449735449728</v>
      </c>
    </row>
    <row r="24" spans="1:32" s="3" customFormat="1">
      <c r="A24" s="100" t="s">
        <v>121</v>
      </c>
      <c r="B24" s="29" t="s">
        <v>27</v>
      </c>
      <c r="C24" s="22">
        <v>162</v>
      </c>
      <c r="D24" s="22">
        <v>0.41</v>
      </c>
      <c r="E24" s="108">
        <v>0.12153885438656534</v>
      </c>
      <c r="F24" s="397">
        <f>IF($C24&lt;11,'Offroad Tiers EF (2)'!$AN$4*$C24*$D24,IF($C24&lt;25,'Offroad Tiers EF (2)'!$AN$5*$C24*$D24,IF($C24&lt;50,'Offroad Tiers EF (2)'!$AN$6*$C24*$D24,IF($C24&lt;75,'Offroad Tiers EF (2)'!$AN$7*$C24*$D24,IF($C24&lt;100,'Offroad Tiers EF (2)'!$AN$8*$C24*$D24,IF($C24&lt;175,'Offroad Tiers EF (2)'!$AN$9*$C24*$D24,IF($C24&lt;300,'Offroad Tiers EF (2)'!$AN$10*$C24*$D24,IF($C24&lt;600,'Offroad Tiers EF (2)'!$AN$11*$C24*$D24,"!"))))))))</f>
        <v>0.5417857142857142</v>
      </c>
      <c r="G24" s="397">
        <f>IF($C24&lt;11,'Offroad Tiers EF (2)'!$AM$4*$C24*$D24,IF($C24&lt;25,'Offroad Tiers EF (2)'!$AM$5*$C24*$D24,IF($C24&lt;50,'Offroad Tiers EF (2)'!$AM$6*$C24*$D24,IF($C24&lt;75,'Offroad Tiers EF (2)'!$AM$7*$C24*$D24,IF($C24&lt;100,'Offroad Tiers EF (2)'!$AM$8*$C24*$D24,IF($C24&lt;175,'Offroad Tiers EF (2)'!$AM$9*$C24*$D24,IF($C24&lt;300,'Offroad Tiers EF (2)'!$AM$10*$C24*$D24,IF($C24&lt;600,'Offroad Tiers EF (2)'!$AM$11*$C24*$D24,"!"))))))))</f>
        <v>0.60233392857142853</v>
      </c>
      <c r="H24" s="108">
        <v>1.3943296443626662E-3</v>
      </c>
      <c r="I24" s="397">
        <f>IF($C24&lt;11,'Offroad Tiers EF (2)'!$AO$4*$C24*$D24,IF($C24&lt;25,'Offroad Tiers EF (2)'!$AO$5*$C24*$D24,IF($C24&lt;50,'Offroad Tiers EF (2)'!$AO$6*$C24*$D24,IF($C24&lt;75,'Offroad Tiers EF (2)'!$AO$7*$C24*$D24,IF($C24&lt;100,'Offroad Tiers EF (2)'!$AO$8*$C24*$D24,IF($C24&lt;175,'Offroad Tiers EF (2)'!$AO$9*$C24*$D24,IF($C24&lt;300,'Offroad Tiers EF (2)'!$AO$10*$C24*$D24,IF($C24&lt;600,'Offroad Tiers EF (2)'!$AO$11*$C24*$D24,"!"))))))))</f>
        <v>3.2214285714285709E-2</v>
      </c>
      <c r="J24" s="100">
        <f t="shared" si="8"/>
        <v>2.8670714285714282E-2</v>
      </c>
      <c r="K24" s="365">
        <v>123.92149503712022</v>
      </c>
      <c r="L24" s="23">
        <v>1.1720218383966691E-2</v>
      </c>
      <c r="M24" s="102">
        <f t="shared" si="9"/>
        <v>5.7221723214285709E-2</v>
      </c>
      <c r="N24" s="88">
        <v>1</v>
      </c>
      <c r="O24" s="88">
        <v>8</v>
      </c>
      <c r="P24" s="367">
        <v>30</v>
      </c>
      <c r="Q24" s="26">
        <f t="shared" si="10"/>
        <v>0.9723108350925227</v>
      </c>
      <c r="R24" s="26">
        <f t="shared" si="10"/>
        <v>4.3342857142857136</v>
      </c>
      <c r="S24" s="26">
        <f t="shared" si="10"/>
        <v>4.8186714285714283</v>
      </c>
      <c r="T24" s="26">
        <f t="shared" si="10"/>
        <v>1.115463715490133E-2</v>
      </c>
      <c r="U24" s="26">
        <f t="shared" si="10"/>
        <v>0.25771428571428567</v>
      </c>
      <c r="V24" s="26">
        <f t="shared" si="10"/>
        <v>0.22936571428571426</v>
      </c>
      <c r="W24" s="26">
        <f t="shared" si="10"/>
        <v>991.37196029696179</v>
      </c>
      <c r="X24" s="26">
        <f t="shared" si="10"/>
        <v>9.3761747071733528E-2</v>
      </c>
      <c r="Y24" s="26">
        <f t="shared" si="10"/>
        <v>0.45777378571428567</v>
      </c>
    </row>
    <row r="25" spans="1:32" s="3" customFormat="1">
      <c r="A25" s="100" t="s">
        <v>124</v>
      </c>
      <c r="B25" s="29" t="s">
        <v>27</v>
      </c>
      <c r="C25" s="97">
        <v>87</v>
      </c>
      <c r="D25" s="22">
        <v>0.37</v>
      </c>
      <c r="E25" s="102">
        <v>7.7253202863558038E-2</v>
      </c>
      <c r="F25" s="397">
        <f>IF($C25&lt;11,'Offroad Tiers EF (2)'!$AN$4*$C25*$D25,IF($C25&lt;25,'Offroad Tiers EF (2)'!$AN$5*$C25*$D25,IF($C25&lt;50,'Offroad Tiers EF (2)'!$AN$6*$C25*$D25,IF($C25&lt;75,'Offroad Tiers EF (2)'!$AN$7*$C25*$D25,IF($C25&lt;100,'Offroad Tiers EF (2)'!$AN$8*$C25*$D25,IF($C25&lt;175,'Offroad Tiers EF (2)'!$AN$9*$C25*$D25,IF($C25&lt;300,'Offroad Tiers EF (2)'!$AN$10*$C25*$D25,IF($C25&lt;600,'Offroad Tiers EF (2)'!$AN$11*$C25*$D25,"!"))))))))</f>
        <v>0.26257275132275132</v>
      </c>
      <c r="G25" s="397">
        <f>IF($C25&lt;11,'Offroad Tiers EF (2)'!$AM$4*$C25*$D25,IF($C25&lt;25,'Offroad Tiers EF (2)'!$AM$5*$C25*$D25,IF($C25&lt;50,'Offroad Tiers EF (2)'!$AM$6*$C25*$D25,IF($C25&lt;75,'Offroad Tiers EF (2)'!$AM$7*$C25*$D25,IF($C25&lt;100,'Offroad Tiers EF (2)'!$AM$8*$C25*$D25,IF($C25&lt;175,'Offroad Tiers EF (2)'!$AM$9*$C25*$D25,IF($C25&lt;300,'Offroad Tiers EF (2)'!$AM$10*$C25*$D25,IF($C25&lt;600,'Offroad Tiers EF (2)'!$AM$11*$C25*$D25,"!"))))))))</f>
        <v>0.33506412037037031</v>
      </c>
      <c r="H25" s="102">
        <v>6.910856115004858E-4</v>
      </c>
      <c r="I25" s="397">
        <f>IF($C25&lt;11,'Offroad Tiers EF (2)'!$AO$4*$C25*$D25,IF($C25&lt;25,'Offroad Tiers EF (2)'!$AO$5*$C25*$D25,IF($C25&lt;50,'Offroad Tiers EF (2)'!$AO$6*$C25*$D25,IF($C25&lt;75,'Offroad Tiers EF (2)'!$AO$7*$C25*$D25,IF($C25&lt;100,'Offroad Tiers EF (2)'!$AO$8*$C25*$D25,IF($C25&lt;175,'Offroad Tiers EF (2)'!$AO$9*$C25*$D25,IF($C25&lt;300,'Offroad Tiers EF (2)'!$AO$10*$C25*$D25,IF($C25&lt;600,'Offroad Tiers EF (2)'!$AO$11*$C25*$D25,"!"))))))))</f>
        <v>2.1289682539682539E-2</v>
      </c>
      <c r="J25" s="100">
        <f t="shared" si="8"/>
        <v>1.894781746031746E-2</v>
      </c>
      <c r="K25" s="103">
        <v>58.913505111712794</v>
      </c>
      <c r="L25" s="102">
        <v>7.5344751889799754E-3</v>
      </c>
      <c r="M25" s="102">
        <f t="shared" si="9"/>
        <v>3.1831091435185178E-2</v>
      </c>
      <c r="N25" s="88">
        <v>1</v>
      </c>
      <c r="O25" s="88">
        <v>8</v>
      </c>
      <c r="P25" s="367">
        <v>30</v>
      </c>
      <c r="Q25" s="26">
        <f t="shared" si="10"/>
        <v>0.6180256229084643</v>
      </c>
      <c r="R25" s="26">
        <f t="shared" si="10"/>
        <v>2.1005820105820106</v>
      </c>
      <c r="S25" s="26">
        <f t="shared" si="10"/>
        <v>2.6805129629629625</v>
      </c>
      <c r="T25" s="26">
        <f t="shared" si="10"/>
        <v>5.5286848920038864E-3</v>
      </c>
      <c r="U25" s="26">
        <f t="shared" si="10"/>
        <v>0.17031746031746031</v>
      </c>
      <c r="V25" s="26">
        <f t="shared" si="10"/>
        <v>0.15158253968253968</v>
      </c>
      <c r="W25" s="26">
        <f t="shared" si="10"/>
        <v>471.30804089370235</v>
      </c>
      <c r="X25" s="26">
        <f t="shared" si="10"/>
        <v>6.0275801511839804E-2</v>
      </c>
      <c r="Y25" s="26">
        <f t="shared" si="10"/>
        <v>0.25464873148148143</v>
      </c>
    </row>
    <row r="26" spans="1:32" s="3" customFormat="1">
      <c r="A26" s="100" t="s">
        <v>126</v>
      </c>
      <c r="B26" s="29" t="s">
        <v>27</v>
      </c>
      <c r="C26" s="22">
        <v>175</v>
      </c>
      <c r="D26" s="22"/>
      <c r="E26" s="102">
        <v>0.11792220738547983</v>
      </c>
      <c r="F26" s="102">
        <v>0.36512193352152528</v>
      </c>
      <c r="G26" s="102">
        <v>0.86781464282266541</v>
      </c>
      <c r="H26" s="102">
        <v>1.8739217498104396E-3</v>
      </c>
      <c r="I26" s="102">
        <v>2.9041712295589866E-2</v>
      </c>
      <c r="J26" s="100">
        <f t="shared" si="8"/>
        <v>2.5847123943074982E-2</v>
      </c>
      <c r="K26" s="103">
        <v>166.54541562452522</v>
      </c>
      <c r="L26" s="102">
        <v>1.063993297769634E-2</v>
      </c>
      <c r="M26" s="104">
        <f t="shared" si="9"/>
        <v>8.2442391068153209E-2</v>
      </c>
      <c r="N26" s="88">
        <v>1</v>
      </c>
      <c r="O26" s="88">
        <v>8</v>
      </c>
      <c r="P26" s="367">
        <v>30</v>
      </c>
      <c r="Q26" s="26">
        <f t="shared" si="10"/>
        <v>0.94337765908383864</v>
      </c>
      <c r="R26" s="26">
        <f t="shared" si="10"/>
        <v>2.9209754681722022</v>
      </c>
      <c r="S26" s="26">
        <f t="shared" si="10"/>
        <v>6.9425171425813232</v>
      </c>
      <c r="T26" s="26">
        <f t="shared" si="10"/>
        <v>1.4991373998483517E-2</v>
      </c>
      <c r="U26" s="26">
        <f t="shared" si="10"/>
        <v>0.23233369836471893</v>
      </c>
      <c r="V26" s="26">
        <f t="shared" si="10"/>
        <v>0.20677699154459986</v>
      </c>
      <c r="W26" s="26">
        <f t="shared" si="10"/>
        <v>1332.3633249962018</v>
      </c>
      <c r="X26" s="26">
        <f t="shared" si="10"/>
        <v>8.5119463821570721E-2</v>
      </c>
      <c r="Y26" s="26">
        <f t="shared" si="10"/>
        <v>0.65953912854522567</v>
      </c>
    </row>
    <row r="27" spans="1:32" s="6" customFormat="1">
      <c r="A27" s="100" t="s">
        <v>293</v>
      </c>
      <c r="B27" s="29" t="s">
        <v>27</v>
      </c>
      <c r="C27" s="97">
        <v>157</v>
      </c>
      <c r="D27" s="22">
        <v>0.38</v>
      </c>
      <c r="E27" s="550">
        <v>9.7211873502789536E-2</v>
      </c>
      <c r="F27" s="397">
        <f>IF($C27&lt;11,'Offroad Tiers EF (2)'!$AN$4*$C27*$D27,IF($C27&lt;25,'Offroad Tiers EF (2)'!$AN$5*$C27*$D27,IF($C27&lt;50,'Offroad Tiers EF (2)'!$AN$6*$C27*$D27,IF($C27&lt;75,'Offroad Tiers EF (2)'!$AN$7*$C27*$D27,IF($C27&lt;100,'Offroad Tiers EF (2)'!$AN$8*$C27*$D27,IF($C27&lt;175,'Offroad Tiers EF (2)'!$AN$9*$C27*$D27,IF($C27&lt;300,'Offroad Tiers EF (2)'!$AN$10*$C27*$D27,IF($C27&lt;600,'Offroad Tiers EF (2)'!$AN$11*$C27*$D27,"!"))))))))</f>
        <v>0.48664462081128745</v>
      </c>
      <c r="G27" s="397">
        <f>IF($C27&lt;11,'Offroad Tiers EF (2)'!$AM$4*$C27*$D27,IF($C27&lt;25,'Offroad Tiers EF (2)'!$AM$5*$C27*$D27,IF($C27&lt;50,'Offroad Tiers EF (2)'!$AM$6*$C27*$D27,IF($C27&lt;75,'Offroad Tiers EF (2)'!$AM$7*$C27*$D27,IF($C27&lt;100,'Offroad Tiers EF (2)'!$AM$8*$C27*$D27,IF($C27&lt;175,'Offroad Tiers EF (2)'!$AM$9*$C27*$D27,IF($C27&lt;300,'Offroad Tiers EF (2)'!$AM$10*$C27*$D27,IF($C27&lt;600,'Offroad Tiers EF (2)'!$AM$11*$C27*$D27,"!"))))))))</f>
        <v>0.54103044532627864</v>
      </c>
      <c r="H27" s="550">
        <v>1.2626852382997586E-3</v>
      </c>
      <c r="I27" s="397">
        <f>IF($C27&lt;11,'Offroad Tiers EF (2)'!$AO$4*$C27*$D27,IF($C27&lt;25,'Offroad Tiers EF (2)'!$AO$5*$C27*$D27,IF($C27&lt;50,'Offroad Tiers EF (2)'!$AO$6*$C27*$D27,IF($C27&lt;75,'Offroad Tiers EF (2)'!$AO$7*$C27*$D27,IF($C27&lt;100,'Offroad Tiers EF (2)'!$AO$8*$C27*$D27,IF($C27&lt;175,'Offroad Tiers EF (2)'!$AO$9*$C27*$D27,IF($C27&lt;300,'Offroad Tiers EF (2)'!$AO$10*$C27*$D27,IF($C27&lt;600,'Offroad Tiers EF (2)'!$AO$11*$C27*$D27,"!"))))))))</f>
        <v>2.8935626102292767E-2</v>
      </c>
      <c r="J27" s="551">
        <f t="shared" si="8"/>
        <v>2.5752707231040561E-2</v>
      </c>
      <c r="K27" s="552">
        <v>112.22156581723891</v>
      </c>
      <c r="L27" s="111">
        <v>9.4890670020510905E-3</v>
      </c>
      <c r="M27" s="553">
        <f t="shared" si="9"/>
        <v>5.1397892305996472E-2</v>
      </c>
      <c r="N27" s="554">
        <v>2</v>
      </c>
      <c r="O27" s="88">
        <v>2</v>
      </c>
      <c r="P27" s="88">
        <v>15</v>
      </c>
      <c r="Q27" s="26">
        <f t="shared" si="10"/>
        <v>0.38884749401115815</v>
      </c>
      <c r="R27" s="26">
        <f t="shared" si="10"/>
        <v>1.9465784832451498</v>
      </c>
      <c r="S27" s="26">
        <f t="shared" si="10"/>
        <v>2.1641217813051146</v>
      </c>
      <c r="T27" s="26">
        <f t="shared" si="10"/>
        <v>5.0507409531990342E-3</v>
      </c>
      <c r="U27" s="26">
        <f t="shared" si="10"/>
        <v>0.11574250440917107</v>
      </c>
      <c r="V27" s="26">
        <f t="shared" si="10"/>
        <v>0.10301082892416225</v>
      </c>
      <c r="W27" s="26">
        <f t="shared" si="10"/>
        <v>448.88626326895564</v>
      </c>
      <c r="X27" s="26">
        <f t="shared" si="10"/>
        <v>3.7956268008204362E-2</v>
      </c>
      <c r="Y27" s="26">
        <f t="shared" si="10"/>
        <v>0.20559156922398589</v>
      </c>
      <c r="AF27" s="7"/>
    </row>
    <row r="28" spans="1:32">
      <c r="A28" s="17" t="s">
        <v>28</v>
      </c>
      <c r="B28" s="29"/>
      <c r="C28" s="22"/>
      <c r="D28" s="22"/>
      <c r="E28" s="23"/>
      <c r="F28" s="23"/>
      <c r="G28" s="23"/>
      <c r="H28" s="23"/>
      <c r="I28" s="23"/>
      <c r="J28" s="100"/>
      <c r="K28" s="365"/>
      <c r="L28" s="23"/>
      <c r="M28" s="102"/>
      <c r="N28" s="30"/>
      <c r="O28" s="98"/>
      <c r="P28" s="363"/>
      <c r="Q28" s="101">
        <f t="shared" ref="Q28:Y28" si="11">SUM(Q22:Q27)</f>
        <v>5.1575558629859488</v>
      </c>
      <c r="R28" s="101">
        <f t="shared" si="11"/>
        <v>17.868911976108709</v>
      </c>
      <c r="S28" s="101">
        <f t="shared" si="11"/>
        <v>26.826818024415537</v>
      </c>
      <c r="T28" s="101">
        <f t="shared" si="11"/>
        <v>5.7523907825694776E-2</v>
      </c>
      <c r="U28" s="101">
        <f t="shared" si="11"/>
        <v>1.1549439276416149</v>
      </c>
      <c r="V28" s="101">
        <f t="shared" si="11"/>
        <v>1.0279000956010371</v>
      </c>
      <c r="W28" s="101">
        <f t="shared" si="11"/>
        <v>5362.9100988327682</v>
      </c>
      <c r="X28" s="101">
        <f t="shared" si="11"/>
        <v>0.48872243836081108</v>
      </c>
      <c r="Y28" s="101">
        <f t="shared" si="11"/>
        <v>2.548547712319476</v>
      </c>
    </row>
    <row r="29" spans="1:32">
      <c r="A29" s="17" t="s">
        <v>365</v>
      </c>
      <c r="B29" s="571"/>
      <c r="C29" s="18"/>
      <c r="D29" s="22"/>
      <c r="E29" s="19"/>
      <c r="F29" s="19"/>
      <c r="G29" s="19"/>
      <c r="H29" s="19"/>
      <c r="I29" s="19"/>
      <c r="J29" s="19"/>
      <c r="K29" s="19"/>
      <c r="L29" s="19"/>
      <c r="M29" s="19"/>
      <c r="N29" s="30"/>
      <c r="O29" s="30"/>
      <c r="P29" s="364"/>
      <c r="Q29" s="20">
        <f t="shared" ref="Q29:Y29" si="12">Q11+Q20+Q28</f>
        <v>17.124128756431574</v>
      </c>
      <c r="R29" s="20">
        <f t="shared" si="12"/>
        <v>59.232163136016325</v>
      </c>
      <c r="S29" s="20">
        <f t="shared" si="12"/>
        <v>95.145593795158533</v>
      </c>
      <c r="T29" s="20">
        <f t="shared" si="12"/>
        <v>0.19986132097812917</v>
      </c>
      <c r="U29" s="20">
        <f t="shared" si="12"/>
        <v>3.9119814440260705</v>
      </c>
      <c r="V29" s="20">
        <f t="shared" si="12"/>
        <v>3.4816634851832022</v>
      </c>
      <c r="W29" s="20">
        <f t="shared" si="12"/>
        <v>18862.040822762152</v>
      </c>
      <c r="X29" s="20">
        <f t="shared" si="12"/>
        <v>1.6239550570867793</v>
      </c>
      <c r="Y29" s="20">
        <f t="shared" si="12"/>
        <v>9.0388314105400589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4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648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398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100" t="s">
        <v>287</v>
      </c>
      <c r="B14" s="97" t="s">
        <v>27</v>
      </c>
      <c r="C14" s="97">
        <v>37</v>
      </c>
      <c r="D14" s="22">
        <v>0.37</v>
      </c>
      <c r="E14" s="102">
        <v>3.2313389441625637E-2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0.12374118165784832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0.16056172839506169</v>
      </c>
      <c r="H14" s="102">
        <v>3.2989906092678058E-4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1.3581349206349205E-2</v>
      </c>
      <c r="J14" s="100">
        <f t="shared" ref="J14:J16" si="4">0.89*I14</f>
        <v>1.2087400793650793E-2</v>
      </c>
      <c r="K14" s="103">
        <v>25.519156990664225</v>
      </c>
      <c r="L14" s="102">
        <v>3.413848047070189E-3</v>
      </c>
      <c r="M14" s="104">
        <f t="shared" ref="M14:M16" si="5">0.095*G14</f>
        <v>1.5253364197530862E-2</v>
      </c>
      <c r="N14" s="88">
        <v>1</v>
      </c>
      <c r="O14" s="88">
        <v>1</v>
      </c>
      <c r="P14" s="367">
        <v>75</v>
      </c>
      <c r="Q14" s="26">
        <f t="shared" ref="Q14:Y16" si="6">(E14*$N14*$O14)</f>
        <v>3.2313389441625637E-2</v>
      </c>
      <c r="R14" s="26">
        <f t="shared" si="6"/>
        <v>0.12374118165784832</v>
      </c>
      <c r="S14" s="26">
        <f t="shared" si="6"/>
        <v>0.16056172839506169</v>
      </c>
      <c r="T14" s="26">
        <f t="shared" si="6"/>
        <v>3.2989906092678058E-4</v>
      </c>
      <c r="U14" s="26">
        <f t="shared" si="6"/>
        <v>1.3581349206349205E-2</v>
      </c>
      <c r="V14" s="26">
        <f t="shared" si="6"/>
        <v>1.2087400793650793E-2</v>
      </c>
      <c r="W14" s="26">
        <f t="shared" si="6"/>
        <v>25.519156990664225</v>
      </c>
      <c r="X14" s="26">
        <f t="shared" si="6"/>
        <v>3.413848047070189E-3</v>
      </c>
      <c r="Y14" s="26">
        <f t="shared" si="6"/>
        <v>1.5253364197530862E-2</v>
      </c>
    </row>
    <row r="15" spans="1:25" s="3" customFormat="1">
      <c r="A15" s="100" t="s">
        <v>292</v>
      </c>
      <c r="B15" s="22" t="s">
        <v>27</v>
      </c>
      <c r="C15" s="97">
        <v>69</v>
      </c>
      <c r="D15" s="22">
        <v>0.5</v>
      </c>
      <c r="E15" s="102">
        <v>0.10796897189848784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0.2814153439153439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0.40462962962962956</v>
      </c>
      <c r="H15" s="102">
        <v>7.6125329247041284E-4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2.2817460317460316E-2</v>
      </c>
      <c r="J15" s="100">
        <f t="shared" si="4"/>
        <v>2.030753968253968E-2</v>
      </c>
      <c r="K15" s="103">
        <v>64.895144949977833</v>
      </c>
      <c r="L15" s="102">
        <v>1.0324742188913067E-2</v>
      </c>
      <c r="M15" s="104">
        <f t="shared" si="5"/>
        <v>3.8439814814814809E-2</v>
      </c>
      <c r="N15" s="87">
        <v>1</v>
      </c>
      <c r="O15" s="87">
        <v>6</v>
      </c>
      <c r="P15" s="88">
        <f>8*22</f>
        <v>176</v>
      </c>
      <c r="Q15" s="34">
        <f t="shared" si="6"/>
        <v>0.64781383139092696</v>
      </c>
      <c r="R15" s="26">
        <f t="shared" si="6"/>
        <v>1.6884920634920633</v>
      </c>
      <c r="S15" s="26">
        <f t="shared" si="6"/>
        <v>2.4277777777777771</v>
      </c>
      <c r="T15" s="26">
        <f t="shared" si="6"/>
        <v>4.567519754822477E-3</v>
      </c>
      <c r="U15" s="26">
        <f t="shared" si="6"/>
        <v>0.13690476190476189</v>
      </c>
      <c r="V15" s="26">
        <f t="shared" si="6"/>
        <v>0.12184523809523809</v>
      </c>
      <c r="W15" s="26">
        <f t="shared" si="6"/>
        <v>389.370869699867</v>
      </c>
      <c r="X15" s="26">
        <f t="shared" si="6"/>
        <v>6.1948453133478402E-2</v>
      </c>
      <c r="Y15" s="26">
        <f t="shared" si="6"/>
        <v>0.23063888888888884</v>
      </c>
    </row>
    <row r="16" spans="1:25" s="3" customFormat="1">
      <c r="A16" s="100" t="s">
        <v>126</v>
      </c>
      <c r="B16" s="22" t="s">
        <v>27</v>
      </c>
      <c r="C16" s="22">
        <v>175</v>
      </c>
      <c r="D16" s="22"/>
      <c r="E16" s="102">
        <v>0.11792220738547983</v>
      </c>
      <c r="F16" s="102">
        <v>0.36512193352152528</v>
      </c>
      <c r="G16" s="102">
        <v>0.86781464282266541</v>
      </c>
      <c r="H16" s="102">
        <v>1.8739217498104396E-3</v>
      </c>
      <c r="I16" s="102">
        <v>2.9041712295589866E-2</v>
      </c>
      <c r="J16" s="100">
        <f t="shared" si="4"/>
        <v>2.5847123943074982E-2</v>
      </c>
      <c r="K16" s="103">
        <v>166.54541562452522</v>
      </c>
      <c r="L16" s="102">
        <v>1.063993297769634E-2</v>
      </c>
      <c r="M16" s="104">
        <f t="shared" si="5"/>
        <v>8.2442391068153209E-2</v>
      </c>
      <c r="N16" s="88">
        <v>1</v>
      </c>
      <c r="O16" s="88">
        <v>3</v>
      </c>
      <c r="P16" s="367">
        <v>40</v>
      </c>
      <c r="Q16" s="26">
        <f t="shared" si="6"/>
        <v>0.3537666221564395</v>
      </c>
      <c r="R16" s="26">
        <f t="shared" si="6"/>
        <v>1.0953658005645759</v>
      </c>
      <c r="S16" s="26">
        <f t="shared" si="6"/>
        <v>2.6034439284679962</v>
      </c>
      <c r="T16" s="26">
        <f t="shared" si="6"/>
        <v>5.6217652494313184E-3</v>
      </c>
      <c r="U16" s="26">
        <f t="shared" si="6"/>
        <v>8.7125136886769594E-2</v>
      </c>
      <c r="V16" s="26">
        <f t="shared" si="6"/>
        <v>7.754137182922495E-2</v>
      </c>
      <c r="W16" s="26">
        <f t="shared" si="6"/>
        <v>499.63624687357566</v>
      </c>
      <c r="X16" s="26">
        <f t="shared" si="6"/>
        <v>3.1919798933089022E-2</v>
      </c>
      <c r="Y16" s="26">
        <f t="shared" si="6"/>
        <v>0.24732717320445963</v>
      </c>
    </row>
    <row r="17" spans="1:25" s="3" customFormat="1">
      <c r="A17" s="17" t="s">
        <v>28</v>
      </c>
      <c r="B17" s="97"/>
      <c r="C17" s="22"/>
      <c r="D17" s="22"/>
      <c r="E17" s="23"/>
      <c r="F17" s="23"/>
      <c r="G17" s="23"/>
      <c r="H17" s="23"/>
      <c r="I17" s="23"/>
      <c r="J17" s="24"/>
      <c r="K17" s="25"/>
      <c r="L17" s="23"/>
      <c r="M17" s="23"/>
      <c r="N17" s="88"/>
      <c r="O17" s="88"/>
      <c r="P17" s="88"/>
      <c r="Q17" s="27">
        <f t="shared" ref="Q17:Y17" si="7">SUM(Q14:Q16)</f>
        <v>1.0338938429889921</v>
      </c>
      <c r="R17" s="27">
        <f t="shared" si="7"/>
        <v>2.9075990457144876</v>
      </c>
      <c r="S17" s="27">
        <f t="shared" si="7"/>
        <v>5.1917834346408345</v>
      </c>
      <c r="T17" s="27">
        <f t="shared" si="7"/>
        <v>1.0519184065180577E-2</v>
      </c>
      <c r="U17" s="27">
        <f t="shared" si="7"/>
        <v>0.23761124799788069</v>
      </c>
      <c r="V17" s="27">
        <f t="shared" si="7"/>
        <v>0.21147401071811384</v>
      </c>
      <c r="W17" s="27">
        <f t="shared" si="7"/>
        <v>914.52627356410687</v>
      </c>
      <c r="X17" s="27">
        <f t="shared" si="7"/>
        <v>9.728210011363761E-2</v>
      </c>
      <c r="Y17" s="27">
        <f t="shared" si="7"/>
        <v>0.49321942629087934</v>
      </c>
    </row>
    <row r="18" spans="1:25" s="3" customFormat="1">
      <c r="A18" s="17"/>
      <c r="B18" s="97"/>
      <c r="C18" s="22"/>
      <c r="D18" s="22"/>
      <c r="E18" s="23"/>
      <c r="F18" s="23"/>
      <c r="G18" s="23"/>
      <c r="H18" s="23"/>
      <c r="I18" s="23"/>
      <c r="J18" s="24"/>
      <c r="K18" s="25"/>
      <c r="L18" s="23"/>
      <c r="M18" s="23"/>
      <c r="N18" s="88"/>
      <c r="O18" s="88"/>
      <c r="P18" s="88"/>
      <c r="Q18" s="27"/>
      <c r="R18" s="27"/>
      <c r="S18" s="27"/>
      <c r="T18" s="27"/>
      <c r="U18" s="27"/>
      <c r="V18" s="27"/>
      <c r="W18" s="27"/>
      <c r="X18" s="27"/>
      <c r="Y18" s="27"/>
    </row>
    <row r="19" spans="1:25">
      <c r="A19" s="11" t="s">
        <v>399</v>
      </c>
      <c r="B19" s="22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11"/>
      <c r="O19" s="11"/>
      <c r="P19" s="11"/>
      <c r="Q19" s="27"/>
      <c r="R19" s="27"/>
      <c r="S19" s="27"/>
      <c r="T19" s="27"/>
      <c r="U19" s="27"/>
      <c r="V19" s="27"/>
      <c r="W19" s="28"/>
      <c r="X19" s="27"/>
      <c r="Y19" s="27"/>
    </row>
    <row r="20" spans="1:25">
      <c r="A20" s="24" t="s">
        <v>400</v>
      </c>
      <c r="B20" s="29" t="s">
        <v>27</v>
      </c>
      <c r="C20" s="97">
        <v>235</v>
      </c>
      <c r="D20" s="97"/>
      <c r="E20" s="102">
        <v>0.11792220738547983</v>
      </c>
      <c r="F20" s="102">
        <v>0.36512193352152528</v>
      </c>
      <c r="G20" s="102">
        <v>0.86781464282266541</v>
      </c>
      <c r="H20" s="102">
        <v>1.8739217498104396E-3</v>
      </c>
      <c r="I20" s="102">
        <v>2.9041712295589866E-2</v>
      </c>
      <c r="J20" s="100">
        <f t="shared" ref="J20:J22" si="8">0.89*I20</f>
        <v>2.5847123943074982E-2</v>
      </c>
      <c r="K20" s="103">
        <v>166.54541562452522</v>
      </c>
      <c r="L20" s="102">
        <v>1.063993297769634E-2</v>
      </c>
      <c r="M20" s="104">
        <f t="shared" ref="M20:M22" si="9">0.095*G20</f>
        <v>8.2442391068153209E-2</v>
      </c>
      <c r="N20" s="98">
        <v>1</v>
      </c>
      <c r="O20" s="87">
        <v>8</v>
      </c>
      <c r="P20" s="88">
        <v>4</v>
      </c>
      <c r="Q20" s="34">
        <f t="shared" ref="Q20:Y22" si="10">(E20*$N20*$O20)</f>
        <v>0.94337765908383864</v>
      </c>
      <c r="R20" s="26">
        <f t="shared" si="10"/>
        <v>2.9209754681722022</v>
      </c>
      <c r="S20" s="26">
        <f t="shared" si="10"/>
        <v>6.9425171425813232</v>
      </c>
      <c r="T20" s="26">
        <f t="shared" si="10"/>
        <v>1.4991373998483517E-2</v>
      </c>
      <c r="U20" s="26">
        <f t="shared" si="10"/>
        <v>0.23233369836471893</v>
      </c>
      <c r="V20" s="26">
        <f t="shared" si="10"/>
        <v>0.20677699154459986</v>
      </c>
      <c r="W20" s="26">
        <f t="shared" si="10"/>
        <v>1332.3633249962018</v>
      </c>
      <c r="X20" s="26">
        <f t="shared" si="10"/>
        <v>8.5119463821570721E-2</v>
      </c>
      <c r="Y20" s="26">
        <f t="shared" si="10"/>
        <v>0.65953912854522567</v>
      </c>
    </row>
    <row r="21" spans="1:25">
      <c r="A21" s="24" t="s">
        <v>297</v>
      </c>
      <c r="B21" s="29" t="s">
        <v>27</v>
      </c>
      <c r="C21" s="97">
        <v>235</v>
      </c>
      <c r="D21" s="97"/>
      <c r="E21" s="102">
        <v>0.11792220738547983</v>
      </c>
      <c r="F21" s="102">
        <v>0.36512193352152528</v>
      </c>
      <c r="G21" s="102">
        <v>0.86781464282266541</v>
      </c>
      <c r="H21" s="102">
        <v>1.8739217498104396E-3</v>
      </c>
      <c r="I21" s="102">
        <v>2.9041712295589866E-2</v>
      </c>
      <c r="J21" s="100">
        <f t="shared" si="8"/>
        <v>2.5847123943074982E-2</v>
      </c>
      <c r="K21" s="103">
        <v>166.54541562452522</v>
      </c>
      <c r="L21" s="102">
        <v>1.063993297769634E-2</v>
      </c>
      <c r="M21" s="104">
        <f t="shared" si="9"/>
        <v>8.2442391068153209E-2</v>
      </c>
      <c r="N21" s="98">
        <v>1</v>
      </c>
      <c r="O21" s="87">
        <v>8</v>
      </c>
      <c r="P21" s="88">
        <v>4</v>
      </c>
      <c r="Q21" s="34">
        <f t="shared" si="10"/>
        <v>0.94337765908383864</v>
      </c>
      <c r="R21" s="26">
        <f t="shared" si="10"/>
        <v>2.9209754681722022</v>
      </c>
      <c r="S21" s="26">
        <f t="shared" si="10"/>
        <v>6.9425171425813232</v>
      </c>
      <c r="T21" s="26">
        <f t="shared" si="10"/>
        <v>1.4991373998483517E-2</v>
      </c>
      <c r="U21" s="26">
        <f t="shared" si="10"/>
        <v>0.23233369836471893</v>
      </c>
      <c r="V21" s="26">
        <f t="shared" si="10"/>
        <v>0.20677699154459986</v>
      </c>
      <c r="W21" s="26">
        <f t="shared" si="10"/>
        <v>1332.3633249962018</v>
      </c>
      <c r="X21" s="26">
        <f t="shared" si="10"/>
        <v>8.5119463821570721E-2</v>
      </c>
      <c r="Y21" s="26">
        <f t="shared" si="10"/>
        <v>0.65953912854522567</v>
      </c>
    </row>
    <row r="22" spans="1:25">
      <c r="A22" s="100" t="s">
        <v>287</v>
      </c>
      <c r="B22" s="97" t="s">
        <v>27</v>
      </c>
      <c r="C22" s="97">
        <v>37</v>
      </c>
      <c r="D22" s="22">
        <v>0.37</v>
      </c>
      <c r="E22" s="102">
        <v>3.7835624751667511E-2</v>
      </c>
      <c r="F22" s="397">
        <f>IF($C22&lt;11,'Offroad Tiers EF (2)'!$AN$4*$C22*$D22,IF($C22&lt;25,'Offroad Tiers EF (2)'!$AN$5*$C22*$D22,IF($C22&lt;50,'Offroad Tiers EF (2)'!$AN$6*$C22*$D22,IF($C22&lt;75,'Offroad Tiers EF (2)'!$AN$7*$C22*$D22,IF($C22&lt;100,'Offroad Tiers EF (2)'!$AN$8*$C22*$D22,IF($C22&lt;175,'Offroad Tiers EF (2)'!$AN$9*$C22*$D22,IF($C22&lt;300,'Offroad Tiers EF (2)'!$AN$10*$C22*$D22,IF($C22&lt;600,'Offroad Tiers EF (2)'!$AN$11*$C22*$D22,"!"))))))))</f>
        <v>0.12374118165784832</v>
      </c>
      <c r="G22" s="397">
        <f>IF($C22&lt;11,'Offroad Tiers EF (2)'!$AM$4*$C22*$D22,IF($C22&lt;25,'Offroad Tiers EF (2)'!$AM$5*$C22*$D22,IF($C22&lt;50,'Offroad Tiers EF (2)'!$AM$6*$C22*$D22,IF($C22&lt;75,'Offroad Tiers EF (2)'!$AM$7*$C22*$D22,IF($C22&lt;100,'Offroad Tiers EF (2)'!$AM$8*$C22*$D22,IF($C22&lt;175,'Offroad Tiers EF (2)'!$AM$9*$C22*$D22,IF($C22&lt;300,'Offroad Tiers EF (2)'!$AM$10*$C22*$D22,IF($C22&lt;600,'Offroad Tiers EF (2)'!$AM$11*$C22*$D22,"!"))))))))</f>
        <v>0.16056172839506169</v>
      </c>
      <c r="H22" s="102">
        <v>3.2989906092678058E-4</v>
      </c>
      <c r="I22" s="397">
        <f>IF($C22&lt;11,'Offroad Tiers EF (2)'!$AO$4*$C22*$D22,IF($C22&lt;25,'Offroad Tiers EF (2)'!$AO$5*$C22*$D22,IF($C22&lt;50,'Offroad Tiers EF (2)'!$AO$6*$C22*$D22,IF($C22&lt;75,'Offroad Tiers EF (2)'!$AO$7*$C22*$D22,IF($C22&lt;100,'Offroad Tiers EF (2)'!$AO$8*$C22*$D22,IF($C22&lt;175,'Offroad Tiers EF (2)'!$AO$9*$C22*$D22,IF($C22&lt;300,'Offroad Tiers EF (2)'!$AO$10*$C22*$D22,IF($C22&lt;600,'Offroad Tiers EF (2)'!$AO$11*$C22*$D22,"!"))))))))</f>
        <v>1.3581349206349205E-2</v>
      </c>
      <c r="J22" s="100">
        <f t="shared" si="8"/>
        <v>1.2087400793650793E-2</v>
      </c>
      <c r="K22" s="103">
        <v>25.519156990664225</v>
      </c>
      <c r="L22" s="102">
        <v>3.413848047070189E-3</v>
      </c>
      <c r="M22" s="104">
        <f t="shared" si="9"/>
        <v>1.5253364197530862E-2</v>
      </c>
      <c r="N22" s="88">
        <v>1</v>
      </c>
      <c r="O22" s="88">
        <v>4</v>
      </c>
      <c r="P22" s="367">
        <v>75</v>
      </c>
      <c r="Q22" s="26">
        <f t="shared" si="10"/>
        <v>0.15134249900667004</v>
      </c>
      <c r="R22" s="26">
        <f t="shared" si="10"/>
        <v>0.49496472663139329</v>
      </c>
      <c r="S22" s="26">
        <f t="shared" si="10"/>
        <v>0.64224691358024677</v>
      </c>
      <c r="T22" s="26">
        <f t="shared" si="10"/>
        <v>1.3195962437071223E-3</v>
      </c>
      <c r="U22" s="26">
        <f t="shared" si="10"/>
        <v>5.4325396825396818E-2</v>
      </c>
      <c r="V22" s="26">
        <f t="shared" si="10"/>
        <v>4.834960317460317E-2</v>
      </c>
      <c r="W22" s="26">
        <f t="shared" si="10"/>
        <v>102.0766279626569</v>
      </c>
      <c r="X22" s="26">
        <f t="shared" si="10"/>
        <v>1.3655392188280756E-2</v>
      </c>
      <c r="Y22" s="26">
        <f t="shared" si="10"/>
        <v>6.1013456790123446E-2</v>
      </c>
    </row>
    <row r="23" spans="1:25">
      <c r="A23" s="17" t="s">
        <v>28</v>
      </c>
      <c r="B23" s="97"/>
      <c r="C23" s="22"/>
      <c r="D23" s="22"/>
      <c r="E23" s="23"/>
      <c r="F23" s="23"/>
      <c r="G23" s="23"/>
      <c r="H23" s="23"/>
      <c r="I23" s="23"/>
      <c r="J23" s="24"/>
      <c r="K23" s="25"/>
      <c r="L23" s="23"/>
      <c r="M23" s="23"/>
      <c r="N23" s="88"/>
      <c r="O23" s="88"/>
      <c r="P23" s="88"/>
      <c r="Q23" s="27">
        <f t="shared" ref="Q23:Y23" si="11">SUM(Q20:Q22)</f>
        <v>2.0380978171743473</v>
      </c>
      <c r="R23" s="27">
        <f t="shared" si="11"/>
        <v>6.3369156629757981</v>
      </c>
      <c r="S23" s="27">
        <f t="shared" si="11"/>
        <v>14.527281198742893</v>
      </c>
      <c r="T23" s="27">
        <f t="shared" si="11"/>
        <v>3.1302344240674157E-2</v>
      </c>
      <c r="U23" s="27">
        <f t="shared" si="11"/>
        <v>0.51899279355483463</v>
      </c>
      <c r="V23" s="27">
        <f t="shared" si="11"/>
        <v>0.4619035862638029</v>
      </c>
      <c r="W23" s="27">
        <f t="shared" si="11"/>
        <v>2766.8032779550604</v>
      </c>
      <c r="X23" s="27">
        <f t="shared" si="11"/>
        <v>0.18389431983142221</v>
      </c>
      <c r="Y23" s="27">
        <f t="shared" si="11"/>
        <v>1.3800917138805748</v>
      </c>
    </row>
    <row r="24" spans="1:25">
      <c r="A24" s="17" t="s">
        <v>499</v>
      </c>
      <c r="B24" s="549"/>
      <c r="C24" s="18"/>
      <c r="D24" s="22"/>
      <c r="E24" s="19"/>
      <c r="F24" s="19"/>
      <c r="G24" s="19"/>
      <c r="H24" s="19"/>
      <c r="I24" s="19"/>
      <c r="J24" s="19"/>
      <c r="K24" s="19"/>
      <c r="L24" s="19"/>
      <c r="M24" s="19"/>
      <c r="N24" s="30"/>
      <c r="O24" s="30"/>
      <c r="P24" s="364"/>
      <c r="Q24" s="20">
        <f>Q11+Q17+Q23</f>
        <v>3.7865687832549368</v>
      </c>
      <c r="R24" s="20">
        <f t="shared" ref="R24:Y24" si="12">R11+R17+R23</f>
        <v>12.19867391964868</v>
      </c>
      <c r="S24" s="20">
        <f t="shared" si="12"/>
        <v>24.140121079522885</v>
      </c>
      <c r="T24" s="20">
        <f t="shared" si="12"/>
        <v>5.0144594541932611E-2</v>
      </c>
      <c r="U24" s="20">
        <f t="shared" si="12"/>
        <v>1.0024123338687627</v>
      </c>
      <c r="V24" s="20">
        <f t="shared" si="12"/>
        <v>0.8921469771431989</v>
      </c>
      <c r="W24" s="20">
        <f t="shared" si="12"/>
        <v>4377.7830440041953</v>
      </c>
      <c r="X24" s="20">
        <f t="shared" si="12"/>
        <v>0.35371622613562959</v>
      </c>
      <c r="Y24" s="20">
        <f t="shared" si="12"/>
        <v>2.293311502554674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4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649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C9*(F9)*$B$260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C10*(F10)*$B$260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334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C14*(F14)*$B$202</f>
        <v>0</v>
      </c>
      <c r="AA14" s="50">
        <f>Z14*0.21</f>
        <v>0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0.19978255106729004</v>
      </c>
      <c r="U15" s="81">
        <f t="shared" si="1"/>
        <v>0.36881875565943734</v>
      </c>
      <c r="V15" s="81">
        <f t="shared" si="1"/>
        <v>4.50613455258927E-2</v>
      </c>
      <c r="W15" s="81">
        <f t="shared" si="1"/>
        <v>2.7797226812149543E-3</v>
      </c>
      <c r="X15" s="81">
        <f t="shared" si="1"/>
        <v>7.2738929740302244E-2</v>
      </c>
      <c r="Y15" s="81">
        <f t="shared" si="1"/>
        <v>4.8332197965954803E-2</v>
      </c>
      <c r="Z15" s="81">
        <f t="shared" si="1"/>
        <v>0</v>
      </c>
      <c r="AA15" s="81">
        <f t="shared" si="1"/>
        <v>0</v>
      </c>
      <c r="AB15" s="81">
        <f t="shared" si="1"/>
        <v>193.62821118051326</v>
      </c>
      <c r="AC15" s="81">
        <f t="shared" si="1"/>
        <v>1.1064496871488068E-2</v>
      </c>
      <c r="AD15" s="81">
        <f t="shared" si="1"/>
        <v>4.9599802576000274E-3</v>
      </c>
    </row>
    <row r="16" spans="1:30">
      <c r="A16" s="75"/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</row>
    <row r="17" spans="1:30">
      <c r="A17" s="114" t="s">
        <v>336</v>
      </c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61"/>
      <c r="U17" s="61"/>
      <c r="V17" s="61"/>
      <c r="W17" s="61"/>
      <c r="X17" s="61"/>
      <c r="Y17" s="61"/>
      <c r="Z17" s="62"/>
      <c r="AA17" s="62"/>
      <c r="AB17" s="62"/>
      <c r="AC17" s="62"/>
      <c r="AD17" s="62"/>
    </row>
    <row r="18" spans="1:30">
      <c r="A18" s="78" t="s">
        <v>320</v>
      </c>
      <c r="B18" s="76" t="s">
        <v>95</v>
      </c>
      <c r="C18" s="79">
        <v>3</v>
      </c>
      <c r="D18" s="77"/>
      <c r="E18" s="77">
        <v>35</v>
      </c>
      <c r="F18" s="77">
        <v>60</v>
      </c>
      <c r="G18" s="106">
        <v>0.25172046482947802</v>
      </c>
      <c r="H18" s="106">
        <v>0.464701387165456</v>
      </c>
      <c r="I18" s="106">
        <v>5.6776043658582402E-2</v>
      </c>
      <c r="J18" s="106">
        <v>3.5023733638119199E-3</v>
      </c>
      <c r="K18" s="106">
        <v>4.6899256897933901E-2</v>
      </c>
      <c r="L18" s="47">
        <v>7.99995847163921E-3</v>
      </c>
      <c r="M18" s="47">
        <v>3.6749815577381599E-2</v>
      </c>
      <c r="N18" s="106">
        <v>4.3147317248333997E-2</v>
      </c>
      <c r="O18" s="47">
        <v>1.9999896145790402E-3</v>
      </c>
      <c r="P18" s="47">
        <v>1.57499200131354E-2</v>
      </c>
      <c r="Q18" s="106">
        <v>243.966167526025</v>
      </c>
      <c r="R18" s="47">
        <f>0.000057143*Q18</f>
        <v>1.3940958710939646E-2</v>
      </c>
      <c r="S18" s="80">
        <f>0.000025616*Q18</f>
        <v>6.2494373473466567E-3</v>
      </c>
      <c r="T18" s="50">
        <f>C18*($F18*$G18)/453.59</f>
        <v>9.9891275533645019E-2</v>
      </c>
      <c r="U18" s="50">
        <f>C18*($F18*$H18)/453.59</f>
        <v>0.18440937782971867</v>
      </c>
      <c r="V18" s="50">
        <f>C18*(($F18*$I18))/453.59</f>
        <v>2.253067276294635E-2</v>
      </c>
      <c r="W18" s="50">
        <f>C18*($F18*$J18)/453.59</f>
        <v>1.3898613406074772E-3</v>
      </c>
      <c r="X18" s="50">
        <f>C18*(($F18*($K18+$L18+$M18)))/453.59</f>
        <v>3.6369464870151122E-2</v>
      </c>
      <c r="Y18" s="50">
        <f>C18*(($F18*($N18+$O18+$P18)))/453.59</f>
        <v>2.4166098982977401E-2</v>
      </c>
      <c r="Z18" s="50">
        <f>C18*(F18)*$B$285</f>
        <v>0</v>
      </c>
      <c r="AA18" s="50">
        <f>Z18*0.21</f>
        <v>0</v>
      </c>
      <c r="AB18" s="50">
        <f>C18*(($F18*($Q18)))/453.59</f>
        <v>96.814105590256631</v>
      </c>
      <c r="AC18" s="50">
        <f>C18*(($F18*($R18)))/453.59</f>
        <v>5.5322484357440338E-3</v>
      </c>
      <c r="AD18" s="50">
        <f>C18*(($F18*($S18)))/453.59</f>
        <v>2.4799901288000137E-3</v>
      </c>
    </row>
    <row r="19" spans="1:30">
      <c r="A19" s="75" t="s">
        <v>28</v>
      </c>
      <c r="B19" s="74"/>
      <c r="C19" s="112"/>
      <c r="D19" s="112"/>
      <c r="E19" s="74"/>
      <c r="F19" s="74"/>
      <c r="G19" s="577"/>
      <c r="H19" s="41"/>
      <c r="I19" s="41"/>
      <c r="J19" s="41"/>
      <c r="K19" s="574"/>
      <c r="L19" s="574"/>
      <c r="M19" s="574"/>
      <c r="N19" s="574"/>
      <c r="O19" s="574"/>
      <c r="P19" s="574"/>
      <c r="Q19" s="41"/>
      <c r="R19" s="574"/>
      <c r="S19" s="574"/>
      <c r="T19" s="81">
        <f t="shared" ref="T19:AD19" si="2">SUM(T18:T18)</f>
        <v>9.9891275533645019E-2</v>
      </c>
      <c r="U19" s="81">
        <f t="shared" si="2"/>
        <v>0.18440937782971867</v>
      </c>
      <c r="V19" s="81">
        <f t="shared" si="2"/>
        <v>2.253067276294635E-2</v>
      </c>
      <c r="W19" s="81">
        <f t="shared" si="2"/>
        <v>1.3898613406074772E-3</v>
      </c>
      <c r="X19" s="81">
        <f t="shared" si="2"/>
        <v>3.6369464870151122E-2</v>
      </c>
      <c r="Y19" s="81">
        <f t="shared" si="2"/>
        <v>2.4166098982977401E-2</v>
      </c>
      <c r="Z19" s="81">
        <f t="shared" si="2"/>
        <v>0</v>
      </c>
      <c r="AA19" s="81">
        <f t="shared" si="2"/>
        <v>0</v>
      </c>
      <c r="AB19" s="81">
        <f t="shared" si="2"/>
        <v>96.814105590256631</v>
      </c>
      <c r="AC19" s="81">
        <f t="shared" si="2"/>
        <v>5.5322484357440338E-3</v>
      </c>
      <c r="AD19" s="81">
        <f t="shared" si="2"/>
        <v>2.4799901288000137E-3</v>
      </c>
    </row>
    <row r="20" spans="1:30">
      <c r="A20" s="75" t="s">
        <v>388</v>
      </c>
      <c r="B20" s="74"/>
      <c r="C20" s="112"/>
      <c r="D20" s="112"/>
      <c r="E20" s="74"/>
      <c r="F20" s="74"/>
      <c r="G20" s="547"/>
      <c r="H20" s="41"/>
      <c r="I20" s="41"/>
      <c r="J20" s="41"/>
      <c r="K20" s="544"/>
      <c r="L20" s="544"/>
      <c r="M20" s="544"/>
      <c r="N20" s="544"/>
      <c r="O20" s="544"/>
      <c r="P20" s="544"/>
      <c r="Q20" s="41"/>
      <c r="R20" s="544"/>
      <c r="S20" s="544"/>
      <c r="T20" s="81">
        <f>T11+T15+T19</f>
        <v>0.59051106942383247</v>
      </c>
      <c r="U20" s="81">
        <f t="shared" ref="U20:AD20" si="3">U11+U15+U19</f>
        <v>1.6144243701047405</v>
      </c>
      <c r="V20" s="81">
        <f t="shared" si="3"/>
        <v>0.13641650277605957</v>
      </c>
      <c r="W20" s="81">
        <f t="shared" si="3"/>
        <v>7.448696536397589E-3</v>
      </c>
      <c r="X20" s="81">
        <f t="shared" si="3"/>
        <v>0.17535848125533138</v>
      </c>
      <c r="Y20" s="81">
        <f t="shared" si="3"/>
        <v>0.11867638057804074</v>
      </c>
      <c r="Z20" s="81">
        <f t="shared" si="3"/>
        <v>0</v>
      </c>
      <c r="AA20" s="81">
        <f t="shared" si="3"/>
        <v>0</v>
      </c>
      <c r="AB20" s="81">
        <f t="shared" si="3"/>
        <v>688.97843208459187</v>
      </c>
      <c r="AC20" s="81">
        <f t="shared" si="3"/>
        <v>2.4816045271017211E-2</v>
      </c>
      <c r="AD20" s="81">
        <f t="shared" si="3"/>
        <v>1.7648871516278905E-2</v>
      </c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372" spans="1:2" ht="25.5">
      <c r="A372" s="82" t="s">
        <v>109</v>
      </c>
    </row>
    <row r="374" spans="1:2">
      <c r="A374" s="36" t="s">
        <v>81</v>
      </c>
    </row>
    <row r="375" spans="1:2">
      <c r="A375" s="36" t="s">
        <v>82</v>
      </c>
    </row>
    <row r="376" spans="1:2">
      <c r="A376" s="36" t="s">
        <v>83</v>
      </c>
    </row>
    <row r="377" spans="1:2">
      <c r="A377" s="37" t="s">
        <v>96</v>
      </c>
    </row>
    <row r="378" spans="1:2">
      <c r="A378" s="36" t="s">
        <v>85</v>
      </c>
    </row>
    <row r="379" spans="1:2">
      <c r="A379" s="36" t="s">
        <v>86</v>
      </c>
    </row>
    <row r="380" spans="1:2">
      <c r="A380" s="36" t="s">
        <v>87</v>
      </c>
    </row>
    <row r="381" spans="1:2">
      <c r="A381" s="36" t="s">
        <v>0</v>
      </c>
    </row>
    <row r="382" spans="1:2">
      <c r="A382" s="37" t="s">
        <v>97</v>
      </c>
      <c r="B382" s="36">
        <f>(0.016*(0.03/2)^0.65*(2/3)^1.5)-0.00047</f>
        <v>9.8123053326417428E-5</v>
      </c>
    </row>
    <row r="383" spans="1:2">
      <c r="A383" s="37" t="s">
        <v>98</v>
      </c>
      <c r="B383" s="36">
        <f>(0.016*(0.03/2)^0.65*(13/3)^1.5)-0.00047</f>
        <v>8.9448292388582783E-3</v>
      </c>
    </row>
    <row r="384" spans="1:2">
      <c r="A384" s="37" t="s">
        <v>99</v>
      </c>
      <c r="B384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650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67" ht="25.5">
      <c r="A5" s="44" t="s">
        <v>334</v>
      </c>
      <c r="B5" s="45" t="s">
        <v>102</v>
      </c>
      <c r="C5" s="46">
        <v>10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336</v>
      </c>
      <c r="B6" s="45" t="s">
        <v>102</v>
      </c>
      <c r="C6" s="46">
        <v>8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546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2">AG$11*$AC16</f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>AR$11*$AC16</f>
        <v>#REF!</v>
      </c>
      <c r="AS16" s="36" t="e">
        <f t="shared" ref="AS16:BA24" si="3">AS$11*$AC16</f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4">AF$11*$AC17</f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ref="AR17:AR24" si="5">AR$11*$AC17</f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6">AF$11*$AC27</f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ref="AR27:BA35" si="7">AR$11*$AC27</f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8">AF$11*$AC38</f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ref="AR38:BA46" si="9">AR$11*$AC38</f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0">AF16+AF18+AF19</f>
        <v>#REF!</v>
      </c>
      <c r="AG51" s="70" t="e">
        <f t="shared" si="10"/>
        <v>#REF!</v>
      </c>
      <c r="AH51" s="70" t="e">
        <f t="shared" si="10"/>
        <v>#REF!</v>
      </c>
      <c r="AI51" s="70" t="e">
        <f t="shared" si="10"/>
        <v>#REF!</v>
      </c>
      <c r="AJ51" s="70" t="e">
        <f t="shared" si="10"/>
        <v>#REF!</v>
      </c>
      <c r="AK51" s="70" t="e">
        <f t="shared" si="10"/>
        <v>#REF!</v>
      </c>
      <c r="AL51" s="70" t="e">
        <f t="shared" si="10"/>
        <v>#REF!</v>
      </c>
      <c r="AM51" s="70" t="e">
        <f t="shared" si="10"/>
        <v>#REF!</v>
      </c>
      <c r="AN51" s="70" t="e">
        <f t="shared" si="10"/>
        <v>#REF!</v>
      </c>
      <c r="AO51" s="70" t="e">
        <f t="shared" si="10"/>
        <v>#REF!</v>
      </c>
      <c r="AP51" s="70"/>
      <c r="AQ51" s="70"/>
      <c r="AR51" s="70" t="e">
        <f t="shared" ref="AR51:BA51" si="11">AR16+AR18+AR19</f>
        <v>#REF!</v>
      </c>
      <c r="AS51" s="70" t="e">
        <f t="shared" si="11"/>
        <v>#REF!</v>
      </c>
      <c r="AT51" s="70" t="e">
        <f t="shared" si="11"/>
        <v>#REF!</v>
      </c>
      <c r="AU51" s="70" t="e">
        <f t="shared" si="11"/>
        <v>#REF!</v>
      </c>
      <c r="AV51" s="70" t="e">
        <f t="shared" si="11"/>
        <v>#REF!</v>
      </c>
      <c r="AW51" s="70" t="e">
        <f t="shared" si="11"/>
        <v>#REF!</v>
      </c>
      <c r="AX51" s="70" t="e">
        <f t="shared" si="11"/>
        <v>#REF!</v>
      </c>
      <c r="AY51" s="70" t="e">
        <f t="shared" si="11"/>
        <v>#REF!</v>
      </c>
      <c r="AZ51" s="70" t="e">
        <f t="shared" si="11"/>
        <v>#REF!</v>
      </c>
      <c r="BA51" s="70" t="e">
        <f t="shared" si="11"/>
        <v>#REF!</v>
      </c>
    </row>
    <row r="52" spans="27:53" hidden="1">
      <c r="AA52" s="71" t="s">
        <v>41</v>
      </c>
      <c r="AB52" s="35"/>
      <c r="AF52" s="70" t="e">
        <f t="shared" ref="AF52:AO52" si="12">AF27+AF29+AF30</f>
        <v>#REF!</v>
      </c>
      <c r="AG52" s="70" t="e">
        <f t="shared" si="12"/>
        <v>#REF!</v>
      </c>
      <c r="AH52" s="70" t="e">
        <f t="shared" si="12"/>
        <v>#REF!</v>
      </c>
      <c r="AI52" s="70" t="e">
        <f t="shared" si="12"/>
        <v>#REF!</v>
      </c>
      <c r="AJ52" s="70" t="e">
        <f t="shared" si="12"/>
        <v>#REF!</v>
      </c>
      <c r="AK52" s="70" t="e">
        <f t="shared" si="12"/>
        <v>#REF!</v>
      </c>
      <c r="AL52" s="70" t="e">
        <f t="shared" si="12"/>
        <v>#REF!</v>
      </c>
      <c r="AM52" s="70" t="e">
        <f t="shared" si="12"/>
        <v>#REF!</v>
      </c>
      <c r="AN52" s="70" t="e">
        <f t="shared" si="12"/>
        <v>#REF!</v>
      </c>
      <c r="AO52" s="70" t="e">
        <f t="shared" si="12"/>
        <v>#REF!</v>
      </c>
      <c r="AP52" s="70"/>
      <c r="AQ52" s="70"/>
      <c r="AR52" s="70" t="e">
        <f t="shared" ref="AR52:BA52" si="13">AR27+AR29+AR30</f>
        <v>#REF!</v>
      </c>
      <c r="AS52" s="70" t="e">
        <f t="shared" si="13"/>
        <v>#REF!</v>
      </c>
      <c r="AT52" s="70" t="e">
        <f t="shared" si="13"/>
        <v>#REF!</v>
      </c>
      <c r="AU52" s="70" t="e">
        <f t="shared" si="13"/>
        <v>#REF!</v>
      </c>
      <c r="AV52" s="70" t="e">
        <f t="shared" si="13"/>
        <v>#REF!</v>
      </c>
      <c r="AW52" s="70" t="e">
        <f t="shared" si="13"/>
        <v>#REF!</v>
      </c>
      <c r="AX52" s="70" t="e">
        <f t="shared" si="13"/>
        <v>#REF!</v>
      </c>
      <c r="AY52" s="70" t="e">
        <f t="shared" si="13"/>
        <v>#REF!</v>
      </c>
      <c r="AZ52" s="70" t="e">
        <f t="shared" si="13"/>
        <v>#REF!</v>
      </c>
      <c r="BA52" s="70" t="e">
        <f t="shared" si="13"/>
        <v>#REF!</v>
      </c>
    </row>
    <row r="53" spans="27:53" hidden="1">
      <c r="AA53" s="71" t="s">
        <v>42</v>
      </c>
      <c r="AB53" s="35"/>
      <c r="AF53" s="70" t="e">
        <f t="shared" ref="AF53:AO53" si="14">AF38+AF40+AF41</f>
        <v>#REF!</v>
      </c>
      <c r="AG53" s="70" t="e">
        <f t="shared" si="14"/>
        <v>#REF!</v>
      </c>
      <c r="AH53" s="70" t="e">
        <f t="shared" si="14"/>
        <v>#REF!</v>
      </c>
      <c r="AI53" s="70" t="e">
        <f t="shared" si="14"/>
        <v>#REF!</v>
      </c>
      <c r="AJ53" s="70" t="e">
        <f t="shared" si="14"/>
        <v>#REF!</v>
      </c>
      <c r="AK53" s="70" t="e">
        <f t="shared" si="14"/>
        <v>#REF!</v>
      </c>
      <c r="AL53" s="70" t="e">
        <f t="shared" si="14"/>
        <v>#REF!</v>
      </c>
      <c r="AM53" s="70" t="e">
        <f t="shared" si="14"/>
        <v>#REF!</v>
      </c>
      <c r="AN53" s="70" t="e">
        <f t="shared" si="14"/>
        <v>#REF!</v>
      </c>
      <c r="AO53" s="70" t="e">
        <f t="shared" si="14"/>
        <v>#REF!</v>
      </c>
      <c r="AP53" s="70"/>
      <c r="AQ53" s="70"/>
      <c r="AR53" s="70" t="e">
        <f t="shared" ref="AR53:BA53" si="15">AR38+AR40+AR41</f>
        <v>#REF!</v>
      </c>
      <c r="AS53" s="70" t="e">
        <f t="shared" si="15"/>
        <v>#REF!</v>
      </c>
      <c r="AT53" s="70" t="e">
        <f t="shared" si="15"/>
        <v>#REF!</v>
      </c>
      <c r="AU53" s="70" t="e">
        <f t="shared" si="15"/>
        <v>#REF!</v>
      </c>
      <c r="AV53" s="70" t="e">
        <f t="shared" si="15"/>
        <v>#REF!</v>
      </c>
      <c r="AW53" s="70" t="e">
        <f t="shared" si="15"/>
        <v>#REF!</v>
      </c>
      <c r="AX53" s="70" t="e">
        <f t="shared" si="15"/>
        <v>#REF!</v>
      </c>
      <c r="AY53" s="70" t="e">
        <f t="shared" si="15"/>
        <v>#REF!</v>
      </c>
      <c r="AZ53" s="70" t="e">
        <f t="shared" si="15"/>
        <v>#REF!</v>
      </c>
      <c r="BA53" s="70" t="e">
        <f t="shared" si="15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6">AF16+AF18+AF20+AF22</f>
        <v>#REF!</v>
      </c>
      <c r="AG55" s="70" t="e">
        <f t="shared" si="16"/>
        <v>#REF!</v>
      </c>
      <c r="AH55" s="70" t="e">
        <f t="shared" si="16"/>
        <v>#REF!</v>
      </c>
      <c r="AI55" s="70" t="e">
        <f t="shared" si="16"/>
        <v>#REF!</v>
      </c>
      <c r="AJ55" s="70" t="e">
        <f t="shared" si="16"/>
        <v>#REF!</v>
      </c>
      <c r="AK55" s="70" t="e">
        <f t="shared" si="16"/>
        <v>#REF!</v>
      </c>
      <c r="AL55" s="70" t="e">
        <f t="shared" si="16"/>
        <v>#REF!</v>
      </c>
      <c r="AM55" s="70" t="e">
        <f t="shared" si="16"/>
        <v>#REF!</v>
      </c>
      <c r="AN55" s="70" t="e">
        <f t="shared" si="16"/>
        <v>#REF!</v>
      </c>
      <c r="AO55" s="70" t="e">
        <f t="shared" si="16"/>
        <v>#REF!</v>
      </c>
      <c r="AP55" s="70"/>
      <c r="AQ55" s="70"/>
      <c r="AR55" s="70" t="e">
        <f t="shared" ref="AR55:BA55" si="17">AR16+AR18+AR20+AR22</f>
        <v>#REF!</v>
      </c>
      <c r="AS55" s="70" t="e">
        <f t="shared" si="17"/>
        <v>#REF!</v>
      </c>
      <c r="AT55" s="70" t="e">
        <f t="shared" si="17"/>
        <v>#REF!</v>
      </c>
      <c r="AU55" s="70" t="e">
        <f t="shared" si="17"/>
        <v>#REF!</v>
      </c>
      <c r="AV55" s="70" t="e">
        <f t="shared" si="17"/>
        <v>#REF!</v>
      </c>
      <c r="AW55" s="70" t="e">
        <f t="shared" si="17"/>
        <v>#REF!</v>
      </c>
      <c r="AX55" s="70" t="e">
        <f t="shared" si="17"/>
        <v>#REF!</v>
      </c>
      <c r="AY55" s="70" t="e">
        <f t="shared" si="17"/>
        <v>#REF!</v>
      </c>
      <c r="AZ55" s="70" t="e">
        <f t="shared" si="17"/>
        <v>#REF!</v>
      </c>
      <c r="BA55" s="70" t="e">
        <f t="shared" si="17"/>
        <v>#REF!</v>
      </c>
    </row>
    <row r="56" spans="27:53" hidden="1">
      <c r="AA56" s="71" t="s">
        <v>41</v>
      </c>
      <c r="AB56" s="35"/>
      <c r="AF56" s="70" t="e">
        <f t="shared" ref="AF56:AO56" si="18">AF27+AF29+AF31+AF33</f>
        <v>#REF!</v>
      </c>
      <c r="AG56" s="70" t="e">
        <f t="shared" si="18"/>
        <v>#REF!</v>
      </c>
      <c r="AH56" s="70" t="e">
        <f t="shared" si="18"/>
        <v>#REF!</v>
      </c>
      <c r="AI56" s="70" t="e">
        <f t="shared" si="18"/>
        <v>#REF!</v>
      </c>
      <c r="AJ56" s="70" t="e">
        <f t="shared" si="18"/>
        <v>#REF!</v>
      </c>
      <c r="AK56" s="70" t="e">
        <f t="shared" si="18"/>
        <v>#REF!</v>
      </c>
      <c r="AL56" s="70" t="e">
        <f t="shared" si="18"/>
        <v>#REF!</v>
      </c>
      <c r="AM56" s="70" t="e">
        <f t="shared" si="18"/>
        <v>#REF!</v>
      </c>
      <c r="AN56" s="70" t="e">
        <f t="shared" si="18"/>
        <v>#REF!</v>
      </c>
      <c r="AO56" s="70" t="e">
        <f t="shared" si="18"/>
        <v>#REF!</v>
      </c>
      <c r="AP56" s="70"/>
      <c r="AQ56" s="70"/>
      <c r="AR56" s="70" t="e">
        <f t="shared" ref="AR56:BA56" si="19">AR27+AR29+AR31+AR33</f>
        <v>#REF!</v>
      </c>
      <c r="AS56" s="70" t="e">
        <f t="shared" si="19"/>
        <v>#REF!</v>
      </c>
      <c r="AT56" s="70" t="e">
        <f t="shared" si="19"/>
        <v>#REF!</v>
      </c>
      <c r="AU56" s="70" t="e">
        <f t="shared" si="19"/>
        <v>#REF!</v>
      </c>
      <c r="AV56" s="70" t="e">
        <f t="shared" si="19"/>
        <v>#REF!</v>
      </c>
      <c r="AW56" s="70" t="e">
        <f t="shared" si="19"/>
        <v>#REF!</v>
      </c>
      <c r="AX56" s="70" t="e">
        <f t="shared" si="19"/>
        <v>#REF!</v>
      </c>
      <c r="AY56" s="70" t="e">
        <f t="shared" si="19"/>
        <v>#REF!</v>
      </c>
      <c r="AZ56" s="70" t="e">
        <f t="shared" si="19"/>
        <v>#REF!</v>
      </c>
      <c r="BA56" s="70" t="e">
        <f t="shared" si="19"/>
        <v>#REF!</v>
      </c>
    </row>
    <row r="57" spans="27:53" hidden="1">
      <c r="AA57" s="71" t="s">
        <v>42</v>
      </c>
      <c r="AB57" s="35"/>
      <c r="AF57" s="70" t="e">
        <f t="shared" ref="AF57:AO57" si="20">AF38+AF40+AF42+AF44</f>
        <v>#REF!</v>
      </c>
      <c r="AG57" s="70" t="e">
        <f t="shared" si="20"/>
        <v>#REF!</v>
      </c>
      <c r="AH57" s="70" t="e">
        <f t="shared" si="20"/>
        <v>#REF!</v>
      </c>
      <c r="AI57" s="70" t="e">
        <f t="shared" si="20"/>
        <v>#REF!</v>
      </c>
      <c r="AJ57" s="70" t="e">
        <f t="shared" si="20"/>
        <v>#REF!</v>
      </c>
      <c r="AK57" s="70" t="e">
        <f t="shared" si="20"/>
        <v>#REF!</v>
      </c>
      <c r="AL57" s="70" t="e">
        <f t="shared" si="20"/>
        <v>#REF!</v>
      </c>
      <c r="AM57" s="70" t="e">
        <f t="shared" si="20"/>
        <v>#REF!</v>
      </c>
      <c r="AN57" s="70" t="e">
        <f t="shared" si="20"/>
        <v>#REF!</v>
      </c>
      <c r="AO57" s="70" t="e">
        <f t="shared" si="20"/>
        <v>#REF!</v>
      </c>
      <c r="AP57" s="70"/>
      <c r="AQ57" s="70"/>
      <c r="AR57" s="70" t="e">
        <f t="shared" ref="AR57:BA57" si="21">AR38+AR40+AR42+AR44</f>
        <v>#REF!</v>
      </c>
      <c r="AS57" s="70" t="e">
        <f t="shared" si="21"/>
        <v>#REF!</v>
      </c>
      <c r="AT57" s="70" t="e">
        <f t="shared" si="21"/>
        <v>#REF!</v>
      </c>
      <c r="AU57" s="70" t="e">
        <f t="shared" si="21"/>
        <v>#REF!</v>
      </c>
      <c r="AV57" s="70" t="e">
        <f t="shared" si="21"/>
        <v>#REF!</v>
      </c>
      <c r="AW57" s="70" t="e">
        <f t="shared" si="21"/>
        <v>#REF!</v>
      </c>
      <c r="AX57" s="70" t="e">
        <f t="shared" si="21"/>
        <v>#REF!</v>
      </c>
      <c r="AY57" s="70" t="e">
        <f t="shared" si="21"/>
        <v>#REF!</v>
      </c>
      <c r="AZ57" s="70" t="e">
        <f t="shared" si="21"/>
        <v>#REF!</v>
      </c>
      <c r="BA57" s="70" t="e">
        <f t="shared" si="21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2">AF16+AF18+AF20+AF21+AF23</f>
        <v>#REF!</v>
      </c>
      <c r="AG59" s="70" t="e">
        <f t="shared" si="22"/>
        <v>#REF!</v>
      </c>
      <c r="AH59" s="70" t="e">
        <f t="shared" si="22"/>
        <v>#REF!</v>
      </c>
      <c r="AI59" s="70" t="e">
        <f t="shared" si="22"/>
        <v>#REF!</v>
      </c>
      <c r="AJ59" s="70" t="e">
        <f t="shared" si="22"/>
        <v>#REF!</v>
      </c>
      <c r="AK59" s="70" t="e">
        <f t="shared" si="22"/>
        <v>#REF!</v>
      </c>
      <c r="AL59" s="70" t="e">
        <f t="shared" si="22"/>
        <v>#REF!</v>
      </c>
      <c r="AM59" s="70" t="e">
        <f t="shared" si="22"/>
        <v>#REF!</v>
      </c>
      <c r="AN59" s="70" t="e">
        <f t="shared" si="22"/>
        <v>#REF!</v>
      </c>
      <c r="AO59" s="70" t="e">
        <f t="shared" si="22"/>
        <v>#REF!</v>
      </c>
      <c r="AP59" s="70"/>
      <c r="AQ59" s="70"/>
      <c r="AR59" s="70" t="e">
        <f t="shared" ref="AR59:BA59" si="23">AR16+AR18+AR20+AR21+AR23</f>
        <v>#REF!</v>
      </c>
      <c r="AS59" s="70" t="e">
        <f t="shared" si="23"/>
        <v>#REF!</v>
      </c>
      <c r="AT59" s="70" t="e">
        <f t="shared" si="23"/>
        <v>#REF!</v>
      </c>
      <c r="AU59" s="70" t="e">
        <f t="shared" si="23"/>
        <v>#REF!</v>
      </c>
      <c r="AV59" s="70" t="e">
        <f t="shared" si="23"/>
        <v>#REF!</v>
      </c>
      <c r="AW59" s="70" t="e">
        <f t="shared" si="23"/>
        <v>#REF!</v>
      </c>
      <c r="AX59" s="70" t="e">
        <f t="shared" si="23"/>
        <v>#REF!</v>
      </c>
      <c r="AY59" s="70" t="e">
        <f t="shared" si="23"/>
        <v>#REF!</v>
      </c>
      <c r="AZ59" s="70" t="e">
        <f t="shared" si="23"/>
        <v>#REF!</v>
      </c>
      <c r="BA59" s="70" t="e">
        <f t="shared" si="23"/>
        <v>#REF!</v>
      </c>
    </row>
    <row r="60" spans="27:53" hidden="1">
      <c r="AA60" s="71" t="s">
        <v>41</v>
      </c>
      <c r="AB60" s="35"/>
      <c r="AF60" s="70" t="e">
        <f t="shared" ref="AF60:AO60" si="24">AF27+AF29+AF31+AF32+AF34</f>
        <v>#REF!</v>
      </c>
      <c r="AG60" s="70" t="e">
        <f t="shared" si="24"/>
        <v>#REF!</v>
      </c>
      <c r="AH60" s="70" t="e">
        <f t="shared" si="24"/>
        <v>#REF!</v>
      </c>
      <c r="AI60" s="70" t="e">
        <f t="shared" si="24"/>
        <v>#REF!</v>
      </c>
      <c r="AJ60" s="70" t="e">
        <f t="shared" si="24"/>
        <v>#REF!</v>
      </c>
      <c r="AK60" s="70" t="e">
        <f t="shared" si="24"/>
        <v>#REF!</v>
      </c>
      <c r="AL60" s="70" t="e">
        <f t="shared" si="24"/>
        <v>#REF!</v>
      </c>
      <c r="AM60" s="70" t="e">
        <f t="shared" si="24"/>
        <v>#REF!</v>
      </c>
      <c r="AN60" s="70" t="e">
        <f t="shared" si="24"/>
        <v>#REF!</v>
      </c>
      <c r="AO60" s="70" t="e">
        <f t="shared" si="24"/>
        <v>#REF!</v>
      </c>
      <c r="AP60" s="70"/>
      <c r="AQ60" s="70"/>
      <c r="AR60" s="70" t="e">
        <f t="shared" ref="AR60:BA60" si="25">AR27+AR29+AR31+AR32+AR34</f>
        <v>#REF!</v>
      </c>
      <c r="AS60" s="70" t="e">
        <f t="shared" si="25"/>
        <v>#REF!</v>
      </c>
      <c r="AT60" s="70" t="e">
        <f t="shared" si="25"/>
        <v>#REF!</v>
      </c>
      <c r="AU60" s="70" t="e">
        <f t="shared" si="25"/>
        <v>#REF!</v>
      </c>
      <c r="AV60" s="70" t="e">
        <f t="shared" si="25"/>
        <v>#REF!</v>
      </c>
      <c r="AW60" s="70" t="e">
        <f t="shared" si="25"/>
        <v>#REF!</v>
      </c>
      <c r="AX60" s="70" t="e">
        <f t="shared" si="25"/>
        <v>#REF!</v>
      </c>
      <c r="AY60" s="70" t="e">
        <f t="shared" si="25"/>
        <v>#REF!</v>
      </c>
      <c r="AZ60" s="70" t="e">
        <f t="shared" si="25"/>
        <v>#REF!</v>
      </c>
      <c r="BA60" s="70" t="e">
        <f t="shared" si="25"/>
        <v>#REF!</v>
      </c>
    </row>
    <row r="61" spans="27:53" hidden="1">
      <c r="AA61" s="71" t="s">
        <v>42</v>
      </c>
      <c r="AB61" s="35"/>
      <c r="AF61" s="70" t="e">
        <f t="shared" ref="AF61:AO61" si="26">AF38+AF40+AF42+AF43+AF45</f>
        <v>#REF!</v>
      </c>
      <c r="AG61" s="70" t="e">
        <f t="shared" si="26"/>
        <v>#REF!</v>
      </c>
      <c r="AH61" s="70" t="e">
        <f t="shared" si="26"/>
        <v>#REF!</v>
      </c>
      <c r="AI61" s="70" t="e">
        <f t="shared" si="26"/>
        <v>#REF!</v>
      </c>
      <c r="AJ61" s="70" t="e">
        <f t="shared" si="26"/>
        <v>#REF!</v>
      </c>
      <c r="AK61" s="70" t="e">
        <f t="shared" si="26"/>
        <v>#REF!</v>
      </c>
      <c r="AL61" s="70" t="e">
        <f t="shared" si="26"/>
        <v>#REF!</v>
      </c>
      <c r="AM61" s="70" t="e">
        <f t="shared" si="26"/>
        <v>#REF!</v>
      </c>
      <c r="AN61" s="70" t="e">
        <f t="shared" si="26"/>
        <v>#REF!</v>
      </c>
      <c r="AO61" s="70" t="e">
        <f t="shared" si="26"/>
        <v>#REF!</v>
      </c>
      <c r="AP61" s="70"/>
      <c r="AQ61" s="70"/>
      <c r="AR61" s="70" t="e">
        <f t="shared" ref="AR61:BA61" si="27">AR38+AR40+AR42+AR43+AR45</f>
        <v>#REF!</v>
      </c>
      <c r="AS61" s="70" t="e">
        <f t="shared" si="27"/>
        <v>#REF!</v>
      </c>
      <c r="AT61" s="70" t="e">
        <f t="shared" si="27"/>
        <v>#REF!</v>
      </c>
      <c r="AU61" s="70" t="e">
        <f t="shared" si="27"/>
        <v>#REF!</v>
      </c>
      <c r="AV61" s="70" t="e">
        <f t="shared" si="27"/>
        <v>#REF!</v>
      </c>
      <c r="AW61" s="70" t="e">
        <f t="shared" si="27"/>
        <v>#REF!</v>
      </c>
      <c r="AX61" s="70" t="e">
        <f t="shared" si="27"/>
        <v>#REF!</v>
      </c>
      <c r="AY61" s="70" t="e">
        <f t="shared" si="27"/>
        <v>#REF!</v>
      </c>
      <c r="AZ61" s="70" t="e">
        <f t="shared" si="27"/>
        <v>#REF!</v>
      </c>
      <c r="BA61" s="70" t="e">
        <f t="shared" si="27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28">AF16+AF18+AF20+AF21+AF24</f>
        <v>#REF!</v>
      </c>
      <c r="AG63" s="70" t="e">
        <f t="shared" si="28"/>
        <v>#REF!</v>
      </c>
      <c r="AH63" s="70" t="e">
        <f t="shared" si="28"/>
        <v>#REF!</v>
      </c>
      <c r="AI63" s="70" t="e">
        <f t="shared" si="28"/>
        <v>#REF!</v>
      </c>
      <c r="AJ63" s="70" t="e">
        <f t="shared" si="28"/>
        <v>#REF!</v>
      </c>
      <c r="AK63" s="70" t="e">
        <f t="shared" si="28"/>
        <v>#REF!</v>
      </c>
      <c r="AL63" s="70" t="e">
        <f t="shared" si="28"/>
        <v>#REF!</v>
      </c>
      <c r="AM63" s="70" t="e">
        <f t="shared" si="28"/>
        <v>#REF!</v>
      </c>
      <c r="AN63" s="70" t="e">
        <f t="shared" si="28"/>
        <v>#REF!</v>
      </c>
      <c r="AO63" s="70" t="e">
        <f t="shared" si="28"/>
        <v>#REF!</v>
      </c>
      <c r="AP63" s="70"/>
      <c r="AQ63" s="70"/>
      <c r="AR63" s="70" t="e">
        <f t="shared" ref="AR63:BA63" si="29">AR16+AR18+AR20+AR21+AR24</f>
        <v>#REF!</v>
      </c>
      <c r="AS63" s="70" t="e">
        <f t="shared" si="29"/>
        <v>#REF!</v>
      </c>
      <c r="AT63" s="70" t="e">
        <f t="shared" si="29"/>
        <v>#REF!</v>
      </c>
      <c r="AU63" s="70" t="e">
        <f t="shared" si="29"/>
        <v>#REF!</v>
      </c>
      <c r="AV63" s="70" t="e">
        <f t="shared" si="29"/>
        <v>#REF!</v>
      </c>
      <c r="AW63" s="70" t="e">
        <f t="shared" si="29"/>
        <v>#REF!</v>
      </c>
      <c r="AX63" s="70" t="e">
        <f t="shared" si="29"/>
        <v>#REF!</v>
      </c>
      <c r="AY63" s="70" t="e">
        <f t="shared" si="29"/>
        <v>#REF!</v>
      </c>
      <c r="AZ63" s="70" t="e">
        <f t="shared" si="29"/>
        <v>#REF!</v>
      </c>
      <c r="BA63" s="70" t="e">
        <f t="shared" si="29"/>
        <v>#REF!</v>
      </c>
    </row>
    <row r="64" spans="27:53" hidden="1">
      <c r="AA64" s="71" t="s">
        <v>41</v>
      </c>
      <c r="AB64" s="35"/>
      <c r="AF64" s="70" t="e">
        <f t="shared" ref="AF64:AO64" si="30">AF27+AF29+AF31+AF32+AF35</f>
        <v>#REF!</v>
      </c>
      <c r="AG64" s="70" t="e">
        <f t="shared" si="30"/>
        <v>#REF!</v>
      </c>
      <c r="AH64" s="70" t="e">
        <f t="shared" si="30"/>
        <v>#REF!</v>
      </c>
      <c r="AI64" s="70" t="e">
        <f t="shared" si="30"/>
        <v>#REF!</v>
      </c>
      <c r="AJ64" s="70" t="e">
        <f t="shared" si="30"/>
        <v>#REF!</v>
      </c>
      <c r="AK64" s="70" t="e">
        <f t="shared" si="30"/>
        <v>#REF!</v>
      </c>
      <c r="AL64" s="70" t="e">
        <f t="shared" si="30"/>
        <v>#REF!</v>
      </c>
      <c r="AM64" s="70" t="e">
        <f t="shared" si="30"/>
        <v>#REF!</v>
      </c>
      <c r="AN64" s="70" t="e">
        <f t="shared" si="30"/>
        <v>#REF!</v>
      </c>
      <c r="AO64" s="70" t="e">
        <f t="shared" si="30"/>
        <v>#REF!</v>
      </c>
      <c r="AP64" s="70"/>
      <c r="AQ64" s="70"/>
      <c r="AR64" s="70" t="e">
        <f t="shared" ref="AR64:BA64" si="31">AR27+AR29+AR31+AR32+AR35</f>
        <v>#REF!</v>
      </c>
      <c r="AS64" s="70" t="e">
        <f t="shared" si="31"/>
        <v>#REF!</v>
      </c>
      <c r="AT64" s="70" t="e">
        <f t="shared" si="31"/>
        <v>#REF!</v>
      </c>
      <c r="AU64" s="70" t="e">
        <f t="shared" si="31"/>
        <v>#REF!</v>
      </c>
      <c r="AV64" s="70" t="e">
        <f t="shared" si="31"/>
        <v>#REF!</v>
      </c>
      <c r="AW64" s="70" t="e">
        <f t="shared" si="31"/>
        <v>#REF!</v>
      </c>
      <c r="AX64" s="70" t="e">
        <f t="shared" si="31"/>
        <v>#REF!</v>
      </c>
      <c r="AY64" s="70" t="e">
        <f t="shared" si="31"/>
        <v>#REF!</v>
      </c>
      <c r="AZ64" s="70" t="e">
        <f t="shared" si="31"/>
        <v>#REF!</v>
      </c>
      <c r="BA64" s="70" t="e">
        <f t="shared" si="31"/>
        <v>#REF!</v>
      </c>
    </row>
    <row r="65" spans="27:53" hidden="1">
      <c r="AA65" s="71" t="s">
        <v>42</v>
      </c>
      <c r="AB65" s="35"/>
      <c r="AF65" s="70" t="e">
        <f t="shared" ref="AF65:AO65" si="32">AF38+AF40+AF42+AF43+AF46</f>
        <v>#REF!</v>
      </c>
      <c r="AG65" s="70" t="e">
        <f t="shared" si="32"/>
        <v>#REF!</v>
      </c>
      <c r="AH65" s="70" t="e">
        <f t="shared" si="32"/>
        <v>#REF!</v>
      </c>
      <c r="AI65" s="70" t="e">
        <f t="shared" si="32"/>
        <v>#REF!</v>
      </c>
      <c r="AJ65" s="70" t="e">
        <f t="shared" si="32"/>
        <v>#REF!</v>
      </c>
      <c r="AK65" s="70" t="e">
        <f t="shared" si="32"/>
        <v>#REF!</v>
      </c>
      <c r="AL65" s="70" t="e">
        <f t="shared" si="32"/>
        <v>#REF!</v>
      </c>
      <c r="AM65" s="70" t="e">
        <f t="shared" si="32"/>
        <v>#REF!</v>
      </c>
      <c r="AN65" s="70" t="e">
        <f t="shared" si="32"/>
        <v>#REF!</v>
      </c>
      <c r="AO65" s="70" t="e">
        <f t="shared" si="32"/>
        <v>#REF!</v>
      </c>
      <c r="AP65" s="70"/>
      <c r="AQ65" s="70"/>
      <c r="AR65" s="70" t="e">
        <f t="shared" ref="AR65:BA65" si="33">AR38+AR40+AR42+AR43+AR46</f>
        <v>#REF!</v>
      </c>
      <c r="AS65" s="70" t="e">
        <f t="shared" si="33"/>
        <v>#REF!</v>
      </c>
      <c r="AT65" s="70" t="e">
        <f t="shared" si="33"/>
        <v>#REF!</v>
      </c>
      <c r="AU65" s="70" t="e">
        <f t="shared" si="33"/>
        <v>#REF!</v>
      </c>
      <c r="AV65" s="70" t="e">
        <f t="shared" si="33"/>
        <v>#REF!</v>
      </c>
      <c r="AW65" s="70" t="e">
        <f t="shared" si="33"/>
        <v>#REF!</v>
      </c>
      <c r="AX65" s="70" t="e">
        <f t="shared" si="33"/>
        <v>#REF!</v>
      </c>
      <c r="AY65" s="70" t="e">
        <f t="shared" si="33"/>
        <v>#REF!</v>
      </c>
      <c r="AZ65" s="70" t="e">
        <f t="shared" si="33"/>
        <v>#REF!</v>
      </c>
      <c r="BA65" s="70" t="e">
        <f t="shared" si="33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4">AF16+AF17+AF22</f>
        <v>#REF!</v>
      </c>
      <c r="AG67" s="70" t="e">
        <f t="shared" si="34"/>
        <v>#REF!</v>
      </c>
      <c r="AH67" s="70" t="e">
        <f t="shared" si="34"/>
        <v>#REF!</v>
      </c>
      <c r="AI67" s="70" t="e">
        <f t="shared" si="34"/>
        <v>#REF!</v>
      </c>
      <c r="AJ67" s="70" t="e">
        <f t="shared" si="34"/>
        <v>#REF!</v>
      </c>
      <c r="AK67" s="70" t="e">
        <f t="shared" si="34"/>
        <v>#REF!</v>
      </c>
      <c r="AL67" s="70" t="e">
        <f t="shared" si="34"/>
        <v>#REF!</v>
      </c>
      <c r="AM67" s="70" t="e">
        <f t="shared" si="34"/>
        <v>#REF!</v>
      </c>
      <c r="AN67" s="70" t="e">
        <f t="shared" si="34"/>
        <v>#REF!</v>
      </c>
      <c r="AO67" s="70" t="e">
        <f t="shared" si="34"/>
        <v>#REF!</v>
      </c>
      <c r="AP67" s="70"/>
      <c r="AQ67" s="70"/>
      <c r="AR67" s="70" t="e">
        <f t="shared" ref="AR67:BA67" si="35">AR16+AR17+AR22</f>
        <v>#REF!</v>
      </c>
      <c r="AS67" s="70" t="e">
        <f t="shared" si="35"/>
        <v>#REF!</v>
      </c>
      <c r="AT67" s="70" t="e">
        <f t="shared" si="35"/>
        <v>#REF!</v>
      </c>
      <c r="AU67" s="70" t="e">
        <f t="shared" si="35"/>
        <v>#REF!</v>
      </c>
      <c r="AV67" s="70" t="e">
        <f t="shared" si="35"/>
        <v>#REF!</v>
      </c>
      <c r="AW67" s="70" t="e">
        <f t="shared" si="35"/>
        <v>#REF!</v>
      </c>
      <c r="AX67" s="70" t="e">
        <f t="shared" si="35"/>
        <v>#REF!</v>
      </c>
      <c r="AY67" s="70" t="e">
        <f t="shared" si="35"/>
        <v>#REF!</v>
      </c>
      <c r="AZ67" s="70" t="e">
        <f t="shared" si="35"/>
        <v>#REF!</v>
      </c>
      <c r="BA67" s="70" t="e">
        <f t="shared" si="35"/>
        <v>#REF!</v>
      </c>
    </row>
    <row r="68" spans="27:53" hidden="1">
      <c r="AA68" s="71" t="s">
        <v>41</v>
      </c>
      <c r="AB68" s="35"/>
      <c r="AF68" s="70" t="e">
        <f t="shared" ref="AF68:AO68" si="36">AF27+AF28+AF33</f>
        <v>#REF!</v>
      </c>
      <c r="AG68" s="70" t="e">
        <f t="shared" si="36"/>
        <v>#REF!</v>
      </c>
      <c r="AH68" s="70" t="e">
        <f t="shared" si="36"/>
        <v>#REF!</v>
      </c>
      <c r="AI68" s="70" t="e">
        <f t="shared" si="36"/>
        <v>#REF!</v>
      </c>
      <c r="AJ68" s="70" t="e">
        <f t="shared" si="36"/>
        <v>#REF!</v>
      </c>
      <c r="AK68" s="70" t="e">
        <f t="shared" si="36"/>
        <v>#REF!</v>
      </c>
      <c r="AL68" s="70" t="e">
        <f t="shared" si="36"/>
        <v>#REF!</v>
      </c>
      <c r="AM68" s="70" t="e">
        <f t="shared" si="36"/>
        <v>#REF!</v>
      </c>
      <c r="AN68" s="70" t="e">
        <f t="shared" si="36"/>
        <v>#REF!</v>
      </c>
      <c r="AO68" s="70" t="e">
        <f t="shared" si="36"/>
        <v>#REF!</v>
      </c>
      <c r="AP68" s="70"/>
      <c r="AQ68" s="70"/>
      <c r="AR68" s="70" t="e">
        <f t="shared" ref="AR68:BA68" si="37">AR27+AR28+AR33</f>
        <v>#REF!</v>
      </c>
      <c r="AS68" s="70" t="e">
        <f t="shared" si="37"/>
        <v>#REF!</v>
      </c>
      <c r="AT68" s="70" t="e">
        <f t="shared" si="37"/>
        <v>#REF!</v>
      </c>
      <c r="AU68" s="70" t="e">
        <f t="shared" si="37"/>
        <v>#REF!</v>
      </c>
      <c r="AV68" s="70" t="e">
        <f t="shared" si="37"/>
        <v>#REF!</v>
      </c>
      <c r="AW68" s="70" t="e">
        <f t="shared" si="37"/>
        <v>#REF!</v>
      </c>
      <c r="AX68" s="70" t="e">
        <f t="shared" si="37"/>
        <v>#REF!</v>
      </c>
      <c r="AY68" s="70" t="e">
        <f t="shared" si="37"/>
        <v>#REF!</v>
      </c>
      <c r="AZ68" s="70" t="e">
        <f t="shared" si="37"/>
        <v>#REF!</v>
      </c>
      <c r="BA68" s="70" t="e">
        <f t="shared" si="37"/>
        <v>#REF!</v>
      </c>
    </row>
    <row r="69" spans="27:53" hidden="1">
      <c r="AA69" s="71" t="s">
        <v>42</v>
      </c>
      <c r="AB69" s="35"/>
      <c r="AF69" s="70" t="e">
        <f t="shared" ref="AF69:AO69" si="38">AF38+AF39+AF44</f>
        <v>#REF!</v>
      </c>
      <c r="AG69" s="70" t="e">
        <f t="shared" si="38"/>
        <v>#REF!</v>
      </c>
      <c r="AH69" s="70" t="e">
        <f t="shared" si="38"/>
        <v>#REF!</v>
      </c>
      <c r="AI69" s="70" t="e">
        <f t="shared" si="38"/>
        <v>#REF!</v>
      </c>
      <c r="AJ69" s="70" t="e">
        <f t="shared" si="38"/>
        <v>#REF!</v>
      </c>
      <c r="AK69" s="70" t="e">
        <f t="shared" si="38"/>
        <v>#REF!</v>
      </c>
      <c r="AL69" s="70" t="e">
        <f t="shared" si="38"/>
        <v>#REF!</v>
      </c>
      <c r="AM69" s="70" t="e">
        <f t="shared" si="38"/>
        <v>#REF!</v>
      </c>
      <c r="AN69" s="70" t="e">
        <f t="shared" si="38"/>
        <v>#REF!</v>
      </c>
      <c r="AO69" s="70" t="e">
        <f t="shared" si="38"/>
        <v>#REF!</v>
      </c>
      <c r="AP69" s="70"/>
      <c r="AQ69" s="70"/>
      <c r="AR69" s="70" t="e">
        <f t="shared" ref="AR69:BA69" si="39">AR38+AR39+AR44</f>
        <v>#REF!</v>
      </c>
      <c r="AS69" s="70" t="e">
        <f t="shared" si="39"/>
        <v>#REF!</v>
      </c>
      <c r="AT69" s="70" t="e">
        <f t="shared" si="39"/>
        <v>#REF!</v>
      </c>
      <c r="AU69" s="70" t="e">
        <f t="shared" si="39"/>
        <v>#REF!</v>
      </c>
      <c r="AV69" s="70" t="e">
        <f t="shared" si="39"/>
        <v>#REF!</v>
      </c>
      <c r="AW69" s="70" t="e">
        <f t="shared" si="39"/>
        <v>#REF!</v>
      </c>
      <c r="AX69" s="70" t="e">
        <f t="shared" si="39"/>
        <v>#REF!</v>
      </c>
      <c r="AY69" s="70" t="e">
        <f t="shared" si="39"/>
        <v>#REF!</v>
      </c>
      <c r="AZ69" s="70" t="e">
        <f t="shared" si="39"/>
        <v>#REF!</v>
      </c>
      <c r="BA69" s="70" t="e">
        <f t="shared" si="39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0">AF16+AF17+AF21+AF23</f>
        <v>#REF!</v>
      </c>
      <c r="AG71" s="70" t="e">
        <f t="shared" si="40"/>
        <v>#REF!</v>
      </c>
      <c r="AH71" s="70" t="e">
        <f t="shared" si="40"/>
        <v>#REF!</v>
      </c>
      <c r="AI71" s="70" t="e">
        <f t="shared" si="40"/>
        <v>#REF!</v>
      </c>
      <c r="AJ71" s="70" t="e">
        <f t="shared" si="40"/>
        <v>#REF!</v>
      </c>
      <c r="AK71" s="70" t="e">
        <f t="shared" si="40"/>
        <v>#REF!</v>
      </c>
      <c r="AL71" s="70" t="e">
        <f t="shared" si="40"/>
        <v>#REF!</v>
      </c>
      <c r="AM71" s="70" t="e">
        <f t="shared" si="40"/>
        <v>#REF!</v>
      </c>
      <c r="AN71" s="70" t="e">
        <f t="shared" si="40"/>
        <v>#REF!</v>
      </c>
      <c r="AO71" s="70" t="e">
        <f t="shared" si="40"/>
        <v>#REF!</v>
      </c>
      <c r="AP71" s="70"/>
      <c r="AQ71" s="70"/>
      <c r="AR71" s="70" t="e">
        <f t="shared" ref="AR71:BA71" si="41">AR16+AR17+AR21+AR23</f>
        <v>#REF!</v>
      </c>
      <c r="AS71" s="70" t="e">
        <f t="shared" si="41"/>
        <v>#REF!</v>
      </c>
      <c r="AT71" s="70" t="e">
        <f t="shared" si="41"/>
        <v>#REF!</v>
      </c>
      <c r="AU71" s="70" t="e">
        <f t="shared" si="41"/>
        <v>#REF!</v>
      </c>
      <c r="AV71" s="70" t="e">
        <f t="shared" si="41"/>
        <v>#REF!</v>
      </c>
      <c r="AW71" s="70" t="e">
        <f t="shared" si="41"/>
        <v>#REF!</v>
      </c>
      <c r="AX71" s="70" t="e">
        <f t="shared" si="41"/>
        <v>#REF!</v>
      </c>
      <c r="AY71" s="70" t="e">
        <f t="shared" si="41"/>
        <v>#REF!</v>
      </c>
      <c r="AZ71" s="70" t="e">
        <f t="shared" si="41"/>
        <v>#REF!</v>
      </c>
      <c r="BA71" s="70" t="e">
        <f t="shared" si="41"/>
        <v>#REF!</v>
      </c>
    </row>
    <row r="72" spans="27:53" hidden="1">
      <c r="AA72" s="71" t="s">
        <v>41</v>
      </c>
      <c r="AB72" s="35"/>
      <c r="AF72" s="70" t="e">
        <f t="shared" ref="AF72:AO72" si="42">AF27+AF28+AF32+AF34</f>
        <v>#REF!</v>
      </c>
      <c r="AG72" s="70" t="e">
        <f t="shared" si="42"/>
        <v>#REF!</v>
      </c>
      <c r="AH72" s="70" t="e">
        <f t="shared" si="42"/>
        <v>#REF!</v>
      </c>
      <c r="AI72" s="70" t="e">
        <f t="shared" si="42"/>
        <v>#REF!</v>
      </c>
      <c r="AJ72" s="70" t="e">
        <f t="shared" si="42"/>
        <v>#REF!</v>
      </c>
      <c r="AK72" s="70" t="e">
        <f t="shared" si="42"/>
        <v>#REF!</v>
      </c>
      <c r="AL72" s="70" t="e">
        <f t="shared" si="42"/>
        <v>#REF!</v>
      </c>
      <c r="AM72" s="70" t="e">
        <f t="shared" si="42"/>
        <v>#REF!</v>
      </c>
      <c r="AN72" s="70" t="e">
        <f t="shared" si="42"/>
        <v>#REF!</v>
      </c>
      <c r="AO72" s="70" t="e">
        <f t="shared" si="42"/>
        <v>#REF!</v>
      </c>
      <c r="AP72" s="70"/>
      <c r="AQ72" s="70"/>
      <c r="AR72" s="70" t="e">
        <f t="shared" ref="AR72:BA72" si="43">AR27+AR28+AR32+AR34</f>
        <v>#REF!</v>
      </c>
      <c r="AS72" s="70" t="e">
        <f t="shared" si="43"/>
        <v>#REF!</v>
      </c>
      <c r="AT72" s="70" t="e">
        <f t="shared" si="43"/>
        <v>#REF!</v>
      </c>
      <c r="AU72" s="70" t="e">
        <f t="shared" si="43"/>
        <v>#REF!</v>
      </c>
      <c r="AV72" s="70" t="e">
        <f t="shared" si="43"/>
        <v>#REF!</v>
      </c>
      <c r="AW72" s="70" t="e">
        <f t="shared" si="43"/>
        <v>#REF!</v>
      </c>
      <c r="AX72" s="70" t="e">
        <f t="shared" si="43"/>
        <v>#REF!</v>
      </c>
      <c r="AY72" s="70" t="e">
        <f t="shared" si="43"/>
        <v>#REF!</v>
      </c>
      <c r="AZ72" s="70" t="e">
        <f t="shared" si="43"/>
        <v>#REF!</v>
      </c>
      <c r="BA72" s="70" t="e">
        <f t="shared" si="43"/>
        <v>#REF!</v>
      </c>
    </row>
    <row r="73" spans="27:53" hidden="1">
      <c r="AA73" s="71" t="s">
        <v>42</v>
      </c>
      <c r="AB73" s="35"/>
      <c r="AF73" s="70" t="e">
        <f t="shared" ref="AF73:AO73" si="44">AF38+AF39+AF43+AF45</f>
        <v>#REF!</v>
      </c>
      <c r="AG73" s="70" t="e">
        <f t="shared" si="44"/>
        <v>#REF!</v>
      </c>
      <c r="AH73" s="70" t="e">
        <f t="shared" si="44"/>
        <v>#REF!</v>
      </c>
      <c r="AI73" s="70" t="e">
        <f t="shared" si="44"/>
        <v>#REF!</v>
      </c>
      <c r="AJ73" s="70" t="e">
        <f t="shared" si="44"/>
        <v>#REF!</v>
      </c>
      <c r="AK73" s="70" t="e">
        <f t="shared" si="44"/>
        <v>#REF!</v>
      </c>
      <c r="AL73" s="70" t="e">
        <f t="shared" si="44"/>
        <v>#REF!</v>
      </c>
      <c r="AM73" s="70" t="e">
        <f t="shared" si="44"/>
        <v>#REF!</v>
      </c>
      <c r="AN73" s="70" t="e">
        <f t="shared" si="44"/>
        <v>#REF!</v>
      </c>
      <c r="AO73" s="70" t="e">
        <f t="shared" si="44"/>
        <v>#REF!</v>
      </c>
      <c r="AP73" s="70"/>
      <c r="AQ73" s="70"/>
      <c r="AR73" s="70" t="e">
        <f t="shared" ref="AR73:BA73" si="45">AR38+AR39+AR43+AR45</f>
        <v>#REF!</v>
      </c>
      <c r="AS73" s="70" t="e">
        <f t="shared" si="45"/>
        <v>#REF!</v>
      </c>
      <c r="AT73" s="70" t="e">
        <f t="shared" si="45"/>
        <v>#REF!</v>
      </c>
      <c r="AU73" s="70" t="e">
        <f t="shared" si="45"/>
        <v>#REF!</v>
      </c>
      <c r="AV73" s="70" t="e">
        <f t="shared" si="45"/>
        <v>#REF!</v>
      </c>
      <c r="AW73" s="70" t="e">
        <f t="shared" si="45"/>
        <v>#REF!</v>
      </c>
      <c r="AX73" s="70" t="e">
        <f t="shared" si="45"/>
        <v>#REF!</v>
      </c>
      <c r="AY73" s="70" t="e">
        <f t="shared" si="45"/>
        <v>#REF!</v>
      </c>
      <c r="AZ73" s="70" t="e">
        <f t="shared" si="45"/>
        <v>#REF!</v>
      </c>
      <c r="BA73" s="70" t="e">
        <f t="shared" si="45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6">AF16+AF17+AF21+AF24</f>
        <v>#REF!</v>
      </c>
      <c r="AG75" s="70" t="e">
        <f t="shared" si="46"/>
        <v>#REF!</v>
      </c>
      <c r="AH75" s="70" t="e">
        <f t="shared" si="46"/>
        <v>#REF!</v>
      </c>
      <c r="AI75" s="70" t="e">
        <f t="shared" si="46"/>
        <v>#REF!</v>
      </c>
      <c r="AJ75" s="70" t="e">
        <f t="shared" si="46"/>
        <v>#REF!</v>
      </c>
      <c r="AK75" s="70" t="e">
        <f t="shared" si="46"/>
        <v>#REF!</v>
      </c>
      <c r="AL75" s="70" t="e">
        <f t="shared" si="46"/>
        <v>#REF!</v>
      </c>
      <c r="AM75" s="70" t="e">
        <f t="shared" si="46"/>
        <v>#REF!</v>
      </c>
      <c r="AN75" s="70" t="e">
        <f t="shared" si="46"/>
        <v>#REF!</v>
      </c>
      <c r="AO75" s="70" t="e">
        <f t="shared" si="46"/>
        <v>#REF!</v>
      </c>
      <c r="AP75" s="70"/>
      <c r="AQ75" s="70"/>
      <c r="AR75" s="70" t="e">
        <f t="shared" ref="AR75:BA75" si="47">AR16+AR17+AR21+AR24</f>
        <v>#REF!</v>
      </c>
      <c r="AS75" s="70" t="e">
        <f t="shared" si="47"/>
        <v>#REF!</v>
      </c>
      <c r="AT75" s="70" t="e">
        <f t="shared" si="47"/>
        <v>#REF!</v>
      </c>
      <c r="AU75" s="70" t="e">
        <f t="shared" si="47"/>
        <v>#REF!</v>
      </c>
      <c r="AV75" s="70" t="e">
        <f t="shared" si="47"/>
        <v>#REF!</v>
      </c>
      <c r="AW75" s="70" t="e">
        <f t="shared" si="47"/>
        <v>#REF!</v>
      </c>
      <c r="AX75" s="70" t="e">
        <f t="shared" si="47"/>
        <v>#REF!</v>
      </c>
      <c r="AY75" s="70" t="e">
        <f t="shared" si="47"/>
        <v>#REF!</v>
      </c>
      <c r="AZ75" s="70" t="e">
        <f t="shared" si="47"/>
        <v>#REF!</v>
      </c>
      <c r="BA75" s="70" t="e">
        <f t="shared" si="47"/>
        <v>#REF!</v>
      </c>
    </row>
    <row r="76" spans="27:53" hidden="1">
      <c r="AA76" s="71" t="s">
        <v>41</v>
      </c>
      <c r="AB76" s="35"/>
      <c r="AF76" s="70" t="e">
        <f t="shared" ref="AF76:AO76" si="48">AF27+AF28+AF32+AF35</f>
        <v>#REF!</v>
      </c>
      <c r="AG76" s="70" t="e">
        <f t="shared" si="48"/>
        <v>#REF!</v>
      </c>
      <c r="AH76" s="70" t="e">
        <f t="shared" si="48"/>
        <v>#REF!</v>
      </c>
      <c r="AI76" s="70" t="e">
        <f t="shared" si="48"/>
        <v>#REF!</v>
      </c>
      <c r="AJ76" s="70" t="e">
        <f t="shared" si="48"/>
        <v>#REF!</v>
      </c>
      <c r="AK76" s="70" t="e">
        <f t="shared" si="48"/>
        <v>#REF!</v>
      </c>
      <c r="AL76" s="70" t="e">
        <f t="shared" si="48"/>
        <v>#REF!</v>
      </c>
      <c r="AM76" s="70" t="e">
        <f t="shared" si="48"/>
        <v>#REF!</v>
      </c>
      <c r="AN76" s="70" t="e">
        <f t="shared" si="48"/>
        <v>#REF!</v>
      </c>
      <c r="AO76" s="70" t="e">
        <f t="shared" si="48"/>
        <v>#REF!</v>
      </c>
      <c r="AP76" s="70"/>
      <c r="AQ76" s="70"/>
      <c r="AR76" s="70" t="e">
        <f t="shared" ref="AR76:BA76" si="49">AR27+AR28+AR32+AR35</f>
        <v>#REF!</v>
      </c>
      <c r="AS76" s="70" t="e">
        <f t="shared" si="49"/>
        <v>#REF!</v>
      </c>
      <c r="AT76" s="70" t="e">
        <f t="shared" si="49"/>
        <v>#REF!</v>
      </c>
      <c r="AU76" s="70" t="e">
        <f t="shared" si="49"/>
        <v>#REF!</v>
      </c>
      <c r="AV76" s="70" t="e">
        <f t="shared" si="49"/>
        <v>#REF!</v>
      </c>
      <c r="AW76" s="70" t="e">
        <f t="shared" si="49"/>
        <v>#REF!</v>
      </c>
      <c r="AX76" s="70" t="e">
        <f t="shared" si="49"/>
        <v>#REF!</v>
      </c>
      <c r="AY76" s="70" t="e">
        <f t="shared" si="49"/>
        <v>#REF!</v>
      </c>
      <c r="AZ76" s="70" t="e">
        <f t="shared" si="49"/>
        <v>#REF!</v>
      </c>
      <c r="BA76" s="70" t="e">
        <f t="shared" si="49"/>
        <v>#REF!</v>
      </c>
    </row>
    <row r="77" spans="27:53" hidden="1">
      <c r="AA77" s="71" t="s">
        <v>42</v>
      </c>
      <c r="AB77" s="35"/>
      <c r="AF77" s="70" t="e">
        <f t="shared" ref="AF77:AO77" si="50">AF38+AF39+AF43+AF46</f>
        <v>#REF!</v>
      </c>
      <c r="AG77" s="70" t="e">
        <f t="shared" si="50"/>
        <v>#REF!</v>
      </c>
      <c r="AH77" s="70" t="e">
        <f t="shared" si="50"/>
        <v>#REF!</v>
      </c>
      <c r="AI77" s="70" t="e">
        <f t="shared" si="50"/>
        <v>#REF!</v>
      </c>
      <c r="AJ77" s="70" t="e">
        <f t="shared" si="50"/>
        <v>#REF!</v>
      </c>
      <c r="AK77" s="70" t="e">
        <f t="shared" si="50"/>
        <v>#REF!</v>
      </c>
      <c r="AL77" s="70" t="e">
        <f t="shared" si="50"/>
        <v>#REF!</v>
      </c>
      <c r="AM77" s="70" t="e">
        <f t="shared" si="50"/>
        <v>#REF!</v>
      </c>
      <c r="AN77" s="70" t="e">
        <f t="shared" si="50"/>
        <v>#REF!</v>
      </c>
      <c r="AO77" s="70" t="e">
        <f t="shared" si="50"/>
        <v>#REF!</v>
      </c>
      <c r="AP77" s="70"/>
      <c r="AQ77" s="70"/>
      <c r="AR77" s="70" t="e">
        <f t="shared" ref="AR77:BA77" si="51">AR38+AR39+AR43+AR46</f>
        <v>#REF!</v>
      </c>
      <c r="AS77" s="70" t="e">
        <f t="shared" si="51"/>
        <v>#REF!</v>
      </c>
      <c r="AT77" s="70" t="e">
        <f t="shared" si="51"/>
        <v>#REF!</v>
      </c>
      <c r="AU77" s="70" t="e">
        <f t="shared" si="51"/>
        <v>#REF!</v>
      </c>
      <c r="AV77" s="70" t="e">
        <f t="shared" si="51"/>
        <v>#REF!</v>
      </c>
      <c r="AW77" s="70" t="e">
        <f t="shared" si="51"/>
        <v>#REF!</v>
      </c>
      <c r="AX77" s="70" t="e">
        <f t="shared" si="51"/>
        <v>#REF!</v>
      </c>
      <c r="AY77" s="70" t="e">
        <f t="shared" si="51"/>
        <v>#REF!</v>
      </c>
      <c r="AZ77" s="70" t="e">
        <f t="shared" si="51"/>
        <v>#REF!</v>
      </c>
      <c r="BA77" s="70" t="e">
        <f t="shared" si="51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45" t="s">
        <v>55</v>
      </c>
      <c r="G89" s="545" t="s">
        <v>73</v>
      </c>
      <c r="H89" s="545" t="s">
        <v>74</v>
      </c>
      <c r="I89" s="545" t="s">
        <v>58</v>
      </c>
      <c r="J89" s="545" t="s">
        <v>59</v>
      </c>
      <c r="K89" s="545" t="s">
        <v>60</v>
      </c>
      <c r="L89" s="544" t="s">
        <v>75</v>
      </c>
      <c r="M89" s="544" t="s">
        <v>76</v>
      </c>
      <c r="N89" s="544" t="s">
        <v>61</v>
      </c>
      <c r="O89" s="544" t="s">
        <v>62</v>
      </c>
      <c r="P89" s="544" t="s">
        <v>63</v>
      </c>
      <c r="AN89" s="38"/>
      <c r="AZ89" s="36"/>
    </row>
    <row r="90" spans="1:52" ht="25.5">
      <c r="A90" s="44" t="str">
        <f t="shared" ref="A90:C92" si="52">A4</f>
        <v>Substation General Construction</v>
      </c>
      <c r="B90" s="45" t="str">
        <f t="shared" si="52"/>
        <v>Light-Duty Truck, catalyst</v>
      </c>
      <c r="C90" s="46">
        <f t="shared" si="52"/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2" si="53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si="52"/>
        <v>Substation Below Grade Construction</v>
      </c>
      <c r="B91" s="45" t="str">
        <f t="shared" si="52"/>
        <v>Light-Duty Truck, catalyst</v>
      </c>
      <c r="C91" s="46">
        <f t="shared" si="52"/>
        <v>10</v>
      </c>
      <c r="D91" s="46">
        <v>35</v>
      </c>
      <c r="E91" s="46">
        <v>80</v>
      </c>
      <c r="F91" s="50">
        <f>C5*($E5*$F5+($G5))/453.59</f>
        <v>4.8571938588092012</v>
      </c>
      <c r="G91" s="50">
        <f>C5*($E5*$H5+($I5))/453.59</f>
        <v>0.43670657294378012</v>
      </c>
      <c r="H91" s="50">
        <f>C5*(($E5*$J5)+($K5)+($L5)+($E5*$N5)+(($M5+$O5)))/453.59</f>
        <v>0.50499980323953331</v>
      </c>
      <c r="I91" s="50">
        <f>C5*($E5*$P5+($Q5))/453.59</f>
        <v>7.2679702716061598E-3</v>
      </c>
      <c r="J91" s="50">
        <f>C5*(($E5*($R5+$T5+$U5))+($S5))/453.59</f>
        <v>8.5240904552078958E-2</v>
      </c>
      <c r="K91" s="50">
        <f>$C5*(($E5*($V5+$X5+$Y5))+($W5))/453.59</f>
        <v>3.7120053242531412E-2</v>
      </c>
      <c r="L91" s="50">
        <f>$B$23*C5*(E5+6)</f>
        <v>8.438582586071898E-2</v>
      </c>
      <c r="M91" s="50">
        <f t="shared" si="53"/>
        <v>3.4598188602894778E-2</v>
      </c>
      <c r="N91" s="50">
        <f>C5*($E5*$Z5+($AA5))/453.59</f>
        <v>554.23576726038891</v>
      </c>
      <c r="O91" s="50">
        <f>C5*($E5*$AB5+($AC5))/453.59</f>
        <v>3.1704753890302494E-2</v>
      </c>
      <c r="P91" s="50">
        <f>C5*($E5*$AD5+($AE5))/453.59</f>
        <v>5.7711199138433596E-2</v>
      </c>
      <c r="AN91" s="38"/>
      <c r="AZ91" s="36"/>
    </row>
    <row r="92" spans="1:52" ht="25.5">
      <c r="A92" s="44" t="str">
        <f t="shared" si="52"/>
        <v>Substation Above Grade Construction</v>
      </c>
      <c r="B92" s="45" t="str">
        <f t="shared" si="52"/>
        <v>Light-Duty Truck, catalyst</v>
      </c>
      <c r="C92" s="46">
        <f t="shared" si="52"/>
        <v>8</v>
      </c>
      <c r="D92" s="46">
        <v>35</v>
      </c>
      <c r="E92" s="46">
        <v>80</v>
      </c>
      <c r="F92" s="50">
        <f>C6*($E6*$F6+($G6))/453.59</f>
        <v>3.8857550870473605</v>
      </c>
      <c r="G92" s="50">
        <f>C6*($E6*$H6+($I6))/453.59</f>
        <v>0.34936525835502408</v>
      </c>
      <c r="H92" s="50">
        <f>C6*(($E6*$J6)+($K6)+($L6)+($E6*$N6)+(($M6+$O6)))/453.59</f>
        <v>0.40399984259162663</v>
      </c>
      <c r="I92" s="50">
        <f>C6*($E6*$P6+($Q6))/453.59</f>
        <v>5.8143762172849275E-3</v>
      </c>
      <c r="J92" s="50">
        <f>C6*(($E6*($R6+$T6+$U6))+($S6))/453.59</f>
        <v>6.8192723641663178E-2</v>
      </c>
      <c r="K92" s="50">
        <f>$C6*(($E6*($V6+$X6+$Y6))+($W6))/453.59</f>
        <v>2.9696042594025134E-2</v>
      </c>
      <c r="L92" s="50">
        <f>$B$23*C6*(E6+6)</f>
        <v>6.7508660688575195E-2</v>
      </c>
      <c r="M92" s="50">
        <f t="shared" si="53"/>
        <v>2.7678550882315828E-2</v>
      </c>
      <c r="N92" s="50">
        <f>C6*($E6*$Z6+($AA6))/453.59</f>
        <v>443.38861380831116</v>
      </c>
      <c r="O92" s="50">
        <f>C6*($E6*$AB6+($AC6))/453.59</f>
        <v>2.5363803112241994E-2</v>
      </c>
      <c r="P92" s="50">
        <f>C6*($E6*$AD6+($AE6))/453.59</f>
        <v>4.6168959310746882E-2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 t="shared" ref="F93:P93" si="54">SUM(F90:F92)</f>
        <v>10.200107103499322</v>
      </c>
      <c r="G93" s="81">
        <f t="shared" si="54"/>
        <v>0.91708380318193827</v>
      </c>
      <c r="H93" s="81">
        <f t="shared" si="54"/>
        <v>1.06049958680302</v>
      </c>
      <c r="I93" s="81">
        <f t="shared" si="54"/>
        <v>1.5262737570372935E-2</v>
      </c>
      <c r="J93" s="81">
        <f t="shared" si="54"/>
        <v>0.17900589955936583</v>
      </c>
      <c r="K93" s="81">
        <f t="shared" si="54"/>
        <v>7.7952111809315966E-2</v>
      </c>
      <c r="L93" s="81">
        <f t="shared" si="54"/>
        <v>0.17721023430750987</v>
      </c>
      <c r="M93" s="81">
        <f t="shared" si="54"/>
        <v>7.2656196066079037E-2</v>
      </c>
      <c r="N93" s="81">
        <f t="shared" si="54"/>
        <v>1163.8951112468169</v>
      </c>
      <c r="O93" s="81">
        <f t="shared" si="54"/>
        <v>6.6579983169635232E-2</v>
      </c>
      <c r="P93" s="81">
        <f t="shared" si="54"/>
        <v>0.12119351819071056</v>
      </c>
      <c r="AN93" s="38"/>
      <c r="AZ93" s="36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4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651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398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100" t="s">
        <v>287</v>
      </c>
      <c r="B14" s="97" t="s">
        <v>27</v>
      </c>
      <c r="C14" s="97">
        <v>37</v>
      </c>
      <c r="D14" s="22">
        <v>0.37</v>
      </c>
      <c r="E14" s="102">
        <v>3.2313389441625637E-2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0.12374118165784832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0.16056172839506169</v>
      </c>
      <c r="H14" s="102">
        <v>3.2989906092678058E-4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1.3581349206349205E-2</v>
      </c>
      <c r="J14" s="100">
        <f t="shared" ref="J14:J16" si="4">0.89*I14</f>
        <v>1.2087400793650793E-2</v>
      </c>
      <c r="K14" s="103">
        <v>25.519156990664225</v>
      </c>
      <c r="L14" s="102">
        <v>3.413848047070189E-3</v>
      </c>
      <c r="M14" s="104">
        <f t="shared" ref="M14:M16" si="5">0.095*G14</f>
        <v>1.5253364197530862E-2</v>
      </c>
      <c r="N14" s="88">
        <v>1</v>
      </c>
      <c r="O14" s="88">
        <v>1</v>
      </c>
      <c r="P14" s="367">
        <v>75</v>
      </c>
      <c r="Q14" s="26">
        <f t="shared" ref="Q14:Y16" si="6">(E14*$N14*$O14)</f>
        <v>3.2313389441625637E-2</v>
      </c>
      <c r="R14" s="26">
        <f t="shared" si="6"/>
        <v>0.12374118165784832</v>
      </c>
      <c r="S14" s="26">
        <f t="shared" si="6"/>
        <v>0.16056172839506169</v>
      </c>
      <c r="T14" s="26">
        <f t="shared" si="6"/>
        <v>3.2989906092678058E-4</v>
      </c>
      <c r="U14" s="26">
        <f t="shared" si="6"/>
        <v>1.3581349206349205E-2</v>
      </c>
      <c r="V14" s="26">
        <f t="shared" si="6"/>
        <v>1.2087400793650793E-2</v>
      </c>
      <c r="W14" s="26">
        <f t="shared" si="6"/>
        <v>25.519156990664225</v>
      </c>
      <c r="X14" s="26">
        <f t="shared" si="6"/>
        <v>3.413848047070189E-3</v>
      </c>
      <c r="Y14" s="26">
        <f t="shared" si="6"/>
        <v>1.5253364197530862E-2</v>
      </c>
    </row>
    <row r="15" spans="1:25" s="3" customFormat="1">
      <c r="A15" s="100" t="s">
        <v>292</v>
      </c>
      <c r="B15" s="22" t="s">
        <v>27</v>
      </c>
      <c r="C15" s="97">
        <v>69</v>
      </c>
      <c r="D15" s="22">
        <v>0.5</v>
      </c>
      <c r="E15" s="102">
        <v>0.10796897189848784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0.2814153439153439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0.40462962962962956</v>
      </c>
      <c r="H15" s="102">
        <v>7.6125329247041284E-4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2.2817460317460316E-2</v>
      </c>
      <c r="J15" s="100">
        <f t="shared" si="4"/>
        <v>2.030753968253968E-2</v>
      </c>
      <c r="K15" s="103">
        <v>64.895144949977833</v>
      </c>
      <c r="L15" s="102">
        <v>1.0324742188913067E-2</v>
      </c>
      <c r="M15" s="104">
        <f t="shared" si="5"/>
        <v>3.8439814814814809E-2</v>
      </c>
      <c r="N15" s="87">
        <v>1</v>
      </c>
      <c r="O15" s="87">
        <v>6</v>
      </c>
      <c r="P15" s="88">
        <f>8*22</f>
        <v>176</v>
      </c>
      <c r="Q15" s="34">
        <f t="shared" si="6"/>
        <v>0.64781383139092696</v>
      </c>
      <c r="R15" s="26">
        <f t="shared" si="6"/>
        <v>1.6884920634920633</v>
      </c>
      <c r="S15" s="26">
        <f t="shared" si="6"/>
        <v>2.4277777777777771</v>
      </c>
      <c r="T15" s="26">
        <f t="shared" si="6"/>
        <v>4.567519754822477E-3</v>
      </c>
      <c r="U15" s="26">
        <f t="shared" si="6"/>
        <v>0.13690476190476189</v>
      </c>
      <c r="V15" s="26">
        <f t="shared" si="6"/>
        <v>0.12184523809523809</v>
      </c>
      <c r="W15" s="26">
        <f t="shared" si="6"/>
        <v>389.370869699867</v>
      </c>
      <c r="X15" s="26">
        <f t="shared" si="6"/>
        <v>6.1948453133478402E-2</v>
      </c>
      <c r="Y15" s="26">
        <f t="shared" si="6"/>
        <v>0.23063888888888884</v>
      </c>
    </row>
    <row r="16" spans="1:25" s="3" customFormat="1">
      <c r="A16" s="100" t="s">
        <v>126</v>
      </c>
      <c r="B16" s="22" t="s">
        <v>27</v>
      </c>
      <c r="C16" s="22">
        <v>175</v>
      </c>
      <c r="D16" s="22"/>
      <c r="E16" s="102">
        <v>0.11792220738547983</v>
      </c>
      <c r="F16" s="102">
        <v>0.36512193352152528</v>
      </c>
      <c r="G16" s="102">
        <v>0.86781464282266541</v>
      </c>
      <c r="H16" s="102">
        <v>1.8739217498104396E-3</v>
      </c>
      <c r="I16" s="102">
        <v>2.9041712295589866E-2</v>
      </c>
      <c r="J16" s="100">
        <f t="shared" si="4"/>
        <v>2.5847123943074982E-2</v>
      </c>
      <c r="K16" s="103">
        <v>166.54541562452522</v>
      </c>
      <c r="L16" s="102">
        <v>1.063993297769634E-2</v>
      </c>
      <c r="M16" s="104">
        <f t="shared" si="5"/>
        <v>8.2442391068153209E-2</v>
      </c>
      <c r="N16" s="88">
        <v>1</v>
      </c>
      <c r="O16" s="88">
        <v>3</v>
      </c>
      <c r="P16" s="367">
        <v>40</v>
      </c>
      <c r="Q16" s="26">
        <f t="shared" si="6"/>
        <v>0.3537666221564395</v>
      </c>
      <c r="R16" s="26">
        <f t="shared" si="6"/>
        <v>1.0953658005645759</v>
      </c>
      <c r="S16" s="26">
        <f t="shared" si="6"/>
        <v>2.6034439284679962</v>
      </c>
      <c r="T16" s="26">
        <f t="shared" si="6"/>
        <v>5.6217652494313184E-3</v>
      </c>
      <c r="U16" s="26">
        <f t="shared" si="6"/>
        <v>8.7125136886769594E-2</v>
      </c>
      <c r="V16" s="26">
        <f t="shared" si="6"/>
        <v>7.754137182922495E-2</v>
      </c>
      <c r="W16" s="26">
        <f t="shared" si="6"/>
        <v>499.63624687357566</v>
      </c>
      <c r="X16" s="26">
        <f t="shared" si="6"/>
        <v>3.1919798933089022E-2</v>
      </c>
      <c r="Y16" s="26">
        <f t="shared" si="6"/>
        <v>0.24732717320445963</v>
      </c>
    </row>
    <row r="17" spans="1:25" s="3" customFormat="1">
      <c r="A17" s="17" t="s">
        <v>28</v>
      </c>
      <c r="B17" s="97"/>
      <c r="C17" s="22"/>
      <c r="D17" s="22"/>
      <c r="E17" s="23"/>
      <c r="F17" s="23"/>
      <c r="G17" s="23"/>
      <c r="H17" s="23"/>
      <c r="I17" s="23"/>
      <c r="J17" s="24"/>
      <c r="K17" s="25"/>
      <c r="L17" s="23"/>
      <c r="M17" s="23"/>
      <c r="N17" s="88"/>
      <c r="O17" s="88"/>
      <c r="P17" s="88"/>
      <c r="Q17" s="27">
        <f t="shared" ref="Q17:Y17" si="7">SUM(Q14:Q16)</f>
        <v>1.0338938429889921</v>
      </c>
      <c r="R17" s="27">
        <f t="shared" si="7"/>
        <v>2.9075990457144876</v>
      </c>
      <c r="S17" s="27">
        <f t="shared" si="7"/>
        <v>5.1917834346408345</v>
      </c>
      <c r="T17" s="27">
        <f t="shared" si="7"/>
        <v>1.0519184065180577E-2</v>
      </c>
      <c r="U17" s="27">
        <f t="shared" si="7"/>
        <v>0.23761124799788069</v>
      </c>
      <c r="V17" s="27">
        <f t="shared" si="7"/>
        <v>0.21147401071811384</v>
      </c>
      <c r="W17" s="27">
        <f t="shared" si="7"/>
        <v>914.52627356410687</v>
      </c>
      <c r="X17" s="27">
        <f t="shared" si="7"/>
        <v>9.728210011363761E-2</v>
      </c>
      <c r="Y17" s="27">
        <f t="shared" si="7"/>
        <v>0.49321942629087934</v>
      </c>
    </row>
    <row r="18" spans="1:25" s="3" customFormat="1">
      <c r="A18" s="17"/>
      <c r="B18" s="97"/>
      <c r="C18" s="22"/>
      <c r="D18" s="22"/>
      <c r="E18" s="23"/>
      <c r="F18" s="23"/>
      <c r="G18" s="23"/>
      <c r="H18" s="23"/>
      <c r="I18" s="23"/>
      <c r="J18" s="24"/>
      <c r="K18" s="25"/>
      <c r="L18" s="23"/>
      <c r="M18" s="23"/>
      <c r="N18" s="88"/>
      <c r="O18" s="88"/>
      <c r="P18" s="88"/>
      <c r="Q18" s="27"/>
      <c r="R18" s="27"/>
      <c r="S18" s="27"/>
      <c r="T18" s="27"/>
      <c r="U18" s="27"/>
      <c r="V18" s="27"/>
      <c r="W18" s="27"/>
      <c r="X18" s="27"/>
      <c r="Y18" s="27"/>
    </row>
    <row r="19" spans="1:25" s="3" customFormat="1">
      <c r="A19" s="11" t="s">
        <v>399</v>
      </c>
      <c r="B19" s="22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11"/>
      <c r="O19" s="11"/>
      <c r="P19" s="11"/>
      <c r="Q19" s="27"/>
      <c r="R19" s="27"/>
      <c r="S19" s="27"/>
      <c r="T19" s="27"/>
      <c r="U19" s="27"/>
      <c r="V19" s="27"/>
      <c r="W19" s="28"/>
      <c r="X19" s="27"/>
      <c r="Y19" s="27"/>
    </row>
    <row r="20" spans="1:25" s="3" customFormat="1">
      <c r="A20" s="24" t="s">
        <v>400</v>
      </c>
      <c r="B20" s="29" t="s">
        <v>27</v>
      </c>
      <c r="C20" s="97">
        <v>235</v>
      </c>
      <c r="D20" s="97"/>
      <c r="E20" s="102">
        <v>0.11792220738547983</v>
      </c>
      <c r="F20" s="102">
        <v>0.36512193352152528</v>
      </c>
      <c r="G20" s="102">
        <v>0.86781464282266541</v>
      </c>
      <c r="H20" s="102">
        <v>1.8739217498104396E-3</v>
      </c>
      <c r="I20" s="102">
        <v>2.9041712295589866E-2</v>
      </c>
      <c r="J20" s="100">
        <f t="shared" ref="J20:J22" si="8">0.89*I20</f>
        <v>2.5847123943074982E-2</v>
      </c>
      <c r="K20" s="103">
        <v>166.54541562452522</v>
      </c>
      <c r="L20" s="102">
        <v>1.063993297769634E-2</v>
      </c>
      <c r="M20" s="104">
        <f t="shared" ref="M20:M22" si="9">0.095*G20</f>
        <v>8.2442391068153209E-2</v>
      </c>
      <c r="N20" s="98">
        <v>1</v>
      </c>
      <c r="O20" s="87">
        <v>8</v>
      </c>
      <c r="P20" s="88">
        <v>4</v>
      </c>
      <c r="Q20" s="34">
        <f t="shared" ref="Q20:Y22" si="10">(E20*$N20*$O20)</f>
        <v>0.94337765908383864</v>
      </c>
      <c r="R20" s="26">
        <f t="shared" si="10"/>
        <v>2.9209754681722022</v>
      </c>
      <c r="S20" s="26">
        <f t="shared" si="10"/>
        <v>6.9425171425813232</v>
      </c>
      <c r="T20" s="26">
        <f t="shared" si="10"/>
        <v>1.4991373998483517E-2</v>
      </c>
      <c r="U20" s="26">
        <f t="shared" si="10"/>
        <v>0.23233369836471893</v>
      </c>
      <c r="V20" s="26">
        <f t="shared" si="10"/>
        <v>0.20677699154459986</v>
      </c>
      <c r="W20" s="26">
        <f t="shared" si="10"/>
        <v>1332.3633249962018</v>
      </c>
      <c r="X20" s="26">
        <f t="shared" si="10"/>
        <v>8.5119463821570721E-2</v>
      </c>
      <c r="Y20" s="26">
        <f t="shared" si="10"/>
        <v>0.65953912854522567</v>
      </c>
    </row>
    <row r="21" spans="1:25" s="3" customFormat="1">
      <c r="A21" s="24" t="s">
        <v>297</v>
      </c>
      <c r="B21" s="29" t="s">
        <v>27</v>
      </c>
      <c r="C21" s="97">
        <v>235</v>
      </c>
      <c r="D21" s="97"/>
      <c r="E21" s="102">
        <v>0.11792220738547983</v>
      </c>
      <c r="F21" s="102">
        <v>0.36512193352152528</v>
      </c>
      <c r="G21" s="102">
        <v>0.86781464282266541</v>
      </c>
      <c r="H21" s="102">
        <v>1.8739217498104396E-3</v>
      </c>
      <c r="I21" s="102">
        <v>2.9041712295589866E-2</v>
      </c>
      <c r="J21" s="100">
        <f t="shared" si="8"/>
        <v>2.5847123943074982E-2</v>
      </c>
      <c r="K21" s="103">
        <v>166.54541562452522</v>
      </c>
      <c r="L21" s="102">
        <v>1.063993297769634E-2</v>
      </c>
      <c r="M21" s="104">
        <f t="shared" si="9"/>
        <v>8.2442391068153209E-2</v>
      </c>
      <c r="N21" s="98">
        <v>1</v>
      </c>
      <c r="O21" s="87">
        <v>8</v>
      </c>
      <c r="P21" s="88">
        <v>4</v>
      </c>
      <c r="Q21" s="34">
        <f t="shared" si="10"/>
        <v>0.94337765908383864</v>
      </c>
      <c r="R21" s="26">
        <f t="shared" si="10"/>
        <v>2.9209754681722022</v>
      </c>
      <c r="S21" s="26">
        <f t="shared" si="10"/>
        <v>6.9425171425813232</v>
      </c>
      <c r="T21" s="26">
        <f t="shared" si="10"/>
        <v>1.4991373998483517E-2</v>
      </c>
      <c r="U21" s="26">
        <f t="shared" si="10"/>
        <v>0.23233369836471893</v>
      </c>
      <c r="V21" s="26">
        <f t="shared" si="10"/>
        <v>0.20677699154459986</v>
      </c>
      <c r="W21" s="26">
        <f t="shared" si="10"/>
        <v>1332.3633249962018</v>
      </c>
      <c r="X21" s="26">
        <f t="shared" si="10"/>
        <v>8.5119463821570721E-2</v>
      </c>
      <c r="Y21" s="26">
        <f t="shared" si="10"/>
        <v>0.65953912854522567</v>
      </c>
    </row>
    <row r="22" spans="1:25">
      <c r="A22" s="100" t="s">
        <v>287</v>
      </c>
      <c r="B22" s="97" t="s">
        <v>27</v>
      </c>
      <c r="C22" s="97">
        <v>37</v>
      </c>
      <c r="D22" s="22">
        <v>0.37</v>
      </c>
      <c r="E22" s="102">
        <v>3.7835624751667511E-2</v>
      </c>
      <c r="F22" s="397">
        <f>IF($C22&lt;11,'Offroad Tiers EF (2)'!$AN$4*$C22*$D22,IF($C22&lt;25,'Offroad Tiers EF (2)'!$AN$5*$C22*$D22,IF($C22&lt;50,'Offroad Tiers EF (2)'!$AN$6*$C22*$D22,IF($C22&lt;75,'Offroad Tiers EF (2)'!$AN$7*$C22*$D22,IF($C22&lt;100,'Offroad Tiers EF (2)'!$AN$8*$C22*$D22,IF($C22&lt;175,'Offroad Tiers EF (2)'!$AN$9*$C22*$D22,IF($C22&lt;300,'Offroad Tiers EF (2)'!$AN$10*$C22*$D22,IF($C22&lt;600,'Offroad Tiers EF (2)'!$AN$11*$C22*$D22,"!"))))))))</f>
        <v>0.12374118165784832</v>
      </c>
      <c r="G22" s="397">
        <f>IF($C22&lt;11,'Offroad Tiers EF (2)'!$AM$4*$C22*$D22,IF($C22&lt;25,'Offroad Tiers EF (2)'!$AM$5*$C22*$D22,IF($C22&lt;50,'Offroad Tiers EF (2)'!$AM$6*$C22*$D22,IF($C22&lt;75,'Offroad Tiers EF (2)'!$AM$7*$C22*$D22,IF($C22&lt;100,'Offroad Tiers EF (2)'!$AM$8*$C22*$D22,IF($C22&lt;175,'Offroad Tiers EF (2)'!$AM$9*$C22*$D22,IF($C22&lt;300,'Offroad Tiers EF (2)'!$AM$10*$C22*$D22,IF($C22&lt;600,'Offroad Tiers EF (2)'!$AM$11*$C22*$D22,"!"))))))))</f>
        <v>0.16056172839506169</v>
      </c>
      <c r="H22" s="102">
        <v>3.2989906092678058E-4</v>
      </c>
      <c r="I22" s="397">
        <f>IF($C22&lt;11,'Offroad Tiers EF (2)'!$AO$4*$C22*$D22,IF($C22&lt;25,'Offroad Tiers EF (2)'!$AO$5*$C22*$D22,IF($C22&lt;50,'Offroad Tiers EF (2)'!$AO$6*$C22*$D22,IF($C22&lt;75,'Offroad Tiers EF (2)'!$AO$7*$C22*$D22,IF($C22&lt;100,'Offroad Tiers EF (2)'!$AO$8*$C22*$D22,IF($C22&lt;175,'Offroad Tiers EF (2)'!$AO$9*$C22*$D22,IF($C22&lt;300,'Offroad Tiers EF (2)'!$AO$10*$C22*$D22,IF($C22&lt;600,'Offroad Tiers EF (2)'!$AO$11*$C22*$D22,"!"))))))))</f>
        <v>1.3581349206349205E-2</v>
      </c>
      <c r="J22" s="100">
        <f t="shared" si="8"/>
        <v>1.2087400793650793E-2</v>
      </c>
      <c r="K22" s="103">
        <v>25.519156990664225</v>
      </c>
      <c r="L22" s="102">
        <v>3.413848047070189E-3</v>
      </c>
      <c r="M22" s="104">
        <f t="shared" si="9"/>
        <v>1.5253364197530862E-2</v>
      </c>
      <c r="N22" s="88">
        <v>1</v>
      </c>
      <c r="O22" s="88">
        <v>4</v>
      </c>
      <c r="P22" s="367">
        <v>75</v>
      </c>
      <c r="Q22" s="26">
        <f t="shared" si="10"/>
        <v>0.15134249900667004</v>
      </c>
      <c r="R22" s="26">
        <f t="shared" si="10"/>
        <v>0.49496472663139329</v>
      </c>
      <c r="S22" s="26">
        <f t="shared" si="10"/>
        <v>0.64224691358024677</v>
      </c>
      <c r="T22" s="26">
        <f t="shared" si="10"/>
        <v>1.3195962437071223E-3</v>
      </c>
      <c r="U22" s="26">
        <f t="shared" si="10"/>
        <v>5.4325396825396818E-2</v>
      </c>
      <c r="V22" s="26">
        <f t="shared" si="10"/>
        <v>4.834960317460317E-2</v>
      </c>
      <c r="W22" s="26">
        <f t="shared" si="10"/>
        <v>102.0766279626569</v>
      </c>
      <c r="X22" s="26">
        <f t="shared" si="10"/>
        <v>1.3655392188280756E-2</v>
      </c>
      <c r="Y22" s="26">
        <f t="shared" si="10"/>
        <v>6.1013456790123446E-2</v>
      </c>
    </row>
    <row r="23" spans="1:25">
      <c r="A23" s="17" t="s">
        <v>28</v>
      </c>
      <c r="B23" s="97"/>
      <c r="C23" s="22"/>
      <c r="D23" s="22"/>
      <c r="E23" s="23"/>
      <c r="F23" s="23"/>
      <c r="G23" s="23"/>
      <c r="H23" s="23"/>
      <c r="I23" s="23"/>
      <c r="J23" s="24"/>
      <c r="K23" s="25"/>
      <c r="L23" s="23"/>
      <c r="M23" s="23"/>
      <c r="N23" s="88"/>
      <c r="O23" s="88"/>
      <c r="P23" s="88"/>
      <c r="Q23" s="27">
        <f t="shared" ref="Q23:Y23" si="11">SUM(Q20:Q22)</f>
        <v>2.0380978171743473</v>
      </c>
      <c r="R23" s="27">
        <f t="shared" si="11"/>
        <v>6.3369156629757981</v>
      </c>
      <c r="S23" s="27">
        <f t="shared" si="11"/>
        <v>14.527281198742893</v>
      </c>
      <c r="T23" s="27">
        <f t="shared" si="11"/>
        <v>3.1302344240674157E-2</v>
      </c>
      <c r="U23" s="27">
        <f t="shared" si="11"/>
        <v>0.51899279355483463</v>
      </c>
      <c r="V23" s="27">
        <f t="shared" si="11"/>
        <v>0.4619035862638029</v>
      </c>
      <c r="W23" s="27">
        <f t="shared" si="11"/>
        <v>2766.8032779550604</v>
      </c>
      <c r="X23" s="27">
        <f t="shared" si="11"/>
        <v>0.18389431983142221</v>
      </c>
      <c r="Y23" s="27">
        <f t="shared" si="11"/>
        <v>1.3800917138805748</v>
      </c>
    </row>
    <row r="24" spans="1:25">
      <c r="A24" s="17" t="s">
        <v>499</v>
      </c>
      <c r="B24" s="549"/>
      <c r="C24" s="18"/>
      <c r="D24" s="22"/>
      <c r="E24" s="19"/>
      <c r="F24" s="19"/>
      <c r="G24" s="19"/>
      <c r="H24" s="19"/>
      <c r="I24" s="19"/>
      <c r="J24" s="19"/>
      <c r="K24" s="19"/>
      <c r="L24" s="19"/>
      <c r="M24" s="19"/>
      <c r="N24" s="30"/>
      <c r="O24" s="30"/>
      <c r="P24" s="364"/>
      <c r="Q24" s="20">
        <f>Q11+Q17+Q23</f>
        <v>3.7865687832549368</v>
      </c>
      <c r="R24" s="20">
        <f t="shared" ref="R24:Y24" si="12">R11+R17+R23</f>
        <v>12.19867391964868</v>
      </c>
      <c r="S24" s="20">
        <f t="shared" si="12"/>
        <v>24.140121079522885</v>
      </c>
      <c r="T24" s="20">
        <f t="shared" si="12"/>
        <v>5.0144594541932611E-2</v>
      </c>
      <c r="U24" s="20">
        <f t="shared" si="12"/>
        <v>1.0024123338687627</v>
      </c>
      <c r="V24" s="20">
        <f t="shared" si="12"/>
        <v>0.8921469771431989</v>
      </c>
      <c r="W24" s="20">
        <f t="shared" si="12"/>
        <v>4377.7830440041953</v>
      </c>
      <c r="X24" s="20">
        <f t="shared" si="12"/>
        <v>0.35371622613562959</v>
      </c>
      <c r="Y24" s="20">
        <f t="shared" si="12"/>
        <v>2.293311502554674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4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652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C9*(F9)*$B$252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C10*(F10)*$B$252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334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C14*(F14)*$B$194</f>
        <v>0</v>
      </c>
      <c r="AA14" s="50">
        <f>Z14*0.21</f>
        <v>0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0.19978255106729004</v>
      </c>
      <c r="U15" s="81">
        <f t="shared" si="1"/>
        <v>0.36881875565943734</v>
      </c>
      <c r="V15" s="81">
        <f t="shared" si="1"/>
        <v>4.50613455258927E-2</v>
      </c>
      <c r="W15" s="81">
        <f t="shared" si="1"/>
        <v>2.7797226812149543E-3</v>
      </c>
      <c r="X15" s="81">
        <f t="shared" si="1"/>
        <v>7.2738929740302244E-2</v>
      </c>
      <c r="Y15" s="81">
        <f t="shared" si="1"/>
        <v>4.8332197965954803E-2</v>
      </c>
      <c r="Z15" s="81">
        <f t="shared" si="1"/>
        <v>0</v>
      </c>
      <c r="AA15" s="81">
        <f t="shared" si="1"/>
        <v>0</v>
      </c>
      <c r="AB15" s="81">
        <f t="shared" si="1"/>
        <v>193.62821118051326</v>
      </c>
      <c r="AC15" s="81">
        <f t="shared" si="1"/>
        <v>1.1064496871488068E-2</v>
      </c>
      <c r="AD15" s="81">
        <f t="shared" si="1"/>
        <v>4.9599802576000274E-3</v>
      </c>
    </row>
    <row r="16" spans="1:30">
      <c r="A16" s="75"/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</row>
    <row r="17" spans="1:30">
      <c r="A17" s="114" t="s">
        <v>336</v>
      </c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61"/>
      <c r="U17" s="61"/>
      <c r="V17" s="61"/>
      <c r="W17" s="61"/>
      <c r="X17" s="61"/>
      <c r="Y17" s="61"/>
      <c r="Z17" s="62"/>
      <c r="AA17" s="62"/>
      <c r="AB17" s="62"/>
      <c r="AC17" s="62"/>
      <c r="AD17" s="62"/>
    </row>
    <row r="18" spans="1:30">
      <c r="A18" s="78" t="s">
        <v>320</v>
      </c>
      <c r="B18" s="76" t="s">
        <v>95</v>
      </c>
      <c r="C18" s="79">
        <v>3</v>
      </c>
      <c r="D18" s="77"/>
      <c r="E18" s="77">
        <v>35</v>
      </c>
      <c r="F18" s="77">
        <v>60</v>
      </c>
      <c r="G18" s="106">
        <v>0.25172046482947802</v>
      </c>
      <c r="H18" s="106">
        <v>0.464701387165456</v>
      </c>
      <c r="I18" s="106">
        <v>5.6776043658582402E-2</v>
      </c>
      <c r="J18" s="106">
        <v>3.5023733638119199E-3</v>
      </c>
      <c r="K18" s="106">
        <v>4.6899256897933901E-2</v>
      </c>
      <c r="L18" s="47">
        <v>7.99995847163921E-3</v>
      </c>
      <c r="M18" s="47">
        <v>3.6749815577381599E-2</v>
      </c>
      <c r="N18" s="106">
        <v>4.3147317248333997E-2</v>
      </c>
      <c r="O18" s="47">
        <v>1.9999896145790402E-3</v>
      </c>
      <c r="P18" s="47">
        <v>1.57499200131354E-2</v>
      </c>
      <c r="Q18" s="106">
        <v>243.966167526025</v>
      </c>
      <c r="R18" s="47">
        <f>0.000057143*Q18</f>
        <v>1.3940958710939646E-2</v>
      </c>
      <c r="S18" s="80">
        <f>0.000025616*Q18</f>
        <v>6.2494373473466567E-3</v>
      </c>
      <c r="T18" s="50">
        <f>C18*($F18*$G18)/453.59</f>
        <v>9.9891275533645019E-2</v>
      </c>
      <c r="U18" s="50">
        <f>C18*($F18*$H18)/453.59</f>
        <v>0.18440937782971867</v>
      </c>
      <c r="V18" s="50">
        <f>C18*(($F18*$I18))/453.59</f>
        <v>2.253067276294635E-2</v>
      </c>
      <c r="W18" s="50">
        <f>C18*($F18*$J18)/453.59</f>
        <v>1.3898613406074772E-3</v>
      </c>
      <c r="X18" s="50">
        <f>C18*(($F18*($K18+$L18+$M18)))/453.59</f>
        <v>3.6369464870151122E-2</v>
      </c>
      <c r="Y18" s="50">
        <f>C18*(($F18*($N18+$O18+$P18)))/453.59</f>
        <v>2.4166098982977401E-2</v>
      </c>
      <c r="Z18" s="50">
        <f>C18*(F18)*$B$277</f>
        <v>0</v>
      </c>
      <c r="AA18" s="50">
        <f>Z18*0.21</f>
        <v>0</v>
      </c>
      <c r="AB18" s="50">
        <f>C18*(($F18*($Q18)))/453.59</f>
        <v>96.814105590256631</v>
      </c>
      <c r="AC18" s="50">
        <f>C18*(($F18*($R18)))/453.59</f>
        <v>5.5322484357440338E-3</v>
      </c>
      <c r="AD18" s="50">
        <f>C18*(($F18*($S18)))/453.59</f>
        <v>2.4799901288000137E-3</v>
      </c>
    </row>
    <row r="19" spans="1:30">
      <c r="A19" s="75" t="s">
        <v>28</v>
      </c>
      <c r="B19" s="74"/>
      <c r="C19" s="112"/>
      <c r="D19" s="112"/>
      <c r="E19" s="74"/>
      <c r="F19" s="74"/>
      <c r="G19" s="577"/>
      <c r="H19" s="41"/>
      <c r="I19" s="41"/>
      <c r="J19" s="41"/>
      <c r="K19" s="574"/>
      <c r="L19" s="574"/>
      <c r="M19" s="574"/>
      <c r="N19" s="574"/>
      <c r="O19" s="574"/>
      <c r="P19" s="574"/>
      <c r="Q19" s="41"/>
      <c r="R19" s="574"/>
      <c r="S19" s="574"/>
      <c r="T19" s="81">
        <f t="shared" ref="T19:AD19" si="2">SUM(T18:T18)</f>
        <v>9.9891275533645019E-2</v>
      </c>
      <c r="U19" s="81">
        <f t="shared" si="2"/>
        <v>0.18440937782971867</v>
      </c>
      <c r="V19" s="81">
        <f t="shared" si="2"/>
        <v>2.253067276294635E-2</v>
      </c>
      <c r="W19" s="81">
        <f t="shared" si="2"/>
        <v>1.3898613406074772E-3</v>
      </c>
      <c r="X19" s="81">
        <f t="shared" si="2"/>
        <v>3.6369464870151122E-2</v>
      </c>
      <c r="Y19" s="81">
        <f t="shared" si="2"/>
        <v>2.4166098982977401E-2</v>
      </c>
      <c r="Z19" s="81">
        <f t="shared" si="2"/>
        <v>0</v>
      </c>
      <c r="AA19" s="81">
        <f t="shared" si="2"/>
        <v>0</v>
      </c>
      <c r="AB19" s="81">
        <f t="shared" si="2"/>
        <v>96.814105590256631</v>
      </c>
      <c r="AC19" s="81">
        <f t="shared" si="2"/>
        <v>5.5322484357440338E-3</v>
      </c>
      <c r="AD19" s="81">
        <f t="shared" si="2"/>
        <v>2.4799901288000137E-3</v>
      </c>
    </row>
    <row r="20" spans="1:30">
      <c r="A20" s="75" t="s">
        <v>388</v>
      </c>
      <c r="B20" s="74"/>
      <c r="C20" s="112"/>
      <c r="D20" s="112"/>
      <c r="E20" s="74"/>
      <c r="F20" s="74"/>
      <c r="G20" s="547"/>
      <c r="H20" s="41"/>
      <c r="I20" s="41"/>
      <c r="J20" s="41"/>
      <c r="K20" s="544"/>
      <c r="L20" s="544"/>
      <c r="M20" s="544"/>
      <c r="N20" s="544"/>
      <c r="O20" s="544"/>
      <c r="P20" s="544"/>
      <c r="Q20" s="41"/>
      <c r="R20" s="544"/>
      <c r="S20" s="544"/>
      <c r="T20" s="81">
        <f>T11+T15+T19</f>
        <v>0.59051106942383247</v>
      </c>
      <c r="U20" s="81">
        <f t="shared" ref="U20:AD20" si="3">U11+U15+U19</f>
        <v>1.6144243701047405</v>
      </c>
      <c r="V20" s="81">
        <f t="shared" si="3"/>
        <v>0.13641650277605957</v>
      </c>
      <c r="W20" s="81">
        <f t="shared" si="3"/>
        <v>7.448696536397589E-3</v>
      </c>
      <c r="X20" s="81">
        <f t="shared" si="3"/>
        <v>0.17535848125533138</v>
      </c>
      <c r="Y20" s="81">
        <f t="shared" si="3"/>
        <v>0.11867638057804074</v>
      </c>
      <c r="Z20" s="81">
        <f t="shared" si="3"/>
        <v>0</v>
      </c>
      <c r="AA20" s="81">
        <f t="shared" si="3"/>
        <v>0</v>
      </c>
      <c r="AB20" s="81">
        <f t="shared" si="3"/>
        <v>688.97843208459187</v>
      </c>
      <c r="AC20" s="81">
        <f t="shared" si="3"/>
        <v>2.4816045271017211E-2</v>
      </c>
      <c r="AD20" s="81">
        <f t="shared" si="3"/>
        <v>1.7648871516278905E-2</v>
      </c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372" spans="1:2" ht="25.5">
      <c r="A372" s="82" t="s">
        <v>109</v>
      </c>
    </row>
    <row r="374" spans="1:2">
      <c r="A374" s="36" t="s">
        <v>81</v>
      </c>
    </row>
    <row r="375" spans="1:2">
      <c r="A375" s="36" t="s">
        <v>82</v>
      </c>
    </row>
    <row r="376" spans="1:2">
      <c r="A376" s="36" t="s">
        <v>83</v>
      </c>
    </row>
    <row r="377" spans="1:2">
      <c r="A377" s="37" t="s">
        <v>96</v>
      </c>
    </row>
    <row r="378" spans="1:2">
      <c r="A378" s="36" t="s">
        <v>85</v>
      </c>
    </row>
    <row r="379" spans="1:2">
      <c r="A379" s="36" t="s">
        <v>86</v>
      </c>
    </row>
    <row r="380" spans="1:2">
      <c r="A380" s="36" t="s">
        <v>87</v>
      </c>
    </row>
    <row r="381" spans="1:2">
      <c r="A381" s="36" t="s">
        <v>0</v>
      </c>
    </row>
    <row r="382" spans="1:2">
      <c r="A382" s="37" t="s">
        <v>97</v>
      </c>
      <c r="B382" s="36">
        <f>(0.016*(0.03/2)^0.65*(2/3)^1.5)-0.00047</f>
        <v>9.8123053326417428E-5</v>
      </c>
    </row>
    <row r="383" spans="1:2">
      <c r="A383" s="37" t="s">
        <v>98</v>
      </c>
      <c r="B383" s="36">
        <f>(0.016*(0.03/2)^0.65*(13/3)^1.5)-0.00047</f>
        <v>8.9448292388582783E-3</v>
      </c>
    </row>
    <row r="384" spans="1:2">
      <c r="A384" s="37" t="s">
        <v>99</v>
      </c>
      <c r="B384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653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67" ht="25.5">
      <c r="A5" s="44" t="s">
        <v>334</v>
      </c>
      <c r="B5" s="45" t="s">
        <v>102</v>
      </c>
      <c r="C5" s="46">
        <v>10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336</v>
      </c>
      <c r="B6" s="45" t="s">
        <v>102</v>
      </c>
      <c r="C6" s="46">
        <v>8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546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2">AG$11*$AC16</f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>AR$11*$AC16</f>
        <v>#REF!</v>
      </c>
      <c r="AS16" s="36" t="e">
        <f t="shared" ref="AS16:BA24" si="3">AS$11*$AC16</f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4">AF$11*$AC17</f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ref="AR17:AR24" si="5">AR$11*$AC17</f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6">AF$11*$AC27</f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ref="AR27:BA35" si="7">AR$11*$AC27</f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8">AF$11*$AC38</f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ref="AR38:BA46" si="9">AR$11*$AC38</f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0">AF16+AF18+AF19</f>
        <v>#REF!</v>
      </c>
      <c r="AG51" s="70" t="e">
        <f t="shared" si="10"/>
        <v>#REF!</v>
      </c>
      <c r="AH51" s="70" t="e">
        <f t="shared" si="10"/>
        <v>#REF!</v>
      </c>
      <c r="AI51" s="70" t="e">
        <f t="shared" si="10"/>
        <v>#REF!</v>
      </c>
      <c r="AJ51" s="70" t="e">
        <f t="shared" si="10"/>
        <v>#REF!</v>
      </c>
      <c r="AK51" s="70" t="e">
        <f t="shared" si="10"/>
        <v>#REF!</v>
      </c>
      <c r="AL51" s="70" t="e">
        <f t="shared" si="10"/>
        <v>#REF!</v>
      </c>
      <c r="AM51" s="70" t="e">
        <f t="shared" si="10"/>
        <v>#REF!</v>
      </c>
      <c r="AN51" s="70" t="e">
        <f t="shared" si="10"/>
        <v>#REF!</v>
      </c>
      <c r="AO51" s="70" t="e">
        <f t="shared" si="10"/>
        <v>#REF!</v>
      </c>
      <c r="AP51" s="70"/>
      <c r="AQ51" s="70"/>
      <c r="AR51" s="70" t="e">
        <f t="shared" ref="AR51:BA51" si="11">AR16+AR18+AR19</f>
        <v>#REF!</v>
      </c>
      <c r="AS51" s="70" t="e">
        <f t="shared" si="11"/>
        <v>#REF!</v>
      </c>
      <c r="AT51" s="70" t="e">
        <f t="shared" si="11"/>
        <v>#REF!</v>
      </c>
      <c r="AU51" s="70" t="e">
        <f t="shared" si="11"/>
        <v>#REF!</v>
      </c>
      <c r="AV51" s="70" t="e">
        <f t="shared" si="11"/>
        <v>#REF!</v>
      </c>
      <c r="AW51" s="70" t="e">
        <f t="shared" si="11"/>
        <v>#REF!</v>
      </c>
      <c r="AX51" s="70" t="e">
        <f t="shared" si="11"/>
        <v>#REF!</v>
      </c>
      <c r="AY51" s="70" t="e">
        <f t="shared" si="11"/>
        <v>#REF!</v>
      </c>
      <c r="AZ51" s="70" t="e">
        <f t="shared" si="11"/>
        <v>#REF!</v>
      </c>
      <c r="BA51" s="70" t="e">
        <f t="shared" si="11"/>
        <v>#REF!</v>
      </c>
    </row>
    <row r="52" spans="27:53" hidden="1">
      <c r="AA52" s="71" t="s">
        <v>41</v>
      </c>
      <c r="AB52" s="35"/>
      <c r="AF52" s="70" t="e">
        <f t="shared" ref="AF52:AO52" si="12">AF27+AF29+AF30</f>
        <v>#REF!</v>
      </c>
      <c r="AG52" s="70" t="e">
        <f t="shared" si="12"/>
        <v>#REF!</v>
      </c>
      <c r="AH52" s="70" t="e">
        <f t="shared" si="12"/>
        <v>#REF!</v>
      </c>
      <c r="AI52" s="70" t="e">
        <f t="shared" si="12"/>
        <v>#REF!</v>
      </c>
      <c r="AJ52" s="70" t="e">
        <f t="shared" si="12"/>
        <v>#REF!</v>
      </c>
      <c r="AK52" s="70" t="e">
        <f t="shared" si="12"/>
        <v>#REF!</v>
      </c>
      <c r="AL52" s="70" t="e">
        <f t="shared" si="12"/>
        <v>#REF!</v>
      </c>
      <c r="AM52" s="70" t="e">
        <f t="shared" si="12"/>
        <v>#REF!</v>
      </c>
      <c r="AN52" s="70" t="e">
        <f t="shared" si="12"/>
        <v>#REF!</v>
      </c>
      <c r="AO52" s="70" t="e">
        <f t="shared" si="12"/>
        <v>#REF!</v>
      </c>
      <c r="AP52" s="70"/>
      <c r="AQ52" s="70"/>
      <c r="AR52" s="70" t="e">
        <f t="shared" ref="AR52:BA52" si="13">AR27+AR29+AR30</f>
        <v>#REF!</v>
      </c>
      <c r="AS52" s="70" t="e">
        <f t="shared" si="13"/>
        <v>#REF!</v>
      </c>
      <c r="AT52" s="70" t="e">
        <f t="shared" si="13"/>
        <v>#REF!</v>
      </c>
      <c r="AU52" s="70" t="e">
        <f t="shared" si="13"/>
        <v>#REF!</v>
      </c>
      <c r="AV52" s="70" t="e">
        <f t="shared" si="13"/>
        <v>#REF!</v>
      </c>
      <c r="AW52" s="70" t="e">
        <f t="shared" si="13"/>
        <v>#REF!</v>
      </c>
      <c r="AX52" s="70" t="e">
        <f t="shared" si="13"/>
        <v>#REF!</v>
      </c>
      <c r="AY52" s="70" t="e">
        <f t="shared" si="13"/>
        <v>#REF!</v>
      </c>
      <c r="AZ52" s="70" t="e">
        <f t="shared" si="13"/>
        <v>#REF!</v>
      </c>
      <c r="BA52" s="70" t="e">
        <f t="shared" si="13"/>
        <v>#REF!</v>
      </c>
    </row>
    <row r="53" spans="27:53" hidden="1">
      <c r="AA53" s="71" t="s">
        <v>42</v>
      </c>
      <c r="AB53" s="35"/>
      <c r="AF53" s="70" t="e">
        <f t="shared" ref="AF53:AO53" si="14">AF38+AF40+AF41</f>
        <v>#REF!</v>
      </c>
      <c r="AG53" s="70" t="e">
        <f t="shared" si="14"/>
        <v>#REF!</v>
      </c>
      <c r="AH53" s="70" t="e">
        <f t="shared" si="14"/>
        <v>#REF!</v>
      </c>
      <c r="AI53" s="70" t="e">
        <f t="shared" si="14"/>
        <v>#REF!</v>
      </c>
      <c r="AJ53" s="70" t="e">
        <f t="shared" si="14"/>
        <v>#REF!</v>
      </c>
      <c r="AK53" s="70" t="e">
        <f t="shared" si="14"/>
        <v>#REF!</v>
      </c>
      <c r="AL53" s="70" t="e">
        <f t="shared" si="14"/>
        <v>#REF!</v>
      </c>
      <c r="AM53" s="70" t="e">
        <f t="shared" si="14"/>
        <v>#REF!</v>
      </c>
      <c r="AN53" s="70" t="e">
        <f t="shared" si="14"/>
        <v>#REF!</v>
      </c>
      <c r="AO53" s="70" t="e">
        <f t="shared" si="14"/>
        <v>#REF!</v>
      </c>
      <c r="AP53" s="70"/>
      <c r="AQ53" s="70"/>
      <c r="AR53" s="70" t="e">
        <f t="shared" ref="AR53:BA53" si="15">AR38+AR40+AR41</f>
        <v>#REF!</v>
      </c>
      <c r="AS53" s="70" t="e">
        <f t="shared" si="15"/>
        <v>#REF!</v>
      </c>
      <c r="AT53" s="70" t="e">
        <f t="shared" si="15"/>
        <v>#REF!</v>
      </c>
      <c r="AU53" s="70" t="e">
        <f t="shared" si="15"/>
        <v>#REF!</v>
      </c>
      <c r="AV53" s="70" t="e">
        <f t="shared" si="15"/>
        <v>#REF!</v>
      </c>
      <c r="AW53" s="70" t="e">
        <f t="shared" si="15"/>
        <v>#REF!</v>
      </c>
      <c r="AX53" s="70" t="e">
        <f t="shared" si="15"/>
        <v>#REF!</v>
      </c>
      <c r="AY53" s="70" t="e">
        <f t="shared" si="15"/>
        <v>#REF!</v>
      </c>
      <c r="AZ53" s="70" t="e">
        <f t="shared" si="15"/>
        <v>#REF!</v>
      </c>
      <c r="BA53" s="70" t="e">
        <f t="shared" si="15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6">AF16+AF18+AF20+AF22</f>
        <v>#REF!</v>
      </c>
      <c r="AG55" s="70" t="e">
        <f t="shared" si="16"/>
        <v>#REF!</v>
      </c>
      <c r="AH55" s="70" t="e">
        <f t="shared" si="16"/>
        <v>#REF!</v>
      </c>
      <c r="AI55" s="70" t="e">
        <f t="shared" si="16"/>
        <v>#REF!</v>
      </c>
      <c r="AJ55" s="70" t="e">
        <f t="shared" si="16"/>
        <v>#REF!</v>
      </c>
      <c r="AK55" s="70" t="e">
        <f t="shared" si="16"/>
        <v>#REF!</v>
      </c>
      <c r="AL55" s="70" t="e">
        <f t="shared" si="16"/>
        <v>#REF!</v>
      </c>
      <c r="AM55" s="70" t="e">
        <f t="shared" si="16"/>
        <v>#REF!</v>
      </c>
      <c r="AN55" s="70" t="e">
        <f t="shared" si="16"/>
        <v>#REF!</v>
      </c>
      <c r="AO55" s="70" t="e">
        <f t="shared" si="16"/>
        <v>#REF!</v>
      </c>
      <c r="AP55" s="70"/>
      <c r="AQ55" s="70"/>
      <c r="AR55" s="70" t="e">
        <f t="shared" ref="AR55:BA55" si="17">AR16+AR18+AR20+AR22</f>
        <v>#REF!</v>
      </c>
      <c r="AS55" s="70" t="e">
        <f t="shared" si="17"/>
        <v>#REF!</v>
      </c>
      <c r="AT55" s="70" t="e">
        <f t="shared" si="17"/>
        <v>#REF!</v>
      </c>
      <c r="AU55" s="70" t="e">
        <f t="shared" si="17"/>
        <v>#REF!</v>
      </c>
      <c r="AV55" s="70" t="e">
        <f t="shared" si="17"/>
        <v>#REF!</v>
      </c>
      <c r="AW55" s="70" t="e">
        <f t="shared" si="17"/>
        <v>#REF!</v>
      </c>
      <c r="AX55" s="70" t="e">
        <f t="shared" si="17"/>
        <v>#REF!</v>
      </c>
      <c r="AY55" s="70" t="e">
        <f t="shared" si="17"/>
        <v>#REF!</v>
      </c>
      <c r="AZ55" s="70" t="e">
        <f t="shared" si="17"/>
        <v>#REF!</v>
      </c>
      <c r="BA55" s="70" t="e">
        <f t="shared" si="17"/>
        <v>#REF!</v>
      </c>
    </row>
    <row r="56" spans="27:53" hidden="1">
      <c r="AA56" s="71" t="s">
        <v>41</v>
      </c>
      <c r="AB56" s="35"/>
      <c r="AF56" s="70" t="e">
        <f t="shared" ref="AF56:AO56" si="18">AF27+AF29+AF31+AF33</f>
        <v>#REF!</v>
      </c>
      <c r="AG56" s="70" t="e">
        <f t="shared" si="18"/>
        <v>#REF!</v>
      </c>
      <c r="AH56" s="70" t="e">
        <f t="shared" si="18"/>
        <v>#REF!</v>
      </c>
      <c r="AI56" s="70" t="e">
        <f t="shared" si="18"/>
        <v>#REF!</v>
      </c>
      <c r="AJ56" s="70" t="e">
        <f t="shared" si="18"/>
        <v>#REF!</v>
      </c>
      <c r="AK56" s="70" t="e">
        <f t="shared" si="18"/>
        <v>#REF!</v>
      </c>
      <c r="AL56" s="70" t="e">
        <f t="shared" si="18"/>
        <v>#REF!</v>
      </c>
      <c r="AM56" s="70" t="e">
        <f t="shared" si="18"/>
        <v>#REF!</v>
      </c>
      <c r="AN56" s="70" t="e">
        <f t="shared" si="18"/>
        <v>#REF!</v>
      </c>
      <c r="AO56" s="70" t="e">
        <f t="shared" si="18"/>
        <v>#REF!</v>
      </c>
      <c r="AP56" s="70"/>
      <c r="AQ56" s="70"/>
      <c r="AR56" s="70" t="e">
        <f t="shared" ref="AR56:BA56" si="19">AR27+AR29+AR31+AR33</f>
        <v>#REF!</v>
      </c>
      <c r="AS56" s="70" t="e">
        <f t="shared" si="19"/>
        <v>#REF!</v>
      </c>
      <c r="AT56" s="70" t="e">
        <f t="shared" si="19"/>
        <v>#REF!</v>
      </c>
      <c r="AU56" s="70" t="e">
        <f t="shared" si="19"/>
        <v>#REF!</v>
      </c>
      <c r="AV56" s="70" t="e">
        <f t="shared" si="19"/>
        <v>#REF!</v>
      </c>
      <c r="AW56" s="70" t="e">
        <f t="shared" si="19"/>
        <v>#REF!</v>
      </c>
      <c r="AX56" s="70" t="e">
        <f t="shared" si="19"/>
        <v>#REF!</v>
      </c>
      <c r="AY56" s="70" t="e">
        <f t="shared" si="19"/>
        <v>#REF!</v>
      </c>
      <c r="AZ56" s="70" t="e">
        <f t="shared" si="19"/>
        <v>#REF!</v>
      </c>
      <c r="BA56" s="70" t="e">
        <f t="shared" si="19"/>
        <v>#REF!</v>
      </c>
    </row>
    <row r="57" spans="27:53" hidden="1">
      <c r="AA57" s="71" t="s">
        <v>42</v>
      </c>
      <c r="AB57" s="35"/>
      <c r="AF57" s="70" t="e">
        <f t="shared" ref="AF57:AO57" si="20">AF38+AF40+AF42+AF44</f>
        <v>#REF!</v>
      </c>
      <c r="AG57" s="70" t="e">
        <f t="shared" si="20"/>
        <v>#REF!</v>
      </c>
      <c r="AH57" s="70" t="e">
        <f t="shared" si="20"/>
        <v>#REF!</v>
      </c>
      <c r="AI57" s="70" t="e">
        <f t="shared" si="20"/>
        <v>#REF!</v>
      </c>
      <c r="AJ57" s="70" t="e">
        <f t="shared" si="20"/>
        <v>#REF!</v>
      </c>
      <c r="AK57" s="70" t="e">
        <f t="shared" si="20"/>
        <v>#REF!</v>
      </c>
      <c r="AL57" s="70" t="e">
        <f t="shared" si="20"/>
        <v>#REF!</v>
      </c>
      <c r="AM57" s="70" t="e">
        <f t="shared" si="20"/>
        <v>#REF!</v>
      </c>
      <c r="AN57" s="70" t="e">
        <f t="shared" si="20"/>
        <v>#REF!</v>
      </c>
      <c r="AO57" s="70" t="e">
        <f t="shared" si="20"/>
        <v>#REF!</v>
      </c>
      <c r="AP57" s="70"/>
      <c r="AQ57" s="70"/>
      <c r="AR57" s="70" t="e">
        <f t="shared" ref="AR57:BA57" si="21">AR38+AR40+AR42+AR44</f>
        <v>#REF!</v>
      </c>
      <c r="AS57" s="70" t="e">
        <f t="shared" si="21"/>
        <v>#REF!</v>
      </c>
      <c r="AT57" s="70" t="e">
        <f t="shared" si="21"/>
        <v>#REF!</v>
      </c>
      <c r="AU57" s="70" t="e">
        <f t="shared" si="21"/>
        <v>#REF!</v>
      </c>
      <c r="AV57" s="70" t="e">
        <f t="shared" si="21"/>
        <v>#REF!</v>
      </c>
      <c r="AW57" s="70" t="e">
        <f t="shared" si="21"/>
        <v>#REF!</v>
      </c>
      <c r="AX57" s="70" t="e">
        <f t="shared" si="21"/>
        <v>#REF!</v>
      </c>
      <c r="AY57" s="70" t="e">
        <f t="shared" si="21"/>
        <v>#REF!</v>
      </c>
      <c r="AZ57" s="70" t="e">
        <f t="shared" si="21"/>
        <v>#REF!</v>
      </c>
      <c r="BA57" s="70" t="e">
        <f t="shared" si="21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2">AF16+AF18+AF20+AF21+AF23</f>
        <v>#REF!</v>
      </c>
      <c r="AG59" s="70" t="e">
        <f t="shared" si="22"/>
        <v>#REF!</v>
      </c>
      <c r="AH59" s="70" t="e">
        <f t="shared" si="22"/>
        <v>#REF!</v>
      </c>
      <c r="AI59" s="70" t="e">
        <f t="shared" si="22"/>
        <v>#REF!</v>
      </c>
      <c r="AJ59" s="70" t="e">
        <f t="shared" si="22"/>
        <v>#REF!</v>
      </c>
      <c r="AK59" s="70" t="e">
        <f t="shared" si="22"/>
        <v>#REF!</v>
      </c>
      <c r="AL59" s="70" t="e">
        <f t="shared" si="22"/>
        <v>#REF!</v>
      </c>
      <c r="AM59" s="70" t="e">
        <f t="shared" si="22"/>
        <v>#REF!</v>
      </c>
      <c r="AN59" s="70" t="e">
        <f t="shared" si="22"/>
        <v>#REF!</v>
      </c>
      <c r="AO59" s="70" t="e">
        <f t="shared" si="22"/>
        <v>#REF!</v>
      </c>
      <c r="AP59" s="70"/>
      <c r="AQ59" s="70"/>
      <c r="AR59" s="70" t="e">
        <f t="shared" ref="AR59:BA59" si="23">AR16+AR18+AR20+AR21+AR23</f>
        <v>#REF!</v>
      </c>
      <c r="AS59" s="70" t="e">
        <f t="shared" si="23"/>
        <v>#REF!</v>
      </c>
      <c r="AT59" s="70" t="e">
        <f t="shared" si="23"/>
        <v>#REF!</v>
      </c>
      <c r="AU59" s="70" t="e">
        <f t="shared" si="23"/>
        <v>#REF!</v>
      </c>
      <c r="AV59" s="70" t="e">
        <f t="shared" si="23"/>
        <v>#REF!</v>
      </c>
      <c r="AW59" s="70" t="e">
        <f t="shared" si="23"/>
        <v>#REF!</v>
      </c>
      <c r="AX59" s="70" t="e">
        <f t="shared" si="23"/>
        <v>#REF!</v>
      </c>
      <c r="AY59" s="70" t="e">
        <f t="shared" si="23"/>
        <v>#REF!</v>
      </c>
      <c r="AZ59" s="70" t="e">
        <f t="shared" si="23"/>
        <v>#REF!</v>
      </c>
      <c r="BA59" s="70" t="e">
        <f t="shared" si="23"/>
        <v>#REF!</v>
      </c>
    </row>
    <row r="60" spans="27:53" hidden="1">
      <c r="AA60" s="71" t="s">
        <v>41</v>
      </c>
      <c r="AB60" s="35"/>
      <c r="AF60" s="70" t="e">
        <f t="shared" ref="AF60:AO60" si="24">AF27+AF29+AF31+AF32+AF34</f>
        <v>#REF!</v>
      </c>
      <c r="AG60" s="70" t="e">
        <f t="shared" si="24"/>
        <v>#REF!</v>
      </c>
      <c r="AH60" s="70" t="e">
        <f t="shared" si="24"/>
        <v>#REF!</v>
      </c>
      <c r="AI60" s="70" t="e">
        <f t="shared" si="24"/>
        <v>#REF!</v>
      </c>
      <c r="AJ60" s="70" t="e">
        <f t="shared" si="24"/>
        <v>#REF!</v>
      </c>
      <c r="AK60" s="70" t="e">
        <f t="shared" si="24"/>
        <v>#REF!</v>
      </c>
      <c r="AL60" s="70" t="e">
        <f t="shared" si="24"/>
        <v>#REF!</v>
      </c>
      <c r="AM60" s="70" t="e">
        <f t="shared" si="24"/>
        <v>#REF!</v>
      </c>
      <c r="AN60" s="70" t="e">
        <f t="shared" si="24"/>
        <v>#REF!</v>
      </c>
      <c r="AO60" s="70" t="e">
        <f t="shared" si="24"/>
        <v>#REF!</v>
      </c>
      <c r="AP60" s="70"/>
      <c r="AQ60" s="70"/>
      <c r="AR60" s="70" t="e">
        <f t="shared" ref="AR60:BA60" si="25">AR27+AR29+AR31+AR32+AR34</f>
        <v>#REF!</v>
      </c>
      <c r="AS60" s="70" t="e">
        <f t="shared" si="25"/>
        <v>#REF!</v>
      </c>
      <c r="AT60" s="70" t="e">
        <f t="shared" si="25"/>
        <v>#REF!</v>
      </c>
      <c r="AU60" s="70" t="e">
        <f t="shared" si="25"/>
        <v>#REF!</v>
      </c>
      <c r="AV60" s="70" t="e">
        <f t="shared" si="25"/>
        <v>#REF!</v>
      </c>
      <c r="AW60" s="70" t="e">
        <f t="shared" si="25"/>
        <v>#REF!</v>
      </c>
      <c r="AX60" s="70" t="e">
        <f t="shared" si="25"/>
        <v>#REF!</v>
      </c>
      <c r="AY60" s="70" t="e">
        <f t="shared" si="25"/>
        <v>#REF!</v>
      </c>
      <c r="AZ60" s="70" t="e">
        <f t="shared" si="25"/>
        <v>#REF!</v>
      </c>
      <c r="BA60" s="70" t="e">
        <f t="shared" si="25"/>
        <v>#REF!</v>
      </c>
    </row>
    <row r="61" spans="27:53" hidden="1">
      <c r="AA61" s="71" t="s">
        <v>42</v>
      </c>
      <c r="AB61" s="35"/>
      <c r="AF61" s="70" t="e">
        <f t="shared" ref="AF61:AO61" si="26">AF38+AF40+AF42+AF43+AF45</f>
        <v>#REF!</v>
      </c>
      <c r="AG61" s="70" t="e">
        <f t="shared" si="26"/>
        <v>#REF!</v>
      </c>
      <c r="AH61" s="70" t="e">
        <f t="shared" si="26"/>
        <v>#REF!</v>
      </c>
      <c r="AI61" s="70" t="e">
        <f t="shared" si="26"/>
        <v>#REF!</v>
      </c>
      <c r="AJ61" s="70" t="e">
        <f t="shared" si="26"/>
        <v>#REF!</v>
      </c>
      <c r="AK61" s="70" t="e">
        <f t="shared" si="26"/>
        <v>#REF!</v>
      </c>
      <c r="AL61" s="70" t="e">
        <f t="shared" si="26"/>
        <v>#REF!</v>
      </c>
      <c r="AM61" s="70" t="e">
        <f t="shared" si="26"/>
        <v>#REF!</v>
      </c>
      <c r="AN61" s="70" t="e">
        <f t="shared" si="26"/>
        <v>#REF!</v>
      </c>
      <c r="AO61" s="70" t="e">
        <f t="shared" si="26"/>
        <v>#REF!</v>
      </c>
      <c r="AP61" s="70"/>
      <c r="AQ61" s="70"/>
      <c r="AR61" s="70" t="e">
        <f t="shared" ref="AR61:BA61" si="27">AR38+AR40+AR42+AR43+AR45</f>
        <v>#REF!</v>
      </c>
      <c r="AS61" s="70" t="e">
        <f t="shared" si="27"/>
        <v>#REF!</v>
      </c>
      <c r="AT61" s="70" t="e">
        <f t="shared" si="27"/>
        <v>#REF!</v>
      </c>
      <c r="AU61" s="70" t="e">
        <f t="shared" si="27"/>
        <v>#REF!</v>
      </c>
      <c r="AV61" s="70" t="e">
        <f t="shared" si="27"/>
        <v>#REF!</v>
      </c>
      <c r="AW61" s="70" t="e">
        <f t="shared" si="27"/>
        <v>#REF!</v>
      </c>
      <c r="AX61" s="70" t="e">
        <f t="shared" si="27"/>
        <v>#REF!</v>
      </c>
      <c r="AY61" s="70" t="e">
        <f t="shared" si="27"/>
        <v>#REF!</v>
      </c>
      <c r="AZ61" s="70" t="e">
        <f t="shared" si="27"/>
        <v>#REF!</v>
      </c>
      <c r="BA61" s="70" t="e">
        <f t="shared" si="27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28">AF16+AF18+AF20+AF21+AF24</f>
        <v>#REF!</v>
      </c>
      <c r="AG63" s="70" t="e">
        <f t="shared" si="28"/>
        <v>#REF!</v>
      </c>
      <c r="AH63" s="70" t="e">
        <f t="shared" si="28"/>
        <v>#REF!</v>
      </c>
      <c r="AI63" s="70" t="e">
        <f t="shared" si="28"/>
        <v>#REF!</v>
      </c>
      <c r="AJ63" s="70" t="e">
        <f t="shared" si="28"/>
        <v>#REF!</v>
      </c>
      <c r="AK63" s="70" t="e">
        <f t="shared" si="28"/>
        <v>#REF!</v>
      </c>
      <c r="AL63" s="70" t="e">
        <f t="shared" si="28"/>
        <v>#REF!</v>
      </c>
      <c r="AM63" s="70" t="e">
        <f t="shared" si="28"/>
        <v>#REF!</v>
      </c>
      <c r="AN63" s="70" t="e">
        <f t="shared" si="28"/>
        <v>#REF!</v>
      </c>
      <c r="AO63" s="70" t="e">
        <f t="shared" si="28"/>
        <v>#REF!</v>
      </c>
      <c r="AP63" s="70"/>
      <c r="AQ63" s="70"/>
      <c r="AR63" s="70" t="e">
        <f t="shared" ref="AR63:BA63" si="29">AR16+AR18+AR20+AR21+AR24</f>
        <v>#REF!</v>
      </c>
      <c r="AS63" s="70" t="e">
        <f t="shared" si="29"/>
        <v>#REF!</v>
      </c>
      <c r="AT63" s="70" t="e">
        <f t="shared" si="29"/>
        <v>#REF!</v>
      </c>
      <c r="AU63" s="70" t="e">
        <f t="shared" si="29"/>
        <v>#REF!</v>
      </c>
      <c r="AV63" s="70" t="e">
        <f t="shared" si="29"/>
        <v>#REF!</v>
      </c>
      <c r="AW63" s="70" t="e">
        <f t="shared" si="29"/>
        <v>#REF!</v>
      </c>
      <c r="AX63" s="70" t="e">
        <f t="shared" si="29"/>
        <v>#REF!</v>
      </c>
      <c r="AY63" s="70" t="e">
        <f t="shared" si="29"/>
        <v>#REF!</v>
      </c>
      <c r="AZ63" s="70" t="e">
        <f t="shared" si="29"/>
        <v>#REF!</v>
      </c>
      <c r="BA63" s="70" t="e">
        <f t="shared" si="29"/>
        <v>#REF!</v>
      </c>
    </row>
    <row r="64" spans="27:53" hidden="1">
      <c r="AA64" s="71" t="s">
        <v>41</v>
      </c>
      <c r="AB64" s="35"/>
      <c r="AF64" s="70" t="e">
        <f t="shared" ref="AF64:AO64" si="30">AF27+AF29+AF31+AF32+AF35</f>
        <v>#REF!</v>
      </c>
      <c r="AG64" s="70" t="e">
        <f t="shared" si="30"/>
        <v>#REF!</v>
      </c>
      <c r="AH64" s="70" t="e">
        <f t="shared" si="30"/>
        <v>#REF!</v>
      </c>
      <c r="AI64" s="70" t="e">
        <f t="shared" si="30"/>
        <v>#REF!</v>
      </c>
      <c r="AJ64" s="70" t="e">
        <f t="shared" si="30"/>
        <v>#REF!</v>
      </c>
      <c r="AK64" s="70" t="e">
        <f t="shared" si="30"/>
        <v>#REF!</v>
      </c>
      <c r="AL64" s="70" t="e">
        <f t="shared" si="30"/>
        <v>#REF!</v>
      </c>
      <c r="AM64" s="70" t="e">
        <f t="shared" si="30"/>
        <v>#REF!</v>
      </c>
      <c r="AN64" s="70" t="e">
        <f t="shared" si="30"/>
        <v>#REF!</v>
      </c>
      <c r="AO64" s="70" t="e">
        <f t="shared" si="30"/>
        <v>#REF!</v>
      </c>
      <c r="AP64" s="70"/>
      <c r="AQ64" s="70"/>
      <c r="AR64" s="70" t="e">
        <f t="shared" ref="AR64:BA64" si="31">AR27+AR29+AR31+AR32+AR35</f>
        <v>#REF!</v>
      </c>
      <c r="AS64" s="70" t="e">
        <f t="shared" si="31"/>
        <v>#REF!</v>
      </c>
      <c r="AT64" s="70" t="e">
        <f t="shared" si="31"/>
        <v>#REF!</v>
      </c>
      <c r="AU64" s="70" t="e">
        <f t="shared" si="31"/>
        <v>#REF!</v>
      </c>
      <c r="AV64" s="70" t="e">
        <f t="shared" si="31"/>
        <v>#REF!</v>
      </c>
      <c r="AW64" s="70" t="e">
        <f t="shared" si="31"/>
        <v>#REF!</v>
      </c>
      <c r="AX64" s="70" t="e">
        <f t="shared" si="31"/>
        <v>#REF!</v>
      </c>
      <c r="AY64" s="70" t="e">
        <f t="shared" si="31"/>
        <v>#REF!</v>
      </c>
      <c r="AZ64" s="70" t="e">
        <f t="shared" si="31"/>
        <v>#REF!</v>
      </c>
      <c r="BA64" s="70" t="e">
        <f t="shared" si="31"/>
        <v>#REF!</v>
      </c>
    </row>
    <row r="65" spans="27:53" hidden="1">
      <c r="AA65" s="71" t="s">
        <v>42</v>
      </c>
      <c r="AB65" s="35"/>
      <c r="AF65" s="70" t="e">
        <f t="shared" ref="AF65:AO65" si="32">AF38+AF40+AF42+AF43+AF46</f>
        <v>#REF!</v>
      </c>
      <c r="AG65" s="70" t="e">
        <f t="shared" si="32"/>
        <v>#REF!</v>
      </c>
      <c r="AH65" s="70" t="e">
        <f t="shared" si="32"/>
        <v>#REF!</v>
      </c>
      <c r="AI65" s="70" t="e">
        <f t="shared" si="32"/>
        <v>#REF!</v>
      </c>
      <c r="AJ65" s="70" t="e">
        <f t="shared" si="32"/>
        <v>#REF!</v>
      </c>
      <c r="AK65" s="70" t="e">
        <f t="shared" si="32"/>
        <v>#REF!</v>
      </c>
      <c r="AL65" s="70" t="e">
        <f t="shared" si="32"/>
        <v>#REF!</v>
      </c>
      <c r="AM65" s="70" t="e">
        <f t="shared" si="32"/>
        <v>#REF!</v>
      </c>
      <c r="AN65" s="70" t="e">
        <f t="shared" si="32"/>
        <v>#REF!</v>
      </c>
      <c r="AO65" s="70" t="e">
        <f t="shared" si="32"/>
        <v>#REF!</v>
      </c>
      <c r="AP65" s="70"/>
      <c r="AQ65" s="70"/>
      <c r="AR65" s="70" t="e">
        <f t="shared" ref="AR65:BA65" si="33">AR38+AR40+AR42+AR43+AR46</f>
        <v>#REF!</v>
      </c>
      <c r="AS65" s="70" t="e">
        <f t="shared" si="33"/>
        <v>#REF!</v>
      </c>
      <c r="AT65" s="70" t="e">
        <f t="shared" si="33"/>
        <v>#REF!</v>
      </c>
      <c r="AU65" s="70" t="e">
        <f t="shared" si="33"/>
        <v>#REF!</v>
      </c>
      <c r="AV65" s="70" t="e">
        <f t="shared" si="33"/>
        <v>#REF!</v>
      </c>
      <c r="AW65" s="70" t="e">
        <f t="shared" si="33"/>
        <v>#REF!</v>
      </c>
      <c r="AX65" s="70" t="e">
        <f t="shared" si="33"/>
        <v>#REF!</v>
      </c>
      <c r="AY65" s="70" t="e">
        <f t="shared" si="33"/>
        <v>#REF!</v>
      </c>
      <c r="AZ65" s="70" t="e">
        <f t="shared" si="33"/>
        <v>#REF!</v>
      </c>
      <c r="BA65" s="70" t="e">
        <f t="shared" si="33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4">AF16+AF17+AF22</f>
        <v>#REF!</v>
      </c>
      <c r="AG67" s="70" t="e">
        <f t="shared" si="34"/>
        <v>#REF!</v>
      </c>
      <c r="AH67" s="70" t="e">
        <f t="shared" si="34"/>
        <v>#REF!</v>
      </c>
      <c r="AI67" s="70" t="e">
        <f t="shared" si="34"/>
        <v>#REF!</v>
      </c>
      <c r="AJ67" s="70" t="e">
        <f t="shared" si="34"/>
        <v>#REF!</v>
      </c>
      <c r="AK67" s="70" t="e">
        <f t="shared" si="34"/>
        <v>#REF!</v>
      </c>
      <c r="AL67" s="70" t="e">
        <f t="shared" si="34"/>
        <v>#REF!</v>
      </c>
      <c r="AM67" s="70" t="e">
        <f t="shared" si="34"/>
        <v>#REF!</v>
      </c>
      <c r="AN67" s="70" t="e">
        <f t="shared" si="34"/>
        <v>#REF!</v>
      </c>
      <c r="AO67" s="70" t="e">
        <f t="shared" si="34"/>
        <v>#REF!</v>
      </c>
      <c r="AP67" s="70"/>
      <c r="AQ67" s="70"/>
      <c r="AR67" s="70" t="e">
        <f t="shared" ref="AR67:BA67" si="35">AR16+AR17+AR22</f>
        <v>#REF!</v>
      </c>
      <c r="AS67" s="70" t="e">
        <f t="shared" si="35"/>
        <v>#REF!</v>
      </c>
      <c r="AT67" s="70" t="e">
        <f t="shared" si="35"/>
        <v>#REF!</v>
      </c>
      <c r="AU67" s="70" t="e">
        <f t="shared" si="35"/>
        <v>#REF!</v>
      </c>
      <c r="AV67" s="70" t="e">
        <f t="shared" si="35"/>
        <v>#REF!</v>
      </c>
      <c r="AW67" s="70" t="e">
        <f t="shared" si="35"/>
        <v>#REF!</v>
      </c>
      <c r="AX67" s="70" t="e">
        <f t="shared" si="35"/>
        <v>#REF!</v>
      </c>
      <c r="AY67" s="70" t="e">
        <f t="shared" si="35"/>
        <v>#REF!</v>
      </c>
      <c r="AZ67" s="70" t="e">
        <f t="shared" si="35"/>
        <v>#REF!</v>
      </c>
      <c r="BA67" s="70" t="e">
        <f t="shared" si="35"/>
        <v>#REF!</v>
      </c>
    </row>
    <row r="68" spans="27:53" hidden="1">
      <c r="AA68" s="71" t="s">
        <v>41</v>
      </c>
      <c r="AB68" s="35"/>
      <c r="AF68" s="70" t="e">
        <f t="shared" ref="AF68:AO68" si="36">AF27+AF28+AF33</f>
        <v>#REF!</v>
      </c>
      <c r="AG68" s="70" t="e">
        <f t="shared" si="36"/>
        <v>#REF!</v>
      </c>
      <c r="AH68" s="70" t="e">
        <f t="shared" si="36"/>
        <v>#REF!</v>
      </c>
      <c r="AI68" s="70" t="e">
        <f t="shared" si="36"/>
        <v>#REF!</v>
      </c>
      <c r="AJ68" s="70" t="e">
        <f t="shared" si="36"/>
        <v>#REF!</v>
      </c>
      <c r="AK68" s="70" t="e">
        <f t="shared" si="36"/>
        <v>#REF!</v>
      </c>
      <c r="AL68" s="70" t="e">
        <f t="shared" si="36"/>
        <v>#REF!</v>
      </c>
      <c r="AM68" s="70" t="e">
        <f t="shared" si="36"/>
        <v>#REF!</v>
      </c>
      <c r="AN68" s="70" t="e">
        <f t="shared" si="36"/>
        <v>#REF!</v>
      </c>
      <c r="AO68" s="70" t="e">
        <f t="shared" si="36"/>
        <v>#REF!</v>
      </c>
      <c r="AP68" s="70"/>
      <c r="AQ68" s="70"/>
      <c r="AR68" s="70" t="e">
        <f t="shared" ref="AR68:BA68" si="37">AR27+AR28+AR33</f>
        <v>#REF!</v>
      </c>
      <c r="AS68" s="70" t="e">
        <f t="shared" si="37"/>
        <v>#REF!</v>
      </c>
      <c r="AT68" s="70" t="e">
        <f t="shared" si="37"/>
        <v>#REF!</v>
      </c>
      <c r="AU68" s="70" t="e">
        <f t="shared" si="37"/>
        <v>#REF!</v>
      </c>
      <c r="AV68" s="70" t="e">
        <f t="shared" si="37"/>
        <v>#REF!</v>
      </c>
      <c r="AW68" s="70" t="e">
        <f t="shared" si="37"/>
        <v>#REF!</v>
      </c>
      <c r="AX68" s="70" t="e">
        <f t="shared" si="37"/>
        <v>#REF!</v>
      </c>
      <c r="AY68" s="70" t="e">
        <f t="shared" si="37"/>
        <v>#REF!</v>
      </c>
      <c r="AZ68" s="70" t="e">
        <f t="shared" si="37"/>
        <v>#REF!</v>
      </c>
      <c r="BA68" s="70" t="e">
        <f t="shared" si="37"/>
        <v>#REF!</v>
      </c>
    </row>
    <row r="69" spans="27:53" hidden="1">
      <c r="AA69" s="71" t="s">
        <v>42</v>
      </c>
      <c r="AB69" s="35"/>
      <c r="AF69" s="70" t="e">
        <f t="shared" ref="AF69:AO69" si="38">AF38+AF39+AF44</f>
        <v>#REF!</v>
      </c>
      <c r="AG69" s="70" t="e">
        <f t="shared" si="38"/>
        <v>#REF!</v>
      </c>
      <c r="AH69" s="70" t="e">
        <f t="shared" si="38"/>
        <v>#REF!</v>
      </c>
      <c r="AI69" s="70" t="e">
        <f t="shared" si="38"/>
        <v>#REF!</v>
      </c>
      <c r="AJ69" s="70" t="e">
        <f t="shared" si="38"/>
        <v>#REF!</v>
      </c>
      <c r="AK69" s="70" t="e">
        <f t="shared" si="38"/>
        <v>#REF!</v>
      </c>
      <c r="AL69" s="70" t="e">
        <f t="shared" si="38"/>
        <v>#REF!</v>
      </c>
      <c r="AM69" s="70" t="e">
        <f t="shared" si="38"/>
        <v>#REF!</v>
      </c>
      <c r="AN69" s="70" t="e">
        <f t="shared" si="38"/>
        <v>#REF!</v>
      </c>
      <c r="AO69" s="70" t="e">
        <f t="shared" si="38"/>
        <v>#REF!</v>
      </c>
      <c r="AP69" s="70"/>
      <c r="AQ69" s="70"/>
      <c r="AR69" s="70" t="e">
        <f t="shared" ref="AR69:BA69" si="39">AR38+AR39+AR44</f>
        <v>#REF!</v>
      </c>
      <c r="AS69" s="70" t="e">
        <f t="shared" si="39"/>
        <v>#REF!</v>
      </c>
      <c r="AT69" s="70" t="e">
        <f t="shared" si="39"/>
        <v>#REF!</v>
      </c>
      <c r="AU69" s="70" t="e">
        <f t="shared" si="39"/>
        <v>#REF!</v>
      </c>
      <c r="AV69" s="70" t="e">
        <f t="shared" si="39"/>
        <v>#REF!</v>
      </c>
      <c r="AW69" s="70" t="e">
        <f t="shared" si="39"/>
        <v>#REF!</v>
      </c>
      <c r="AX69" s="70" t="e">
        <f t="shared" si="39"/>
        <v>#REF!</v>
      </c>
      <c r="AY69" s="70" t="e">
        <f t="shared" si="39"/>
        <v>#REF!</v>
      </c>
      <c r="AZ69" s="70" t="e">
        <f t="shared" si="39"/>
        <v>#REF!</v>
      </c>
      <c r="BA69" s="70" t="e">
        <f t="shared" si="39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0">AF16+AF17+AF21+AF23</f>
        <v>#REF!</v>
      </c>
      <c r="AG71" s="70" t="e">
        <f t="shared" si="40"/>
        <v>#REF!</v>
      </c>
      <c r="AH71" s="70" t="e">
        <f t="shared" si="40"/>
        <v>#REF!</v>
      </c>
      <c r="AI71" s="70" t="e">
        <f t="shared" si="40"/>
        <v>#REF!</v>
      </c>
      <c r="AJ71" s="70" t="e">
        <f t="shared" si="40"/>
        <v>#REF!</v>
      </c>
      <c r="AK71" s="70" t="e">
        <f t="shared" si="40"/>
        <v>#REF!</v>
      </c>
      <c r="AL71" s="70" t="e">
        <f t="shared" si="40"/>
        <v>#REF!</v>
      </c>
      <c r="AM71" s="70" t="e">
        <f t="shared" si="40"/>
        <v>#REF!</v>
      </c>
      <c r="AN71" s="70" t="e">
        <f t="shared" si="40"/>
        <v>#REF!</v>
      </c>
      <c r="AO71" s="70" t="e">
        <f t="shared" si="40"/>
        <v>#REF!</v>
      </c>
      <c r="AP71" s="70"/>
      <c r="AQ71" s="70"/>
      <c r="AR71" s="70" t="e">
        <f t="shared" ref="AR71:BA71" si="41">AR16+AR17+AR21+AR23</f>
        <v>#REF!</v>
      </c>
      <c r="AS71" s="70" t="e">
        <f t="shared" si="41"/>
        <v>#REF!</v>
      </c>
      <c r="AT71" s="70" t="e">
        <f t="shared" si="41"/>
        <v>#REF!</v>
      </c>
      <c r="AU71" s="70" t="e">
        <f t="shared" si="41"/>
        <v>#REF!</v>
      </c>
      <c r="AV71" s="70" t="e">
        <f t="shared" si="41"/>
        <v>#REF!</v>
      </c>
      <c r="AW71" s="70" t="e">
        <f t="shared" si="41"/>
        <v>#REF!</v>
      </c>
      <c r="AX71" s="70" t="e">
        <f t="shared" si="41"/>
        <v>#REF!</v>
      </c>
      <c r="AY71" s="70" t="e">
        <f t="shared" si="41"/>
        <v>#REF!</v>
      </c>
      <c r="AZ71" s="70" t="e">
        <f t="shared" si="41"/>
        <v>#REF!</v>
      </c>
      <c r="BA71" s="70" t="e">
        <f t="shared" si="41"/>
        <v>#REF!</v>
      </c>
    </row>
    <row r="72" spans="27:53" hidden="1">
      <c r="AA72" s="71" t="s">
        <v>41</v>
      </c>
      <c r="AB72" s="35"/>
      <c r="AF72" s="70" t="e">
        <f t="shared" ref="AF72:AO72" si="42">AF27+AF28+AF32+AF34</f>
        <v>#REF!</v>
      </c>
      <c r="AG72" s="70" t="e">
        <f t="shared" si="42"/>
        <v>#REF!</v>
      </c>
      <c r="AH72" s="70" t="e">
        <f t="shared" si="42"/>
        <v>#REF!</v>
      </c>
      <c r="AI72" s="70" t="e">
        <f t="shared" si="42"/>
        <v>#REF!</v>
      </c>
      <c r="AJ72" s="70" t="e">
        <f t="shared" si="42"/>
        <v>#REF!</v>
      </c>
      <c r="AK72" s="70" t="e">
        <f t="shared" si="42"/>
        <v>#REF!</v>
      </c>
      <c r="AL72" s="70" t="e">
        <f t="shared" si="42"/>
        <v>#REF!</v>
      </c>
      <c r="AM72" s="70" t="e">
        <f t="shared" si="42"/>
        <v>#REF!</v>
      </c>
      <c r="AN72" s="70" t="e">
        <f t="shared" si="42"/>
        <v>#REF!</v>
      </c>
      <c r="AO72" s="70" t="e">
        <f t="shared" si="42"/>
        <v>#REF!</v>
      </c>
      <c r="AP72" s="70"/>
      <c r="AQ72" s="70"/>
      <c r="AR72" s="70" t="e">
        <f t="shared" ref="AR72:BA72" si="43">AR27+AR28+AR32+AR34</f>
        <v>#REF!</v>
      </c>
      <c r="AS72" s="70" t="e">
        <f t="shared" si="43"/>
        <v>#REF!</v>
      </c>
      <c r="AT72" s="70" t="e">
        <f t="shared" si="43"/>
        <v>#REF!</v>
      </c>
      <c r="AU72" s="70" t="e">
        <f t="shared" si="43"/>
        <v>#REF!</v>
      </c>
      <c r="AV72" s="70" t="e">
        <f t="shared" si="43"/>
        <v>#REF!</v>
      </c>
      <c r="AW72" s="70" t="e">
        <f t="shared" si="43"/>
        <v>#REF!</v>
      </c>
      <c r="AX72" s="70" t="e">
        <f t="shared" si="43"/>
        <v>#REF!</v>
      </c>
      <c r="AY72" s="70" t="e">
        <f t="shared" si="43"/>
        <v>#REF!</v>
      </c>
      <c r="AZ72" s="70" t="e">
        <f t="shared" si="43"/>
        <v>#REF!</v>
      </c>
      <c r="BA72" s="70" t="e">
        <f t="shared" si="43"/>
        <v>#REF!</v>
      </c>
    </row>
    <row r="73" spans="27:53" hidden="1">
      <c r="AA73" s="71" t="s">
        <v>42</v>
      </c>
      <c r="AB73" s="35"/>
      <c r="AF73" s="70" t="e">
        <f t="shared" ref="AF73:AO73" si="44">AF38+AF39+AF43+AF45</f>
        <v>#REF!</v>
      </c>
      <c r="AG73" s="70" t="e">
        <f t="shared" si="44"/>
        <v>#REF!</v>
      </c>
      <c r="AH73" s="70" t="e">
        <f t="shared" si="44"/>
        <v>#REF!</v>
      </c>
      <c r="AI73" s="70" t="e">
        <f t="shared" si="44"/>
        <v>#REF!</v>
      </c>
      <c r="AJ73" s="70" t="e">
        <f t="shared" si="44"/>
        <v>#REF!</v>
      </c>
      <c r="AK73" s="70" t="e">
        <f t="shared" si="44"/>
        <v>#REF!</v>
      </c>
      <c r="AL73" s="70" t="e">
        <f t="shared" si="44"/>
        <v>#REF!</v>
      </c>
      <c r="AM73" s="70" t="e">
        <f t="shared" si="44"/>
        <v>#REF!</v>
      </c>
      <c r="AN73" s="70" t="e">
        <f t="shared" si="44"/>
        <v>#REF!</v>
      </c>
      <c r="AO73" s="70" t="e">
        <f t="shared" si="44"/>
        <v>#REF!</v>
      </c>
      <c r="AP73" s="70"/>
      <c r="AQ73" s="70"/>
      <c r="AR73" s="70" t="e">
        <f t="shared" ref="AR73:BA73" si="45">AR38+AR39+AR43+AR45</f>
        <v>#REF!</v>
      </c>
      <c r="AS73" s="70" t="e">
        <f t="shared" si="45"/>
        <v>#REF!</v>
      </c>
      <c r="AT73" s="70" t="e">
        <f t="shared" si="45"/>
        <v>#REF!</v>
      </c>
      <c r="AU73" s="70" t="e">
        <f t="shared" si="45"/>
        <v>#REF!</v>
      </c>
      <c r="AV73" s="70" t="e">
        <f t="shared" si="45"/>
        <v>#REF!</v>
      </c>
      <c r="AW73" s="70" t="e">
        <f t="shared" si="45"/>
        <v>#REF!</v>
      </c>
      <c r="AX73" s="70" t="e">
        <f t="shared" si="45"/>
        <v>#REF!</v>
      </c>
      <c r="AY73" s="70" t="e">
        <f t="shared" si="45"/>
        <v>#REF!</v>
      </c>
      <c r="AZ73" s="70" t="e">
        <f t="shared" si="45"/>
        <v>#REF!</v>
      </c>
      <c r="BA73" s="70" t="e">
        <f t="shared" si="45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6">AF16+AF17+AF21+AF24</f>
        <v>#REF!</v>
      </c>
      <c r="AG75" s="70" t="e">
        <f t="shared" si="46"/>
        <v>#REF!</v>
      </c>
      <c r="AH75" s="70" t="e">
        <f t="shared" si="46"/>
        <v>#REF!</v>
      </c>
      <c r="AI75" s="70" t="e">
        <f t="shared" si="46"/>
        <v>#REF!</v>
      </c>
      <c r="AJ75" s="70" t="e">
        <f t="shared" si="46"/>
        <v>#REF!</v>
      </c>
      <c r="AK75" s="70" t="e">
        <f t="shared" si="46"/>
        <v>#REF!</v>
      </c>
      <c r="AL75" s="70" t="e">
        <f t="shared" si="46"/>
        <v>#REF!</v>
      </c>
      <c r="AM75" s="70" t="e">
        <f t="shared" si="46"/>
        <v>#REF!</v>
      </c>
      <c r="AN75" s="70" t="e">
        <f t="shared" si="46"/>
        <v>#REF!</v>
      </c>
      <c r="AO75" s="70" t="e">
        <f t="shared" si="46"/>
        <v>#REF!</v>
      </c>
      <c r="AP75" s="70"/>
      <c r="AQ75" s="70"/>
      <c r="AR75" s="70" t="e">
        <f t="shared" ref="AR75:BA75" si="47">AR16+AR17+AR21+AR24</f>
        <v>#REF!</v>
      </c>
      <c r="AS75" s="70" t="e">
        <f t="shared" si="47"/>
        <v>#REF!</v>
      </c>
      <c r="AT75" s="70" t="e">
        <f t="shared" si="47"/>
        <v>#REF!</v>
      </c>
      <c r="AU75" s="70" t="e">
        <f t="shared" si="47"/>
        <v>#REF!</v>
      </c>
      <c r="AV75" s="70" t="e">
        <f t="shared" si="47"/>
        <v>#REF!</v>
      </c>
      <c r="AW75" s="70" t="e">
        <f t="shared" si="47"/>
        <v>#REF!</v>
      </c>
      <c r="AX75" s="70" t="e">
        <f t="shared" si="47"/>
        <v>#REF!</v>
      </c>
      <c r="AY75" s="70" t="e">
        <f t="shared" si="47"/>
        <v>#REF!</v>
      </c>
      <c r="AZ75" s="70" t="e">
        <f t="shared" si="47"/>
        <v>#REF!</v>
      </c>
      <c r="BA75" s="70" t="e">
        <f t="shared" si="47"/>
        <v>#REF!</v>
      </c>
    </row>
    <row r="76" spans="27:53" hidden="1">
      <c r="AA76" s="71" t="s">
        <v>41</v>
      </c>
      <c r="AB76" s="35"/>
      <c r="AF76" s="70" t="e">
        <f t="shared" ref="AF76:AO76" si="48">AF27+AF28+AF32+AF35</f>
        <v>#REF!</v>
      </c>
      <c r="AG76" s="70" t="e">
        <f t="shared" si="48"/>
        <v>#REF!</v>
      </c>
      <c r="AH76" s="70" t="e">
        <f t="shared" si="48"/>
        <v>#REF!</v>
      </c>
      <c r="AI76" s="70" t="e">
        <f t="shared" si="48"/>
        <v>#REF!</v>
      </c>
      <c r="AJ76" s="70" t="e">
        <f t="shared" si="48"/>
        <v>#REF!</v>
      </c>
      <c r="AK76" s="70" t="e">
        <f t="shared" si="48"/>
        <v>#REF!</v>
      </c>
      <c r="AL76" s="70" t="e">
        <f t="shared" si="48"/>
        <v>#REF!</v>
      </c>
      <c r="AM76" s="70" t="e">
        <f t="shared" si="48"/>
        <v>#REF!</v>
      </c>
      <c r="AN76" s="70" t="e">
        <f t="shared" si="48"/>
        <v>#REF!</v>
      </c>
      <c r="AO76" s="70" t="e">
        <f t="shared" si="48"/>
        <v>#REF!</v>
      </c>
      <c r="AP76" s="70"/>
      <c r="AQ76" s="70"/>
      <c r="AR76" s="70" t="e">
        <f t="shared" ref="AR76:BA76" si="49">AR27+AR28+AR32+AR35</f>
        <v>#REF!</v>
      </c>
      <c r="AS76" s="70" t="e">
        <f t="shared" si="49"/>
        <v>#REF!</v>
      </c>
      <c r="AT76" s="70" t="e">
        <f t="shared" si="49"/>
        <v>#REF!</v>
      </c>
      <c r="AU76" s="70" t="e">
        <f t="shared" si="49"/>
        <v>#REF!</v>
      </c>
      <c r="AV76" s="70" t="e">
        <f t="shared" si="49"/>
        <v>#REF!</v>
      </c>
      <c r="AW76" s="70" t="e">
        <f t="shared" si="49"/>
        <v>#REF!</v>
      </c>
      <c r="AX76" s="70" t="e">
        <f t="shared" si="49"/>
        <v>#REF!</v>
      </c>
      <c r="AY76" s="70" t="e">
        <f t="shared" si="49"/>
        <v>#REF!</v>
      </c>
      <c r="AZ76" s="70" t="e">
        <f t="shared" si="49"/>
        <v>#REF!</v>
      </c>
      <c r="BA76" s="70" t="e">
        <f t="shared" si="49"/>
        <v>#REF!</v>
      </c>
    </row>
    <row r="77" spans="27:53" hidden="1">
      <c r="AA77" s="71" t="s">
        <v>42</v>
      </c>
      <c r="AB77" s="35"/>
      <c r="AF77" s="70" t="e">
        <f t="shared" ref="AF77:AO77" si="50">AF38+AF39+AF43+AF46</f>
        <v>#REF!</v>
      </c>
      <c r="AG77" s="70" t="e">
        <f t="shared" si="50"/>
        <v>#REF!</v>
      </c>
      <c r="AH77" s="70" t="e">
        <f t="shared" si="50"/>
        <v>#REF!</v>
      </c>
      <c r="AI77" s="70" t="e">
        <f t="shared" si="50"/>
        <v>#REF!</v>
      </c>
      <c r="AJ77" s="70" t="e">
        <f t="shared" si="50"/>
        <v>#REF!</v>
      </c>
      <c r="AK77" s="70" t="e">
        <f t="shared" si="50"/>
        <v>#REF!</v>
      </c>
      <c r="AL77" s="70" t="e">
        <f t="shared" si="50"/>
        <v>#REF!</v>
      </c>
      <c r="AM77" s="70" t="e">
        <f t="shared" si="50"/>
        <v>#REF!</v>
      </c>
      <c r="AN77" s="70" t="e">
        <f t="shared" si="50"/>
        <v>#REF!</v>
      </c>
      <c r="AO77" s="70" t="e">
        <f t="shared" si="50"/>
        <v>#REF!</v>
      </c>
      <c r="AP77" s="70"/>
      <c r="AQ77" s="70"/>
      <c r="AR77" s="70" t="e">
        <f t="shared" ref="AR77:BA77" si="51">AR38+AR39+AR43+AR46</f>
        <v>#REF!</v>
      </c>
      <c r="AS77" s="70" t="e">
        <f t="shared" si="51"/>
        <v>#REF!</v>
      </c>
      <c r="AT77" s="70" t="e">
        <f t="shared" si="51"/>
        <v>#REF!</v>
      </c>
      <c r="AU77" s="70" t="e">
        <f t="shared" si="51"/>
        <v>#REF!</v>
      </c>
      <c r="AV77" s="70" t="e">
        <f t="shared" si="51"/>
        <v>#REF!</v>
      </c>
      <c r="AW77" s="70" t="e">
        <f t="shared" si="51"/>
        <v>#REF!</v>
      </c>
      <c r="AX77" s="70" t="e">
        <f t="shared" si="51"/>
        <v>#REF!</v>
      </c>
      <c r="AY77" s="70" t="e">
        <f t="shared" si="51"/>
        <v>#REF!</v>
      </c>
      <c r="AZ77" s="70" t="e">
        <f t="shared" si="51"/>
        <v>#REF!</v>
      </c>
      <c r="BA77" s="70" t="e">
        <f t="shared" si="51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45" t="s">
        <v>55</v>
      </c>
      <c r="G89" s="545" t="s">
        <v>73</v>
      </c>
      <c r="H89" s="545" t="s">
        <v>74</v>
      </c>
      <c r="I89" s="545" t="s">
        <v>58</v>
      </c>
      <c r="J89" s="545" t="s">
        <v>59</v>
      </c>
      <c r="K89" s="545" t="s">
        <v>60</v>
      </c>
      <c r="L89" s="544" t="s">
        <v>75</v>
      </c>
      <c r="M89" s="544" t="s">
        <v>76</v>
      </c>
      <c r="N89" s="544" t="s">
        <v>61</v>
      </c>
      <c r="O89" s="544" t="s">
        <v>62</v>
      </c>
      <c r="P89" s="544" t="s">
        <v>63</v>
      </c>
      <c r="AN89" s="38"/>
      <c r="AZ89" s="36"/>
    </row>
    <row r="90" spans="1:52" ht="25.5">
      <c r="A90" s="44" t="str">
        <f t="shared" ref="A90:C91" si="52">A4</f>
        <v>Substation General Construction</v>
      </c>
      <c r="B90" s="45" t="str">
        <f t="shared" si="52"/>
        <v>Light-Duty Truck, catalyst</v>
      </c>
      <c r="C90" s="46">
        <f t="shared" si="52"/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2" si="53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si="52"/>
        <v>Substation Below Grade Construction</v>
      </c>
      <c r="B91" s="45" t="str">
        <f t="shared" si="52"/>
        <v>Light-Duty Truck, catalyst</v>
      </c>
      <c r="C91" s="46">
        <f t="shared" si="52"/>
        <v>10</v>
      </c>
      <c r="D91" s="46">
        <v>35</v>
      </c>
      <c r="E91" s="46">
        <v>80</v>
      </c>
      <c r="F91" s="50">
        <f>C5*($E5*$F5+($G5))/453.59</f>
        <v>4.8571938588092012</v>
      </c>
      <c r="G91" s="50">
        <f>C5*($E5*$H5+($I5))/453.59</f>
        <v>0.43670657294378012</v>
      </c>
      <c r="H91" s="50">
        <f>C5*(($E5*$J5)+($K5)+($L5)+($E5*$N5)+(($M5+$O5)))/453.59</f>
        <v>0.50499980323953331</v>
      </c>
      <c r="I91" s="50">
        <f>C5*($E5*$P5+($Q5))/453.59</f>
        <v>7.2679702716061598E-3</v>
      </c>
      <c r="J91" s="50">
        <f>C5*(($E5*($R5+$T5+$U5))+($S5))/453.59</f>
        <v>8.5240904552078958E-2</v>
      </c>
      <c r="K91" s="50">
        <f>$C5*(($E5*($V5+$X5+$Y5))+($W5))/453.59</f>
        <v>3.7120053242531412E-2</v>
      </c>
      <c r="L91" s="50">
        <f>$B$23*C5*(E5+6)</f>
        <v>8.438582586071898E-2</v>
      </c>
      <c r="M91" s="50">
        <f t="shared" si="53"/>
        <v>3.4598188602894778E-2</v>
      </c>
      <c r="N91" s="50">
        <f>C5*($E5*$Z5+($AA5))/453.59</f>
        <v>554.23576726038891</v>
      </c>
      <c r="O91" s="50">
        <f>C5*($E5*$AB5+($AC5))/453.59</f>
        <v>3.1704753890302494E-2</v>
      </c>
      <c r="P91" s="50">
        <f>C5*($E5*$AD5+($AE5))/453.59</f>
        <v>5.7711199138433596E-2</v>
      </c>
      <c r="AN91" s="38"/>
      <c r="AZ91" s="36"/>
    </row>
    <row r="92" spans="1:52" ht="25.5">
      <c r="A92" s="44" t="str">
        <f t="shared" ref="A92:C92" si="54">A6</f>
        <v>Substation Above Grade Construction</v>
      </c>
      <c r="B92" s="45" t="str">
        <f t="shared" si="54"/>
        <v>Light-Duty Truck, catalyst</v>
      </c>
      <c r="C92" s="46">
        <f t="shared" si="54"/>
        <v>8</v>
      </c>
      <c r="D92" s="46">
        <v>35</v>
      </c>
      <c r="E92" s="46">
        <v>80</v>
      </c>
      <c r="F92" s="50">
        <f>C6*($E6*$F6+($G6))/453.59</f>
        <v>3.8857550870473605</v>
      </c>
      <c r="G92" s="50">
        <f>C6*($E6*$H6+($I6))/453.59</f>
        <v>0.34936525835502408</v>
      </c>
      <c r="H92" s="50">
        <f t="shared" ref="H92" si="55">C6*(($E6*$J6)+($K6)+($L6)+($E6*$N6)+(($M6+$O6)))/453.59</f>
        <v>0.40399984259162663</v>
      </c>
      <c r="I92" s="50">
        <f>C6*($E6*$P6+($Q6))/453.59</f>
        <v>5.8143762172849275E-3</v>
      </c>
      <c r="J92" s="50">
        <f>C6*(($E6*($R6+$T6+$U6))+($S6))/453.59</f>
        <v>6.8192723641663178E-2</v>
      </c>
      <c r="K92" s="50">
        <f>$C6*(($E6*($V6+$X6+$Y6))+($W6))/453.59</f>
        <v>2.9696042594025134E-2</v>
      </c>
      <c r="L92" s="50">
        <f>$B$23*C6*(E6+6)</f>
        <v>6.7508660688575195E-2</v>
      </c>
      <c r="M92" s="50">
        <f t="shared" si="53"/>
        <v>2.7678550882315828E-2</v>
      </c>
      <c r="N92" s="50">
        <f>C6*($E6*$Z6+($AA6))/453.59</f>
        <v>443.38861380831116</v>
      </c>
      <c r="O92" s="50">
        <f>C6*($E6*$AB6+($AC6))/453.59</f>
        <v>2.5363803112241994E-2</v>
      </c>
      <c r="P92" s="50">
        <f>C6*($E6*$AD6+($AE6))/453.59</f>
        <v>4.6168959310746882E-2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 t="shared" ref="F93:P93" si="56">SUM(F90:F92)</f>
        <v>10.200107103499322</v>
      </c>
      <c r="G93" s="81">
        <f t="shared" si="56"/>
        <v>0.91708380318193827</v>
      </c>
      <c r="H93" s="81">
        <f t="shared" si="56"/>
        <v>1.06049958680302</v>
      </c>
      <c r="I93" s="81">
        <f t="shared" si="56"/>
        <v>1.5262737570372935E-2</v>
      </c>
      <c r="J93" s="81">
        <f t="shared" si="56"/>
        <v>0.17900589955936583</v>
      </c>
      <c r="K93" s="81">
        <f t="shared" si="56"/>
        <v>7.7952111809315966E-2</v>
      </c>
      <c r="L93" s="81">
        <f t="shared" si="56"/>
        <v>0.17721023430750987</v>
      </c>
      <c r="M93" s="81">
        <f t="shared" si="56"/>
        <v>7.2656196066079037E-2</v>
      </c>
      <c r="N93" s="81">
        <f t="shared" si="56"/>
        <v>1163.8951112468169</v>
      </c>
      <c r="O93" s="81">
        <f t="shared" si="56"/>
        <v>6.6579983169635232E-2</v>
      </c>
      <c r="P93" s="81">
        <f t="shared" si="56"/>
        <v>0.12119351819071056</v>
      </c>
      <c r="AN93" s="38"/>
      <c r="AZ93" s="36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1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654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399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24" t="s">
        <v>400</v>
      </c>
      <c r="B14" s="29" t="s">
        <v>27</v>
      </c>
      <c r="C14" s="97">
        <v>235</v>
      </c>
      <c r="D14" s="97"/>
      <c r="E14" s="102">
        <v>0.11792220738547983</v>
      </c>
      <c r="F14" s="102">
        <v>0.36512193352152528</v>
      </c>
      <c r="G14" s="102">
        <v>0.86781464282266541</v>
      </c>
      <c r="H14" s="102">
        <v>1.8739217498104396E-3</v>
      </c>
      <c r="I14" s="102">
        <v>2.9041712295589866E-2</v>
      </c>
      <c r="J14" s="100">
        <f t="shared" ref="J14:J15" si="4">0.89*I14</f>
        <v>2.5847123943074982E-2</v>
      </c>
      <c r="K14" s="103">
        <v>166.54541562452522</v>
      </c>
      <c r="L14" s="102">
        <v>1.063993297769634E-2</v>
      </c>
      <c r="M14" s="104">
        <f t="shared" ref="M14:M15" si="5">0.095*G14</f>
        <v>8.2442391068153209E-2</v>
      </c>
      <c r="N14" s="98">
        <v>1</v>
      </c>
      <c r="O14" s="87">
        <v>8</v>
      </c>
      <c r="P14" s="88">
        <v>4</v>
      </c>
      <c r="Q14" s="34">
        <f t="shared" ref="Q14:Y15" si="6">(E14*$N14*$O14)</f>
        <v>0.94337765908383864</v>
      </c>
      <c r="R14" s="26">
        <f t="shared" si="6"/>
        <v>2.9209754681722022</v>
      </c>
      <c r="S14" s="26">
        <f t="shared" si="6"/>
        <v>6.9425171425813232</v>
      </c>
      <c r="T14" s="26">
        <f t="shared" si="6"/>
        <v>1.4991373998483517E-2</v>
      </c>
      <c r="U14" s="26">
        <f t="shared" si="6"/>
        <v>0.23233369836471893</v>
      </c>
      <c r="V14" s="26">
        <f t="shared" si="6"/>
        <v>0.20677699154459986</v>
      </c>
      <c r="W14" s="26">
        <f t="shared" si="6"/>
        <v>1332.3633249962018</v>
      </c>
      <c r="X14" s="26">
        <f t="shared" si="6"/>
        <v>8.5119463821570721E-2</v>
      </c>
      <c r="Y14" s="26">
        <f t="shared" si="6"/>
        <v>0.65953912854522567</v>
      </c>
    </row>
    <row r="15" spans="1:25" s="3" customFormat="1">
      <c r="A15" s="24" t="s">
        <v>297</v>
      </c>
      <c r="B15" s="29" t="s">
        <v>27</v>
      </c>
      <c r="C15" s="97">
        <v>235</v>
      </c>
      <c r="D15" s="97"/>
      <c r="E15" s="102">
        <v>0.11792220738547983</v>
      </c>
      <c r="F15" s="102">
        <v>0.36512193352152528</v>
      </c>
      <c r="G15" s="102">
        <v>0.86781464282266541</v>
      </c>
      <c r="H15" s="102">
        <v>1.8739217498104396E-3</v>
      </c>
      <c r="I15" s="102">
        <v>2.9041712295589866E-2</v>
      </c>
      <c r="J15" s="100">
        <f t="shared" si="4"/>
        <v>2.5847123943074982E-2</v>
      </c>
      <c r="K15" s="103">
        <v>166.54541562452522</v>
      </c>
      <c r="L15" s="102">
        <v>1.063993297769634E-2</v>
      </c>
      <c r="M15" s="104">
        <f t="shared" si="5"/>
        <v>8.2442391068153209E-2</v>
      </c>
      <c r="N15" s="98">
        <v>1</v>
      </c>
      <c r="O15" s="87">
        <v>8</v>
      </c>
      <c r="P15" s="88">
        <v>4</v>
      </c>
      <c r="Q15" s="34">
        <f t="shared" si="6"/>
        <v>0.94337765908383864</v>
      </c>
      <c r="R15" s="26">
        <f t="shared" si="6"/>
        <v>2.9209754681722022</v>
      </c>
      <c r="S15" s="26">
        <f t="shared" si="6"/>
        <v>6.9425171425813232</v>
      </c>
      <c r="T15" s="26">
        <f t="shared" si="6"/>
        <v>1.4991373998483517E-2</v>
      </c>
      <c r="U15" s="26">
        <f t="shared" si="6"/>
        <v>0.23233369836471893</v>
      </c>
      <c r="V15" s="26">
        <f t="shared" si="6"/>
        <v>0.20677699154459986</v>
      </c>
      <c r="W15" s="26">
        <f t="shared" si="6"/>
        <v>1332.3633249962018</v>
      </c>
      <c r="X15" s="26">
        <f t="shared" si="6"/>
        <v>8.5119463821570721E-2</v>
      </c>
      <c r="Y15" s="26">
        <f t="shared" si="6"/>
        <v>0.65953912854522567</v>
      </c>
    </row>
    <row r="16" spans="1:25">
      <c r="A16" s="17" t="s">
        <v>28</v>
      </c>
      <c r="B16" s="97"/>
      <c r="C16" s="22"/>
      <c r="D16" s="22"/>
      <c r="E16" s="23"/>
      <c r="F16" s="23"/>
      <c r="G16" s="23"/>
      <c r="H16" s="23"/>
      <c r="I16" s="23"/>
      <c r="J16" s="24"/>
      <c r="K16" s="25"/>
      <c r="L16" s="23"/>
      <c r="M16" s="23"/>
      <c r="N16" s="88"/>
      <c r="O16" s="88"/>
      <c r="P16" s="88"/>
      <c r="Q16" s="27">
        <f t="shared" ref="Q16:Y16" si="7">SUM(Q14:Q15)</f>
        <v>1.8867553181676773</v>
      </c>
      <c r="R16" s="27">
        <f t="shared" si="7"/>
        <v>5.8419509363444044</v>
      </c>
      <c r="S16" s="27">
        <f t="shared" si="7"/>
        <v>13.885034285162646</v>
      </c>
      <c r="T16" s="27">
        <f t="shared" si="7"/>
        <v>2.9982747996967034E-2</v>
      </c>
      <c r="U16" s="27">
        <f t="shared" si="7"/>
        <v>0.46466739672943785</v>
      </c>
      <c r="V16" s="27">
        <f t="shared" si="7"/>
        <v>0.41355398308919972</v>
      </c>
      <c r="W16" s="27">
        <f t="shared" si="7"/>
        <v>2664.7266499924035</v>
      </c>
      <c r="X16" s="27">
        <f t="shared" si="7"/>
        <v>0.17023892764314144</v>
      </c>
      <c r="Y16" s="27">
        <f t="shared" si="7"/>
        <v>1.3190782570904513</v>
      </c>
    </row>
    <row r="17" spans="1:25">
      <c r="A17" s="17"/>
      <c r="B17" s="29"/>
      <c r="C17" s="22"/>
      <c r="D17" s="22"/>
      <c r="E17" s="23"/>
      <c r="F17" s="23"/>
      <c r="G17" s="23"/>
      <c r="H17" s="23"/>
      <c r="I17" s="23"/>
      <c r="J17" s="24"/>
      <c r="K17" s="25"/>
      <c r="L17" s="23"/>
      <c r="M17" s="23"/>
      <c r="N17" s="99"/>
      <c r="O17" s="99"/>
      <c r="P17" s="99"/>
      <c r="Q17" s="27"/>
      <c r="R17" s="27"/>
      <c r="S17" s="27"/>
      <c r="T17" s="27"/>
      <c r="U17" s="27"/>
      <c r="V17" s="27"/>
      <c r="W17" s="27"/>
      <c r="X17" s="27"/>
      <c r="Y17" s="27"/>
    </row>
    <row r="18" spans="1:25">
      <c r="A18" s="11" t="s">
        <v>317</v>
      </c>
      <c r="B18" s="22"/>
      <c r="C18" s="18"/>
      <c r="D18" s="22"/>
      <c r="E18" s="19"/>
      <c r="F18" s="19"/>
      <c r="G18" s="19"/>
      <c r="H18" s="19"/>
      <c r="I18" s="19"/>
      <c r="J18" s="19"/>
      <c r="K18" s="19"/>
      <c r="L18" s="19"/>
      <c r="M18" s="19"/>
      <c r="N18" s="11"/>
      <c r="O18" s="11"/>
      <c r="P18" s="11"/>
      <c r="Q18" s="27"/>
      <c r="R18" s="27"/>
      <c r="S18" s="27"/>
      <c r="T18" s="27"/>
      <c r="U18" s="27"/>
      <c r="V18" s="27"/>
      <c r="W18" s="28"/>
      <c r="X18" s="27"/>
      <c r="Y18" s="27"/>
    </row>
    <row r="19" spans="1:25">
      <c r="A19" s="24" t="s">
        <v>311</v>
      </c>
      <c r="B19" s="29" t="s">
        <v>27</v>
      </c>
      <c r="C19" s="22">
        <v>175</v>
      </c>
      <c r="D19" s="22"/>
      <c r="E19" s="102">
        <v>0.11792220738547983</v>
      </c>
      <c r="F19" s="102">
        <v>0.36512193352152528</v>
      </c>
      <c r="G19" s="102">
        <v>0.86781464282266541</v>
      </c>
      <c r="H19" s="102">
        <v>1.8739217498104396E-3</v>
      </c>
      <c r="I19" s="102">
        <v>2.9041712295589866E-2</v>
      </c>
      <c r="J19" s="100">
        <f t="shared" ref="J19" si="8">0.89*I19</f>
        <v>2.5847123943074982E-2</v>
      </c>
      <c r="K19" s="103">
        <v>166.54541562452522</v>
      </c>
      <c r="L19" s="102">
        <v>1.063993297769634E-2</v>
      </c>
      <c r="M19" s="104">
        <f t="shared" ref="M19" si="9">0.095*G19</f>
        <v>8.2442391068153209E-2</v>
      </c>
      <c r="N19" s="98">
        <v>1</v>
      </c>
      <c r="O19" s="87">
        <v>2</v>
      </c>
      <c r="P19" s="363">
        <v>280</v>
      </c>
      <c r="Q19" s="34">
        <f t="shared" ref="Q19:Y19" si="10">(E19*$N19*$O19)</f>
        <v>0.23584441477095966</v>
      </c>
      <c r="R19" s="26">
        <f t="shared" si="10"/>
        <v>0.73024386704305055</v>
      </c>
      <c r="S19" s="26">
        <f t="shared" si="10"/>
        <v>1.7356292856453308</v>
      </c>
      <c r="T19" s="26">
        <f t="shared" si="10"/>
        <v>3.7478434996208792E-3</v>
      </c>
      <c r="U19" s="26">
        <f t="shared" si="10"/>
        <v>5.8083424591179732E-2</v>
      </c>
      <c r="V19" s="26">
        <f t="shared" si="10"/>
        <v>5.1694247886149965E-2</v>
      </c>
      <c r="W19" s="26">
        <f t="shared" si="10"/>
        <v>333.09083124905044</v>
      </c>
      <c r="X19" s="26">
        <f t="shared" si="10"/>
        <v>2.127986595539268E-2</v>
      </c>
      <c r="Y19" s="26">
        <f t="shared" si="10"/>
        <v>0.16488478213630642</v>
      </c>
    </row>
    <row r="20" spans="1:25">
      <c r="A20" s="17" t="s">
        <v>28</v>
      </c>
      <c r="B20" s="97"/>
      <c r="C20" s="22"/>
      <c r="D20" s="22"/>
      <c r="E20" s="23"/>
      <c r="F20" s="23"/>
      <c r="G20" s="23"/>
      <c r="H20" s="23"/>
      <c r="I20" s="23"/>
      <c r="J20" s="24"/>
      <c r="K20" s="25"/>
      <c r="L20" s="23"/>
      <c r="M20" s="23"/>
      <c r="N20" s="88"/>
      <c r="O20" s="88"/>
      <c r="P20" s="88"/>
      <c r="Q20" s="27">
        <f t="shared" ref="Q20:Y20" si="11">SUM(Q19:Q19)</f>
        <v>0.23584441477095966</v>
      </c>
      <c r="R20" s="27">
        <f t="shared" si="11"/>
        <v>0.73024386704305055</v>
      </c>
      <c r="S20" s="27">
        <f t="shared" si="11"/>
        <v>1.7356292856453308</v>
      </c>
      <c r="T20" s="27">
        <f t="shared" si="11"/>
        <v>3.7478434996208792E-3</v>
      </c>
      <c r="U20" s="27">
        <f t="shared" si="11"/>
        <v>5.8083424591179732E-2</v>
      </c>
      <c r="V20" s="27">
        <f t="shared" si="11"/>
        <v>5.1694247886149965E-2</v>
      </c>
      <c r="W20" s="27">
        <f t="shared" si="11"/>
        <v>333.09083124905044</v>
      </c>
      <c r="X20" s="27">
        <f t="shared" si="11"/>
        <v>2.127986595539268E-2</v>
      </c>
      <c r="Y20" s="27">
        <f t="shared" si="11"/>
        <v>0.16488478213630642</v>
      </c>
    </row>
    <row r="21" spans="1:25">
      <c r="A21" s="17" t="s">
        <v>499</v>
      </c>
      <c r="B21" s="549"/>
      <c r="C21" s="18"/>
      <c r="D21" s="22"/>
      <c r="E21" s="19"/>
      <c r="F21" s="19"/>
      <c r="G21" s="19"/>
      <c r="H21" s="19"/>
      <c r="I21" s="19"/>
      <c r="J21" s="19"/>
      <c r="K21" s="19"/>
      <c r="L21" s="19"/>
      <c r="M21" s="19"/>
      <c r="N21" s="30"/>
      <c r="O21" s="30"/>
      <c r="P21" s="364"/>
      <c r="Q21" s="20">
        <f>Q11+Q16+Q20</f>
        <v>2.8371768560302342</v>
      </c>
      <c r="R21" s="20">
        <f t="shared" ref="R21:Y21" si="12">R11+R16+R20</f>
        <v>9.5263540143458485</v>
      </c>
      <c r="S21" s="20">
        <f t="shared" si="12"/>
        <v>20.041720016947135</v>
      </c>
      <c r="T21" s="20">
        <f t="shared" si="12"/>
        <v>4.205365773266579E-2</v>
      </c>
      <c r="U21" s="20">
        <f t="shared" si="12"/>
        <v>0.76855911363666507</v>
      </c>
      <c r="V21" s="20">
        <f t="shared" si="12"/>
        <v>0.68401761113663184</v>
      </c>
      <c r="W21" s="20">
        <f t="shared" si="12"/>
        <v>3694.2709737264822</v>
      </c>
      <c r="X21" s="20">
        <f t="shared" si="12"/>
        <v>0.26405859978910384</v>
      </c>
      <c r="Y21" s="20">
        <f t="shared" si="12"/>
        <v>1.9039634016099776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5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42578125" style="36" bestFit="1" customWidth="1"/>
    <col min="4" max="4" width="10.85546875" style="36" customWidth="1"/>
    <col min="5" max="5" width="10.42578125" style="36" bestFit="1" customWidth="1"/>
    <col min="6" max="6" width="9.5703125" style="36" bestFit="1" customWidth="1"/>
    <col min="7" max="7" width="12" style="36" bestFit="1" customWidth="1"/>
    <col min="8" max="8" width="9.5703125" style="36" bestFit="1" customWidth="1"/>
    <col min="9" max="9" width="11.85546875" style="36" bestFit="1" customWidth="1"/>
    <col min="10" max="11" width="9.5703125" style="36" bestFit="1" customWidth="1"/>
    <col min="12" max="13" width="11.85546875" style="36" bestFit="1" customWidth="1"/>
    <col min="14" max="14" width="9.5703125" style="36" bestFit="1" customWidth="1"/>
    <col min="15" max="16" width="10.85546875" style="36" bestFit="1" customWidth="1"/>
    <col min="17" max="17" width="9.5703125" style="36" bestFit="1" customWidth="1"/>
    <col min="18" max="18" width="12.85546875" style="36" bestFit="1" customWidth="1"/>
    <col min="19" max="30" width="9.5703125" style="36" bestFit="1" customWidth="1"/>
    <col min="31" max="16384" width="9.140625" style="36"/>
  </cols>
  <sheetData>
    <row r="1" spans="1:30">
      <c r="A1" s="3" t="s">
        <v>655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C9*(F9)*$B$246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C10*(F10)*$B$246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336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C14*(F14)*$B$188</f>
        <v>0</v>
      </c>
      <c r="AA14" s="50">
        <f>Z14*0.21</f>
        <v>0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0.19978255106729004</v>
      </c>
      <c r="U15" s="81">
        <f t="shared" si="1"/>
        <v>0.36881875565943734</v>
      </c>
      <c r="V15" s="81">
        <f t="shared" si="1"/>
        <v>4.50613455258927E-2</v>
      </c>
      <c r="W15" s="81">
        <f t="shared" si="1"/>
        <v>2.7797226812149543E-3</v>
      </c>
      <c r="X15" s="81">
        <f t="shared" si="1"/>
        <v>7.2738929740302244E-2</v>
      </c>
      <c r="Y15" s="81">
        <f t="shared" si="1"/>
        <v>4.8332197965954803E-2</v>
      </c>
      <c r="Z15" s="81">
        <f t="shared" si="1"/>
        <v>0</v>
      </c>
      <c r="AA15" s="81">
        <f t="shared" si="1"/>
        <v>0</v>
      </c>
      <c r="AB15" s="81">
        <f t="shared" si="1"/>
        <v>193.62821118051326</v>
      </c>
      <c r="AC15" s="81">
        <f t="shared" si="1"/>
        <v>1.1064496871488068E-2</v>
      </c>
      <c r="AD15" s="81">
        <f t="shared" si="1"/>
        <v>4.9599802576000274E-3</v>
      </c>
    </row>
    <row r="16" spans="1:30">
      <c r="A16" s="75"/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</row>
    <row r="17" spans="1:30">
      <c r="A17" s="114" t="s">
        <v>335</v>
      </c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61"/>
      <c r="U17" s="61"/>
      <c r="V17" s="61"/>
      <c r="W17" s="61"/>
      <c r="X17" s="61"/>
      <c r="Y17" s="61"/>
      <c r="Z17" s="62"/>
      <c r="AA17" s="62"/>
      <c r="AB17" s="62"/>
      <c r="AC17" s="62"/>
      <c r="AD17" s="62"/>
    </row>
    <row r="18" spans="1:30">
      <c r="A18" s="78" t="s">
        <v>517</v>
      </c>
      <c r="B18" s="76" t="s">
        <v>105</v>
      </c>
      <c r="C18" s="374">
        <v>1</v>
      </c>
      <c r="D18" s="77"/>
      <c r="E18" s="77">
        <v>35</v>
      </c>
      <c r="F18" s="77">
        <v>80</v>
      </c>
      <c r="G18" s="106">
        <v>1.08263976628415</v>
      </c>
      <c r="H18" s="106">
        <v>4.9712718909585103</v>
      </c>
      <c r="I18" s="106">
        <v>0.26248012575016899</v>
      </c>
      <c r="J18" s="106">
        <v>1.0711818E-2</v>
      </c>
      <c r="K18" s="106">
        <v>7.1679901072141505E-2</v>
      </c>
      <c r="L18" s="576">
        <v>3.59998119015979E-2</v>
      </c>
      <c r="M18" s="576">
        <v>6.1739677411240299E-2</v>
      </c>
      <c r="N18" s="106">
        <v>6.5945508986370194E-2</v>
      </c>
      <c r="O18" s="576">
        <v>2.9999843251331498E-3</v>
      </c>
      <c r="P18" s="576">
        <v>5.5859708133979398E-2</v>
      </c>
      <c r="Q18" s="106">
        <v>1710.7260798814</v>
      </c>
      <c r="R18" s="47">
        <v>1.5235246282551899E-2</v>
      </c>
      <c r="S18" s="80">
        <f>0.000025616*Q18</f>
        <v>4.3821959262241944E-2</v>
      </c>
      <c r="T18" s="50">
        <f>C18*($F18*$G18)/453.59</f>
        <v>0.19094596728925242</v>
      </c>
      <c r="U18" s="50">
        <f>C18*($F18*$H18)/453.59</f>
        <v>0.87678685878586582</v>
      </c>
      <c r="V18" s="50">
        <f>C18*(($F18*$I18))/453.59</f>
        <v>4.6293811724274173E-2</v>
      </c>
      <c r="W18" s="50">
        <f>C18*($F18*$J18)/453.59</f>
        <v>1.8892511739676801E-3</v>
      </c>
      <c r="X18" s="50">
        <f>C18*(($F18*($K18+$L18+$M18)))/453.59</f>
        <v>2.9880621774726907E-2</v>
      </c>
      <c r="Y18" s="50">
        <f>C18*(($F18*($N18+$O18+$P18)))/453.59</f>
        <v>2.2011984646131133E-2</v>
      </c>
      <c r="Z18" s="50">
        <f>C18*(F18)*$B$246</f>
        <v>0</v>
      </c>
      <c r="AA18" s="50">
        <f>Z18*0.21</f>
        <v>0</v>
      </c>
      <c r="AB18" s="50">
        <f>C18*(($F18*($Q18)))/453.59</f>
        <v>301.72200972356535</v>
      </c>
      <c r="AC18" s="50">
        <f>C18*(($F18*($R18)))/453.59</f>
        <v>2.6870515280410772E-3</v>
      </c>
      <c r="AD18" s="50">
        <f>C18*(($F18*($S18)))/453.59</f>
        <v>7.7289110010788503E-3</v>
      </c>
    </row>
    <row r="19" spans="1:30">
      <c r="A19" s="78" t="s">
        <v>327</v>
      </c>
      <c r="B19" s="76" t="s">
        <v>105</v>
      </c>
      <c r="C19" s="374">
        <v>1</v>
      </c>
      <c r="D19" s="77"/>
      <c r="E19" s="77">
        <v>35</v>
      </c>
      <c r="F19" s="77">
        <v>80</v>
      </c>
      <c r="G19" s="106">
        <v>1.08263976628415</v>
      </c>
      <c r="H19" s="106">
        <v>4.9712718909585103</v>
      </c>
      <c r="I19" s="106">
        <v>0.26248012575016899</v>
      </c>
      <c r="J19" s="106">
        <v>1.0711818E-2</v>
      </c>
      <c r="K19" s="106">
        <v>7.1679901072141505E-2</v>
      </c>
      <c r="L19" s="576">
        <v>3.59998119015979E-2</v>
      </c>
      <c r="M19" s="576">
        <v>6.1739677411240299E-2</v>
      </c>
      <c r="N19" s="106">
        <v>6.5945508986370194E-2</v>
      </c>
      <c r="O19" s="576">
        <v>2.9999843251331498E-3</v>
      </c>
      <c r="P19" s="576">
        <v>5.5859708133979398E-2</v>
      </c>
      <c r="Q19" s="106">
        <v>1710.7260798814</v>
      </c>
      <c r="R19" s="47">
        <v>1.5235246282551899E-2</v>
      </c>
      <c r="S19" s="80">
        <f>0.000025616*Q19</f>
        <v>4.3821959262241944E-2</v>
      </c>
      <c r="T19" s="50">
        <f>C19*($F19*$G19)/453.59</f>
        <v>0.19094596728925242</v>
      </c>
      <c r="U19" s="50">
        <f>C19*($F19*$H19)/453.59</f>
        <v>0.87678685878586582</v>
      </c>
      <c r="V19" s="50">
        <f>C19*(($F19*$I19))/453.59</f>
        <v>4.6293811724274173E-2</v>
      </c>
      <c r="W19" s="50">
        <f>C19*($F19*$J19)/453.59</f>
        <v>1.8892511739676801E-3</v>
      </c>
      <c r="X19" s="50">
        <f>C19*(($F19*($K19+$L19+$M19)))/453.59</f>
        <v>2.9880621774726907E-2</v>
      </c>
      <c r="Y19" s="50">
        <f>C19*(($F19*($N19+$O19+$P19)))/453.59</f>
        <v>2.2011984646131133E-2</v>
      </c>
      <c r="Z19" s="50">
        <f>C19*(F19)*$B$246</f>
        <v>0</v>
      </c>
      <c r="AA19" s="50">
        <f>Z19*0.21</f>
        <v>0</v>
      </c>
      <c r="AB19" s="50">
        <f>C19*(($F19*($Q19)))/453.59</f>
        <v>301.72200972356535</v>
      </c>
      <c r="AC19" s="50">
        <f>C19*(($F19*($R19)))/453.59</f>
        <v>2.6870515280410772E-3</v>
      </c>
      <c r="AD19" s="50">
        <f>C19*(($F19*($S19)))/453.59</f>
        <v>7.7289110010788503E-3</v>
      </c>
    </row>
    <row r="20" spans="1:30">
      <c r="A20" s="75" t="s">
        <v>28</v>
      </c>
      <c r="B20" s="74"/>
      <c r="C20" s="112"/>
      <c r="D20" s="112"/>
      <c r="E20" s="74"/>
      <c r="F20" s="74"/>
      <c r="G20" s="577"/>
      <c r="H20" s="41"/>
      <c r="I20" s="41"/>
      <c r="J20" s="41"/>
      <c r="K20" s="574"/>
      <c r="L20" s="574"/>
      <c r="M20" s="574"/>
      <c r="N20" s="574"/>
      <c r="O20" s="574"/>
      <c r="P20" s="574"/>
      <c r="Q20" s="41"/>
      <c r="R20" s="574"/>
      <c r="S20" s="574"/>
      <c r="T20" s="81">
        <f>SUM(T18:T19)</f>
        <v>0.38189193457850484</v>
      </c>
      <c r="U20" s="81">
        <f t="shared" ref="U20:AD20" si="2">SUM(U18:U19)</f>
        <v>1.7535737175717316</v>
      </c>
      <c r="V20" s="81">
        <f t="shared" si="2"/>
        <v>9.2587623448548345E-2</v>
      </c>
      <c r="W20" s="81">
        <f t="shared" si="2"/>
        <v>3.7785023479353602E-3</v>
      </c>
      <c r="X20" s="81">
        <f t="shared" si="2"/>
        <v>5.9761243549453814E-2</v>
      </c>
      <c r="Y20" s="81">
        <f t="shared" si="2"/>
        <v>4.4023969292262266E-2</v>
      </c>
      <c r="Z20" s="81">
        <f t="shared" si="2"/>
        <v>0</v>
      </c>
      <c r="AA20" s="81">
        <f t="shared" si="2"/>
        <v>0</v>
      </c>
      <c r="AB20" s="81">
        <f t="shared" si="2"/>
        <v>603.4440194471307</v>
      </c>
      <c r="AC20" s="81">
        <f t="shared" si="2"/>
        <v>5.3741030560821544E-3</v>
      </c>
      <c r="AD20" s="81">
        <f t="shared" si="2"/>
        <v>1.5457822002157701E-2</v>
      </c>
    </row>
    <row r="21" spans="1:30">
      <c r="A21" s="75" t="s">
        <v>388</v>
      </c>
      <c r="B21" s="74"/>
      <c r="C21" s="112"/>
      <c r="D21" s="112"/>
      <c r="E21" s="74"/>
      <c r="F21" s="74"/>
      <c r="G21" s="547"/>
      <c r="H21" s="41"/>
      <c r="I21" s="41"/>
      <c r="J21" s="41"/>
      <c r="K21" s="544"/>
      <c r="L21" s="544"/>
      <c r="M21" s="544"/>
      <c r="N21" s="544"/>
      <c r="O21" s="544"/>
      <c r="P21" s="544"/>
      <c r="Q21" s="41"/>
      <c r="R21" s="544"/>
      <c r="S21" s="544"/>
      <c r="T21" s="81">
        <f>T11+T15+T20</f>
        <v>0.87251172846869229</v>
      </c>
      <c r="U21" s="81">
        <f t="shared" ref="U21:AD21" si="3">U11+U15+U20</f>
        <v>3.1835887098467532</v>
      </c>
      <c r="V21" s="81">
        <f t="shared" si="3"/>
        <v>0.20647345346166157</v>
      </c>
      <c r="W21" s="81">
        <f t="shared" si="3"/>
        <v>9.8373375437254724E-3</v>
      </c>
      <c r="X21" s="81">
        <f t="shared" si="3"/>
        <v>0.19875025993463408</v>
      </c>
      <c r="Y21" s="81">
        <f t="shared" si="3"/>
        <v>0.1385342508873256</v>
      </c>
      <c r="Z21" s="81">
        <f t="shared" si="3"/>
        <v>0</v>
      </c>
      <c r="AA21" s="81">
        <f t="shared" si="3"/>
        <v>0</v>
      </c>
      <c r="AB21" s="81">
        <f t="shared" si="3"/>
        <v>1195.6083459414658</v>
      </c>
      <c r="AC21" s="81">
        <f t="shared" si="3"/>
        <v>2.465789989135533E-2</v>
      </c>
      <c r="AD21" s="81">
        <f t="shared" si="3"/>
        <v>3.0626703389636592E-2</v>
      </c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25" spans="1:30">
      <c r="A25" s="370"/>
      <c r="B25" s="371"/>
      <c r="C25" s="372"/>
      <c r="D25" s="372"/>
      <c r="E25" s="371"/>
      <c r="F25" s="371"/>
      <c r="G25" s="373"/>
      <c r="H25" s="373"/>
      <c r="I25" s="373"/>
      <c r="J25" s="373"/>
      <c r="K25" s="373"/>
      <c r="L25" s="373"/>
      <c r="M25" s="373"/>
      <c r="N25" s="373"/>
      <c r="O25" s="373"/>
      <c r="P25" s="373"/>
      <c r="Q25" s="373"/>
      <c r="R25" s="373"/>
      <c r="S25" s="373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</row>
    <row r="373" spans="1:2" ht="25.5">
      <c r="A373" s="82" t="s">
        <v>109</v>
      </c>
    </row>
    <row r="375" spans="1:2">
      <c r="A375" s="36" t="s">
        <v>81</v>
      </c>
    </row>
    <row r="376" spans="1:2">
      <c r="A376" s="36" t="s">
        <v>82</v>
      </c>
    </row>
    <row r="377" spans="1:2">
      <c r="A377" s="36" t="s">
        <v>83</v>
      </c>
    </row>
    <row r="378" spans="1:2">
      <c r="A378" s="37" t="s">
        <v>96</v>
      </c>
    </row>
    <row r="379" spans="1:2">
      <c r="A379" s="36" t="s">
        <v>85</v>
      </c>
    </row>
    <row r="380" spans="1:2">
      <c r="A380" s="36" t="s">
        <v>86</v>
      </c>
    </row>
    <row r="381" spans="1:2">
      <c r="A381" s="36" t="s">
        <v>87</v>
      </c>
    </row>
    <row r="382" spans="1:2">
      <c r="A382" s="36" t="s">
        <v>0</v>
      </c>
    </row>
    <row r="383" spans="1:2">
      <c r="A383" s="37" t="s">
        <v>97</v>
      </c>
      <c r="B383" s="36">
        <f>(0.016*(0.03/2)^0.65*(2/3)^1.5)-0.00047</f>
        <v>9.8123053326417428E-5</v>
      </c>
    </row>
    <row r="384" spans="1:2">
      <c r="A384" s="37" t="s">
        <v>98</v>
      </c>
      <c r="B384" s="36">
        <f>(0.016*(0.03/2)^0.65*(13/3)^1.5)-0.00047</f>
        <v>8.9448292388582783E-3</v>
      </c>
    </row>
    <row r="385" spans="1:2">
      <c r="A385" s="37" t="s">
        <v>99</v>
      </c>
      <c r="B385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656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67" ht="25.5">
      <c r="A5" s="44" t="s">
        <v>336</v>
      </c>
      <c r="B5" s="45" t="s">
        <v>102</v>
      </c>
      <c r="C5" s="46">
        <v>7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335</v>
      </c>
      <c r="B6" s="45" t="s">
        <v>102</v>
      </c>
      <c r="C6" s="46">
        <v>2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546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2">AG$11*$AC16</f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>AR$11*$AC16</f>
        <v>#REF!</v>
      </c>
      <c r="AS16" s="36" t="e">
        <f t="shared" ref="AS16:BA24" si="3">AS$11*$AC16</f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4">AF$11*$AC17</f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ref="AR17:AR24" si="5">AR$11*$AC17</f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6">AF$11*$AC27</f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ref="AR27:BA35" si="7">AR$11*$AC27</f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8">AF$11*$AC38</f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ref="AR38:BA46" si="9">AR$11*$AC38</f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0">AF16+AF18+AF19</f>
        <v>#REF!</v>
      </c>
      <c r="AG51" s="70" t="e">
        <f t="shared" si="10"/>
        <v>#REF!</v>
      </c>
      <c r="AH51" s="70" t="e">
        <f t="shared" si="10"/>
        <v>#REF!</v>
      </c>
      <c r="AI51" s="70" t="e">
        <f t="shared" si="10"/>
        <v>#REF!</v>
      </c>
      <c r="AJ51" s="70" t="e">
        <f t="shared" si="10"/>
        <v>#REF!</v>
      </c>
      <c r="AK51" s="70" t="e">
        <f t="shared" si="10"/>
        <v>#REF!</v>
      </c>
      <c r="AL51" s="70" t="e">
        <f t="shared" si="10"/>
        <v>#REF!</v>
      </c>
      <c r="AM51" s="70" t="e">
        <f t="shared" si="10"/>
        <v>#REF!</v>
      </c>
      <c r="AN51" s="70" t="e">
        <f t="shared" si="10"/>
        <v>#REF!</v>
      </c>
      <c r="AO51" s="70" t="e">
        <f t="shared" si="10"/>
        <v>#REF!</v>
      </c>
      <c r="AP51" s="70"/>
      <c r="AQ51" s="70"/>
      <c r="AR51" s="70" t="e">
        <f t="shared" ref="AR51:BA51" si="11">AR16+AR18+AR19</f>
        <v>#REF!</v>
      </c>
      <c r="AS51" s="70" t="e">
        <f t="shared" si="11"/>
        <v>#REF!</v>
      </c>
      <c r="AT51" s="70" t="e">
        <f t="shared" si="11"/>
        <v>#REF!</v>
      </c>
      <c r="AU51" s="70" t="e">
        <f t="shared" si="11"/>
        <v>#REF!</v>
      </c>
      <c r="AV51" s="70" t="e">
        <f t="shared" si="11"/>
        <v>#REF!</v>
      </c>
      <c r="AW51" s="70" t="e">
        <f t="shared" si="11"/>
        <v>#REF!</v>
      </c>
      <c r="AX51" s="70" t="e">
        <f t="shared" si="11"/>
        <v>#REF!</v>
      </c>
      <c r="AY51" s="70" t="e">
        <f t="shared" si="11"/>
        <v>#REF!</v>
      </c>
      <c r="AZ51" s="70" t="e">
        <f t="shared" si="11"/>
        <v>#REF!</v>
      </c>
      <c r="BA51" s="70" t="e">
        <f t="shared" si="11"/>
        <v>#REF!</v>
      </c>
    </row>
    <row r="52" spans="27:53" hidden="1">
      <c r="AA52" s="71" t="s">
        <v>41</v>
      </c>
      <c r="AB52" s="35"/>
      <c r="AF52" s="70" t="e">
        <f t="shared" ref="AF52:AO52" si="12">AF27+AF29+AF30</f>
        <v>#REF!</v>
      </c>
      <c r="AG52" s="70" t="e">
        <f t="shared" si="12"/>
        <v>#REF!</v>
      </c>
      <c r="AH52" s="70" t="e">
        <f t="shared" si="12"/>
        <v>#REF!</v>
      </c>
      <c r="AI52" s="70" t="e">
        <f t="shared" si="12"/>
        <v>#REF!</v>
      </c>
      <c r="AJ52" s="70" t="e">
        <f t="shared" si="12"/>
        <v>#REF!</v>
      </c>
      <c r="AK52" s="70" t="e">
        <f t="shared" si="12"/>
        <v>#REF!</v>
      </c>
      <c r="AL52" s="70" t="e">
        <f t="shared" si="12"/>
        <v>#REF!</v>
      </c>
      <c r="AM52" s="70" t="e">
        <f t="shared" si="12"/>
        <v>#REF!</v>
      </c>
      <c r="AN52" s="70" t="e">
        <f t="shared" si="12"/>
        <v>#REF!</v>
      </c>
      <c r="AO52" s="70" t="e">
        <f t="shared" si="12"/>
        <v>#REF!</v>
      </c>
      <c r="AP52" s="70"/>
      <c r="AQ52" s="70"/>
      <c r="AR52" s="70" t="e">
        <f t="shared" ref="AR52:BA52" si="13">AR27+AR29+AR30</f>
        <v>#REF!</v>
      </c>
      <c r="AS52" s="70" t="e">
        <f t="shared" si="13"/>
        <v>#REF!</v>
      </c>
      <c r="AT52" s="70" t="e">
        <f t="shared" si="13"/>
        <v>#REF!</v>
      </c>
      <c r="AU52" s="70" t="e">
        <f t="shared" si="13"/>
        <v>#REF!</v>
      </c>
      <c r="AV52" s="70" t="e">
        <f t="shared" si="13"/>
        <v>#REF!</v>
      </c>
      <c r="AW52" s="70" t="e">
        <f t="shared" si="13"/>
        <v>#REF!</v>
      </c>
      <c r="AX52" s="70" t="e">
        <f t="shared" si="13"/>
        <v>#REF!</v>
      </c>
      <c r="AY52" s="70" t="e">
        <f t="shared" si="13"/>
        <v>#REF!</v>
      </c>
      <c r="AZ52" s="70" t="e">
        <f t="shared" si="13"/>
        <v>#REF!</v>
      </c>
      <c r="BA52" s="70" t="e">
        <f t="shared" si="13"/>
        <v>#REF!</v>
      </c>
    </row>
    <row r="53" spans="27:53" hidden="1">
      <c r="AA53" s="71" t="s">
        <v>42</v>
      </c>
      <c r="AB53" s="35"/>
      <c r="AF53" s="70" t="e">
        <f t="shared" ref="AF53:AO53" si="14">AF38+AF40+AF41</f>
        <v>#REF!</v>
      </c>
      <c r="AG53" s="70" t="e">
        <f t="shared" si="14"/>
        <v>#REF!</v>
      </c>
      <c r="AH53" s="70" t="e">
        <f t="shared" si="14"/>
        <v>#REF!</v>
      </c>
      <c r="AI53" s="70" t="e">
        <f t="shared" si="14"/>
        <v>#REF!</v>
      </c>
      <c r="AJ53" s="70" t="e">
        <f t="shared" si="14"/>
        <v>#REF!</v>
      </c>
      <c r="AK53" s="70" t="e">
        <f t="shared" si="14"/>
        <v>#REF!</v>
      </c>
      <c r="AL53" s="70" t="e">
        <f t="shared" si="14"/>
        <v>#REF!</v>
      </c>
      <c r="AM53" s="70" t="e">
        <f t="shared" si="14"/>
        <v>#REF!</v>
      </c>
      <c r="AN53" s="70" t="e">
        <f t="shared" si="14"/>
        <v>#REF!</v>
      </c>
      <c r="AO53" s="70" t="e">
        <f t="shared" si="14"/>
        <v>#REF!</v>
      </c>
      <c r="AP53" s="70"/>
      <c r="AQ53" s="70"/>
      <c r="AR53" s="70" t="e">
        <f t="shared" ref="AR53:BA53" si="15">AR38+AR40+AR41</f>
        <v>#REF!</v>
      </c>
      <c r="AS53" s="70" t="e">
        <f t="shared" si="15"/>
        <v>#REF!</v>
      </c>
      <c r="AT53" s="70" t="e">
        <f t="shared" si="15"/>
        <v>#REF!</v>
      </c>
      <c r="AU53" s="70" t="e">
        <f t="shared" si="15"/>
        <v>#REF!</v>
      </c>
      <c r="AV53" s="70" t="e">
        <f t="shared" si="15"/>
        <v>#REF!</v>
      </c>
      <c r="AW53" s="70" t="e">
        <f t="shared" si="15"/>
        <v>#REF!</v>
      </c>
      <c r="AX53" s="70" t="e">
        <f t="shared" si="15"/>
        <v>#REF!</v>
      </c>
      <c r="AY53" s="70" t="e">
        <f t="shared" si="15"/>
        <v>#REF!</v>
      </c>
      <c r="AZ53" s="70" t="e">
        <f t="shared" si="15"/>
        <v>#REF!</v>
      </c>
      <c r="BA53" s="70" t="e">
        <f t="shared" si="15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6">AF16+AF18+AF20+AF22</f>
        <v>#REF!</v>
      </c>
      <c r="AG55" s="70" t="e">
        <f t="shared" si="16"/>
        <v>#REF!</v>
      </c>
      <c r="AH55" s="70" t="e">
        <f t="shared" si="16"/>
        <v>#REF!</v>
      </c>
      <c r="AI55" s="70" t="e">
        <f t="shared" si="16"/>
        <v>#REF!</v>
      </c>
      <c r="AJ55" s="70" t="e">
        <f t="shared" si="16"/>
        <v>#REF!</v>
      </c>
      <c r="AK55" s="70" t="e">
        <f t="shared" si="16"/>
        <v>#REF!</v>
      </c>
      <c r="AL55" s="70" t="e">
        <f t="shared" si="16"/>
        <v>#REF!</v>
      </c>
      <c r="AM55" s="70" t="e">
        <f t="shared" si="16"/>
        <v>#REF!</v>
      </c>
      <c r="AN55" s="70" t="e">
        <f t="shared" si="16"/>
        <v>#REF!</v>
      </c>
      <c r="AO55" s="70" t="e">
        <f t="shared" si="16"/>
        <v>#REF!</v>
      </c>
      <c r="AP55" s="70"/>
      <c r="AQ55" s="70"/>
      <c r="AR55" s="70" t="e">
        <f t="shared" ref="AR55:BA55" si="17">AR16+AR18+AR20+AR22</f>
        <v>#REF!</v>
      </c>
      <c r="AS55" s="70" t="e">
        <f t="shared" si="17"/>
        <v>#REF!</v>
      </c>
      <c r="AT55" s="70" t="e">
        <f t="shared" si="17"/>
        <v>#REF!</v>
      </c>
      <c r="AU55" s="70" t="e">
        <f t="shared" si="17"/>
        <v>#REF!</v>
      </c>
      <c r="AV55" s="70" t="e">
        <f t="shared" si="17"/>
        <v>#REF!</v>
      </c>
      <c r="AW55" s="70" t="e">
        <f t="shared" si="17"/>
        <v>#REF!</v>
      </c>
      <c r="AX55" s="70" t="e">
        <f t="shared" si="17"/>
        <v>#REF!</v>
      </c>
      <c r="AY55" s="70" t="e">
        <f t="shared" si="17"/>
        <v>#REF!</v>
      </c>
      <c r="AZ55" s="70" t="e">
        <f t="shared" si="17"/>
        <v>#REF!</v>
      </c>
      <c r="BA55" s="70" t="e">
        <f t="shared" si="17"/>
        <v>#REF!</v>
      </c>
    </row>
    <row r="56" spans="27:53" hidden="1">
      <c r="AA56" s="71" t="s">
        <v>41</v>
      </c>
      <c r="AB56" s="35"/>
      <c r="AF56" s="70" t="e">
        <f t="shared" ref="AF56:AO56" si="18">AF27+AF29+AF31+AF33</f>
        <v>#REF!</v>
      </c>
      <c r="AG56" s="70" t="e">
        <f t="shared" si="18"/>
        <v>#REF!</v>
      </c>
      <c r="AH56" s="70" t="e">
        <f t="shared" si="18"/>
        <v>#REF!</v>
      </c>
      <c r="AI56" s="70" t="e">
        <f t="shared" si="18"/>
        <v>#REF!</v>
      </c>
      <c r="AJ56" s="70" t="e">
        <f t="shared" si="18"/>
        <v>#REF!</v>
      </c>
      <c r="AK56" s="70" t="e">
        <f t="shared" si="18"/>
        <v>#REF!</v>
      </c>
      <c r="AL56" s="70" t="e">
        <f t="shared" si="18"/>
        <v>#REF!</v>
      </c>
      <c r="AM56" s="70" t="e">
        <f t="shared" si="18"/>
        <v>#REF!</v>
      </c>
      <c r="AN56" s="70" t="e">
        <f t="shared" si="18"/>
        <v>#REF!</v>
      </c>
      <c r="AO56" s="70" t="e">
        <f t="shared" si="18"/>
        <v>#REF!</v>
      </c>
      <c r="AP56" s="70"/>
      <c r="AQ56" s="70"/>
      <c r="AR56" s="70" t="e">
        <f t="shared" ref="AR56:BA56" si="19">AR27+AR29+AR31+AR33</f>
        <v>#REF!</v>
      </c>
      <c r="AS56" s="70" t="e">
        <f t="shared" si="19"/>
        <v>#REF!</v>
      </c>
      <c r="AT56" s="70" t="e">
        <f t="shared" si="19"/>
        <v>#REF!</v>
      </c>
      <c r="AU56" s="70" t="e">
        <f t="shared" si="19"/>
        <v>#REF!</v>
      </c>
      <c r="AV56" s="70" t="e">
        <f t="shared" si="19"/>
        <v>#REF!</v>
      </c>
      <c r="AW56" s="70" t="e">
        <f t="shared" si="19"/>
        <v>#REF!</v>
      </c>
      <c r="AX56" s="70" t="e">
        <f t="shared" si="19"/>
        <v>#REF!</v>
      </c>
      <c r="AY56" s="70" t="e">
        <f t="shared" si="19"/>
        <v>#REF!</v>
      </c>
      <c r="AZ56" s="70" t="e">
        <f t="shared" si="19"/>
        <v>#REF!</v>
      </c>
      <c r="BA56" s="70" t="e">
        <f t="shared" si="19"/>
        <v>#REF!</v>
      </c>
    </row>
    <row r="57" spans="27:53" hidden="1">
      <c r="AA57" s="71" t="s">
        <v>42</v>
      </c>
      <c r="AB57" s="35"/>
      <c r="AF57" s="70" t="e">
        <f t="shared" ref="AF57:AO57" si="20">AF38+AF40+AF42+AF44</f>
        <v>#REF!</v>
      </c>
      <c r="AG57" s="70" t="e">
        <f t="shared" si="20"/>
        <v>#REF!</v>
      </c>
      <c r="AH57" s="70" t="e">
        <f t="shared" si="20"/>
        <v>#REF!</v>
      </c>
      <c r="AI57" s="70" t="e">
        <f t="shared" si="20"/>
        <v>#REF!</v>
      </c>
      <c r="AJ57" s="70" t="e">
        <f t="shared" si="20"/>
        <v>#REF!</v>
      </c>
      <c r="AK57" s="70" t="e">
        <f t="shared" si="20"/>
        <v>#REF!</v>
      </c>
      <c r="AL57" s="70" t="e">
        <f t="shared" si="20"/>
        <v>#REF!</v>
      </c>
      <c r="AM57" s="70" t="e">
        <f t="shared" si="20"/>
        <v>#REF!</v>
      </c>
      <c r="AN57" s="70" t="e">
        <f t="shared" si="20"/>
        <v>#REF!</v>
      </c>
      <c r="AO57" s="70" t="e">
        <f t="shared" si="20"/>
        <v>#REF!</v>
      </c>
      <c r="AP57" s="70"/>
      <c r="AQ57" s="70"/>
      <c r="AR57" s="70" t="e">
        <f t="shared" ref="AR57:BA57" si="21">AR38+AR40+AR42+AR44</f>
        <v>#REF!</v>
      </c>
      <c r="AS57" s="70" t="e">
        <f t="shared" si="21"/>
        <v>#REF!</v>
      </c>
      <c r="AT57" s="70" t="e">
        <f t="shared" si="21"/>
        <v>#REF!</v>
      </c>
      <c r="AU57" s="70" t="e">
        <f t="shared" si="21"/>
        <v>#REF!</v>
      </c>
      <c r="AV57" s="70" t="e">
        <f t="shared" si="21"/>
        <v>#REF!</v>
      </c>
      <c r="AW57" s="70" t="e">
        <f t="shared" si="21"/>
        <v>#REF!</v>
      </c>
      <c r="AX57" s="70" t="e">
        <f t="shared" si="21"/>
        <v>#REF!</v>
      </c>
      <c r="AY57" s="70" t="e">
        <f t="shared" si="21"/>
        <v>#REF!</v>
      </c>
      <c r="AZ57" s="70" t="e">
        <f t="shared" si="21"/>
        <v>#REF!</v>
      </c>
      <c r="BA57" s="70" t="e">
        <f t="shared" si="21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2">AF16+AF18+AF20+AF21+AF23</f>
        <v>#REF!</v>
      </c>
      <c r="AG59" s="70" t="e">
        <f t="shared" si="22"/>
        <v>#REF!</v>
      </c>
      <c r="AH59" s="70" t="e">
        <f t="shared" si="22"/>
        <v>#REF!</v>
      </c>
      <c r="AI59" s="70" t="e">
        <f t="shared" si="22"/>
        <v>#REF!</v>
      </c>
      <c r="AJ59" s="70" t="e">
        <f t="shared" si="22"/>
        <v>#REF!</v>
      </c>
      <c r="AK59" s="70" t="e">
        <f t="shared" si="22"/>
        <v>#REF!</v>
      </c>
      <c r="AL59" s="70" t="e">
        <f t="shared" si="22"/>
        <v>#REF!</v>
      </c>
      <c r="AM59" s="70" t="e">
        <f t="shared" si="22"/>
        <v>#REF!</v>
      </c>
      <c r="AN59" s="70" t="e">
        <f t="shared" si="22"/>
        <v>#REF!</v>
      </c>
      <c r="AO59" s="70" t="e">
        <f t="shared" si="22"/>
        <v>#REF!</v>
      </c>
      <c r="AP59" s="70"/>
      <c r="AQ59" s="70"/>
      <c r="AR59" s="70" t="e">
        <f t="shared" ref="AR59:BA59" si="23">AR16+AR18+AR20+AR21+AR23</f>
        <v>#REF!</v>
      </c>
      <c r="AS59" s="70" t="e">
        <f t="shared" si="23"/>
        <v>#REF!</v>
      </c>
      <c r="AT59" s="70" t="e">
        <f t="shared" si="23"/>
        <v>#REF!</v>
      </c>
      <c r="AU59" s="70" t="e">
        <f t="shared" si="23"/>
        <v>#REF!</v>
      </c>
      <c r="AV59" s="70" t="e">
        <f t="shared" si="23"/>
        <v>#REF!</v>
      </c>
      <c r="AW59" s="70" t="e">
        <f t="shared" si="23"/>
        <v>#REF!</v>
      </c>
      <c r="AX59" s="70" t="e">
        <f t="shared" si="23"/>
        <v>#REF!</v>
      </c>
      <c r="AY59" s="70" t="e">
        <f t="shared" si="23"/>
        <v>#REF!</v>
      </c>
      <c r="AZ59" s="70" t="e">
        <f t="shared" si="23"/>
        <v>#REF!</v>
      </c>
      <c r="BA59" s="70" t="e">
        <f t="shared" si="23"/>
        <v>#REF!</v>
      </c>
    </row>
    <row r="60" spans="27:53" hidden="1">
      <c r="AA60" s="71" t="s">
        <v>41</v>
      </c>
      <c r="AB60" s="35"/>
      <c r="AF60" s="70" t="e">
        <f t="shared" ref="AF60:AO60" si="24">AF27+AF29+AF31+AF32+AF34</f>
        <v>#REF!</v>
      </c>
      <c r="AG60" s="70" t="e">
        <f t="shared" si="24"/>
        <v>#REF!</v>
      </c>
      <c r="AH60" s="70" t="e">
        <f t="shared" si="24"/>
        <v>#REF!</v>
      </c>
      <c r="AI60" s="70" t="e">
        <f t="shared" si="24"/>
        <v>#REF!</v>
      </c>
      <c r="AJ60" s="70" t="e">
        <f t="shared" si="24"/>
        <v>#REF!</v>
      </c>
      <c r="AK60" s="70" t="e">
        <f t="shared" si="24"/>
        <v>#REF!</v>
      </c>
      <c r="AL60" s="70" t="e">
        <f t="shared" si="24"/>
        <v>#REF!</v>
      </c>
      <c r="AM60" s="70" t="e">
        <f t="shared" si="24"/>
        <v>#REF!</v>
      </c>
      <c r="AN60" s="70" t="e">
        <f t="shared" si="24"/>
        <v>#REF!</v>
      </c>
      <c r="AO60" s="70" t="e">
        <f t="shared" si="24"/>
        <v>#REF!</v>
      </c>
      <c r="AP60" s="70"/>
      <c r="AQ60" s="70"/>
      <c r="AR60" s="70" t="e">
        <f t="shared" ref="AR60:BA60" si="25">AR27+AR29+AR31+AR32+AR34</f>
        <v>#REF!</v>
      </c>
      <c r="AS60" s="70" t="e">
        <f t="shared" si="25"/>
        <v>#REF!</v>
      </c>
      <c r="AT60" s="70" t="e">
        <f t="shared" si="25"/>
        <v>#REF!</v>
      </c>
      <c r="AU60" s="70" t="e">
        <f t="shared" si="25"/>
        <v>#REF!</v>
      </c>
      <c r="AV60" s="70" t="e">
        <f t="shared" si="25"/>
        <v>#REF!</v>
      </c>
      <c r="AW60" s="70" t="e">
        <f t="shared" si="25"/>
        <v>#REF!</v>
      </c>
      <c r="AX60" s="70" t="e">
        <f t="shared" si="25"/>
        <v>#REF!</v>
      </c>
      <c r="AY60" s="70" t="e">
        <f t="shared" si="25"/>
        <v>#REF!</v>
      </c>
      <c r="AZ60" s="70" t="e">
        <f t="shared" si="25"/>
        <v>#REF!</v>
      </c>
      <c r="BA60" s="70" t="e">
        <f t="shared" si="25"/>
        <v>#REF!</v>
      </c>
    </row>
    <row r="61" spans="27:53" hidden="1">
      <c r="AA61" s="71" t="s">
        <v>42</v>
      </c>
      <c r="AB61" s="35"/>
      <c r="AF61" s="70" t="e">
        <f t="shared" ref="AF61:AO61" si="26">AF38+AF40+AF42+AF43+AF45</f>
        <v>#REF!</v>
      </c>
      <c r="AG61" s="70" t="e">
        <f t="shared" si="26"/>
        <v>#REF!</v>
      </c>
      <c r="AH61" s="70" t="e">
        <f t="shared" si="26"/>
        <v>#REF!</v>
      </c>
      <c r="AI61" s="70" t="e">
        <f t="shared" si="26"/>
        <v>#REF!</v>
      </c>
      <c r="AJ61" s="70" t="e">
        <f t="shared" si="26"/>
        <v>#REF!</v>
      </c>
      <c r="AK61" s="70" t="e">
        <f t="shared" si="26"/>
        <v>#REF!</v>
      </c>
      <c r="AL61" s="70" t="e">
        <f t="shared" si="26"/>
        <v>#REF!</v>
      </c>
      <c r="AM61" s="70" t="e">
        <f t="shared" si="26"/>
        <v>#REF!</v>
      </c>
      <c r="AN61" s="70" t="e">
        <f t="shared" si="26"/>
        <v>#REF!</v>
      </c>
      <c r="AO61" s="70" t="e">
        <f t="shared" si="26"/>
        <v>#REF!</v>
      </c>
      <c r="AP61" s="70"/>
      <c r="AQ61" s="70"/>
      <c r="AR61" s="70" t="e">
        <f t="shared" ref="AR61:BA61" si="27">AR38+AR40+AR42+AR43+AR45</f>
        <v>#REF!</v>
      </c>
      <c r="AS61" s="70" t="e">
        <f t="shared" si="27"/>
        <v>#REF!</v>
      </c>
      <c r="AT61" s="70" t="e">
        <f t="shared" si="27"/>
        <v>#REF!</v>
      </c>
      <c r="AU61" s="70" t="e">
        <f t="shared" si="27"/>
        <v>#REF!</v>
      </c>
      <c r="AV61" s="70" t="e">
        <f t="shared" si="27"/>
        <v>#REF!</v>
      </c>
      <c r="AW61" s="70" t="e">
        <f t="shared" si="27"/>
        <v>#REF!</v>
      </c>
      <c r="AX61" s="70" t="e">
        <f t="shared" si="27"/>
        <v>#REF!</v>
      </c>
      <c r="AY61" s="70" t="e">
        <f t="shared" si="27"/>
        <v>#REF!</v>
      </c>
      <c r="AZ61" s="70" t="e">
        <f t="shared" si="27"/>
        <v>#REF!</v>
      </c>
      <c r="BA61" s="70" t="e">
        <f t="shared" si="27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28">AF16+AF18+AF20+AF21+AF24</f>
        <v>#REF!</v>
      </c>
      <c r="AG63" s="70" t="e">
        <f t="shared" si="28"/>
        <v>#REF!</v>
      </c>
      <c r="AH63" s="70" t="e">
        <f t="shared" si="28"/>
        <v>#REF!</v>
      </c>
      <c r="AI63" s="70" t="e">
        <f t="shared" si="28"/>
        <v>#REF!</v>
      </c>
      <c r="AJ63" s="70" t="e">
        <f t="shared" si="28"/>
        <v>#REF!</v>
      </c>
      <c r="AK63" s="70" t="e">
        <f t="shared" si="28"/>
        <v>#REF!</v>
      </c>
      <c r="AL63" s="70" t="e">
        <f t="shared" si="28"/>
        <v>#REF!</v>
      </c>
      <c r="AM63" s="70" t="e">
        <f t="shared" si="28"/>
        <v>#REF!</v>
      </c>
      <c r="AN63" s="70" t="e">
        <f t="shared" si="28"/>
        <v>#REF!</v>
      </c>
      <c r="AO63" s="70" t="e">
        <f t="shared" si="28"/>
        <v>#REF!</v>
      </c>
      <c r="AP63" s="70"/>
      <c r="AQ63" s="70"/>
      <c r="AR63" s="70" t="e">
        <f t="shared" ref="AR63:BA63" si="29">AR16+AR18+AR20+AR21+AR24</f>
        <v>#REF!</v>
      </c>
      <c r="AS63" s="70" t="e">
        <f t="shared" si="29"/>
        <v>#REF!</v>
      </c>
      <c r="AT63" s="70" t="e">
        <f t="shared" si="29"/>
        <v>#REF!</v>
      </c>
      <c r="AU63" s="70" t="e">
        <f t="shared" si="29"/>
        <v>#REF!</v>
      </c>
      <c r="AV63" s="70" t="e">
        <f t="shared" si="29"/>
        <v>#REF!</v>
      </c>
      <c r="AW63" s="70" t="e">
        <f t="shared" si="29"/>
        <v>#REF!</v>
      </c>
      <c r="AX63" s="70" t="e">
        <f t="shared" si="29"/>
        <v>#REF!</v>
      </c>
      <c r="AY63" s="70" t="e">
        <f t="shared" si="29"/>
        <v>#REF!</v>
      </c>
      <c r="AZ63" s="70" t="e">
        <f t="shared" si="29"/>
        <v>#REF!</v>
      </c>
      <c r="BA63" s="70" t="e">
        <f t="shared" si="29"/>
        <v>#REF!</v>
      </c>
    </row>
    <row r="64" spans="27:53" hidden="1">
      <c r="AA64" s="71" t="s">
        <v>41</v>
      </c>
      <c r="AB64" s="35"/>
      <c r="AF64" s="70" t="e">
        <f t="shared" ref="AF64:AO64" si="30">AF27+AF29+AF31+AF32+AF35</f>
        <v>#REF!</v>
      </c>
      <c r="AG64" s="70" t="e">
        <f t="shared" si="30"/>
        <v>#REF!</v>
      </c>
      <c r="AH64" s="70" t="e">
        <f t="shared" si="30"/>
        <v>#REF!</v>
      </c>
      <c r="AI64" s="70" t="e">
        <f t="shared" si="30"/>
        <v>#REF!</v>
      </c>
      <c r="AJ64" s="70" t="e">
        <f t="shared" si="30"/>
        <v>#REF!</v>
      </c>
      <c r="AK64" s="70" t="e">
        <f t="shared" si="30"/>
        <v>#REF!</v>
      </c>
      <c r="AL64" s="70" t="e">
        <f t="shared" si="30"/>
        <v>#REF!</v>
      </c>
      <c r="AM64" s="70" t="e">
        <f t="shared" si="30"/>
        <v>#REF!</v>
      </c>
      <c r="AN64" s="70" t="e">
        <f t="shared" si="30"/>
        <v>#REF!</v>
      </c>
      <c r="AO64" s="70" t="e">
        <f t="shared" si="30"/>
        <v>#REF!</v>
      </c>
      <c r="AP64" s="70"/>
      <c r="AQ64" s="70"/>
      <c r="AR64" s="70" t="e">
        <f t="shared" ref="AR64:BA64" si="31">AR27+AR29+AR31+AR32+AR35</f>
        <v>#REF!</v>
      </c>
      <c r="AS64" s="70" t="e">
        <f t="shared" si="31"/>
        <v>#REF!</v>
      </c>
      <c r="AT64" s="70" t="e">
        <f t="shared" si="31"/>
        <v>#REF!</v>
      </c>
      <c r="AU64" s="70" t="e">
        <f t="shared" si="31"/>
        <v>#REF!</v>
      </c>
      <c r="AV64" s="70" t="e">
        <f t="shared" si="31"/>
        <v>#REF!</v>
      </c>
      <c r="AW64" s="70" t="e">
        <f t="shared" si="31"/>
        <v>#REF!</v>
      </c>
      <c r="AX64" s="70" t="e">
        <f t="shared" si="31"/>
        <v>#REF!</v>
      </c>
      <c r="AY64" s="70" t="e">
        <f t="shared" si="31"/>
        <v>#REF!</v>
      </c>
      <c r="AZ64" s="70" t="e">
        <f t="shared" si="31"/>
        <v>#REF!</v>
      </c>
      <c r="BA64" s="70" t="e">
        <f t="shared" si="31"/>
        <v>#REF!</v>
      </c>
    </row>
    <row r="65" spans="27:53" hidden="1">
      <c r="AA65" s="71" t="s">
        <v>42</v>
      </c>
      <c r="AB65" s="35"/>
      <c r="AF65" s="70" t="e">
        <f t="shared" ref="AF65:AO65" si="32">AF38+AF40+AF42+AF43+AF46</f>
        <v>#REF!</v>
      </c>
      <c r="AG65" s="70" t="e">
        <f t="shared" si="32"/>
        <v>#REF!</v>
      </c>
      <c r="AH65" s="70" t="e">
        <f t="shared" si="32"/>
        <v>#REF!</v>
      </c>
      <c r="AI65" s="70" t="e">
        <f t="shared" si="32"/>
        <v>#REF!</v>
      </c>
      <c r="AJ65" s="70" t="e">
        <f t="shared" si="32"/>
        <v>#REF!</v>
      </c>
      <c r="AK65" s="70" t="e">
        <f t="shared" si="32"/>
        <v>#REF!</v>
      </c>
      <c r="AL65" s="70" t="e">
        <f t="shared" si="32"/>
        <v>#REF!</v>
      </c>
      <c r="AM65" s="70" t="e">
        <f t="shared" si="32"/>
        <v>#REF!</v>
      </c>
      <c r="AN65" s="70" t="e">
        <f t="shared" si="32"/>
        <v>#REF!</v>
      </c>
      <c r="AO65" s="70" t="e">
        <f t="shared" si="32"/>
        <v>#REF!</v>
      </c>
      <c r="AP65" s="70"/>
      <c r="AQ65" s="70"/>
      <c r="AR65" s="70" t="e">
        <f t="shared" ref="AR65:BA65" si="33">AR38+AR40+AR42+AR43+AR46</f>
        <v>#REF!</v>
      </c>
      <c r="AS65" s="70" t="e">
        <f t="shared" si="33"/>
        <v>#REF!</v>
      </c>
      <c r="AT65" s="70" t="e">
        <f t="shared" si="33"/>
        <v>#REF!</v>
      </c>
      <c r="AU65" s="70" t="e">
        <f t="shared" si="33"/>
        <v>#REF!</v>
      </c>
      <c r="AV65" s="70" t="e">
        <f t="shared" si="33"/>
        <v>#REF!</v>
      </c>
      <c r="AW65" s="70" t="e">
        <f t="shared" si="33"/>
        <v>#REF!</v>
      </c>
      <c r="AX65" s="70" t="e">
        <f t="shared" si="33"/>
        <v>#REF!</v>
      </c>
      <c r="AY65" s="70" t="e">
        <f t="shared" si="33"/>
        <v>#REF!</v>
      </c>
      <c r="AZ65" s="70" t="e">
        <f t="shared" si="33"/>
        <v>#REF!</v>
      </c>
      <c r="BA65" s="70" t="e">
        <f t="shared" si="33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4">AF16+AF17+AF22</f>
        <v>#REF!</v>
      </c>
      <c r="AG67" s="70" t="e">
        <f t="shared" si="34"/>
        <v>#REF!</v>
      </c>
      <c r="AH67" s="70" t="e">
        <f t="shared" si="34"/>
        <v>#REF!</v>
      </c>
      <c r="AI67" s="70" t="e">
        <f t="shared" si="34"/>
        <v>#REF!</v>
      </c>
      <c r="AJ67" s="70" t="e">
        <f t="shared" si="34"/>
        <v>#REF!</v>
      </c>
      <c r="AK67" s="70" t="e">
        <f t="shared" si="34"/>
        <v>#REF!</v>
      </c>
      <c r="AL67" s="70" t="e">
        <f t="shared" si="34"/>
        <v>#REF!</v>
      </c>
      <c r="AM67" s="70" t="e">
        <f t="shared" si="34"/>
        <v>#REF!</v>
      </c>
      <c r="AN67" s="70" t="e">
        <f t="shared" si="34"/>
        <v>#REF!</v>
      </c>
      <c r="AO67" s="70" t="e">
        <f t="shared" si="34"/>
        <v>#REF!</v>
      </c>
      <c r="AP67" s="70"/>
      <c r="AQ67" s="70"/>
      <c r="AR67" s="70" t="e">
        <f t="shared" ref="AR67:BA67" si="35">AR16+AR17+AR22</f>
        <v>#REF!</v>
      </c>
      <c r="AS67" s="70" t="e">
        <f t="shared" si="35"/>
        <v>#REF!</v>
      </c>
      <c r="AT67" s="70" t="e">
        <f t="shared" si="35"/>
        <v>#REF!</v>
      </c>
      <c r="AU67" s="70" t="e">
        <f t="shared" si="35"/>
        <v>#REF!</v>
      </c>
      <c r="AV67" s="70" t="e">
        <f t="shared" si="35"/>
        <v>#REF!</v>
      </c>
      <c r="AW67" s="70" t="e">
        <f t="shared" si="35"/>
        <v>#REF!</v>
      </c>
      <c r="AX67" s="70" t="e">
        <f t="shared" si="35"/>
        <v>#REF!</v>
      </c>
      <c r="AY67" s="70" t="e">
        <f t="shared" si="35"/>
        <v>#REF!</v>
      </c>
      <c r="AZ67" s="70" t="e">
        <f t="shared" si="35"/>
        <v>#REF!</v>
      </c>
      <c r="BA67" s="70" t="e">
        <f t="shared" si="35"/>
        <v>#REF!</v>
      </c>
    </row>
    <row r="68" spans="27:53" hidden="1">
      <c r="AA68" s="71" t="s">
        <v>41</v>
      </c>
      <c r="AB68" s="35"/>
      <c r="AF68" s="70" t="e">
        <f t="shared" ref="AF68:AO68" si="36">AF27+AF28+AF33</f>
        <v>#REF!</v>
      </c>
      <c r="AG68" s="70" t="e">
        <f t="shared" si="36"/>
        <v>#REF!</v>
      </c>
      <c r="AH68" s="70" t="e">
        <f t="shared" si="36"/>
        <v>#REF!</v>
      </c>
      <c r="AI68" s="70" t="e">
        <f t="shared" si="36"/>
        <v>#REF!</v>
      </c>
      <c r="AJ68" s="70" t="e">
        <f t="shared" si="36"/>
        <v>#REF!</v>
      </c>
      <c r="AK68" s="70" t="e">
        <f t="shared" si="36"/>
        <v>#REF!</v>
      </c>
      <c r="AL68" s="70" t="e">
        <f t="shared" si="36"/>
        <v>#REF!</v>
      </c>
      <c r="AM68" s="70" t="e">
        <f t="shared" si="36"/>
        <v>#REF!</v>
      </c>
      <c r="AN68" s="70" t="e">
        <f t="shared" si="36"/>
        <v>#REF!</v>
      </c>
      <c r="AO68" s="70" t="e">
        <f t="shared" si="36"/>
        <v>#REF!</v>
      </c>
      <c r="AP68" s="70"/>
      <c r="AQ68" s="70"/>
      <c r="AR68" s="70" t="e">
        <f t="shared" ref="AR68:BA68" si="37">AR27+AR28+AR33</f>
        <v>#REF!</v>
      </c>
      <c r="AS68" s="70" t="e">
        <f t="shared" si="37"/>
        <v>#REF!</v>
      </c>
      <c r="AT68" s="70" t="e">
        <f t="shared" si="37"/>
        <v>#REF!</v>
      </c>
      <c r="AU68" s="70" t="e">
        <f t="shared" si="37"/>
        <v>#REF!</v>
      </c>
      <c r="AV68" s="70" t="e">
        <f t="shared" si="37"/>
        <v>#REF!</v>
      </c>
      <c r="AW68" s="70" t="e">
        <f t="shared" si="37"/>
        <v>#REF!</v>
      </c>
      <c r="AX68" s="70" t="e">
        <f t="shared" si="37"/>
        <v>#REF!</v>
      </c>
      <c r="AY68" s="70" t="e">
        <f t="shared" si="37"/>
        <v>#REF!</v>
      </c>
      <c r="AZ68" s="70" t="e">
        <f t="shared" si="37"/>
        <v>#REF!</v>
      </c>
      <c r="BA68" s="70" t="e">
        <f t="shared" si="37"/>
        <v>#REF!</v>
      </c>
    </row>
    <row r="69" spans="27:53" hidden="1">
      <c r="AA69" s="71" t="s">
        <v>42</v>
      </c>
      <c r="AB69" s="35"/>
      <c r="AF69" s="70" t="e">
        <f t="shared" ref="AF69:AO69" si="38">AF38+AF39+AF44</f>
        <v>#REF!</v>
      </c>
      <c r="AG69" s="70" t="e">
        <f t="shared" si="38"/>
        <v>#REF!</v>
      </c>
      <c r="AH69" s="70" t="e">
        <f t="shared" si="38"/>
        <v>#REF!</v>
      </c>
      <c r="AI69" s="70" t="e">
        <f t="shared" si="38"/>
        <v>#REF!</v>
      </c>
      <c r="AJ69" s="70" t="e">
        <f t="shared" si="38"/>
        <v>#REF!</v>
      </c>
      <c r="AK69" s="70" t="e">
        <f t="shared" si="38"/>
        <v>#REF!</v>
      </c>
      <c r="AL69" s="70" t="e">
        <f t="shared" si="38"/>
        <v>#REF!</v>
      </c>
      <c r="AM69" s="70" t="e">
        <f t="shared" si="38"/>
        <v>#REF!</v>
      </c>
      <c r="AN69" s="70" t="e">
        <f t="shared" si="38"/>
        <v>#REF!</v>
      </c>
      <c r="AO69" s="70" t="e">
        <f t="shared" si="38"/>
        <v>#REF!</v>
      </c>
      <c r="AP69" s="70"/>
      <c r="AQ69" s="70"/>
      <c r="AR69" s="70" t="e">
        <f t="shared" ref="AR69:BA69" si="39">AR38+AR39+AR44</f>
        <v>#REF!</v>
      </c>
      <c r="AS69" s="70" t="e">
        <f t="shared" si="39"/>
        <v>#REF!</v>
      </c>
      <c r="AT69" s="70" t="e">
        <f t="shared" si="39"/>
        <v>#REF!</v>
      </c>
      <c r="AU69" s="70" t="e">
        <f t="shared" si="39"/>
        <v>#REF!</v>
      </c>
      <c r="AV69" s="70" t="e">
        <f t="shared" si="39"/>
        <v>#REF!</v>
      </c>
      <c r="AW69" s="70" t="e">
        <f t="shared" si="39"/>
        <v>#REF!</v>
      </c>
      <c r="AX69" s="70" t="e">
        <f t="shared" si="39"/>
        <v>#REF!</v>
      </c>
      <c r="AY69" s="70" t="e">
        <f t="shared" si="39"/>
        <v>#REF!</v>
      </c>
      <c r="AZ69" s="70" t="e">
        <f t="shared" si="39"/>
        <v>#REF!</v>
      </c>
      <c r="BA69" s="70" t="e">
        <f t="shared" si="39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0">AF16+AF17+AF21+AF23</f>
        <v>#REF!</v>
      </c>
      <c r="AG71" s="70" t="e">
        <f t="shared" si="40"/>
        <v>#REF!</v>
      </c>
      <c r="AH71" s="70" t="e">
        <f t="shared" si="40"/>
        <v>#REF!</v>
      </c>
      <c r="AI71" s="70" t="e">
        <f t="shared" si="40"/>
        <v>#REF!</v>
      </c>
      <c r="AJ71" s="70" t="e">
        <f t="shared" si="40"/>
        <v>#REF!</v>
      </c>
      <c r="AK71" s="70" t="e">
        <f t="shared" si="40"/>
        <v>#REF!</v>
      </c>
      <c r="AL71" s="70" t="e">
        <f t="shared" si="40"/>
        <v>#REF!</v>
      </c>
      <c r="AM71" s="70" t="e">
        <f t="shared" si="40"/>
        <v>#REF!</v>
      </c>
      <c r="AN71" s="70" t="e">
        <f t="shared" si="40"/>
        <v>#REF!</v>
      </c>
      <c r="AO71" s="70" t="e">
        <f t="shared" si="40"/>
        <v>#REF!</v>
      </c>
      <c r="AP71" s="70"/>
      <c r="AQ71" s="70"/>
      <c r="AR71" s="70" t="e">
        <f t="shared" ref="AR71:BA71" si="41">AR16+AR17+AR21+AR23</f>
        <v>#REF!</v>
      </c>
      <c r="AS71" s="70" t="e">
        <f t="shared" si="41"/>
        <v>#REF!</v>
      </c>
      <c r="AT71" s="70" t="e">
        <f t="shared" si="41"/>
        <v>#REF!</v>
      </c>
      <c r="AU71" s="70" t="e">
        <f t="shared" si="41"/>
        <v>#REF!</v>
      </c>
      <c r="AV71" s="70" t="e">
        <f t="shared" si="41"/>
        <v>#REF!</v>
      </c>
      <c r="AW71" s="70" t="e">
        <f t="shared" si="41"/>
        <v>#REF!</v>
      </c>
      <c r="AX71" s="70" t="e">
        <f t="shared" si="41"/>
        <v>#REF!</v>
      </c>
      <c r="AY71" s="70" t="e">
        <f t="shared" si="41"/>
        <v>#REF!</v>
      </c>
      <c r="AZ71" s="70" t="e">
        <f t="shared" si="41"/>
        <v>#REF!</v>
      </c>
      <c r="BA71" s="70" t="e">
        <f t="shared" si="41"/>
        <v>#REF!</v>
      </c>
    </row>
    <row r="72" spans="27:53" hidden="1">
      <c r="AA72" s="71" t="s">
        <v>41</v>
      </c>
      <c r="AB72" s="35"/>
      <c r="AF72" s="70" t="e">
        <f t="shared" ref="AF72:AO72" si="42">AF27+AF28+AF32+AF34</f>
        <v>#REF!</v>
      </c>
      <c r="AG72" s="70" t="e">
        <f t="shared" si="42"/>
        <v>#REF!</v>
      </c>
      <c r="AH72" s="70" t="e">
        <f t="shared" si="42"/>
        <v>#REF!</v>
      </c>
      <c r="AI72" s="70" t="e">
        <f t="shared" si="42"/>
        <v>#REF!</v>
      </c>
      <c r="AJ72" s="70" t="e">
        <f t="shared" si="42"/>
        <v>#REF!</v>
      </c>
      <c r="AK72" s="70" t="e">
        <f t="shared" si="42"/>
        <v>#REF!</v>
      </c>
      <c r="AL72" s="70" t="e">
        <f t="shared" si="42"/>
        <v>#REF!</v>
      </c>
      <c r="AM72" s="70" t="e">
        <f t="shared" si="42"/>
        <v>#REF!</v>
      </c>
      <c r="AN72" s="70" t="e">
        <f t="shared" si="42"/>
        <v>#REF!</v>
      </c>
      <c r="AO72" s="70" t="e">
        <f t="shared" si="42"/>
        <v>#REF!</v>
      </c>
      <c r="AP72" s="70"/>
      <c r="AQ72" s="70"/>
      <c r="AR72" s="70" t="e">
        <f t="shared" ref="AR72:BA72" si="43">AR27+AR28+AR32+AR34</f>
        <v>#REF!</v>
      </c>
      <c r="AS72" s="70" t="e">
        <f t="shared" si="43"/>
        <v>#REF!</v>
      </c>
      <c r="AT72" s="70" t="e">
        <f t="shared" si="43"/>
        <v>#REF!</v>
      </c>
      <c r="AU72" s="70" t="e">
        <f t="shared" si="43"/>
        <v>#REF!</v>
      </c>
      <c r="AV72" s="70" t="e">
        <f t="shared" si="43"/>
        <v>#REF!</v>
      </c>
      <c r="AW72" s="70" t="e">
        <f t="shared" si="43"/>
        <v>#REF!</v>
      </c>
      <c r="AX72" s="70" t="e">
        <f t="shared" si="43"/>
        <v>#REF!</v>
      </c>
      <c r="AY72" s="70" t="e">
        <f t="shared" si="43"/>
        <v>#REF!</v>
      </c>
      <c r="AZ72" s="70" t="e">
        <f t="shared" si="43"/>
        <v>#REF!</v>
      </c>
      <c r="BA72" s="70" t="e">
        <f t="shared" si="43"/>
        <v>#REF!</v>
      </c>
    </row>
    <row r="73" spans="27:53" hidden="1">
      <c r="AA73" s="71" t="s">
        <v>42</v>
      </c>
      <c r="AB73" s="35"/>
      <c r="AF73" s="70" t="e">
        <f t="shared" ref="AF73:AO73" si="44">AF38+AF39+AF43+AF45</f>
        <v>#REF!</v>
      </c>
      <c r="AG73" s="70" t="e">
        <f t="shared" si="44"/>
        <v>#REF!</v>
      </c>
      <c r="AH73" s="70" t="e">
        <f t="shared" si="44"/>
        <v>#REF!</v>
      </c>
      <c r="AI73" s="70" t="e">
        <f t="shared" si="44"/>
        <v>#REF!</v>
      </c>
      <c r="AJ73" s="70" t="e">
        <f t="shared" si="44"/>
        <v>#REF!</v>
      </c>
      <c r="AK73" s="70" t="e">
        <f t="shared" si="44"/>
        <v>#REF!</v>
      </c>
      <c r="AL73" s="70" t="e">
        <f t="shared" si="44"/>
        <v>#REF!</v>
      </c>
      <c r="AM73" s="70" t="e">
        <f t="shared" si="44"/>
        <v>#REF!</v>
      </c>
      <c r="AN73" s="70" t="e">
        <f t="shared" si="44"/>
        <v>#REF!</v>
      </c>
      <c r="AO73" s="70" t="e">
        <f t="shared" si="44"/>
        <v>#REF!</v>
      </c>
      <c r="AP73" s="70"/>
      <c r="AQ73" s="70"/>
      <c r="AR73" s="70" t="e">
        <f t="shared" ref="AR73:BA73" si="45">AR38+AR39+AR43+AR45</f>
        <v>#REF!</v>
      </c>
      <c r="AS73" s="70" t="e">
        <f t="shared" si="45"/>
        <v>#REF!</v>
      </c>
      <c r="AT73" s="70" t="e">
        <f t="shared" si="45"/>
        <v>#REF!</v>
      </c>
      <c r="AU73" s="70" t="e">
        <f t="shared" si="45"/>
        <v>#REF!</v>
      </c>
      <c r="AV73" s="70" t="e">
        <f t="shared" si="45"/>
        <v>#REF!</v>
      </c>
      <c r="AW73" s="70" t="e">
        <f t="shared" si="45"/>
        <v>#REF!</v>
      </c>
      <c r="AX73" s="70" t="e">
        <f t="shared" si="45"/>
        <v>#REF!</v>
      </c>
      <c r="AY73" s="70" t="e">
        <f t="shared" si="45"/>
        <v>#REF!</v>
      </c>
      <c r="AZ73" s="70" t="e">
        <f t="shared" si="45"/>
        <v>#REF!</v>
      </c>
      <c r="BA73" s="70" t="e">
        <f t="shared" si="45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6">AF16+AF17+AF21+AF24</f>
        <v>#REF!</v>
      </c>
      <c r="AG75" s="70" t="e">
        <f t="shared" si="46"/>
        <v>#REF!</v>
      </c>
      <c r="AH75" s="70" t="e">
        <f t="shared" si="46"/>
        <v>#REF!</v>
      </c>
      <c r="AI75" s="70" t="e">
        <f t="shared" si="46"/>
        <v>#REF!</v>
      </c>
      <c r="AJ75" s="70" t="e">
        <f t="shared" si="46"/>
        <v>#REF!</v>
      </c>
      <c r="AK75" s="70" t="e">
        <f t="shared" si="46"/>
        <v>#REF!</v>
      </c>
      <c r="AL75" s="70" t="e">
        <f t="shared" si="46"/>
        <v>#REF!</v>
      </c>
      <c r="AM75" s="70" t="e">
        <f t="shared" si="46"/>
        <v>#REF!</v>
      </c>
      <c r="AN75" s="70" t="e">
        <f t="shared" si="46"/>
        <v>#REF!</v>
      </c>
      <c r="AO75" s="70" t="e">
        <f t="shared" si="46"/>
        <v>#REF!</v>
      </c>
      <c r="AP75" s="70"/>
      <c r="AQ75" s="70"/>
      <c r="AR75" s="70" t="e">
        <f t="shared" ref="AR75:BA75" si="47">AR16+AR17+AR21+AR24</f>
        <v>#REF!</v>
      </c>
      <c r="AS75" s="70" t="e">
        <f t="shared" si="47"/>
        <v>#REF!</v>
      </c>
      <c r="AT75" s="70" t="e">
        <f t="shared" si="47"/>
        <v>#REF!</v>
      </c>
      <c r="AU75" s="70" t="e">
        <f t="shared" si="47"/>
        <v>#REF!</v>
      </c>
      <c r="AV75" s="70" t="e">
        <f t="shared" si="47"/>
        <v>#REF!</v>
      </c>
      <c r="AW75" s="70" t="e">
        <f t="shared" si="47"/>
        <v>#REF!</v>
      </c>
      <c r="AX75" s="70" t="e">
        <f t="shared" si="47"/>
        <v>#REF!</v>
      </c>
      <c r="AY75" s="70" t="e">
        <f t="shared" si="47"/>
        <v>#REF!</v>
      </c>
      <c r="AZ75" s="70" t="e">
        <f t="shared" si="47"/>
        <v>#REF!</v>
      </c>
      <c r="BA75" s="70" t="e">
        <f t="shared" si="47"/>
        <v>#REF!</v>
      </c>
    </row>
    <row r="76" spans="27:53" hidden="1">
      <c r="AA76" s="71" t="s">
        <v>41</v>
      </c>
      <c r="AB76" s="35"/>
      <c r="AF76" s="70" t="e">
        <f t="shared" ref="AF76:AO76" si="48">AF27+AF28+AF32+AF35</f>
        <v>#REF!</v>
      </c>
      <c r="AG76" s="70" t="e">
        <f t="shared" si="48"/>
        <v>#REF!</v>
      </c>
      <c r="AH76" s="70" t="e">
        <f t="shared" si="48"/>
        <v>#REF!</v>
      </c>
      <c r="AI76" s="70" t="e">
        <f t="shared" si="48"/>
        <v>#REF!</v>
      </c>
      <c r="AJ76" s="70" t="e">
        <f t="shared" si="48"/>
        <v>#REF!</v>
      </c>
      <c r="AK76" s="70" t="e">
        <f t="shared" si="48"/>
        <v>#REF!</v>
      </c>
      <c r="AL76" s="70" t="e">
        <f t="shared" si="48"/>
        <v>#REF!</v>
      </c>
      <c r="AM76" s="70" t="e">
        <f t="shared" si="48"/>
        <v>#REF!</v>
      </c>
      <c r="AN76" s="70" t="e">
        <f t="shared" si="48"/>
        <v>#REF!</v>
      </c>
      <c r="AO76" s="70" t="e">
        <f t="shared" si="48"/>
        <v>#REF!</v>
      </c>
      <c r="AP76" s="70"/>
      <c r="AQ76" s="70"/>
      <c r="AR76" s="70" t="e">
        <f t="shared" ref="AR76:BA76" si="49">AR27+AR28+AR32+AR35</f>
        <v>#REF!</v>
      </c>
      <c r="AS76" s="70" t="e">
        <f t="shared" si="49"/>
        <v>#REF!</v>
      </c>
      <c r="AT76" s="70" t="e">
        <f t="shared" si="49"/>
        <v>#REF!</v>
      </c>
      <c r="AU76" s="70" t="e">
        <f t="shared" si="49"/>
        <v>#REF!</v>
      </c>
      <c r="AV76" s="70" t="e">
        <f t="shared" si="49"/>
        <v>#REF!</v>
      </c>
      <c r="AW76" s="70" t="e">
        <f t="shared" si="49"/>
        <v>#REF!</v>
      </c>
      <c r="AX76" s="70" t="e">
        <f t="shared" si="49"/>
        <v>#REF!</v>
      </c>
      <c r="AY76" s="70" t="e">
        <f t="shared" si="49"/>
        <v>#REF!</v>
      </c>
      <c r="AZ76" s="70" t="e">
        <f t="shared" si="49"/>
        <v>#REF!</v>
      </c>
      <c r="BA76" s="70" t="e">
        <f t="shared" si="49"/>
        <v>#REF!</v>
      </c>
    </row>
    <row r="77" spans="27:53" hidden="1">
      <c r="AA77" s="71" t="s">
        <v>42</v>
      </c>
      <c r="AB77" s="35"/>
      <c r="AF77" s="70" t="e">
        <f t="shared" ref="AF77:AO77" si="50">AF38+AF39+AF43+AF46</f>
        <v>#REF!</v>
      </c>
      <c r="AG77" s="70" t="e">
        <f t="shared" si="50"/>
        <v>#REF!</v>
      </c>
      <c r="AH77" s="70" t="e">
        <f t="shared" si="50"/>
        <v>#REF!</v>
      </c>
      <c r="AI77" s="70" t="e">
        <f t="shared" si="50"/>
        <v>#REF!</v>
      </c>
      <c r="AJ77" s="70" t="e">
        <f t="shared" si="50"/>
        <v>#REF!</v>
      </c>
      <c r="AK77" s="70" t="e">
        <f t="shared" si="50"/>
        <v>#REF!</v>
      </c>
      <c r="AL77" s="70" t="e">
        <f t="shared" si="50"/>
        <v>#REF!</v>
      </c>
      <c r="AM77" s="70" t="e">
        <f t="shared" si="50"/>
        <v>#REF!</v>
      </c>
      <c r="AN77" s="70" t="e">
        <f t="shared" si="50"/>
        <v>#REF!</v>
      </c>
      <c r="AO77" s="70" t="e">
        <f t="shared" si="50"/>
        <v>#REF!</v>
      </c>
      <c r="AP77" s="70"/>
      <c r="AQ77" s="70"/>
      <c r="AR77" s="70" t="e">
        <f t="shared" ref="AR77:BA77" si="51">AR38+AR39+AR43+AR46</f>
        <v>#REF!</v>
      </c>
      <c r="AS77" s="70" t="e">
        <f t="shared" si="51"/>
        <v>#REF!</v>
      </c>
      <c r="AT77" s="70" t="e">
        <f t="shared" si="51"/>
        <v>#REF!</v>
      </c>
      <c r="AU77" s="70" t="e">
        <f t="shared" si="51"/>
        <v>#REF!</v>
      </c>
      <c r="AV77" s="70" t="e">
        <f t="shared" si="51"/>
        <v>#REF!</v>
      </c>
      <c r="AW77" s="70" t="e">
        <f t="shared" si="51"/>
        <v>#REF!</v>
      </c>
      <c r="AX77" s="70" t="e">
        <f t="shared" si="51"/>
        <v>#REF!</v>
      </c>
      <c r="AY77" s="70" t="e">
        <f t="shared" si="51"/>
        <v>#REF!</v>
      </c>
      <c r="AZ77" s="70" t="e">
        <f t="shared" si="51"/>
        <v>#REF!</v>
      </c>
      <c r="BA77" s="70" t="e">
        <f t="shared" si="51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45" t="s">
        <v>55</v>
      </c>
      <c r="G89" s="545" t="s">
        <v>73</v>
      </c>
      <c r="H89" s="545" t="s">
        <v>74</v>
      </c>
      <c r="I89" s="545" t="s">
        <v>58</v>
      </c>
      <c r="J89" s="545" t="s">
        <v>59</v>
      </c>
      <c r="K89" s="545" t="s">
        <v>60</v>
      </c>
      <c r="L89" s="544" t="s">
        <v>75</v>
      </c>
      <c r="M89" s="544" t="s">
        <v>76</v>
      </c>
      <c r="N89" s="544" t="s">
        <v>61</v>
      </c>
      <c r="O89" s="544" t="s">
        <v>62</v>
      </c>
      <c r="P89" s="544" t="s">
        <v>63</v>
      </c>
      <c r="AN89" s="38"/>
      <c r="AZ89" s="36"/>
    </row>
    <row r="90" spans="1:52" ht="25.5">
      <c r="A90" s="44" t="str">
        <f t="shared" ref="A90:C91" si="52">A4</f>
        <v>Substation General Construction</v>
      </c>
      <c r="B90" s="45" t="str">
        <f t="shared" si="52"/>
        <v>Light-Duty Truck, catalyst</v>
      </c>
      <c r="C90" s="46">
        <f t="shared" si="52"/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2" si="53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si="52"/>
        <v>Substation Above Grade Construction</v>
      </c>
      <c r="B91" s="45" t="str">
        <f t="shared" si="52"/>
        <v>Light-Duty Truck, catalyst</v>
      </c>
      <c r="C91" s="46">
        <f t="shared" si="52"/>
        <v>7</v>
      </c>
      <c r="D91" s="46">
        <v>35</v>
      </c>
      <c r="E91" s="46">
        <v>80</v>
      </c>
      <c r="F91" s="50">
        <f>C5*($E5*$F5+($G5))/453.59</f>
        <v>3.4000357011664404</v>
      </c>
      <c r="G91" s="50">
        <f>C5*($E5*$H5+($I5))/453.59</f>
        <v>0.30569460106064605</v>
      </c>
      <c r="H91" s="50">
        <f>C5*(($E5*$J5)+($K5)+($L5)+($E5*$N5)+(($M5+$O5)))/453.59</f>
        <v>0.35349986226767327</v>
      </c>
      <c r="I91" s="50">
        <f>C5*($E5*$P5+($Q5))/453.59</f>
        <v>5.0875791901243113E-3</v>
      </c>
      <c r="J91" s="50">
        <f>C5*(($E5*($R5+$T5+$U5))+($S5))/453.59</f>
        <v>5.9668633186455274E-2</v>
      </c>
      <c r="K91" s="50">
        <f>$C5*(($E5*($V5+$X5+$Y5))+($W5))/453.59</f>
        <v>2.5984037269771994E-2</v>
      </c>
      <c r="L91" s="50">
        <f>$B$23*C5*(E5+6)</f>
        <v>5.9070078102503296E-2</v>
      </c>
      <c r="M91" s="50">
        <f t="shared" si="53"/>
        <v>2.4218732022026349E-2</v>
      </c>
      <c r="N91" s="50">
        <f>C5*($E5*$Z5+($AA5))/453.59</f>
        <v>387.96503708227226</v>
      </c>
      <c r="O91" s="50">
        <f>C5*($E5*$AB5+($AC5))/453.59</f>
        <v>2.2193327723211743E-2</v>
      </c>
      <c r="P91" s="50">
        <f>C5*($E5*$AD5+($AE5))/453.59</f>
        <v>4.0397839396903522E-2</v>
      </c>
      <c r="AN91" s="38"/>
      <c r="AZ91" s="36"/>
    </row>
    <row r="92" spans="1:52" ht="25.5">
      <c r="A92" s="44" t="str">
        <f t="shared" ref="A92:C92" si="54">A6</f>
        <v>Substation Wiring</v>
      </c>
      <c r="B92" s="45" t="str">
        <f t="shared" si="54"/>
        <v>Light-Duty Truck, catalyst</v>
      </c>
      <c r="C92" s="46">
        <f t="shared" si="54"/>
        <v>2</v>
      </c>
      <c r="D92" s="46">
        <v>35</v>
      </c>
      <c r="E92" s="46">
        <v>80</v>
      </c>
      <c r="F92" s="50">
        <f>C6*($E6*$F6+($G6))/453.59</f>
        <v>0.97143877176184013</v>
      </c>
      <c r="G92" s="50">
        <f>C6*($E6*$H6+($I6))/453.59</f>
        <v>8.7341314588756019E-2</v>
      </c>
      <c r="H92" s="50">
        <f>C6*(($E6*$J6)+($K6)+($L6)+($E6*$N6)+(($M6+$O6)))/453.59</f>
        <v>0.10099996064790666</v>
      </c>
      <c r="I92" s="50">
        <f>C6*($E6*$P6+($Q6))/453.59</f>
        <v>1.4535940543212319E-3</v>
      </c>
      <c r="J92" s="50">
        <f>C6*(($E6*($R6+$T6+$U6))+($S6))/453.59</f>
        <v>1.7048180910415794E-2</v>
      </c>
      <c r="K92" s="50">
        <f>$C6*(($E6*($V6+$X6+$Y6))+($W6))/453.59</f>
        <v>7.4240106485062834E-3</v>
      </c>
      <c r="L92" s="50">
        <f>$B$23*C6*(E6+6)</f>
        <v>1.6877165172143799E-2</v>
      </c>
      <c r="M92" s="50">
        <f t="shared" si="53"/>
        <v>6.9196377205789569E-3</v>
      </c>
      <c r="N92" s="50">
        <f>C6*($E6*$Z6+($AA6))/453.59</f>
        <v>110.84715345207779</v>
      </c>
      <c r="O92" s="50">
        <f>C6*($E6*$AB6+($AC6))/453.59</f>
        <v>6.3409507780604986E-3</v>
      </c>
      <c r="P92" s="50">
        <f>C6*($E6*$AD6+($AE6))/453.59</f>
        <v>1.1542239827686721E-2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 t="shared" ref="F93:P93" si="55">SUM(F90:F92)</f>
        <v>5.8286326305710405</v>
      </c>
      <c r="G93" s="81">
        <f t="shared" si="55"/>
        <v>0.52404788753253606</v>
      </c>
      <c r="H93" s="81">
        <f t="shared" si="55"/>
        <v>0.60599976388743992</v>
      </c>
      <c r="I93" s="81">
        <f t="shared" si="55"/>
        <v>8.7215643259273903E-3</v>
      </c>
      <c r="J93" s="81">
        <f t="shared" si="55"/>
        <v>0.10228908546249475</v>
      </c>
      <c r="K93" s="81">
        <f t="shared" si="55"/>
        <v>4.4544063891037704E-2</v>
      </c>
      <c r="L93" s="81">
        <f t="shared" si="55"/>
        <v>0.10126299103286279</v>
      </c>
      <c r="M93" s="81">
        <f t="shared" si="55"/>
        <v>4.1517826323473742E-2</v>
      </c>
      <c r="N93" s="81">
        <f t="shared" si="55"/>
        <v>665.08292071246672</v>
      </c>
      <c r="O93" s="81">
        <f t="shared" si="55"/>
        <v>3.8045704668362983E-2</v>
      </c>
      <c r="P93" s="81">
        <f t="shared" si="55"/>
        <v>6.9253438966120323E-2</v>
      </c>
      <c r="AN93" s="38"/>
      <c r="AZ93" s="36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3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657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399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24" t="s">
        <v>400</v>
      </c>
      <c r="B14" s="29" t="s">
        <v>27</v>
      </c>
      <c r="C14" s="97">
        <v>235</v>
      </c>
      <c r="D14" s="97"/>
      <c r="E14" s="102">
        <v>0.11792220738547983</v>
      </c>
      <c r="F14" s="102">
        <v>0.36512193352152528</v>
      </c>
      <c r="G14" s="102">
        <v>0.86781464282266541</v>
      </c>
      <c r="H14" s="102">
        <v>1.8739217498104396E-3</v>
      </c>
      <c r="I14" s="102">
        <v>2.9041712295589866E-2</v>
      </c>
      <c r="J14" s="100">
        <f t="shared" ref="J14:J17" si="4">0.89*I14</f>
        <v>2.5847123943074982E-2</v>
      </c>
      <c r="K14" s="103">
        <v>166.54541562452522</v>
      </c>
      <c r="L14" s="102">
        <v>1.063993297769634E-2</v>
      </c>
      <c r="M14" s="104">
        <f t="shared" ref="M14:M17" si="5">0.095*G14</f>
        <v>8.2442391068153209E-2</v>
      </c>
      <c r="N14" s="98">
        <v>1</v>
      </c>
      <c r="O14" s="87">
        <v>8</v>
      </c>
      <c r="P14" s="88">
        <v>4</v>
      </c>
      <c r="Q14" s="34">
        <f t="shared" ref="Q14:Y17" si="6">(E14*$N14*$O14)</f>
        <v>0.94337765908383864</v>
      </c>
      <c r="R14" s="26">
        <f t="shared" si="6"/>
        <v>2.9209754681722022</v>
      </c>
      <c r="S14" s="26">
        <f t="shared" si="6"/>
        <v>6.9425171425813232</v>
      </c>
      <c r="T14" s="26">
        <f t="shared" si="6"/>
        <v>1.4991373998483517E-2</v>
      </c>
      <c r="U14" s="26">
        <f t="shared" si="6"/>
        <v>0.23233369836471893</v>
      </c>
      <c r="V14" s="26">
        <f t="shared" si="6"/>
        <v>0.20677699154459986</v>
      </c>
      <c r="W14" s="26">
        <f t="shared" si="6"/>
        <v>1332.3633249962018</v>
      </c>
      <c r="X14" s="26">
        <f t="shared" si="6"/>
        <v>8.5119463821570721E-2</v>
      </c>
      <c r="Y14" s="26">
        <f t="shared" si="6"/>
        <v>0.65953912854522567</v>
      </c>
    </row>
    <row r="15" spans="1:25" s="3" customFormat="1">
      <c r="A15" s="24" t="s">
        <v>297</v>
      </c>
      <c r="B15" s="29" t="s">
        <v>27</v>
      </c>
      <c r="C15" s="97">
        <v>235</v>
      </c>
      <c r="D15" s="97"/>
      <c r="E15" s="102">
        <v>0.11792220738547983</v>
      </c>
      <c r="F15" s="102">
        <v>0.36512193352152528</v>
      </c>
      <c r="G15" s="102">
        <v>0.86781464282266541</v>
      </c>
      <c r="H15" s="102">
        <v>1.8739217498104396E-3</v>
      </c>
      <c r="I15" s="102">
        <v>2.9041712295589866E-2</v>
      </c>
      <c r="J15" s="100">
        <f t="shared" si="4"/>
        <v>2.5847123943074982E-2</v>
      </c>
      <c r="K15" s="103">
        <v>166.54541562452522</v>
      </c>
      <c r="L15" s="102">
        <v>1.063993297769634E-2</v>
      </c>
      <c r="M15" s="104">
        <f t="shared" si="5"/>
        <v>8.2442391068153209E-2</v>
      </c>
      <c r="N15" s="98">
        <v>1</v>
      </c>
      <c r="O15" s="87">
        <v>8</v>
      </c>
      <c r="P15" s="88">
        <v>4</v>
      </c>
      <c r="Q15" s="34">
        <f t="shared" si="6"/>
        <v>0.94337765908383864</v>
      </c>
      <c r="R15" s="26">
        <f t="shared" si="6"/>
        <v>2.9209754681722022</v>
      </c>
      <c r="S15" s="26">
        <f t="shared" si="6"/>
        <v>6.9425171425813232</v>
      </c>
      <c r="T15" s="26">
        <f t="shared" si="6"/>
        <v>1.4991373998483517E-2</v>
      </c>
      <c r="U15" s="26">
        <f t="shared" si="6"/>
        <v>0.23233369836471893</v>
      </c>
      <c r="V15" s="26">
        <f t="shared" si="6"/>
        <v>0.20677699154459986</v>
      </c>
      <c r="W15" s="26">
        <f t="shared" si="6"/>
        <v>1332.3633249962018</v>
      </c>
      <c r="X15" s="26">
        <f t="shared" si="6"/>
        <v>8.5119463821570721E-2</v>
      </c>
      <c r="Y15" s="26">
        <f t="shared" si="6"/>
        <v>0.65953912854522567</v>
      </c>
    </row>
    <row r="16" spans="1:25" s="3" customFormat="1">
      <c r="A16" s="24" t="s">
        <v>129</v>
      </c>
      <c r="B16" s="29" t="s">
        <v>27</v>
      </c>
      <c r="C16" s="97">
        <v>399</v>
      </c>
      <c r="D16" s="97">
        <v>0.28999999999999998</v>
      </c>
      <c r="E16" s="418">
        <v>0.13250000000000001</v>
      </c>
      <c r="F16" s="397">
        <v>0.66324074074074058</v>
      </c>
      <c r="G16" s="397">
        <v>1.1632222222222219</v>
      </c>
      <c r="H16" s="418">
        <v>1.7677529729271738E-3</v>
      </c>
      <c r="I16" s="397">
        <v>3.8263888888888889E-2</v>
      </c>
      <c r="J16" s="100">
        <f t="shared" si="4"/>
        <v>3.4054861111111112E-2</v>
      </c>
      <c r="K16" s="103">
        <v>180.10131655574588</v>
      </c>
      <c r="L16" s="102">
        <v>1.3243614024502522E-2</v>
      </c>
      <c r="M16" s="104">
        <f t="shared" si="5"/>
        <v>0.11050611111111108</v>
      </c>
      <c r="N16" s="87">
        <v>1</v>
      </c>
      <c r="O16" s="87">
        <v>8</v>
      </c>
      <c r="P16" s="88">
        <v>4</v>
      </c>
      <c r="Q16" s="34">
        <f t="shared" si="6"/>
        <v>1.06</v>
      </c>
      <c r="R16" s="26">
        <f t="shared" si="6"/>
        <v>5.3059259259259246</v>
      </c>
      <c r="S16" s="26">
        <f t="shared" si="6"/>
        <v>9.3057777777777755</v>
      </c>
      <c r="T16" s="26">
        <f t="shared" si="6"/>
        <v>1.414202378341739E-2</v>
      </c>
      <c r="U16" s="26">
        <f t="shared" si="6"/>
        <v>0.30611111111111111</v>
      </c>
      <c r="V16" s="26">
        <f t="shared" si="6"/>
        <v>0.2724388888888889</v>
      </c>
      <c r="W16" s="26">
        <f t="shared" si="6"/>
        <v>1440.8105324459671</v>
      </c>
      <c r="X16" s="26">
        <f t="shared" si="6"/>
        <v>0.10594891219602018</v>
      </c>
      <c r="Y16" s="26">
        <f t="shared" si="6"/>
        <v>0.88404888888888866</v>
      </c>
    </row>
    <row r="17" spans="1:25" s="3" customFormat="1">
      <c r="A17" s="24" t="s">
        <v>401</v>
      </c>
      <c r="B17" s="97" t="s">
        <v>27</v>
      </c>
      <c r="C17" s="97">
        <v>100</v>
      </c>
      <c r="D17" s="97"/>
      <c r="E17" s="102">
        <v>0.13789718776906842</v>
      </c>
      <c r="F17" s="102">
        <v>0.50801639311714952</v>
      </c>
      <c r="G17" s="102">
        <v>1.3456899895928287</v>
      </c>
      <c r="H17" s="102">
        <v>2.4954335345972853E-3</v>
      </c>
      <c r="I17" s="102">
        <v>4.4066638030544614E-2</v>
      </c>
      <c r="J17" s="100">
        <f t="shared" si="4"/>
        <v>3.9219307847184706E-2</v>
      </c>
      <c r="K17" s="103">
        <v>254.23850326322778</v>
      </c>
      <c r="L17" s="102">
        <v>1.2442241704011571E-2</v>
      </c>
      <c r="M17" s="104">
        <f t="shared" si="5"/>
        <v>0.12784054901131872</v>
      </c>
      <c r="N17" s="98">
        <v>1</v>
      </c>
      <c r="O17" s="87">
        <v>8</v>
      </c>
      <c r="P17" s="88">
        <v>4</v>
      </c>
      <c r="Q17" s="34">
        <f t="shared" si="6"/>
        <v>1.1031775021525474</v>
      </c>
      <c r="R17" s="26">
        <f t="shared" si="6"/>
        <v>4.0641311449371962</v>
      </c>
      <c r="S17" s="26">
        <f t="shared" si="6"/>
        <v>10.76551991674263</v>
      </c>
      <c r="T17" s="26">
        <f t="shared" si="6"/>
        <v>1.9963468276778282E-2</v>
      </c>
      <c r="U17" s="26">
        <f t="shared" si="6"/>
        <v>0.35253310424435691</v>
      </c>
      <c r="V17" s="26">
        <f t="shared" si="6"/>
        <v>0.31375446277747765</v>
      </c>
      <c r="W17" s="26">
        <f t="shared" si="6"/>
        <v>2033.9080261058223</v>
      </c>
      <c r="X17" s="26">
        <f t="shared" si="6"/>
        <v>9.9537933632092568E-2</v>
      </c>
      <c r="Y17" s="26">
        <f t="shared" si="6"/>
        <v>1.0227243920905498</v>
      </c>
    </row>
    <row r="18" spans="1:25" s="3" customFormat="1">
      <c r="A18" s="17" t="s">
        <v>28</v>
      </c>
      <c r="B18" s="97"/>
      <c r="C18" s="22"/>
      <c r="D18" s="22"/>
      <c r="E18" s="23"/>
      <c r="F18" s="23"/>
      <c r="G18" s="23"/>
      <c r="H18" s="23"/>
      <c r="I18" s="23"/>
      <c r="J18" s="24"/>
      <c r="K18" s="25"/>
      <c r="L18" s="23"/>
      <c r="M18" s="23"/>
      <c r="N18" s="88"/>
      <c r="O18" s="88"/>
      <c r="P18" s="88"/>
      <c r="Q18" s="27">
        <f>SUM(Q14:Q17)</f>
        <v>4.0499328203202252</v>
      </c>
      <c r="R18" s="27">
        <f t="shared" ref="R18:Y18" si="7">SUM(R14:R17)</f>
        <v>15.212008007207526</v>
      </c>
      <c r="S18" s="27">
        <f t="shared" si="7"/>
        <v>33.956331979683057</v>
      </c>
      <c r="T18" s="27">
        <f t="shared" si="7"/>
        <v>6.408824005716271E-2</v>
      </c>
      <c r="U18" s="27">
        <f t="shared" si="7"/>
        <v>1.1233116120849058</v>
      </c>
      <c r="V18" s="27">
        <f t="shared" si="7"/>
        <v>0.99974733475556621</v>
      </c>
      <c r="W18" s="27">
        <f t="shared" si="7"/>
        <v>6139.4452085441935</v>
      </c>
      <c r="X18" s="27">
        <f t="shared" si="7"/>
        <v>0.37572577347125419</v>
      </c>
      <c r="Y18" s="27">
        <f t="shared" si="7"/>
        <v>3.2258515380698896</v>
      </c>
    </row>
    <row r="19" spans="1:25" s="3" customFormat="1">
      <c r="A19" s="17"/>
      <c r="B19" s="29"/>
      <c r="C19" s="22"/>
      <c r="D19" s="22"/>
      <c r="E19" s="23"/>
      <c r="F19" s="23"/>
      <c r="G19" s="23"/>
      <c r="H19" s="23"/>
      <c r="I19" s="23"/>
      <c r="J19" s="24"/>
      <c r="K19" s="25"/>
      <c r="L19" s="23"/>
      <c r="M19" s="23"/>
      <c r="N19" s="99"/>
      <c r="O19" s="99"/>
      <c r="P19" s="99"/>
      <c r="Q19" s="27"/>
      <c r="R19" s="27"/>
      <c r="S19" s="27"/>
      <c r="T19" s="27"/>
      <c r="U19" s="27"/>
      <c r="V19" s="27"/>
      <c r="W19" s="27"/>
      <c r="X19" s="27"/>
      <c r="Y19" s="27"/>
    </row>
    <row r="20" spans="1:25" s="3" customFormat="1">
      <c r="A20" s="11" t="s">
        <v>317</v>
      </c>
      <c r="B20" s="22"/>
      <c r="C20" s="18"/>
      <c r="D20" s="22"/>
      <c r="E20" s="19"/>
      <c r="F20" s="19"/>
      <c r="G20" s="19"/>
      <c r="H20" s="19"/>
      <c r="I20" s="19"/>
      <c r="J20" s="19"/>
      <c r="K20" s="19"/>
      <c r="L20" s="19"/>
      <c r="M20" s="19"/>
      <c r="N20" s="11"/>
      <c r="O20" s="11"/>
      <c r="P20" s="11"/>
      <c r="Q20" s="27"/>
      <c r="R20" s="27"/>
      <c r="S20" s="27"/>
      <c r="T20" s="27"/>
      <c r="U20" s="27"/>
      <c r="V20" s="27"/>
      <c r="W20" s="28"/>
      <c r="X20" s="27"/>
      <c r="Y20" s="27"/>
    </row>
    <row r="21" spans="1:25">
      <c r="A21" s="24" t="s">
        <v>311</v>
      </c>
      <c r="B21" s="29" t="s">
        <v>27</v>
      </c>
      <c r="C21" s="22">
        <v>175</v>
      </c>
      <c r="D21" s="22"/>
      <c r="E21" s="102">
        <v>0.11792220738547983</v>
      </c>
      <c r="F21" s="102">
        <v>0.36512193352152528</v>
      </c>
      <c r="G21" s="102">
        <v>0.86781464282266541</v>
      </c>
      <c r="H21" s="102">
        <v>1.8739217498104396E-3</v>
      </c>
      <c r="I21" s="102">
        <v>2.9041712295589866E-2</v>
      </c>
      <c r="J21" s="100">
        <f t="shared" ref="J21" si="8">0.89*I21</f>
        <v>2.5847123943074982E-2</v>
      </c>
      <c r="K21" s="103">
        <v>166.54541562452522</v>
      </c>
      <c r="L21" s="102">
        <v>1.063993297769634E-2</v>
      </c>
      <c r="M21" s="104">
        <f t="shared" ref="M21" si="9">0.095*G21</f>
        <v>8.2442391068153209E-2</v>
      </c>
      <c r="N21" s="98">
        <v>1</v>
      </c>
      <c r="O21" s="87">
        <v>2</v>
      </c>
      <c r="P21" s="363">
        <v>280</v>
      </c>
      <c r="Q21" s="34">
        <f t="shared" ref="Q21:Y21" si="10">(E21*$N21*$O21)</f>
        <v>0.23584441477095966</v>
      </c>
      <c r="R21" s="26">
        <f t="shared" si="10"/>
        <v>0.73024386704305055</v>
      </c>
      <c r="S21" s="26">
        <f t="shared" si="10"/>
        <v>1.7356292856453308</v>
      </c>
      <c r="T21" s="26">
        <f t="shared" si="10"/>
        <v>3.7478434996208792E-3</v>
      </c>
      <c r="U21" s="26">
        <f t="shared" si="10"/>
        <v>5.8083424591179732E-2</v>
      </c>
      <c r="V21" s="26">
        <f t="shared" si="10"/>
        <v>5.1694247886149965E-2</v>
      </c>
      <c r="W21" s="26">
        <f t="shared" si="10"/>
        <v>333.09083124905044</v>
      </c>
      <c r="X21" s="26">
        <f t="shared" si="10"/>
        <v>2.127986595539268E-2</v>
      </c>
      <c r="Y21" s="26">
        <f t="shared" si="10"/>
        <v>0.16488478213630642</v>
      </c>
    </row>
    <row r="22" spans="1:25">
      <c r="A22" s="17" t="s">
        <v>28</v>
      </c>
      <c r="B22" s="97"/>
      <c r="C22" s="22"/>
      <c r="D22" s="22"/>
      <c r="E22" s="23"/>
      <c r="F22" s="23"/>
      <c r="G22" s="23"/>
      <c r="H22" s="23"/>
      <c r="I22" s="23"/>
      <c r="J22" s="24"/>
      <c r="K22" s="25"/>
      <c r="L22" s="23"/>
      <c r="M22" s="23"/>
      <c r="N22" s="88"/>
      <c r="O22" s="88"/>
      <c r="P22" s="88"/>
      <c r="Q22" s="27">
        <f t="shared" ref="Q22:Y22" si="11">SUM(Q21:Q21)</f>
        <v>0.23584441477095966</v>
      </c>
      <c r="R22" s="27">
        <f t="shared" si="11"/>
        <v>0.73024386704305055</v>
      </c>
      <c r="S22" s="27">
        <f t="shared" si="11"/>
        <v>1.7356292856453308</v>
      </c>
      <c r="T22" s="27">
        <f t="shared" si="11"/>
        <v>3.7478434996208792E-3</v>
      </c>
      <c r="U22" s="27">
        <f t="shared" si="11"/>
        <v>5.8083424591179732E-2</v>
      </c>
      <c r="V22" s="27">
        <f t="shared" si="11"/>
        <v>5.1694247886149965E-2</v>
      </c>
      <c r="W22" s="27">
        <f t="shared" si="11"/>
        <v>333.09083124905044</v>
      </c>
      <c r="X22" s="27">
        <f t="shared" si="11"/>
        <v>2.127986595539268E-2</v>
      </c>
      <c r="Y22" s="27">
        <f t="shared" si="11"/>
        <v>0.16488478213630642</v>
      </c>
    </row>
    <row r="23" spans="1:25">
      <c r="A23" s="17" t="s">
        <v>499</v>
      </c>
      <c r="B23" s="549"/>
      <c r="C23" s="18"/>
      <c r="D23" s="22"/>
      <c r="E23" s="19"/>
      <c r="F23" s="19"/>
      <c r="G23" s="19"/>
      <c r="H23" s="19"/>
      <c r="I23" s="19"/>
      <c r="J23" s="19"/>
      <c r="K23" s="19"/>
      <c r="L23" s="19"/>
      <c r="M23" s="19"/>
      <c r="N23" s="30"/>
      <c r="O23" s="30"/>
      <c r="P23" s="364"/>
      <c r="Q23" s="20">
        <f>Q11+Q18+Q22</f>
        <v>5.0003543581827827</v>
      </c>
      <c r="R23" s="20">
        <f t="shared" ref="R23:Y23" si="12">R11+R18+R22</f>
        <v>18.896411085208971</v>
      </c>
      <c r="S23" s="20">
        <f t="shared" si="12"/>
        <v>40.113017711467542</v>
      </c>
      <c r="T23" s="20">
        <f t="shared" si="12"/>
        <v>7.6159149792861466E-2</v>
      </c>
      <c r="U23" s="20">
        <f t="shared" si="12"/>
        <v>1.4272033289921329</v>
      </c>
      <c r="V23" s="20">
        <f t="shared" si="12"/>
        <v>1.2702109628029985</v>
      </c>
      <c r="W23" s="20">
        <f t="shared" si="12"/>
        <v>7168.9895322782722</v>
      </c>
      <c r="X23" s="20">
        <f t="shared" si="12"/>
        <v>0.46954544561721656</v>
      </c>
      <c r="Y23" s="20">
        <f t="shared" si="12"/>
        <v>3.8107366825894156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4"/>
  <sheetViews>
    <sheetView zoomScale="75" workbookViewId="0">
      <selection activeCell="B29" sqref="B29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2.855468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532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70" t="s">
        <v>55</v>
      </c>
      <c r="H6" s="570" t="s">
        <v>56</v>
      </c>
      <c r="I6" s="566" t="s">
        <v>57</v>
      </c>
      <c r="J6" s="570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70" t="s">
        <v>61</v>
      </c>
      <c r="R6" s="566" t="s">
        <v>62</v>
      </c>
      <c r="S6" s="566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69" t="s">
        <v>69</v>
      </c>
      <c r="H7" s="41" t="s">
        <v>69</v>
      </c>
      <c r="I7" s="41" t="s">
        <v>69</v>
      </c>
      <c r="J7" s="41" t="s">
        <v>69</v>
      </c>
      <c r="K7" s="566" t="s">
        <v>69</v>
      </c>
      <c r="L7" s="566" t="s">
        <v>71</v>
      </c>
      <c r="M7" s="566" t="s">
        <v>72</v>
      </c>
      <c r="N7" s="566" t="s">
        <v>69</v>
      </c>
      <c r="O7" s="566" t="s">
        <v>71</v>
      </c>
      <c r="P7" s="566" t="s">
        <v>72</v>
      </c>
      <c r="Q7" s="41" t="s">
        <v>69</v>
      </c>
      <c r="R7" s="566" t="s">
        <v>69</v>
      </c>
      <c r="S7" s="566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69"/>
      <c r="H8" s="41"/>
      <c r="I8" s="41"/>
      <c r="J8" s="41"/>
      <c r="K8" s="566"/>
      <c r="L8" s="566"/>
      <c r="M8" s="566"/>
      <c r="N8" s="566"/>
      <c r="O8" s="566"/>
      <c r="P8" s="566"/>
      <c r="Q8" s="41"/>
      <c r="R8" s="566"/>
      <c r="S8" s="566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C9*(F9)*$B$382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68">
        <v>3.59998119015979E-2</v>
      </c>
      <c r="M10" s="568">
        <v>6.1739677411240299E-2</v>
      </c>
      <c r="N10" s="106">
        <v>6.5945508986370194E-2</v>
      </c>
      <c r="O10" s="568">
        <v>2.9999843251331498E-3</v>
      </c>
      <c r="P10" s="568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C10*(F10)*$B$382</f>
        <v>7.8498442661133934E-3</v>
      </c>
      <c r="AA10" s="50">
        <f>Z10*0.21</f>
        <v>1.6484672958838125E-3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69"/>
      <c r="H11" s="41"/>
      <c r="I11" s="41"/>
      <c r="J11" s="41"/>
      <c r="K11" s="566"/>
      <c r="L11" s="566"/>
      <c r="M11" s="566"/>
      <c r="N11" s="566"/>
      <c r="O11" s="566"/>
      <c r="P11" s="566"/>
      <c r="Q11" s="41"/>
      <c r="R11" s="566"/>
      <c r="S11" s="566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2.5511993864868531E-2</v>
      </c>
      <c r="AA11" s="81">
        <f t="shared" si="0"/>
        <v>5.3575187116223916E-3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69"/>
      <c r="H12" s="41"/>
      <c r="I12" s="41"/>
      <c r="J12" s="41"/>
      <c r="K12" s="566"/>
      <c r="L12" s="566"/>
      <c r="M12" s="566"/>
      <c r="N12" s="566"/>
      <c r="O12" s="566"/>
      <c r="P12" s="566"/>
      <c r="Q12" s="41"/>
      <c r="R12" s="566"/>
      <c r="S12" s="566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330</v>
      </c>
      <c r="B13" s="74"/>
      <c r="C13" s="112"/>
      <c r="D13" s="112"/>
      <c r="E13" s="74"/>
      <c r="F13" s="74"/>
      <c r="G13" s="569"/>
      <c r="H13" s="41"/>
      <c r="I13" s="41"/>
      <c r="J13" s="41"/>
      <c r="K13" s="566"/>
      <c r="L13" s="566"/>
      <c r="M13" s="566"/>
      <c r="N13" s="566"/>
      <c r="O13" s="566"/>
      <c r="P13" s="566"/>
      <c r="Q13" s="41"/>
      <c r="R13" s="566"/>
      <c r="S13" s="566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12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0.39956510213458007</v>
      </c>
      <c r="U14" s="50">
        <f>C14*($F14*$H14)/453.59</f>
        <v>0.73763751131887467</v>
      </c>
      <c r="V14" s="50">
        <f>C14*(($F14*$I14))/453.59</f>
        <v>9.01226910517854E-2</v>
      </c>
      <c r="W14" s="50">
        <f>C14*($F14*$J14)/453.59</f>
        <v>5.5594453624299087E-3</v>
      </c>
      <c r="X14" s="50">
        <f>C14*(($F14*($K14+$L14+$M14)))/453.59</f>
        <v>0.14547785948060449</v>
      </c>
      <c r="Y14" s="50">
        <f>C14*(($F14*($N14+$O14+$P14)))/453.59</f>
        <v>9.6664395931909605E-2</v>
      </c>
      <c r="Z14" s="50">
        <f>C14*(F14)*$B$382</f>
        <v>7.0648598395020551E-2</v>
      </c>
      <c r="AA14" s="50">
        <f>Z14*0.21</f>
        <v>1.4836205662954315E-2</v>
      </c>
      <c r="AB14" s="50">
        <f>C14*(($F14*($Q14)))/453.59</f>
        <v>387.25642236102652</v>
      </c>
      <c r="AC14" s="50">
        <f>C14*(($F14*($R14)))/453.59</f>
        <v>2.2128993742976135E-2</v>
      </c>
      <c r="AD14" s="50">
        <f>C14*(($F14*($S14)))/453.59</f>
        <v>9.9199605152000547E-3</v>
      </c>
    </row>
    <row r="15" spans="1:30">
      <c r="A15" s="75" t="s">
        <v>28</v>
      </c>
      <c r="B15" s="74"/>
      <c r="C15" s="112"/>
      <c r="D15" s="112"/>
      <c r="E15" s="74"/>
      <c r="F15" s="74"/>
      <c r="G15" s="569"/>
      <c r="H15" s="41"/>
      <c r="I15" s="41"/>
      <c r="J15" s="41"/>
      <c r="K15" s="566"/>
      <c r="L15" s="566"/>
      <c r="M15" s="566"/>
      <c r="N15" s="566"/>
      <c r="O15" s="566"/>
      <c r="P15" s="566"/>
      <c r="Q15" s="41"/>
      <c r="R15" s="566"/>
      <c r="S15" s="566"/>
      <c r="T15" s="81">
        <f t="shared" ref="T15:AD15" si="1">SUM(T14:T14)</f>
        <v>0.39956510213458007</v>
      </c>
      <c r="U15" s="81">
        <f t="shared" si="1"/>
        <v>0.73763751131887467</v>
      </c>
      <c r="V15" s="81">
        <f t="shared" si="1"/>
        <v>9.01226910517854E-2</v>
      </c>
      <c r="W15" s="81">
        <f t="shared" si="1"/>
        <v>5.5594453624299087E-3</v>
      </c>
      <c r="X15" s="81">
        <f t="shared" si="1"/>
        <v>0.14547785948060449</v>
      </c>
      <c r="Y15" s="81">
        <f t="shared" si="1"/>
        <v>9.6664395931909605E-2</v>
      </c>
      <c r="Z15" s="81">
        <f t="shared" si="1"/>
        <v>7.0648598395020551E-2</v>
      </c>
      <c r="AA15" s="81">
        <f t="shared" si="1"/>
        <v>1.4836205662954315E-2</v>
      </c>
      <c r="AB15" s="81">
        <f t="shared" si="1"/>
        <v>387.25642236102652</v>
      </c>
      <c r="AC15" s="81">
        <f t="shared" si="1"/>
        <v>2.2128993742976135E-2</v>
      </c>
      <c r="AD15" s="81">
        <f t="shared" si="1"/>
        <v>9.9199605152000547E-3</v>
      </c>
    </row>
    <row r="16" spans="1:30">
      <c r="A16" s="565"/>
      <c r="B16" s="74"/>
      <c r="C16" s="112"/>
      <c r="D16" s="112"/>
      <c r="E16" s="74"/>
      <c r="F16" s="74"/>
      <c r="G16" s="569"/>
      <c r="H16" s="41"/>
      <c r="I16" s="41"/>
      <c r="J16" s="41"/>
      <c r="K16" s="566"/>
      <c r="L16" s="566"/>
      <c r="M16" s="566"/>
      <c r="N16" s="566"/>
      <c r="O16" s="566"/>
      <c r="P16" s="566"/>
      <c r="Q16" s="41"/>
      <c r="R16" s="566"/>
      <c r="S16" s="566"/>
      <c r="T16" s="61"/>
      <c r="U16" s="61"/>
      <c r="V16" s="61"/>
      <c r="W16" s="61"/>
      <c r="X16" s="61"/>
      <c r="Y16" s="61"/>
      <c r="Z16" s="62"/>
      <c r="AA16" s="62"/>
      <c r="AB16" s="62"/>
      <c r="AC16" s="62"/>
      <c r="AD16" s="62"/>
    </row>
    <row r="17" spans="1:30">
      <c r="A17" s="114" t="s">
        <v>337</v>
      </c>
      <c r="B17" s="74"/>
      <c r="C17" s="112"/>
      <c r="D17" s="112"/>
      <c r="E17" s="74"/>
      <c r="F17" s="74"/>
      <c r="G17" s="569"/>
      <c r="H17" s="41"/>
      <c r="I17" s="41"/>
      <c r="J17" s="41"/>
      <c r="K17" s="566"/>
      <c r="L17" s="566"/>
      <c r="M17" s="566"/>
      <c r="N17" s="566"/>
      <c r="O17" s="566"/>
      <c r="P17" s="566"/>
      <c r="Q17" s="41"/>
      <c r="R17" s="566"/>
      <c r="S17" s="566"/>
      <c r="T17" s="61"/>
      <c r="U17" s="61"/>
      <c r="V17" s="61"/>
      <c r="W17" s="61"/>
      <c r="X17" s="61"/>
      <c r="Y17" s="61"/>
      <c r="Z17" s="62"/>
      <c r="AA17" s="62"/>
      <c r="AB17" s="62"/>
      <c r="AC17" s="62"/>
      <c r="AD17" s="62"/>
    </row>
    <row r="18" spans="1:30">
      <c r="A18" s="78" t="s">
        <v>320</v>
      </c>
      <c r="B18" s="76" t="s">
        <v>95</v>
      </c>
      <c r="C18" s="79">
        <v>8</v>
      </c>
      <c r="D18" s="77"/>
      <c r="E18" s="77">
        <v>35</v>
      </c>
      <c r="F18" s="77">
        <v>60</v>
      </c>
      <c r="G18" s="106">
        <v>0.25172046482947802</v>
      </c>
      <c r="H18" s="106">
        <v>0.464701387165456</v>
      </c>
      <c r="I18" s="106">
        <v>5.6776043658582402E-2</v>
      </c>
      <c r="J18" s="106">
        <v>3.5023733638119199E-3</v>
      </c>
      <c r="K18" s="106">
        <v>4.6899256897933901E-2</v>
      </c>
      <c r="L18" s="47">
        <v>7.99995847163921E-3</v>
      </c>
      <c r="M18" s="47">
        <v>3.6749815577381599E-2</v>
      </c>
      <c r="N18" s="106">
        <v>4.3147317248333997E-2</v>
      </c>
      <c r="O18" s="47">
        <v>1.9999896145790402E-3</v>
      </c>
      <c r="P18" s="47">
        <v>1.57499200131354E-2</v>
      </c>
      <c r="Q18" s="106">
        <v>243.966167526025</v>
      </c>
      <c r="R18" s="47">
        <f>0.000057143*Q18</f>
        <v>1.3940958710939646E-2</v>
      </c>
      <c r="S18" s="80">
        <f>0.000025616*Q18</f>
        <v>6.2494373473466567E-3</v>
      </c>
      <c r="T18" s="50">
        <f>C18*($F18*$G18)/453.59</f>
        <v>0.26637673475638673</v>
      </c>
      <c r="U18" s="50">
        <f>C18*($F18*$H18)/453.59</f>
        <v>0.49175834087924974</v>
      </c>
      <c r="V18" s="50">
        <f>C18*(($F18*$I18))/453.59</f>
        <v>6.0081794034523593E-2</v>
      </c>
      <c r="W18" s="50">
        <f>C18*($F18*$J18)/453.59</f>
        <v>3.7062969082866061E-3</v>
      </c>
      <c r="X18" s="50">
        <f>C18*(($F18*($K18+$L18+$M18)))/453.59</f>
        <v>9.698523965373633E-2</v>
      </c>
      <c r="Y18" s="50">
        <f>C18*(($F18*($N18+$O18+$P18)))/453.59</f>
        <v>6.444293062127307E-2</v>
      </c>
      <c r="Z18" s="50">
        <f>C18*(F18)*$B$382</f>
        <v>4.7099065596680367E-2</v>
      </c>
      <c r="AA18" s="50">
        <f>Z18*0.21</f>
        <v>9.8908037753028775E-3</v>
      </c>
      <c r="AB18" s="50">
        <f>C18*(($F18*($Q18)))/453.59</f>
        <v>258.17094824068437</v>
      </c>
      <c r="AC18" s="50">
        <f>C18*(($F18*($R18)))/453.59</f>
        <v>1.4752662495317424E-2</v>
      </c>
      <c r="AD18" s="50">
        <f>C18*(($F18*($S18)))/453.59</f>
        <v>6.6133070101333695E-3</v>
      </c>
    </row>
    <row r="19" spans="1:30">
      <c r="A19" s="75" t="s">
        <v>28</v>
      </c>
      <c r="B19" s="74"/>
      <c r="C19" s="112"/>
      <c r="D19" s="112"/>
      <c r="E19" s="74"/>
      <c r="F19" s="74"/>
      <c r="G19" s="569"/>
      <c r="H19" s="41"/>
      <c r="I19" s="41"/>
      <c r="J19" s="41"/>
      <c r="K19" s="566"/>
      <c r="L19" s="566"/>
      <c r="M19" s="566"/>
      <c r="N19" s="566"/>
      <c r="O19" s="566"/>
      <c r="P19" s="566"/>
      <c r="Q19" s="41"/>
      <c r="R19" s="566"/>
      <c r="S19" s="566"/>
      <c r="T19" s="81">
        <f t="shared" ref="T19:AD19" si="2">SUM(T18:T18)</f>
        <v>0.26637673475638673</v>
      </c>
      <c r="U19" s="81">
        <f t="shared" si="2"/>
        <v>0.49175834087924974</v>
      </c>
      <c r="V19" s="81">
        <f t="shared" si="2"/>
        <v>6.0081794034523593E-2</v>
      </c>
      <c r="W19" s="81">
        <f t="shared" si="2"/>
        <v>3.7062969082866061E-3</v>
      </c>
      <c r="X19" s="81">
        <f t="shared" si="2"/>
        <v>9.698523965373633E-2</v>
      </c>
      <c r="Y19" s="81">
        <f t="shared" si="2"/>
        <v>6.444293062127307E-2</v>
      </c>
      <c r="Z19" s="81">
        <f t="shared" si="2"/>
        <v>4.7099065596680367E-2</v>
      </c>
      <c r="AA19" s="81">
        <f t="shared" si="2"/>
        <v>9.8908037753028775E-3</v>
      </c>
      <c r="AB19" s="81">
        <f t="shared" si="2"/>
        <v>258.17094824068437</v>
      </c>
      <c r="AC19" s="81">
        <f t="shared" si="2"/>
        <v>1.4752662495317424E-2</v>
      </c>
      <c r="AD19" s="81">
        <f t="shared" si="2"/>
        <v>6.6133070101333695E-3</v>
      </c>
    </row>
    <row r="20" spans="1:30">
      <c r="A20" s="75" t="s">
        <v>388</v>
      </c>
      <c r="B20" s="74"/>
      <c r="C20" s="112"/>
      <c r="D20" s="112"/>
      <c r="E20" s="74"/>
      <c r="F20" s="74"/>
      <c r="G20" s="569"/>
      <c r="H20" s="41"/>
      <c r="I20" s="41"/>
      <c r="J20" s="41"/>
      <c r="K20" s="566"/>
      <c r="L20" s="566"/>
      <c r="M20" s="566"/>
      <c r="N20" s="566"/>
      <c r="O20" s="566"/>
      <c r="P20" s="566"/>
      <c r="Q20" s="41"/>
      <c r="R20" s="566"/>
      <c r="S20" s="566"/>
      <c r="T20" s="81">
        <f t="shared" ref="T20:AD20" si="3">T11+T15+T19</f>
        <v>0.95677907971386422</v>
      </c>
      <c r="U20" s="81">
        <f t="shared" si="3"/>
        <v>2.290592088813709</v>
      </c>
      <c r="V20" s="81">
        <f t="shared" si="3"/>
        <v>0.21902896957352952</v>
      </c>
      <c r="W20" s="81">
        <f t="shared" si="3"/>
        <v>1.2544854785291673E-2</v>
      </c>
      <c r="X20" s="81">
        <f t="shared" si="3"/>
        <v>0.30871318577921886</v>
      </c>
      <c r="Y20" s="81">
        <f t="shared" si="3"/>
        <v>0.20728541018229121</v>
      </c>
      <c r="Z20" s="81">
        <f t="shared" si="3"/>
        <v>0.14325965785656947</v>
      </c>
      <c r="AA20" s="81">
        <f t="shared" si="3"/>
        <v>3.0084528149879584E-2</v>
      </c>
      <c r="AB20" s="81">
        <f t="shared" si="3"/>
        <v>1043.9634859155328</v>
      </c>
      <c r="AC20" s="81">
        <f t="shared" si="3"/>
        <v>4.5100956202078671E-2</v>
      </c>
      <c r="AD20" s="81">
        <f t="shared" si="3"/>
        <v>2.6742168655212287E-2</v>
      </c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372" spans="1:2" ht="25.5">
      <c r="A372" s="82" t="s">
        <v>109</v>
      </c>
    </row>
    <row r="374" spans="1:2">
      <c r="A374" s="36" t="s">
        <v>81</v>
      </c>
    </row>
    <row r="375" spans="1:2">
      <c r="A375" s="36" t="s">
        <v>82</v>
      </c>
    </row>
    <row r="376" spans="1:2">
      <c r="A376" s="36" t="s">
        <v>83</v>
      </c>
    </row>
    <row r="377" spans="1:2">
      <c r="A377" s="37" t="s">
        <v>96</v>
      </c>
    </row>
    <row r="378" spans="1:2">
      <c r="A378" s="36" t="s">
        <v>85</v>
      </c>
    </row>
    <row r="379" spans="1:2">
      <c r="A379" s="36" t="s">
        <v>86</v>
      </c>
    </row>
    <row r="380" spans="1:2">
      <c r="A380" s="36" t="s">
        <v>87</v>
      </c>
    </row>
    <row r="381" spans="1:2">
      <c r="A381" s="36" t="s">
        <v>0</v>
      </c>
    </row>
    <row r="382" spans="1:2">
      <c r="A382" s="37" t="s">
        <v>97</v>
      </c>
      <c r="B382" s="36">
        <f>(0.016*(0.03/2)^0.65*(2/3)^1.5)-0.00047</f>
        <v>9.8123053326417428E-5</v>
      </c>
    </row>
    <row r="383" spans="1:2">
      <c r="A383" s="37" t="s">
        <v>98</v>
      </c>
      <c r="B383" s="36">
        <f>(0.016*(0.03/2)^0.65*(13/3)^1.5)-0.00047</f>
        <v>8.9448292388582783E-3</v>
      </c>
    </row>
    <row r="384" spans="1:2">
      <c r="A384" s="37" t="s">
        <v>99</v>
      </c>
      <c r="B384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5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42578125" style="36" bestFit="1" customWidth="1"/>
    <col min="4" max="4" width="10.85546875" style="36" customWidth="1"/>
    <col min="5" max="5" width="10.42578125" style="36" bestFit="1" customWidth="1"/>
    <col min="6" max="6" width="9.5703125" style="36" bestFit="1" customWidth="1"/>
    <col min="7" max="7" width="12" style="36" bestFit="1" customWidth="1"/>
    <col min="8" max="8" width="9.5703125" style="36" bestFit="1" customWidth="1"/>
    <col min="9" max="9" width="11.85546875" style="36" bestFit="1" customWidth="1"/>
    <col min="10" max="11" width="9.5703125" style="36" bestFit="1" customWidth="1"/>
    <col min="12" max="13" width="11.85546875" style="36" bestFit="1" customWidth="1"/>
    <col min="14" max="14" width="9.5703125" style="36" bestFit="1" customWidth="1"/>
    <col min="15" max="16" width="10.85546875" style="36" bestFit="1" customWidth="1"/>
    <col min="17" max="17" width="9.5703125" style="36" bestFit="1" customWidth="1"/>
    <col min="18" max="18" width="12.85546875" style="36" bestFit="1" customWidth="1"/>
    <col min="19" max="30" width="9.5703125" style="36" bestFit="1" customWidth="1"/>
    <col min="31" max="16384" width="9.140625" style="36"/>
  </cols>
  <sheetData>
    <row r="1" spans="1:30">
      <c r="A1" s="3" t="s">
        <v>658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C9*(F9)*$B$238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C10*(F10)*$B$238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336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C14*(F14)*$B$180</f>
        <v>0</v>
      </c>
      <c r="AA14" s="50">
        <f>Z14*0.21</f>
        <v>0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0.19978255106729004</v>
      </c>
      <c r="U15" s="81">
        <f t="shared" si="1"/>
        <v>0.36881875565943734</v>
      </c>
      <c r="V15" s="81">
        <f t="shared" si="1"/>
        <v>4.50613455258927E-2</v>
      </c>
      <c r="W15" s="81">
        <f t="shared" si="1"/>
        <v>2.7797226812149543E-3</v>
      </c>
      <c r="X15" s="81">
        <f t="shared" si="1"/>
        <v>7.2738929740302244E-2</v>
      </c>
      <c r="Y15" s="81">
        <f t="shared" si="1"/>
        <v>4.8332197965954803E-2</v>
      </c>
      <c r="Z15" s="81">
        <f t="shared" si="1"/>
        <v>0</v>
      </c>
      <c r="AA15" s="81">
        <f t="shared" si="1"/>
        <v>0</v>
      </c>
      <c r="AB15" s="81">
        <f t="shared" si="1"/>
        <v>193.62821118051326</v>
      </c>
      <c r="AC15" s="81">
        <f t="shared" si="1"/>
        <v>1.1064496871488068E-2</v>
      </c>
      <c r="AD15" s="81">
        <f t="shared" si="1"/>
        <v>4.9599802576000274E-3</v>
      </c>
    </row>
    <row r="16" spans="1:30">
      <c r="A16" s="75"/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</row>
    <row r="17" spans="1:30">
      <c r="A17" s="114" t="s">
        <v>335</v>
      </c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61"/>
      <c r="U17" s="61"/>
      <c r="V17" s="61"/>
      <c r="W17" s="61"/>
      <c r="X17" s="61"/>
      <c r="Y17" s="61"/>
      <c r="Z17" s="62"/>
      <c r="AA17" s="62"/>
      <c r="AB17" s="62"/>
      <c r="AC17" s="62"/>
      <c r="AD17" s="62"/>
    </row>
    <row r="18" spans="1:30">
      <c r="A18" s="78" t="s">
        <v>311</v>
      </c>
      <c r="B18" s="76" t="s">
        <v>105</v>
      </c>
      <c r="C18" s="374">
        <v>1</v>
      </c>
      <c r="D18" s="77"/>
      <c r="E18" s="77">
        <v>35</v>
      </c>
      <c r="F18" s="77">
        <v>80</v>
      </c>
      <c r="G18" s="106">
        <v>1.08263976628415</v>
      </c>
      <c r="H18" s="106">
        <v>4.9712718909585103</v>
      </c>
      <c r="I18" s="106">
        <v>0.26248012575016899</v>
      </c>
      <c r="J18" s="106">
        <v>1.0711818E-2</v>
      </c>
      <c r="K18" s="106">
        <v>7.1679901072141505E-2</v>
      </c>
      <c r="L18" s="576">
        <v>3.59998119015979E-2</v>
      </c>
      <c r="M18" s="576">
        <v>6.1739677411240299E-2</v>
      </c>
      <c r="N18" s="106">
        <v>6.5945508986370194E-2</v>
      </c>
      <c r="O18" s="576">
        <v>2.9999843251331498E-3</v>
      </c>
      <c r="P18" s="576">
        <v>5.5859708133979398E-2</v>
      </c>
      <c r="Q18" s="106">
        <v>1710.7260798814</v>
      </c>
      <c r="R18" s="47">
        <v>1.5235246282551899E-2</v>
      </c>
      <c r="S18" s="80">
        <f>0.000025616*Q18</f>
        <v>4.3821959262241944E-2</v>
      </c>
      <c r="T18" s="50">
        <f>C18*($F18*$G18)/453.59</f>
        <v>0.19094596728925242</v>
      </c>
      <c r="U18" s="50">
        <f>C18*($F18*$H18)/453.59</f>
        <v>0.87678685878586582</v>
      </c>
      <c r="V18" s="50">
        <f>C18*(($F18*$I18))/453.59</f>
        <v>4.6293811724274173E-2</v>
      </c>
      <c r="W18" s="50">
        <f>C18*($F18*$J18)/453.59</f>
        <v>1.8892511739676801E-3</v>
      </c>
      <c r="X18" s="50">
        <f>C18*(($F18*($K18+$L18+$M18)))/453.59</f>
        <v>2.9880621774726907E-2</v>
      </c>
      <c r="Y18" s="50">
        <f>C18*(($F18*($N18+$O18+$P18)))/453.59</f>
        <v>2.2011984646131133E-2</v>
      </c>
      <c r="Z18" s="50">
        <f>C18*(F18)*$B$238</f>
        <v>0</v>
      </c>
      <c r="AA18" s="50">
        <f>Z18*0.21</f>
        <v>0</v>
      </c>
      <c r="AB18" s="50">
        <f>C18*(($F18*($Q18)))/453.59</f>
        <v>301.72200972356535</v>
      </c>
      <c r="AC18" s="50">
        <f>C18*(($F18*($R18)))/453.59</f>
        <v>2.6870515280410772E-3</v>
      </c>
      <c r="AD18" s="50">
        <f>C18*(($F18*($S18)))/453.59</f>
        <v>7.7289110010788503E-3</v>
      </c>
    </row>
    <row r="19" spans="1:30">
      <c r="A19" s="78" t="s">
        <v>327</v>
      </c>
      <c r="B19" s="76" t="s">
        <v>105</v>
      </c>
      <c r="C19" s="374">
        <v>1</v>
      </c>
      <c r="D19" s="77"/>
      <c r="E19" s="77">
        <v>35</v>
      </c>
      <c r="F19" s="77">
        <v>80</v>
      </c>
      <c r="G19" s="106">
        <v>1.08263976628415</v>
      </c>
      <c r="H19" s="106">
        <v>4.9712718909585103</v>
      </c>
      <c r="I19" s="106">
        <v>0.26248012575016899</v>
      </c>
      <c r="J19" s="106">
        <v>1.0711818E-2</v>
      </c>
      <c r="K19" s="106">
        <v>7.1679901072141505E-2</v>
      </c>
      <c r="L19" s="576">
        <v>3.59998119015979E-2</v>
      </c>
      <c r="M19" s="576">
        <v>6.1739677411240299E-2</v>
      </c>
      <c r="N19" s="106">
        <v>6.5945508986370194E-2</v>
      </c>
      <c r="O19" s="576">
        <v>2.9999843251331498E-3</v>
      </c>
      <c r="P19" s="576">
        <v>5.5859708133979398E-2</v>
      </c>
      <c r="Q19" s="106">
        <v>1710.7260798814</v>
      </c>
      <c r="R19" s="47">
        <v>1.5235246282551899E-2</v>
      </c>
      <c r="S19" s="80">
        <f>0.000025616*Q19</f>
        <v>4.3821959262241944E-2</v>
      </c>
      <c r="T19" s="50">
        <f>C19*($F19*$G19)/453.59</f>
        <v>0.19094596728925242</v>
      </c>
      <c r="U19" s="50">
        <f>C19*($F19*$H19)/453.59</f>
        <v>0.87678685878586582</v>
      </c>
      <c r="V19" s="50">
        <f>C19*(($F19*$I19))/453.59</f>
        <v>4.6293811724274173E-2</v>
      </c>
      <c r="W19" s="50">
        <f>C19*($F19*$J19)/453.59</f>
        <v>1.8892511739676801E-3</v>
      </c>
      <c r="X19" s="50">
        <f>C19*(($F19*($K19+$L19+$M19)))/453.59</f>
        <v>2.9880621774726907E-2</v>
      </c>
      <c r="Y19" s="50">
        <f>C19*(($F19*($N19+$O19+$P19)))/453.59</f>
        <v>2.2011984646131133E-2</v>
      </c>
      <c r="Z19" s="50">
        <f>C19*(F19)*$B$238</f>
        <v>0</v>
      </c>
      <c r="AA19" s="50">
        <f>Z19*0.21</f>
        <v>0</v>
      </c>
      <c r="AB19" s="50">
        <f>C19*(($F19*($Q19)))/453.59</f>
        <v>301.72200972356535</v>
      </c>
      <c r="AC19" s="50">
        <f>C19*(($F19*($R19)))/453.59</f>
        <v>2.6870515280410772E-3</v>
      </c>
      <c r="AD19" s="50">
        <f>C19*(($F19*($S19)))/453.59</f>
        <v>7.7289110010788503E-3</v>
      </c>
    </row>
    <row r="20" spans="1:30">
      <c r="A20" s="75" t="s">
        <v>28</v>
      </c>
      <c r="B20" s="74"/>
      <c r="C20" s="112"/>
      <c r="D20" s="112"/>
      <c r="E20" s="74"/>
      <c r="F20" s="74"/>
      <c r="G20" s="577"/>
      <c r="H20" s="41"/>
      <c r="I20" s="41"/>
      <c r="J20" s="41"/>
      <c r="K20" s="574"/>
      <c r="L20" s="574"/>
      <c r="M20" s="574"/>
      <c r="N20" s="574"/>
      <c r="O20" s="574"/>
      <c r="P20" s="574"/>
      <c r="Q20" s="41"/>
      <c r="R20" s="574"/>
      <c r="S20" s="574"/>
      <c r="T20" s="81">
        <f>SUM(T18:T19)</f>
        <v>0.38189193457850484</v>
      </c>
      <c r="U20" s="81">
        <f t="shared" ref="U20:AD20" si="2">SUM(U18:U19)</f>
        <v>1.7535737175717316</v>
      </c>
      <c r="V20" s="81">
        <f t="shared" si="2"/>
        <v>9.2587623448548345E-2</v>
      </c>
      <c r="W20" s="81">
        <f t="shared" si="2"/>
        <v>3.7785023479353602E-3</v>
      </c>
      <c r="X20" s="81">
        <f t="shared" si="2"/>
        <v>5.9761243549453814E-2</v>
      </c>
      <c r="Y20" s="81">
        <f t="shared" si="2"/>
        <v>4.4023969292262266E-2</v>
      </c>
      <c r="Z20" s="81">
        <f t="shared" si="2"/>
        <v>0</v>
      </c>
      <c r="AA20" s="81">
        <f t="shared" si="2"/>
        <v>0</v>
      </c>
      <c r="AB20" s="81">
        <f t="shared" si="2"/>
        <v>603.4440194471307</v>
      </c>
      <c r="AC20" s="81">
        <f t="shared" si="2"/>
        <v>5.3741030560821544E-3</v>
      </c>
      <c r="AD20" s="81">
        <f t="shared" si="2"/>
        <v>1.5457822002157701E-2</v>
      </c>
    </row>
    <row r="21" spans="1:30">
      <c r="A21" s="75" t="s">
        <v>388</v>
      </c>
      <c r="B21" s="74"/>
      <c r="C21" s="112"/>
      <c r="D21" s="112"/>
      <c r="E21" s="74"/>
      <c r="F21" s="74"/>
      <c r="G21" s="547"/>
      <c r="H21" s="41"/>
      <c r="I21" s="41"/>
      <c r="J21" s="41"/>
      <c r="K21" s="544"/>
      <c r="L21" s="544"/>
      <c r="M21" s="544"/>
      <c r="N21" s="544"/>
      <c r="O21" s="544"/>
      <c r="P21" s="544"/>
      <c r="Q21" s="41"/>
      <c r="R21" s="544"/>
      <c r="S21" s="544"/>
      <c r="T21" s="81">
        <f>T11+T15+T20</f>
        <v>0.87251172846869229</v>
      </c>
      <c r="U21" s="81">
        <f t="shared" ref="U21:AD21" si="3">U11+U15+U20</f>
        <v>3.1835887098467532</v>
      </c>
      <c r="V21" s="81">
        <f t="shared" si="3"/>
        <v>0.20647345346166157</v>
      </c>
      <c r="W21" s="81">
        <f t="shared" si="3"/>
        <v>9.8373375437254724E-3</v>
      </c>
      <c r="X21" s="81">
        <f t="shared" si="3"/>
        <v>0.19875025993463408</v>
      </c>
      <c r="Y21" s="81">
        <f t="shared" si="3"/>
        <v>0.1385342508873256</v>
      </c>
      <c r="Z21" s="81">
        <f t="shared" si="3"/>
        <v>0</v>
      </c>
      <c r="AA21" s="81">
        <f t="shared" si="3"/>
        <v>0</v>
      </c>
      <c r="AB21" s="81">
        <f t="shared" si="3"/>
        <v>1195.6083459414658</v>
      </c>
      <c r="AC21" s="81">
        <f t="shared" si="3"/>
        <v>2.465789989135533E-2</v>
      </c>
      <c r="AD21" s="81">
        <f t="shared" si="3"/>
        <v>3.0626703389636592E-2</v>
      </c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25" spans="1:30">
      <c r="A25" s="370"/>
      <c r="B25" s="371"/>
      <c r="C25" s="372"/>
      <c r="D25" s="372"/>
      <c r="E25" s="371"/>
      <c r="F25" s="371"/>
      <c r="G25" s="373"/>
      <c r="H25" s="373"/>
      <c r="I25" s="373"/>
      <c r="J25" s="373"/>
      <c r="K25" s="373"/>
      <c r="L25" s="373"/>
      <c r="M25" s="373"/>
      <c r="N25" s="373"/>
      <c r="O25" s="373"/>
      <c r="P25" s="373"/>
      <c r="Q25" s="373"/>
      <c r="R25" s="373"/>
      <c r="S25" s="373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</row>
    <row r="373" spans="1:2" ht="25.5">
      <c r="A373" s="82" t="s">
        <v>109</v>
      </c>
    </row>
    <row r="375" spans="1:2">
      <c r="A375" s="36" t="s">
        <v>81</v>
      </c>
    </row>
    <row r="376" spans="1:2">
      <c r="A376" s="36" t="s">
        <v>82</v>
      </c>
    </row>
    <row r="377" spans="1:2">
      <c r="A377" s="36" t="s">
        <v>83</v>
      </c>
    </row>
    <row r="378" spans="1:2">
      <c r="A378" s="37" t="s">
        <v>96</v>
      </c>
    </row>
    <row r="379" spans="1:2">
      <c r="A379" s="36" t="s">
        <v>85</v>
      </c>
    </row>
    <row r="380" spans="1:2">
      <c r="A380" s="36" t="s">
        <v>86</v>
      </c>
    </row>
    <row r="381" spans="1:2">
      <c r="A381" s="36" t="s">
        <v>87</v>
      </c>
    </row>
    <row r="382" spans="1:2">
      <c r="A382" s="36" t="s">
        <v>0</v>
      </c>
    </row>
    <row r="383" spans="1:2">
      <c r="A383" s="37" t="s">
        <v>97</v>
      </c>
      <c r="B383" s="36">
        <f>(0.016*(0.03/2)^0.65*(2/3)^1.5)-0.00047</f>
        <v>9.8123053326417428E-5</v>
      </c>
    </row>
    <row r="384" spans="1:2">
      <c r="A384" s="37" t="s">
        <v>98</v>
      </c>
      <c r="B384" s="36">
        <f>(0.016*(0.03/2)^0.65*(13/3)^1.5)-0.00047</f>
        <v>8.9448292388582783E-3</v>
      </c>
    </row>
    <row r="385" spans="1:2">
      <c r="A385" s="37" t="s">
        <v>99</v>
      </c>
      <c r="B385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659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67" ht="25.5">
      <c r="A5" s="44" t="s">
        <v>336</v>
      </c>
      <c r="B5" s="45" t="s">
        <v>102</v>
      </c>
      <c r="C5" s="46">
        <v>7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335</v>
      </c>
      <c r="B6" s="45" t="s">
        <v>102</v>
      </c>
      <c r="C6" s="46">
        <v>2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546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2">AG$11*$AC16</f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>AR$11*$AC16</f>
        <v>#REF!</v>
      </c>
      <c r="AS16" s="36" t="e">
        <f t="shared" ref="AS16:BA24" si="3">AS$11*$AC16</f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4">AF$11*$AC17</f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ref="AR17:AR24" si="5">AR$11*$AC17</f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6">AF$11*$AC27</f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ref="AR27:BA35" si="7">AR$11*$AC27</f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8">AF$11*$AC38</f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ref="AR38:BA46" si="9">AR$11*$AC38</f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0">AF16+AF18+AF19</f>
        <v>#REF!</v>
      </c>
      <c r="AG51" s="70" t="e">
        <f t="shared" si="10"/>
        <v>#REF!</v>
      </c>
      <c r="AH51" s="70" t="e">
        <f t="shared" si="10"/>
        <v>#REF!</v>
      </c>
      <c r="AI51" s="70" t="e">
        <f t="shared" si="10"/>
        <v>#REF!</v>
      </c>
      <c r="AJ51" s="70" t="e">
        <f t="shared" si="10"/>
        <v>#REF!</v>
      </c>
      <c r="AK51" s="70" t="e">
        <f t="shared" si="10"/>
        <v>#REF!</v>
      </c>
      <c r="AL51" s="70" t="e">
        <f t="shared" si="10"/>
        <v>#REF!</v>
      </c>
      <c r="AM51" s="70" t="e">
        <f t="shared" si="10"/>
        <v>#REF!</v>
      </c>
      <c r="AN51" s="70" t="e">
        <f t="shared" si="10"/>
        <v>#REF!</v>
      </c>
      <c r="AO51" s="70" t="e">
        <f t="shared" si="10"/>
        <v>#REF!</v>
      </c>
      <c r="AP51" s="70"/>
      <c r="AQ51" s="70"/>
      <c r="AR51" s="70" t="e">
        <f t="shared" ref="AR51:BA51" si="11">AR16+AR18+AR19</f>
        <v>#REF!</v>
      </c>
      <c r="AS51" s="70" t="e">
        <f t="shared" si="11"/>
        <v>#REF!</v>
      </c>
      <c r="AT51" s="70" t="e">
        <f t="shared" si="11"/>
        <v>#REF!</v>
      </c>
      <c r="AU51" s="70" t="e">
        <f t="shared" si="11"/>
        <v>#REF!</v>
      </c>
      <c r="AV51" s="70" t="e">
        <f t="shared" si="11"/>
        <v>#REF!</v>
      </c>
      <c r="AW51" s="70" t="e">
        <f t="shared" si="11"/>
        <v>#REF!</v>
      </c>
      <c r="AX51" s="70" t="e">
        <f t="shared" si="11"/>
        <v>#REF!</v>
      </c>
      <c r="AY51" s="70" t="e">
        <f t="shared" si="11"/>
        <v>#REF!</v>
      </c>
      <c r="AZ51" s="70" t="e">
        <f t="shared" si="11"/>
        <v>#REF!</v>
      </c>
      <c r="BA51" s="70" t="e">
        <f t="shared" si="11"/>
        <v>#REF!</v>
      </c>
    </row>
    <row r="52" spans="27:53" hidden="1">
      <c r="AA52" s="71" t="s">
        <v>41</v>
      </c>
      <c r="AB52" s="35"/>
      <c r="AF52" s="70" t="e">
        <f t="shared" ref="AF52:AO52" si="12">AF27+AF29+AF30</f>
        <v>#REF!</v>
      </c>
      <c r="AG52" s="70" t="e">
        <f t="shared" si="12"/>
        <v>#REF!</v>
      </c>
      <c r="AH52" s="70" t="e">
        <f t="shared" si="12"/>
        <v>#REF!</v>
      </c>
      <c r="AI52" s="70" t="e">
        <f t="shared" si="12"/>
        <v>#REF!</v>
      </c>
      <c r="AJ52" s="70" t="e">
        <f t="shared" si="12"/>
        <v>#REF!</v>
      </c>
      <c r="AK52" s="70" t="e">
        <f t="shared" si="12"/>
        <v>#REF!</v>
      </c>
      <c r="AL52" s="70" t="e">
        <f t="shared" si="12"/>
        <v>#REF!</v>
      </c>
      <c r="AM52" s="70" t="e">
        <f t="shared" si="12"/>
        <v>#REF!</v>
      </c>
      <c r="AN52" s="70" t="e">
        <f t="shared" si="12"/>
        <v>#REF!</v>
      </c>
      <c r="AO52" s="70" t="e">
        <f t="shared" si="12"/>
        <v>#REF!</v>
      </c>
      <c r="AP52" s="70"/>
      <c r="AQ52" s="70"/>
      <c r="AR52" s="70" t="e">
        <f t="shared" ref="AR52:BA52" si="13">AR27+AR29+AR30</f>
        <v>#REF!</v>
      </c>
      <c r="AS52" s="70" t="e">
        <f t="shared" si="13"/>
        <v>#REF!</v>
      </c>
      <c r="AT52" s="70" t="e">
        <f t="shared" si="13"/>
        <v>#REF!</v>
      </c>
      <c r="AU52" s="70" t="e">
        <f t="shared" si="13"/>
        <v>#REF!</v>
      </c>
      <c r="AV52" s="70" t="e">
        <f t="shared" si="13"/>
        <v>#REF!</v>
      </c>
      <c r="AW52" s="70" t="e">
        <f t="shared" si="13"/>
        <v>#REF!</v>
      </c>
      <c r="AX52" s="70" t="e">
        <f t="shared" si="13"/>
        <v>#REF!</v>
      </c>
      <c r="AY52" s="70" t="e">
        <f t="shared" si="13"/>
        <v>#REF!</v>
      </c>
      <c r="AZ52" s="70" t="e">
        <f t="shared" si="13"/>
        <v>#REF!</v>
      </c>
      <c r="BA52" s="70" t="e">
        <f t="shared" si="13"/>
        <v>#REF!</v>
      </c>
    </row>
    <row r="53" spans="27:53" hidden="1">
      <c r="AA53" s="71" t="s">
        <v>42</v>
      </c>
      <c r="AB53" s="35"/>
      <c r="AF53" s="70" t="e">
        <f t="shared" ref="AF53:AO53" si="14">AF38+AF40+AF41</f>
        <v>#REF!</v>
      </c>
      <c r="AG53" s="70" t="e">
        <f t="shared" si="14"/>
        <v>#REF!</v>
      </c>
      <c r="AH53" s="70" t="e">
        <f t="shared" si="14"/>
        <v>#REF!</v>
      </c>
      <c r="AI53" s="70" t="e">
        <f t="shared" si="14"/>
        <v>#REF!</v>
      </c>
      <c r="AJ53" s="70" t="e">
        <f t="shared" si="14"/>
        <v>#REF!</v>
      </c>
      <c r="AK53" s="70" t="e">
        <f t="shared" si="14"/>
        <v>#REF!</v>
      </c>
      <c r="AL53" s="70" t="e">
        <f t="shared" si="14"/>
        <v>#REF!</v>
      </c>
      <c r="AM53" s="70" t="e">
        <f t="shared" si="14"/>
        <v>#REF!</v>
      </c>
      <c r="AN53" s="70" t="e">
        <f t="shared" si="14"/>
        <v>#REF!</v>
      </c>
      <c r="AO53" s="70" t="e">
        <f t="shared" si="14"/>
        <v>#REF!</v>
      </c>
      <c r="AP53" s="70"/>
      <c r="AQ53" s="70"/>
      <c r="AR53" s="70" t="e">
        <f t="shared" ref="AR53:BA53" si="15">AR38+AR40+AR41</f>
        <v>#REF!</v>
      </c>
      <c r="AS53" s="70" t="e">
        <f t="shared" si="15"/>
        <v>#REF!</v>
      </c>
      <c r="AT53" s="70" t="e">
        <f t="shared" si="15"/>
        <v>#REF!</v>
      </c>
      <c r="AU53" s="70" t="e">
        <f t="shared" si="15"/>
        <v>#REF!</v>
      </c>
      <c r="AV53" s="70" t="e">
        <f t="shared" si="15"/>
        <v>#REF!</v>
      </c>
      <c r="AW53" s="70" t="e">
        <f t="shared" si="15"/>
        <v>#REF!</v>
      </c>
      <c r="AX53" s="70" t="e">
        <f t="shared" si="15"/>
        <v>#REF!</v>
      </c>
      <c r="AY53" s="70" t="e">
        <f t="shared" si="15"/>
        <v>#REF!</v>
      </c>
      <c r="AZ53" s="70" t="e">
        <f t="shared" si="15"/>
        <v>#REF!</v>
      </c>
      <c r="BA53" s="70" t="e">
        <f t="shared" si="15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6">AF16+AF18+AF20+AF22</f>
        <v>#REF!</v>
      </c>
      <c r="AG55" s="70" t="e">
        <f t="shared" si="16"/>
        <v>#REF!</v>
      </c>
      <c r="AH55" s="70" t="e">
        <f t="shared" si="16"/>
        <v>#REF!</v>
      </c>
      <c r="AI55" s="70" t="e">
        <f t="shared" si="16"/>
        <v>#REF!</v>
      </c>
      <c r="AJ55" s="70" t="e">
        <f t="shared" si="16"/>
        <v>#REF!</v>
      </c>
      <c r="AK55" s="70" t="e">
        <f t="shared" si="16"/>
        <v>#REF!</v>
      </c>
      <c r="AL55" s="70" t="e">
        <f t="shared" si="16"/>
        <v>#REF!</v>
      </c>
      <c r="AM55" s="70" t="e">
        <f t="shared" si="16"/>
        <v>#REF!</v>
      </c>
      <c r="AN55" s="70" t="e">
        <f t="shared" si="16"/>
        <v>#REF!</v>
      </c>
      <c r="AO55" s="70" t="e">
        <f t="shared" si="16"/>
        <v>#REF!</v>
      </c>
      <c r="AP55" s="70"/>
      <c r="AQ55" s="70"/>
      <c r="AR55" s="70" t="e">
        <f t="shared" ref="AR55:BA55" si="17">AR16+AR18+AR20+AR22</f>
        <v>#REF!</v>
      </c>
      <c r="AS55" s="70" t="e">
        <f t="shared" si="17"/>
        <v>#REF!</v>
      </c>
      <c r="AT55" s="70" t="e">
        <f t="shared" si="17"/>
        <v>#REF!</v>
      </c>
      <c r="AU55" s="70" t="e">
        <f t="shared" si="17"/>
        <v>#REF!</v>
      </c>
      <c r="AV55" s="70" t="e">
        <f t="shared" si="17"/>
        <v>#REF!</v>
      </c>
      <c r="AW55" s="70" t="e">
        <f t="shared" si="17"/>
        <v>#REF!</v>
      </c>
      <c r="AX55" s="70" t="e">
        <f t="shared" si="17"/>
        <v>#REF!</v>
      </c>
      <c r="AY55" s="70" t="e">
        <f t="shared" si="17"/>
        <v>#REF!</v>
      </c>
      <c r="AZ55" s="70" t="e">
        <f t="shared" si="17"/>
        <v>#REF!</v>
      </c>
      <c r="BA55" s="70" t="e">
        <f t="shared" si="17"/>
        <v>#REF!</v>
      </c>
    </row>
    <row r="56" spans="27:53" hidden="1">
      <c r="AA56" s="71" t="s">
        <v>41</v>
      </c>
      <c r="AB56" s="35"/>
      <c r="AF56" s="70" t="e">
        <f t="shared" ref="AF56:AO56" si="18">AF27+AF29+AF31+AF33</f>
        <v>#REF!</v>
      </c>
      <c r="AG56" s="70" t="e">
        <f t="shared" si="18"/>
        <v>#REF!</v>
      </c>
      <c r="AH56" s="70" t="e">
        <f t="shared" si="18"/>
        <v>#REF!</v>
      </c>
      <c r="AI56" s="70" t="e">
        <f t="shared" si="18"/>
        <v>#REF!</v>
      </c>
      <c r="AJ56" s="70" t="e">
        <f t="shared" si="18"/>
        <v>#REF!</v>
      </c>
      <c r="AK56" s="70" t="e">
        <f t="shared" si="18"/>
        <v>#REF!</v>
      </c>
      <c r="AL56" s="70" t="e">
        <f t="shared" si="18"/>
        <v>#REF!</v>
      </c>
      <c r="AM56" s="70" t="e">
        <f t="shared" si="18"/>
        <v>#REF!</v>
      </c>
      <c r="AN56" s="70" t="e">
        <f t="shared" si="18"/>
        <v>#REF!</v>
      </c>
      <c r="AO56" s="70" t="e">
        <f t="shared" si="18"/>
        <v>#REF!</v>
      </c>
      <c r="AP56" s="70"/>
      <c r="AQ56" s="70"/>
      <c r="AR56" s="70" t="e">
        <f t="shared" ref="AR56:BA56" si="19">AR27+AR29+AR31+AR33</f>
        <v>#REF!</v>
      </c>
      <c r="AS56" s="70" t="e">
        <f t="shared" si="19"/>
        <v>#REF!</v>
      </c>
      <c r="AT56" s="70" t="e">
        <f t="shared" si="19"/>
        <v>#REF!</v>
      </c>
      <c r="AU56" s="70" t="e">
        <f t="shared" si="19"/>
        <v>#REF!</v>
      </c>
      <c r="AV56" s="70" t="e">
        <f t="shared" si="19"/>
        <v>#REF!</v>
      </c>
      <c r="AW56" s="70" t="e">
        <f t="shared" si="19"/>
        <v>#REF!</v>
      </c>
      <c r="AX56" s="70" t="e">
        <f t="shared" si="19"/>
        <v>#REF!</v>
      </c>
      <c r="AY56" s="70" t="e">
        <f t="shared" si="19"/>
        <v>#REF!</v>
      </c>
      <c r="AZ56" s="70" t="e">
        <f t="shared" si="19"/>
        <v>#REF!</v>
      </c>
      <c r="BA56" s="70" t="e">
        <f t="shared" si="19"/>
        <v>#REF!</v>
      </c>
    </row>
    <row r="57" spans="27:53" hidden="1">
      <c r="AA57" s="71" t="s">
        <v>42</v>
      </c>
      <c r="AB57" s="35"/>
      <c r="AF57" s="70" t="e">
        <f t="shared" ref="AF57:AO57" si="20">AF38+AF40+AF42+AF44</f>
        <v>#REF!</v>
      </c>
      <c r="AG57" s="70" t="e">
        <f t="shared" si="20"/>
        <v>#REF!</v>
      </c>
      <c r="AH57" s="70" t="e">
        <f t="shared" si="20"/>
        <v>#REF!</v>
      </c>
      <c r="AI57" s="70" t="e">
        <f t="shared" si="20"/>
        <v>#REF!</v>
      </c>
      <c r="AJ57" s="70" t="e">
        <f t="shared" si="20"/>
        <v>#REF!</v>
      </c>
      <c r="AK57" s="70" t="e">
        <f t="shared" si="20"/>
        <v>#REF!</v>
      </c>
      <c r="AL57" s="70" t="e">
        <f t="shared" si="20"/>
        <v>#REF!</v>
      </c>
      <c r="AM57" s="70" t="e">
        <f t="shared" si="20"/>
        <v>#REF!</v>
      </c>
      <c r="AN57" s="70" t="e">
        <f t="shared" si="20"/>
        <v>#REF!</v>
      </c>
      <c r="AO57" s="70" t="e">
        <f t="shared" si="20"/>
        <v>#REF!</v>
      </c>
      <c r="AP57" s="70"/>
      <c r="AQ57" s="70"/>
      <c r="AR57" s="70" t="e">
        <f t="shared" ref="AR57:BA57" si="21">AR38+AR40+AR42+AR44</f>
        <v>#REF!</v>
      </c>
      <c r="AS57" s="70" t="e">
        <f t="shared" si="21"/>
        <v>#REF!</v>
      </c>
      <c r="AT57" s="70" t="e">
        <f t="shared" si="21"/>
        <v>#REF!</v>
      </c>
      <c r="AU57" s="70" t="e">
        <f t="shared" si="21"/>
        <v>#REF!</v>
      </c>
      <c r="AV57" s="70" t="e">
        <f t="shared" si="21"/>
        <v>#REF!</v>
      </c>
      <c r="AW57" s="70" t="e">
        <f t="shared" si="21"/>
        <v>#REF!</v>
      </c>
      <c r="AX57" s="70" t="e">
        <f t="shared" si="21"/>
        <v>#REF!</v>
      </c>
      <c r="AY57" s="70" t="e">
        <f t="shared" si="21"/>
        <v>#REF!</v>
      </c>
      <c r="AZ57" s="70" t="e">
        <f t="shared" si="21"/>
        <v>#REF!</v>
      </c>
      <c r="BA57" s="70" t="e">
        <f t="shared" si="21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2">AF16+AF18+AF20+AF21+AF23</f>
        <v>#REF!</v>
      </c>
      <c r="AG59" s="70" t="e">
        <f t="shared" si="22"/>
        <v>#REF!</v>
      </c>
      <c r="AH59" s="70" t="e">
        <f t="shared" si="22"/>
        <v>#REF!</v>
      </c>
      <c r="AI59" s="70" t="e">
        <f t="shared" si="22"/>
        <v>#REF!</v>
      </c>
      <c r="AJ59" s="70" t="e">
        <f t="shared" si="22"/>
        <v>#REF!</v>
      </c>
      <c r="AK59" s="70" t="e">
        <f t="shared" si="22"/>
        <v>#REF!</v>
      </c>
      <c r="AL59" s="70" t="e">
        <f t="shared" si="22"/>
        <v>#REF!</v>
      </c>
      <c r="AM59" s="70" t="e">
        <f t="shared" si="22"/>
        <v>#REF!</v>
      </c>
      <c r="AN59" s="70" t="e">
        <f t="shared" si="22"/>
        <v>#REF!</v>
      </c>
      <c r="AO59" s="70" t="e">
        <f t="shared" si="22"/>
        <v>#REF!</v>
      </c>
      <c r="AP59" s="70"/>
      <c r="AQ59" s="70"/>
      <c r="AR59" s="70" t="e">
        <f t="shared" ref="AR59:BA59" si="23">AR16+AR18+AR20+AR21+AR23</f>
        <v>#REF!</v>
      </c>
      <c r="AS59" s="70" t="e">
        <f t="shared" si="23"/>
        <v>#REF!</v>
      </c>
      <c r="AT59" s="70" t="e">
        <f t="shared" si="23"/>
        <v>#REF!</v>
      </c>
      <c r="AU59" s="70" t="e">
        <f t="shared" si="23"/>
        <v>#REF!</v>
      </c>
      <c r="AV59" s="70" t="e">
        <f t="shared" si="23"/>
        <v>#REF!</v>
      </c>
      <c r="AW59" s="70" t="e">
        <f t="shared" si="23"/>
        <v>#REF!</v>
      </c>
      <c r="AX59" s="70" t="e">
        <f t="shared" si="23"/>
        <v>#REF!</v>
      </c>
      <c r="AY59" s="70" t="e">
        <f t="shared" si="23"/>
        <v>#REF!</v>
      </c>
      <c r="AZ59" s="70" t="e">
        <f t="shared" si="23"/>
        <v>#REF!</v>
      </c>
      <c r="BA59" s="70" t="e">
        <f t="shared" si="23"/>
        <v>#REF!</v>
      </c>
    </row>
    <row r="60" spans="27:53" hidden="1">
      <c r="AA60" s="71" t="s">
        <v>41</v>
      </c>
      <c r="AB60" s="35"/>
      <c r="AF60" s="70" t="e">
        <f t="shared" ref="AF60:AO60" si="24">AF27+AF29+AF31+AF32+AF34</f>
        <v>#REF!</v>
      </c>
      <c r="AG60" s="70" t="e">
        <f t="shared" si="24"/>
        <v>#REF!</v>
      </c>
      <c r="AH60" s="70" t="e">
        <f t="shared" si="24"/>
        <v>#REF!</v>
      </c>
      <c r="AI60" s="70" t="e">
        <f t="shared" si="24"/>
        <v>#REF!</v>
      </c>
      <c r="AJ60" s="70" t="e">
        <f t="shared" si="24"/>
        <v>#REF!</v>
      </c>
      <c r="AK60" s="70" t="e">
        <f t="shared" si="24"/>
        <v>#REF!</v>
      </c>
      <c r="AL60" s="70" t="e">
        <f t="shared" si="24"/>
        <v>#REF!</v>
      </c>
      <c r="AM60" s="70" t="e">
        <f t="shared" si="24"/>
        <v>#REF!</v>
      </c>
      <c r="AN60" s="70" t="e">
        <f t="shared" si="24"/>
        <v>#REF!</v>
      </c>
      <c r="AO60" s="70" t="e">
        <f t="shared" si="24"/>
        <v>#REF!</v>
      </c>
      <c r="AP60" s="70"/>
      <c r="AQ60" s="70"/>
      <c r="AR60" s="70" t="e">
        <f t="shared" ref="AR60:BA60" si="25">AR27+AR29+AR31+AR32+AR34</f>
        <v>#REF!</v>
      </c>
      <c r="AS60" s="70" t="e">
        <f t="shared" si="25"/>
        <v>#REF!</v>
      </c>
      <c r="AT60" s="70" t="e">
        <f t="shared" si="25"/>
        <v>#REF!</v>
      </c>
      <c r="AU60" s="70" t="e">
        <f t="shared" si="25"/>
        <v>#REF!</v>
      </c>
      <c r="AV60" s="70" t="e">
        <f t="shared" si="25"/>
        <v>#REF!</v>
      </c>
      <c r="AW60" s="70" t="e">
        <f t="shared" si="25"/>
        <v>#REF!</v>
      </c>
      <c r="AX60" s="70" t="e">
        <f t="shared" si="25"/>
        <v>#REF!</v>
      </c>
      <c r="AY60" s="70" t="e">
        <f t="shared" si="25"/>
        <v>#REF!</v>
      </c>
      <c r="AZ60" s="70" t="e">
        <f t="shared" si="25"/>
        <v>#REF!</v>
      </c>
      <c r="BA60" s="70" t="e">
        <f t="shared" si="25"/>
        <v>#REF!</v>
      </c>
    </row>
    <row r="61" spans="27:53" hidden="1">
      <c r="AA61" s="71" t="s">
        <v>42</v>
      </c>
      <c r="AB61" s="35"/>
      <c r="AF61" s="70" t="e">
        <f t="shared" ref="AF61:AO61" si="26">AF38+AF40+AF42+AF43+AF45</f>
        <v>#REF!</v>
      </c>
      <c r="AG61" s="70" t="e">
        <f t="shared" si="26"/>
        <v>#REF!</v>
      </c>
      <c r="AH61" s="70" t="e">
        <f t="shared" si="26"/>
        <v>#REF!</v>
      </c>
      <c r="AI61" s="70" t="e">
        <f t="shared" si="26"/>
        <v>#REF!</v>
      </c>
      <c r="AJ61" s="70" t="e">
        <f t="shared" si="26"/>
        <v>#REF!</v>
      </c>
      <c r="AK61" s="70" t="e">
        <f t="shared" si="26"/>
        <v>#REF!</v>
      </c>
      <c r="AL61" s="70" t="e">
        <f t="shared" si="26"/>
        <v>#REF!</v>
      </c>
      <c r="AM61" s="70" t="e">
        <f t="shared" si="26"/>
        <v>#REF!</v>
      </c>
      <c r="AN61" s="70" t="e">
        <f t="shared" si="26"/>
        <v>#REF!</v>
      </c>
      <c r="AO61" s="70" t="e">
        <f t="shared" si="26"/>
        <v>#REF!</v>
      </c>
      <c r="AP61" s="70"/>
      <c r="AQ61" s="70"/>
      <c r="AR61" s="70" t="e">
        <f t="shared" ref="AR61:BA61" si="27">AR38+AR40+AR42+AR43+AR45</f>
        <v>#REF!</v>
      </c>
      <c r="AS61" s="70" t="e">
        <f t="shared" si="27"/>
        <v>#REF!</v>
      </c>
      <c r="AT61" s="70" t="e">
        <f t="shared" si="27"/>
        <v>#REF!</v>
      </c>
      <c r="AU61" s="70" t="e">
        <f t="shared" si="27"/>
        <v>#REF!</v>
      </c>
      <c r="AV61" s="70" t="e">
        <f t="shared" si="27"/>
        <v>#REF!</v>
      </c>
      <c r="AW61" s="70" t="e">
        <f t="shared" si="27"/>
        <v>#REF!</v>
      </c>
      <c r="AX61" s="70" t="e">
        <f t="shared" si="27"/>
        <v>#REF!</v>
      </c>
      <c r="AY61" s="70" t="e">
        <f t="shared" si="27"/>
        <v>#REF!</v>
      </c>
      <c r="AZ61" s="70" t="e">
        <f t="shared" si="27"/>
        <v>#REF!</v>
      </c>
      <c r="BA61" s="70" t="e">
        <f t="shared" si="27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28">AF16+AF18+AF20+AF21+AF24</f>
        <v>#REF!</v>
      </c>
      <c r="AG63" s="70" t="e">
        <f t="shared" si="28"/>
        <v>#REF!</v>
      </c>
      <c r="AH63" s="70" t="e">
        <f t="shared" si="28"/>
        <v>#REF!</v>
      </c>
      <c r="AI63" s="70" t="e">
        <f t="shared" si="28"/>
        <v>#REF!</v>
      </c>
      <c r="AJ63" s="70" t="e">
        <f t="shared" si="28"/>
        <v>#REF!</v>
      </c>
      <c r="AK63" s="70" t="e">
        <f t="shared" si="28"/>
        <v>#REF!</v>
      </c>
      <c r="AL63" s="70" t="e">
        <f t="shared" si="28"/>
        <v>#REF!</v>
      </c>
      <c r="AM63" s="70" t="e">
        <f t="shared" si="28"/>
        <v>#REF!</v>
      </c>
      <c r="AN63" s="70" t="e">
        <f t="shared" si="28"/>
        <v>#REF!</v>
      </c>
      <c r="AO63" s="70" t="e">
        <f t="shared" si="28"/>
        <v>#REF!</v>
      </c>
      <c r="AP63" s="70"/>
      <c r="AQ63" s="70"/>
      <c r="AR63" s="70" t="e">
        <f t="shared" ref="AR63:BA63" si="29">AR16+AR18+AR20+AR21+AR24</f>
        <v>#REF!</v>
      </c>
      <c r="AS63" s="70" t="e">
        <f t="shared" si="29"/>
        <v>#REF!</v>
      </c>
      <c r="AT63" s="70" t="e">
        <f t="shared" si="29"/>
        <v>#REF!</v>
      </c>
      <c r="AU63" s="70" t="e">
        <f t="shared" si="29"/>
        <v>#REF!</v>
      </c>
      <c r="AV63" s="70" t="e">
        <f t="shared" si="29"/>
        <v>#REF!</v>
      </c>
      <c r="AW63" s="70" t="e">
        <f t="shared" si="29"/>
        <v>#REF!</v>
      </c>
      <c r="AX63" s="70" t="e">
        <f t="shared" si="29"/>
        <v>#REF!</v>
      </c>
      <c r="AY63" s="70" t="e">
        <f t="shared" si="29"/>
        <v>#REF!</v>
      </c>
      <c r="AZ63" s="70" t="e">
        <f t="shared" si="29"/>
        <v>#REF!</v>
      </c>
      <c r="BA63" s="70" t="e">
        <f t="shared" si="29"/>
        <v>#REF!</v>
      </c>
    </row>
    <row r="64" spans="27:53" hidden="1">
      <c r="AA64" s="71" t="s">
        <v>41</v>
      </c>
      <c r="AB64" s="35"/>
      <c r="AF64" s="70" t="e">
        <f t="shared" ref="AF64:AO64" si="30">AF27+AF29+AF31+AF32+AF35</f>
        <v>#REF!</v>
      </c>
      <c r="AG64" s="70" t="e">
        <f t="shared" si="30"/>
        <v>#REF!</v>
      </c>
      <c r="AH64" s="70" t="e">
        <f t="shared" si="30"/>
        <v>#REF!</v>
      </c>
      <c r="AI64" s="70" t="e">
        <f t="shared" si="30"/>
        <v>#REF!</v>
      </c>
      <c r="AJ64" s="70" t="e">
        <f t="shared" si="30"/>
        <v>#REF!</v>
      </c>
      <c r="AK64" s="70" t="e">
        <f t="shared" si="30"/>
        <v>#REF!</v>
      </c>
      <c r="AL64" s="70" t="e">
        <f t="shared" si="30"/>
        <v>#REF!</v>
      </c>
      <c r="AM64" s="70" t="e">
        <f t="shared" si="30"/>
        <v>#REF!</v>
      </c>
      <c r="AN64" s="70" t="e">
        <f t="shared" si="30"/>
        <v>#REF!</v>
      </c>
      <c r="AO64" s="70" t="e">
        <f t="shared" si="30"/>
        <v>#REF!</v>
      </c>
      <c r="AP64" s="70"/>
      <c r="AQ64" s="70"/>
      <c r="AR64" s="70" t="e">
        <f t="shared" ref="AR64:BA64" si="31">AR27+AR29+AR31+AR32+AR35</f>
        <v>#REF!</v>
      </c>
      <c r="AS64" s="70" t="e">
        <f t="shared" si="31"/>
        <v>#REF!</v>
      </c>
      <c r="AT64" s="70" t="e">
        <f t="shared" si="31"/>
        <v>#REF!</v>
      </c>
      <c r="AU64" s="70" t="e">
        <f t="shared" si="31"/>
        <v>#REF!</v>
      </c>
      <c r="AV64" s="70" t="e">
        <f t="shared" si="31"/>
        <v>#REF!</v>
      </c>
      <c r="AW64" s="70" t="e">
        <f t="shared" si="31"/>
        <v>#REF!</v>
      </c>
      <c r="AX64" s="70" t="e">
        <f t="shared" si="31"/>
        <v>#REF!</v>
      </c>
      <c r="AY64" s="70" t="e">
        <f t="shared" si="31"/>
        <v>#REF!</v>
      </c>
      <c r="AZ64" s="70" t="e">
        <f t="shared" si="31"/>
        <v>#REF!</v>
      </c>
      <c r="BA64" s="70" t="e">
        <f t="shared" si="31"/>
        <v>#REF!</v>
      </c>
    </row>
    <row r="65" spans="27:53" hidden="1">
      <c r="AA65" s="71" t="s">
        <v>42</v>
      </c>
      <c r="AB65" s="35"/>
      <c r="AF65" s="70" t="e">
        <f t="shared" ref="AF65:AO65" si="32">AF38+AF40+AF42+AF43+AF46</f>
        <v>#REF!</v>
      </c>
      <c r="AG65" s="70" t="e">
        <f t="shared" si="32"/>
        <v>#REF!</v>
      </c>
      <c r="AH65" s="70" t="e">
        <f t="shared" si="32"/>
        <v>#REF!</v>
      </c>
      <c r="AI65" s="70" t="e">
        <f t="shared" si="32"/>
        <v>#REF!</v>
      </c>
      <c r="AJ65" s="70" t="e">
        <f t="shared" si="32"/>
        <v>#REF!</v>
      </c>
      <c r="AK65" s="70" t="e">
        <f t="shared" si="32"/>
        <v>#REF!</v>
      </c>
      <c r="AL65" s="70" t="e">
        <f t="shared" si="32"/>
        <v>#REF!</v>
      </c>
      <c r="AM65" s="70" t="e">
        <f t="shared" si="32"/>
        <v>#REF!</v>
      </c>
      <c r="AN65" s="70" t="e">
        <f t="shared" si="32"/>
        <v>#REF!</v>
      </c>
      <c r="AO65" s="70" t="e">
        <f t="shared" si="32"/>
        <v>#REF!</v>
      </c>
      <c r="AP65" s="70"/>
      <c r="AQ65" s="70"/>
      <c r="AR65" s="70" t="e">
        <f t="shared" ref="AR65:BA65" si="33">AR38+AR40+AR42+AR43+AR46</f>
        <v>#REF!</v>
      </c>
      <c r="AS65" s="70" t="e">
        <f t="shared" si="33"/>
        <v>#REF!</v>
      </c>
      <c r="AT65" s="70" t="e">
        <f t="shared" si="33"/>
        <v>#REF!</v>
      </c>
      <c r="AU65" s="70" t="e">
        <f t="shared" si="33"/>
        <v>#REF!</v>
      </c>
      <c r="AV65" s="70" t="e">
        <f t="shared" si="33"/>
        <v>#REF!</v>
      </c>
      <c r="AW65" s="70" t="e">
        <f t="shared" si="33"/>
        <v>#REF!</v>
      </c>
      <c r="AX65" s="70" t="e">
        <f t="shared" si="33"/>
        <v>#REF!</v>
      </c>
      <c r="AY65" s="70" t="e">
        <f t="shared" si="33"/>
        <v>#REF!</v>
      </c>
      <c r="AZ65" s="70" t="e">
        <f t="shared" si="33"/>
        <v>#REF!</v>
      </c>
      <c r="BA65" s="70" t="e">
        <f t="shared" si="33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4">AF16+AF17+AF22</f>
        <v>#REF!</v>
      </c>
      <c r="AG67" s="70" t="e">
        <f t="shared" si="34"/>
        <v>#REF!</v>
      </c>
      <c r="AH67" s="70" t="e">
        <f t="shared" si="34"/>
        <v>#REF!</v>
      </c>
      <c r="AI67" s="70" t="e">
        <f t="shared" si="34"/>
        <v>#REF!</v>
      </c>
      <c r="AJ67" s="70" t="e">
        <f t="shared" si="34"/>
        <v>#REF!</v>
      </c>
      <c r="AK67" s="70" t="e">
        <f t="shared" si="34"/>
        <v>#REF!</v>
      </c>
      <c r="AL67" s="70" t="e">
        <f t="shared" si="34"/>
        <v>#REF!</v>
      </c>
      <c r="AM67" s="70" t="e">
        <f t="shared" si="34"/>
        <v>#REF!</v>
      </c>
      <c r="AN67" s="70" t="e">
        <f t="shared" si="34"/>
        <v>#REF!</v>
      </c>
      <c r="AO67" s="70" t="e">
        <f t="shared" si="34"/>
        <v>#REF!</v>
      </c>
      <c r="AP67" s="70"/>
      <c r="AQ67" s="70"/>
      <c r="AR67" s="70" t="e">
        <f t="shared" ref="AR67:BA67" si="35">AR16+AR17+AR22</f>
        <v>#REF!</v>
      </c>
      <c r="AS67" s="70" t="e">
        <f t="shared" si="35"/>
        <v>#REF!</v>
      </c>
      <c r="AT67" s="70" t="e">
        <f t="shared" si="35"/>
        <v>#REF!</v>
      </c>
      <c r="AU67" s="70" t="e">
        <f t="shared" si="35"/>
        <v>#REF!</v>
      </c>
      <c r="AV67" s="70" t="e">
        <f t="shared" si="35"/>
        <v>#REF!</v>
      </c>
      <c r="AW67" s="70" t="e">
        <f t="shared" si="35"/>
        <v>#REF!</v>
      </c>
      <c r="AX67" s="70" t="e">
        <f t="shared" si="35"/>
        <v>#REF!</v>
      </c>
      <c r="AY67" s="70" t="e">
        <f t="shared" si="35"/>
        <v>#REF!</v>
      </c>
      <c r="AZ67" s="70" t="e">
        <f t="shared" si="35"/>
        <v>#REF!</v>
      </c>
      <c r="BA67" s="70" t="e">
        <f t="shared" si="35"/>
        <v>#REF!</v>
      </c>
    </row>
    <row r="68" spans="27:53" hidden="1">
      <c r="AA68" s="71" t="s">
        <v>41</v>
      </c>
      <c r="AB68" s="35"/>
      <c r="AF68" s="70" t="e">
        <f t="shared" ref="AF68:AO68" si="36">AF27+AF28+AF33</f>
        <v>#REF!</v>
      </c>
      <c r="AG68" s="70" t="e">
        <f t="shared" si="36"/>
        <v>#REF!</v>
      </c>
      <c r="AH68" s="70" t="e">
        <f t="shared" si="36"/>
        <v>#REF!</v>
      </c>
      <c r="AI68" s="70" t="e">
        <f t="shared" si="36"/>
        <v>#REF!</v>
      </c>
      <c r="AJ68" s="70" t="e">
        <f t="shared" si="36"/>
        <v>#REF!</v>
      </c>
      <c r="AK68" s="70" t="e">
        <f t="shared" si="36"/>
        <v>#REF!</v>
      </c>
      <c r="AL68" s="70" t="e">
        <f t="shared" si="36"/>
        <v>#REF!</v>
      </c>
      <c r="AM68" s="70" t="e">
        <f t="shared" si="36"/>
        <v>#REF!</v>
      </c>
      <c r="AN68" s="70" t="e">
        <f t="shared" si="36"/>
        <v>#REF!</v>
      </c>
      <c r="AO68" s="70" t="e">
        <f t="shared" si="36"/>
        <v>#REF!</v>
      </c>
      <c r="AP68" s="70"/>
      <c r="AQ68" s="70"/>
      <c r="AR68" s="70" t="e">
        <f t="shared" ref="AR68:BA68" si="37">AR27+AR28+AR33</f>
        <v>#REF!</v>
      </c>
      <c r="AS68" s="70" t="e">
        <f t="shared" si="37"/>
        <v>#REF!</v>
      </c>
      <c r="AT68" s="70" t="e">
        <f t="shared" si="37"/>
        <v>#REF!</v>
      </c>
      <c r="AU68" s="70" t="e">
        <f t="shared" si="37"/>
        <v>#REF!</v>
      </c>
      <c r="AV68" s="70" t="e">
        <f t="shared" si="37"/>
        <v>#REF!</v>
      </c>
      <c r="AW68" s="70" t="e">
        <f t="shared" si="37"/>
        <v>#REF!</v>
      </c>
      <c r="AX68" s="70" t="e">
        <f t="shared" si="37"/>
        <v>#REF!</v>
      </c>
      <c r="AY68" s="70" t="e">
        <f t="shared" si="37"/>
        <v>#REF!</v>
      </c>
      <c r="AZ68" s="70" t="e">
        <f t="shared" si="37"/>
        <v>#REF!</v>
      </c>
      <c r="BA68" s="70" t="e">
        <f t="shared" si="37"/>
        <v>#REF!</v>
      </c>
    </row>
    <row r="69" spans="27:53" hidden="1">
      <c r="AA69" s="71" t="s">
        <v>42</v>
      </c>
      <c r="AB69" s="35"/>
      <c r="AF69" s="70" t="e">
        <f t="shared" ref="AF69:AO69" si="38">AF38+AF39+AF44</f>
        <v>#REF!</v>
      </c>
      <c r="AG69" s="70" t="e">
        <f t="shared" si="38"/>
        <v>#REF!</v>
      </c>
      <c r="AH69" s="70" t="e">
        <f t="shared" si="38"/>
        <v>#REF!</v>
      </c>
      <c r="AI69" s="70" t="e">
        <f t="shared" si="38"/>
        <v>#REF!</v>
      </c>
      <c r="AJ69" s="70" t="e">
        <f t="shared" si="38"/>
        <v>#REF!</v>
      </c>
      <c r="AK69" s="70" t="e">
        <f t="shared" si="38"/>
        <v>#REF!</v>
      </c>
      <c r="AL69" s="70" t="e">
        <f t="shared" si="38"/>
        <v>#REF!</v>
      </c>
      <c r="AM69" s="70" t="e">
        <f t="shared" si="38"/>
        <v>#REF!</v>
      </c>
      <c r="AN69" s="70" t="e">
        <f t="shared" si="38"/>
        <v>#REF!</v>
      </c>
      <c r="AO69" s="70" t="e">
        <f t="shared" si="38"/>
        <v>#REF!</v>
      </c>
      <c r="AP69" s="70"/>
      <c r="AQ69" s="70"/>
      <c r="AR69" s="70" t="e">
        <f t="shared" ref="AR69:BA69" si="39">AR38+AR39+AR44</f>
        <v>#REF!</v>
      </c>
      <c r="AS69" s="70" t="e">
        <f t="shared" si="39"/>
        <v>#REF!</v>
      </c>
      <c r="AT69" s="70" t="e">
        <f t="shared" si="39"/>
        <v>#REF!</v>
      </c>
      <c r="AU69" s="70" t="e">
        <f t="shared" si="39"/>
        <v>#REF!</v>
      </c>
      <c r="AV69" s="70" t="e">
        <f t="shared" si="39"/>
        <v>#REF!</v>
      </c>
      <c r="AW69" s="70" t="e">
        <f t="shared" si="39"/>
        <v>#REF!</v>
      </c>
      <c r="AX69" s="70" t="e">
        <f t="shared" si="39"/>
        <v>#REF!</v>
      </c>
      <c r="AY69" s="70" t="e">
        <f t="shared" si="39"/>
        <v>#REF!</v>
      </c>
      <c r="AZ69" s="70" t="e">
        <f t="shared" si="39"/>
        <v>#REF!</v>
      </c>
      <c r="BA69" s="70" t="e">
        <f t="shared" si="39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0">AF16+AF17+AF21+AF23</f>
        <v>#REF!</v>
      </c>
      <c r="AG71" s="70" t="e">
        <f t="shared" si="40"/>
        <v>#REF!</v>
      </c>
      <c r="AH71" s="70" t="e">
        <f t="shared" si="40"/>
        <v>#REF!</v>
      </c>
      <c r="AI71" s="70" t="e">
        <f t="shared" si="40"/>
        <v>#REF!</v>
      </c>
      <c r="AJ71" s="70" t="e">
        <f t="shared" si="40"/>
        <v>#REF!</v>
      </c>
      <c r="AK71" s="70" t="e">
        <f t="shared" si="40"/>
        <v>#REF!</v>
      </c>
      <c r="AL71" s="70" t="e">
        <f t="shared" si="40"/>
        <v>#REF!</v>
      </c>
      <c r="AM71" s="70" t="e">
        <f t="shared" si="40"/>
        <v>#REF!</v>
      </c>
      <c r="AN71" s="70" t="e">
        <f t="shared" si="40"/>
        <v>#REF!</v>
      </c>
      <c r="AO71" s="70" t="e">
        <f t="shared" si="40"/>
        <v>#REF!</v>
      </c>
      <c r="AP71" s="70"/>
      <c r="AQ71" s="70"/>
      <c r="AR71" s="70" t="e">
        <f t="shared" ref="AR71:BA71" si="41">AR16+AR17+AR21+AR23</f>
        <v>#REF!</v>
      </c>
      <c r="AS71" s="70" t="e">
        <f t="shared" si="41"/>
        <v>#REF!</v>
      </c>
      <c r="AT71" s="70" t="e">
        <f t="shared" si="41"/>
        <v>#REF!</v>
      </c>
      <c r="AU71" s="70" t="e">
        <f t="shared" si="41"/>
        <v>#REF!</v>
      </c>
      <c r="AV71" s="70" t="e">
        <f t="shared" si="41"/>
        <v>#REF!</v>
      </c>
      <c r="AW71" s="70" t="e">
        <f t="shared" si="41"/>
        <v>#REF!</v>
      </c>
      <c r="AX71" s="70" t="e">
        <f t="shared" si="41"/>
        <v>#REF!</v>
      </c>
      <c r="AY71" s="70" t="e">
        <f t="shared" si="41"/>
        <v>#REF!</v>
      </c>
      <c r="AZ71" s="70" t="e">
        <f t="shared" si="41"/>
        <v>#REF!</v>
      </c>
      <c r="BA71" s="70" t="e">
        <f t="shared" si="41"/>
        <v>#REF!</v>
      </c>
    </row>
    <row r="72" spans="27:53" hidden="1">
      <c r="AA72" s="71" t="s">
        <v>41</v>
      </c>
      <c r="AB72" s="35"/>
      <c r="AF72" s="70" t="e">
        <f t="shared" ref="AF72:AO72" si="42">AF27+AF28+AF32+AF34</f>
        <v>#REF!</v>
      </c>
      <c r="AG72" s="70" t="e">
        <f t="shared" si="42"/>
        <v>#REF!</v>
      </c>
      <c r="AH72" s="70" t="e">
        <f t="shared" si="42"/>
        <v>#REF!</v>
      </c>
      <c r="AI72" s="70" t="e">
        <f t="shared" si="42"/>
        <v>#REF!</v>
      </c>
      <c r="AJ72" s="70" t="e">
        <f t="shared" si="42"/>
        <v>#REF!</v>
      </c>
      <c r="AK72" s="70" t="e">
        <f t="shared" si="42"/>
        <v>#REF!</v>
      </c>
      <c r="AL72" s="70" t="e">
        <f t="shared" si="42"/>
        <v>#REF!</v>
      </c>
      <c r="AM72" s="70" t="e">
        <f t="shared" si="42"/>
        <v>#REF!</v>
      </c>
      <c r="AN72" s="70" t="e">
        <f t="shared" si="42"/>
        <v>#REF!</v>
      </c>
      <c r="AO72" s="70" t="e">
        <f t="shared" si="42"/>
        <v>#REF!</v>
      </c>
      <c r="AP72" s="70"/>
      <c r="AQ72" s="70"/>
      <c r="AR72" s="70" t="e">
        <f t="shared" ref="AR72:BA72" si="43">AR27+AR28+AR32+AR34</f>
        <v>#REF!</v>
      </c>
      <c r="AS72" s="70" t="e">
        <f t="shared" si="43"/>
        <v>#REF!</v>
      </c>
      <c r="AT72" s="70" t="e">
        <f t="shared" si="43"/>
        <v>#REF!</v>
      </c>
      <c r="AU72" s="70" t="e">
        <f t="shared" si="43"/>
        <v>#REF!</v>
      </c>
      <c r="AV72" s="70" t="e">
        <f t="shared" si="43"/>
        <v>#REF!</v>
      </c>
      <c r="AW72" s="70" t="e">
        <f t="shared" si="43"/>
        <v>#REF!</v>
      </c>
      <c r="AX72" s="70" t="e">
        <f t="shared" si="43"/>
        <v>#REF!</v>
      </c>
      <c r="AY72" s="70" t="e">
        <f t="shared" si="43"/>
        <v>#REF!</v>
      </c>
      <c r="AZ72" s="70" t="e">
        <f t="shared" si="43"/>
        <v>#REF!</v>
      </c>
      <c r="BA72" s="70" t="e">
        <f t="shared" si="43"/>
        <v>#REF!</v>
      </c>
    </row>
    <row r="73" spans="27:53" hidden="1">
      <c r="AA73" s="71" t="s">
        <v>42</v>
      </c>
      <c r="AB73" s="35"/>
      <c r="AF73" s="70" t="e">
        <f t="shared" ref="AF73:AO73" si="44">AF38+AF39+AF43+AF45</f>
        <v>#REF!</v>
      </c>
      <c r="AG73" s="70" t="e">
        <f t="shared" si="44"/>
        <v>#REF!</v>
      </c>
      <c r="AH73" s="70" t="e">
        <f t="shared" si="44"/>
        <v>#REF!</v>
      </c>
      <c r="AI73" s="70" t="e">
        <f t="shared" si="44"/>
        <v>#REF!</v>
      </c>
      <c r="AJ73" s="70" t="e">
        <f t="shared" si="44"/>
        <v>#REF!</v>
      </c>
      <c r="AK73" s="70" t="e">
        <f t="shared" si="44"/>
        <v>#REF!</v>
      </c>
      <c r="AL73" s="70" t="e">
        <f t="shared" si="44"/>
        <v>#REF!</v>
      </c>
      <c r="AM73" s="70" t="e">
        <f t="shared" si="44"/>
        <v>#REF!</v>
      </c>
      <c r="AN73" s="70" t="e">
        <f t="shared" si="44"/>
        <v>#REF!</v>
      </c>
      <c r="AO73" s="70" t="e">
        <f t="shared" si="44"/>
        <v>#REF!</v>
      </c>
      <c r="AP73" s="70"/>
      <c r="AQ73" s="70"/>
      <c r="AR73" s="70" t="e">
        <f t="shared" ref="AR73:BA73" si="45">AR38+AR39+AR43+AR45</f>
        <v>#REF!</v>
      </c>
      <c r="AS73" s="70" t="e">
        <f t="shared" si="45"/>
        <v>#REF!</v>
      </c>
      <c r="AT73" s="70" t="e">
        <f t="shared" si="45"/>
        <v>#REF!</v>
      </c>
      <c r="AU73" s="70" t="e">
        <f t="shared" si="45"/>
        <v>#REF!</v>
      </c>
      <c r="AV73" s="70" t="e">
        <f t="shared" si="45"/>
        <v>#REF!</v>
      </c>
      <c r="AW73" s="70" t="e">
        <f t="shared" si="45"/>
        <v>#REF!</v>
      </c>
      <c r="AX73" s="70" t="e">
        <f t="shared" si="45"/>
        <v>#REF!</v>
      </c>
      <c r="AY73" s="70" t="e">
        <f t="shared" si="45"/>
        <v>#REF!</v>
      </c>
      <c r="AZ73" s="70" t="e">
        <f t="shared" si="45"/>
        <v>#REF!</v>
      </c>
      <c r="BA73" s="70" t="e">
        <f t="shared" si="45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6">AF16+AF17+AF21+AF24</f>
        <v>#REF!</v>
      </c>
      <c r="AG75" s="70" t="e">
        <f t="shared" si="46"/>
        <v>#REF!</v>
      </c>
      <c r="AH75" s="70" t="e">
        <f t="shared" si="46"/>
        <v>#REF!</v>
      </c>
      <c r="AI75" s="70" t="e">
        <f t="shared" si="46"/>
        <v>#REF!</v>
      </c>
      <c r="AJ75" s="70" t="e">
        <f t="shared" si="46"/>
        <v>#REF!</v>
      </c>
      <c r="AK75" s="70" t="e">
        <f t="shared" si="46"/>
        <v>#REF!</v>
      </c>
      <c r="AL75" s="70" t="e">
        <f t="shared" si="46"/>
        <v>#REF!</v>
      </c>
      <c r="AM75" s="70" t="e">
        <f t="shared" si="46"/>
        <v>#REF!</v>
      </c>
      <c r="AN75" s="70" t="e">
        <f t="shared" si="46"/>
        <v>#REF!</v>
      </c>
      <c r="AO75" s="70" t="e">
        <f t="shared" si="46"/>
        <v>#REF!</v>
      </c>
      <c r="AP75" s="70"/>
      <c r="AQ75" s="70"/>
      <c r="AR75" s="70" t="e">
        <f t="shared" ref="AR75:BA75" si="47">AR16+AR17+AR21+AR24</f>
        <v>#REF!</v>
      </c>
      <c r="AS75" s="70" t="e">
        <f t="shared" si="47"/>
        <v>#REF!</v>
      </c>
      <c r="AT75" s="70" t="e">
        <f t="shared" si="47"/>
        <v>#REF!</v>
      </c>
      <c r="AU75" s="70" t="e">
        <f t="shared" si="47"/>
        <v>#REF!</v>
      </c>
      <c r="AV75" s="70" t="e">
        <f t="shared" si="47"/>
        <v>#REF!</v>
      </c>
      <c r="AW75" s="70" t="e">
        <f t="shared" si="47"/>
        <v>#REF!</v>
      </c>
      <c r="AX75" s="70" t="e">
        <f t="shared" si="47"/>
        <v>#REF!</v>
      </c>
      <c r="AY75" s="70" t="e">
        <f t="shared" si="47"/>
        <v>#REF!</v>
      </c>
      <c r="AZ75" s="70" t="e">
        <f t="shared" si="47"/>
        <v>#REF!</v>
      </c>
      <c r="BA75" s="70" t="e">
        <f t="shared" si="47"/>
        <v>#REF!</v>
      </c>
    </row>
    <row r="76" spans="27:53" hidden="1">
      <c r="AA76" s="71" t="s">
        <v>41</v>
      </c>
      <c r="AB76" s="35"/>
      <c r="AF76" s="70" t="e">
        <f t="shared" ref="AF76:AO76" si="48">AF27+AF28+AF32+AF35</f>
        <v>#REF!</v>
      </c>
      <c r="AG76" s="70" t="e">
        <f t="shared" si="48"/>
        <v>#REF!</v>
      </c>
      <c r="AH76" s="70" t="e">
        <f t="shared" si="48"/>
        <v>#REF!</v>
      </c>
      <c r="AI76" s="70" t="e">
        <f t="shared" si="48"/>
        <v>#REF!</v>
      </c>
      <c r="AJ76" s="70" t="e">
        <f t="shared" si="48"/>
        <v>#REF!</v>
      </c>
      <c r="AK76" s="70" t="e">
        <f t="shared" si="48"/>
        <v>#REF!</v>
      </c>
      <c r="AL76" s="70" t="e">
        <f t="shared" si="48"/>
        <v>#REF!</v>
      </c>
      <c r="AM76" s="70" t="e">
        <f t="shared" si="48"/>
        <v>#REF!</v>
      </c>
      <c r="AN76" s="70" t="e">
        <f t="shared" si="48"/>
        <v>#REF!</v>
      </c>
      <c r="AO76" s="70" t="e">
        <f t="shared" si="48"/>
        <v>#REF!</v>
      </c>
      <c r="AP76" s="70"/>
      <c r="AQ76" s="70"/>
      <c r="AR76" s="70" t="e">
        <f t="shared" ref="AR76:BA76" si="49">AR27+AR28+AR32+AR35</f>
        <v>#REF!</v>
      </c>
      <c r="AS76" s="70" t="e">
        <f t="shared" si="49"/>
        <v>#REF!</v>
      </c>
      <c r="AT76" s="70" t="e">
        <f t="shared" si="49"/>
        <v>#REF!</v>
      </c>
      <c r="AU76" s="70" t="e">
        <f t="shared" si="49"/>
        <v>#REF!</v>
      </c>
      <c r="AV76" s="70" t="e">
        <f t="shared" si="49"/>
        <v>#REF!</v>
      </c>
      <c r="AW76" s="70" t="e">
        <f t="shared" si="49"/>
        <v>#REF!</v>
      </c>
      <c r="AX76" s="70" t="e">
        <f t="shared" si="49"/>
        <v>#REF!</v>
      </c>
      <c r="AY76" s="70" t="e">
        <f t="shared" si="49"/>
        <v>#REF!</v>
      </c>
      <c r="AZ76" s="70" t="e">
        <f t="shared" si="49"/>
        <v>#REF!</v>
      </c>
      <c r="BA76" s="70" t="e">
        <f t="shared" si="49"/>
        <v>#REF!</v>
      </c>
    </row>
    <row r="77" spans="27:53" hidden="1">
      <c r="AA77" s="71" t="s">
        <v>42</v>
      </c>
      <c r="AB77" s="35"/>
      <c r="AF77" s="70" t="e">
        <f t="shared" ref="AF77:AO77" si="50">AF38+AF39+AF43+AF46</f>
        <v>#REF!</v>
      </c>
      <c r="AG77" s="70" t="e">
        <f t="shared" si="50"/>
        <v>#REF!</v>
      </c>
      <c r="AH77" s="70" t="e">
        <f t="shared" si="50"/>
        <v>#REF!</v>
      </c>
      <c r="AI77" s="70" t="e">
        <f t="shared" si="50"/>
        <v>#REF!</v>
      </c>
      <c r="AJ77" s="70" t="e">
        <f t="shared" si="50"/>
        <v>#REF!</v>
      </c>
      <c r="AK77" s="70" t="e">
        <f t="shared" si="50"/>
        <v>#REF!</v>
      </c>
      <c r="AL77" s="70" t="e">
        <f t="shared" si="50"/>
        <v>#REF!</v>
      </c>
      <c r="AM77" s="70" t="e">
        <f t="shared" si="50"/>
        <v>#REF!</v>
      </c>
      <c r="AN77" s="70" t="e">
        <f t="shared" si="50"/>
        <v>#REF!</v>
      </c>
      <c r="AO77" s="70" t="e">
        <f t="shared" si="50"/>
        <v>#REF!</v>
      </c>
      <c r="AP77" s="70"/>
      <c r="AQ77" s="70"/>
      <c r="AR77" s="70" t="e">
        <f t="shared" ref="AR77:BA77" si="51">AR38+AR39+AR43+AR46</f>
        <v>#REF!</v>
      </c>
      <c r="AS77" s="70" t="e">
        <f t="shared" si="51"/>
        <v>#REF!</v>
      </c>
      <c r="AT77" s="70" t="e">
        <f t="shared" si="51"/>
        <v>#REF!</v>
      </c>
      <c r="AU77" s="70" t="e">
        <f t="shared" si="51"/>
        <v>#REF!</v>
      </c>
      <c r="AV77" s="70" t="e">
        <f t="shared" si="51"/>
        <v>#REF!</v>
      </c>
      <c r="AW77" s="70" t="e">
        <f t="shared" si="51"/>
        <v>#REF!</v>
      </c>
      <c r="AX77" s="70" t="e">
        <f t="shared" si="51"/>
        <v>#REF!</v>
      </c>
      <c r="AY77" s="70" t="e">
        <f t="shared" si="51"/>
        <v>#REF!</v>
      </c>
      <c r="AZ77" s="70" t="e">
        <f t="shared" si="51"/>
        <v>#REF!</v>
      </c>
      <c r="BA77" s="70" t="e">
        <f t="shared" si="51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45" t="s">
        <v>55</v>
      </c>
      <c r="G89" s="545" t="s">
        <v>73</v>
      </c>
      <c r="H89" s="545" t="s">
        <v>74</v>
      </c>
      <c r="I89" s="545" t="s">
        <v>58</v>
      </c>
      <c r="J89" s="545" t="s">
        <v>59</v>
      </c>
      <c r="K89" s="545" t="s">
        <v>60</v>
      </c>
      <c r="L89" s="544" t="s">
        <v>75</v>
      </c>
      <c r="M89" s="544" t="s">
        <v>76</v>
      </c>
      <c r="N89" s="544" t="s">
        <v>61</v>
      </c>
      <c r="O89" s="544" t="s">
        <v>62</v>
      </c>
      <c r="P89" s="544" t="s">
        <v>63</v>
      </c>
      <c r="AN89" s="38"/>
      <c r="AZ89" s="36"/>
    </row>
    <row r="90" spans="1:52" ht="25.5">
      <c r="A90" s="44" t="str">
        <f t="shared" ref="A90:C92" si="52">A4</f>
        <v>Substation General Construction</v>
      </c>
      <c r="B90" s="45" t="str">
        <f t="shared" si="52"/>
        <v>Light-Duty Truck, catalyst</v>
      </c>
      <c r="C90" s="46">
        <f t="shared" si="52"/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2" si="53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si="52"/>
        <v>Substation Above Grade Construction</v>
      </c>
      <c r="B91" s="45" t="str">
        <f t="shared" si="52"/>
        <v>Light-Duty Truck, catalyst</v>
      </c>
      <c r="C91" s="46">
        <f t="shared" si="52"/>
        <v>7</v>
      </c>
      <c r="D91" s="46">
        <v>35</v>
      </c>
      <c r="E91" s="46">
        <v>80</v>
      </c>
      <c r="F91" s="50">
        <f>C5*($E5*$F5+($G5))/453.59</f>
        <v>3.4000357011664404</v>
      </c>
      <c r="G91" s="50">
        <f>C5*($E5*$H5+($I5))/453.59</f>
        <v>0.30569460106064605</v>
      </c>
      <c r="H91" s="50">
        <f t="shared" ref="H91:H92" si="54">C5*(($E5*$J5)+($K5)+($L5)+($E5*$N5)+(($M5+$O5)))/453.59</f>
        <v>0.35349986226767327</v>
      </c>
      <c r="I91" s="50">
        <f>C5*($E5*$P5+($Q5))/453.59</f>
        <v>5.0875791901243113E-3</v>
      </c>
      <c r="J91" s="50">
        <f>C5*(($E5*($R5+$T5+$U5))+($S5))/453.59</f>
        <v>5.9668633186455274E-2</v>
      </c>
      <c r="K91" s="50">
        <f>$C5*(($E5*($V5+$X5+$Y5))+($W5))/453.59</f>
        <v>2.5984037269771994E-2</v>
      </c>
      <c r="L91" s="50">
        <f>$B$23*C5*(E5+6)</f>
        <v>5.9070078102503296E-2</v>
      </c>
      <c r="M91" s="50">
        <f t="shared" si="53"/>
        <v>2.4218732022026349E-2</v>
      </c>
      <c r="N91" s="50">
        <f>C5*($E5*$Z5+($AA5))/453.59</f>
        <v>387.96503708227226</v>
      </c>
      <c r="O91" s="50">
        <f>C5*($E5*$AB5+($AC5))/453.59</f>
        <v>2.2193327723211743E-2</v>
      </c>
      <c r="P91" s="50">
        <f>C5*($E5*$AD5+($AE5))/453.59</f>
        <v>4.0397839396903522E-2</v>
      </c>
      <c r="AN91" s="38"/>
      <c r="AZ91" s="36"/>
    </row>
    <row r="92" spans="1:52" ht="25.5">
      <c r="A92" s="44" t="str">
        <f t="shared" si="52"/>
        <v>Substation Wiring</v>
      </c>
      <c r="B92" s="45" t="str">
        <f t="shared" si="52"/>
        <v>Light-Duty Truck, catalyst</v>
      </c>
      <c r="C92" s="46">
        <f t="shared" si="52"/>
        <v>2</v>
      </c>
      <c r="D92" s="46">
        <v>35</v>
      </c>
      <c r="E92" s="46">
        <v>80</v>
      </c>
      <c r="F92" s="50">
        <f>C6*($E6*$F6+($G6))/453.59</f>
        <v>0.97143877176184013</v>
      </c>
      <c r="G92" s="50">
        <f>C6*($E6*$H6+($I6))/453.59</f>
        <v>8.7341314588756019E-2</v>
      </c>
      <c r="H92" s="50">
        <f t="shared" si="54"/>
        <v>0.10099996064790666</v>
      </c>
      <c r="I92" s="50">
        <f>C6*($E6*$P6+($Q6))/453.59</f>
        <v>1.4535940543212319E-3</v>
      </c>
      <c r="J92" s="50">
        <f>C6*(($E6*($R6+$T6+$U6))+($S6))/453.59</f>
        <v>1.7048180910415794E-2</v>
      </c>
      <c r="K92" s="50">
        <f>$C6*(($E6*($V6+$X6+$Y6))+($W6))/453.59</f>
        <v>7.4240106485062834E-3</v>
      </c>
      <c r="L92" s="50">
        <f>$B$23*C6*(E6+6)</f>
        <v>1.6877165172143799E-2</v>
      </c>
      <c r="M92" s="50">
        <f t="shared" si="53"/>
        <v>6.9196377205789569E-3</v>
      </c>
      <c r="N92" s="50">
        <f>C6*($E6*$Z6+($AA6))/453.59</f>
        <v>110.84715345207779</v>
      </c>
      <c r="O92" s="50">
        <f>C6*($E6*$AB6+($AC6))/453.59</f>
        <v>6.3409507780604986E-3</v>
      </c>
      <c r="P92" s="50">
        <f>C6*($E6*$AD6+($AE6))/453.59</f>
        <v>1.1542239827686721E-2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 t="shared" ref="F93:P93" si="55">SUM(F90:F92)</f>
        <v>5.8286326305710405</v>
      </c>
      <c r="G93" s="81">
        <f t="shared" si="55"/>
        <v>0.52404788753253606</v>
      </c>
      <c r="H93" s="81">
        <f t="shared" si="55"/>
        <v>0.60599976388743992</v>
      </c>
      <c r="I93" s="81">
        <f t="shared" si="55"/>
        <v>8.7215643259273903E-3</v>
      </c>
      <c r="J93" s="81">
        <f t="shared" si="55"/>
        <v>0.10228908546249475</v>
      </c>
      <c r="K93" s="81">
        <f t="shared" si="55"/>
        <v>4.4544063891037704E-2</v>
      </c>
      <c r="L93" s="81">
        <f t="shared" si="55"/>
        <v>0.10126299103286279</v>
      </c>
      <c r="M93" s="81">
        <f t="shared" si="55"/>
        <v>4.1517826323473742E-2</v>
      </c>
      <c r="N93" s="81">
        <f t="shared" si="55"/>
        <v>665.08292071246672</v>
      </c>
      <c r="O93" s="81">
        <f t="shared" si="55"/>
        <v>3.8045704668362983E-2</v>
      </c>
      <c r="P93" s="81">
        <f t="shared" si="55"/>
        <v>6.9253438966120323E-2</v>
      </c>
      <c r="AN93" s="38"/>
      <c r="AZ93" s="36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1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660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399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24" t="s">
        <v>400</v>
      </c>
      <c r="B14" s="29" t="s">
        <v>27</v>
      </c>
      <c r="C14" s="97">
        <v>235</v>
      </c>
      <c r="D14" s="97"/>
      <c r="E14" s="102">
        <v>0.11792220738547983</v>
      </c>
      <c r="F14" s="102">
        <v>0.36512193352152528</v>
      </c>
      <c r="G14" s="102">
        <v>0.86781464282266541</v>
      </c>
      <c r="H14" s="102">
        <v>1.8739217498104396E-3</v>
      </c>
      <c r="I14" s="102">
        <v>2.9041712295589866E-2</v>
      </c>
      <c r="J14" s="100">
        <f t="shared" ref="J14:J15" si="4">0.89*I14</f>
        <v>2.5847123943074982E-2</v>
      </c>
      <c r="K14" s="103">
        <v>166.54541562452522</v>
      </c>
      <c r="L14" s="102">
        <v>1.063993297769634E-2</v>
      </c>
      <c r="M14" s="104">
        <f t="shared" ref="M14:M15" si="5">0.095*G14</f>
        <v>8.2442391068153209E-2</v>
      </c>
      <c r="N14" s="98">
        <v>1</v>
      </c>
      <c r="O14" s="87">
        <v>8</v>
      </c>
      <c r="P14" s="88">
        <v>4</v>
      </c>
      <c r="Q14" s="34">
        <f t="shared" ref="Q14:Y15" si="6">(E14*$N14*$O14)</f>
        <v>0.94337765908383864</v>
      </c>
      <c r="R14" s="26">
        <f t="shared" si="6"/>
        <v>2.9209754681722022</v>
      </c>
      <c r="S14" s="26">
        <f t="shared" si="6"/>
        <v>6.9425171425813232</v>
      </c>
      <c r="T14" s="26">
        <f t="shared" si="6"/>
        <v>1.4991373998483517E-2</v>
      </c>
      <c r="U14" s="26">
        <f t="shared" si="6"/>
        <v>0.23233369836471893</v>
      </c>
      <c r="V14" s="26">
        <f t="shared" si="6"/>
        <v>0.20677699154459986</v>
      </c>
      <c r="W14" s="26">
        <f t="shared" si="6"/>
        <v>1332.3633249962018</v>
      </c>
      <c r="X14" s="26">
        <f t="shared" si="6"/>
        <v>8.5119463821570721E-2</v>
      </c>
      <c r="Y14" s="26">
        <f t="shared" si="6"/>
        <v>0.65953912854522567</v>
      </c>
    </row>
    <row r="15" spans="1:25" s="3" customFormat="1">
      <c r="A15" s="24" t="s">
        <v>297</v>
      </c>
      <c r="B15" s="29" t="s">
        <v>27</v>
      </c>
      <c r="C15" s="97">
        <v>235</v>
      </c>
      <c r="D15" s="97"/>
      <c r="E15" s="102">
        <v>0.11792220738547983</v>
      </c>
      <c r="F15" s="102">
        <v>0.36512193352152528</v>
      </c>
      <c r="G15" s="102">
        <v>0.86781464282266541</v>
      </c>
      <c r="H15" s="102">
        <v>1.8739217498104396E-3</v>
      </c>
      <c r="I15" s="102">
        <v>2.9041712295589866E-2</v>
      </c>
      <c r="J15" s="100">
        <f t="shared" si="4"/>
        <v>2.5847123943074982E-2</v>
      </c>
      <c r="K15" s="103">
        <v>166.54541562452522</v>
      </c>
      <c r="L15" s="102">
        <v>1.063993297769634E-2</v>
      </c>
      <c r="M15" s="104">
        <f t="shared" si="5"/>
        <v>8.2442391068153209E-2</v>
      </c>
      <c r="N15" s="98">
        <v>1</v>
      </c>
      <c r="O15" s="87">
        <v>8</v>
      </c>
      <c r="P15" s="88">
        <v>4</v>
      </c>
      <c r="Q15" s="34">
        <f t="shared" si="6"/>
        <v>0.94337765908383864</v>
      </c>
      <c r="R15" s="26">
        <f t="shared" si="6"/>
        <v>2.9209754681722022</v>
      </c>
      <c r="S15" s="26">
        <f t="shared" si="6"/>
        <v>6.9425171425813232</v>
      </c>
      <c r="T15" s="26">
        <f t="shared" si="6"/>
        <v>1.4991373998483517E-2</v>
      </c>
      <c r="U15" s="26">
        <f t="shared" si="6"/>
        <v>0.23233369836471893</v>
      </c>
      <c r="V15" s="26">
        <f t="shared" si="6"/>
        <v>0.20677699154459986</v>
      </c>
      <c r="W15" s="26">
        <f t="shared" si="6"/>
        <v>1332.3633249962018</v>
      </c>
      <c r="X15" s="26">
        <f t="shared" si="6"/>
        <v>8.5119463821570721E-2</v>
      </c>
      <c r="Y15" s="26">
        <f t="shared" si="6"/>
        <v>0.65953912854522567</v>
      </c>
    </row>
    <row r="16" spans="1:25" s="3" customFormat="1">
      <c r="A16" s="17" t="s">
        <v>28</v>
      </c>
      <c r="B16" s="97"/>
      <c r="C16" s="22"/>
      <c r="D16" s="22"/>
      <c r="E16" s="23"/>
      <c r="F16" s="23"/>
      <c r="G16" s="23"/>
      <c r="H16" s="23"/>
      <c r="I16" s="23"/>
      <c r="J16" s="24"/>
      <c r="K16" s="25"/>
      <c r="L16" s="23"/>
      <c r="M16" s="23"/>
      <c r="N16" s="88"/>
      <c r="O16" s="88"/>
      <c r="P16" s="88"/>
      <c r="Q16" s="27">
        <f t="shared" ref="Q16:Y16" si="7">SUM(Q14:Q15)</f>
        <v>1.8867553181676773</v>
      </c>
      <c r="R16" s="27">
        <f t="shared" si="7"/>
        <v>5.8419509363444044</v>
      </c>
      <c r="S16" s="27">
        <f t="shared" si="7"/>
        <v>13.885034285162646</v>
      </c>
      <c r="T16" s="27">
        <f t="shared" si="7"/>
        <v>2.9982747996967034E-2</v>
      </c>
      <c r="U16" s="27">
        <f t="shared" si="7"/>
        <v>0.46466739672943785</v>
      </c>
      <c r="V16" s="27">
        <f t="shared" si="7"/>
        <v>0.41355398308919972</v>
      </c>
      <c r="W16" s="27">
        <f t="shared" si="7"/>
        <v>2664.7266499924035</v>
      </c>
      <c r="X16" s="27">
        <f t="shared" si="7"/>
        <v>0.17023892764314144</v>
      </c>
      <c r="Y16" s="27">
        <f t="shared" si="7"/>
        <v>1.3190782570904513</v>
      </c>
    </row>
    <row r="17" spans="1:32" s="3" customFormat="1">
      <c r="A17" s="17"/>
      <c r="B17" s="29"/>
      <c r="C17" s="22"/>
      <c r="D17" s="22"/>
      <c r="E17" s="23"/>
      <c r="F17" s="23"/>
      <c r="G17" s="23"/>
      <c r="H17" s="23"/>
      <c r="I17" s="23"/>
      <c r="J17" s="24"/>
      <c r="K17" s="25"/>
      <c r="L17" s="23"/>
      <c r="M17" s="23"/>
      <c r="N17" s="99"/>
      <c r="O17" s="99"/>
      <c r="P17" s="99"/>
      <c r="Q17" s="27"/>
      <c r="R17" s="27"/>
      <c r="S17" s="27"/>
      <c r="T17" s="27"/>
      <c r="U17" s="27"/>
      <c r="V17" s="27"/>
      <c r="W17" s="27"/>
      <c r="X17" s="27"/>
      <c r="Y17" s="27"/>
    </row>
    <row r="18" spans="1:32" s="3" customFormat="1">
      <c r="A18" s="11" t="s">
        <v>317</v>
      </c>
      <c r="B18" s="22"/>
      <c r="C18" s="18"/>
      <c r="D18" s="22"/>
      <c r="E18" s="19"/>
      <c r="F18" s="19"/>
      <c r="G18" s="19"/>
      <c r="H18" s="19"/>
      <c r="I18" s="19"/>
      <c r="J18" s="19"/>
      <c r="K18" s="19"/>
      <c r="L18" s="19"/>
      <c r="M18" s="19"/>
      <c r="N18" s="11"/>
      <c r="O18" s="11"/>
      <c r="P18" s="11"/>
      <c r="Q18" s="27"/>
      <c r="R18" s="27"/>
      <c r="S18" s="27"/>
      <c r="T18" s="27"/>
      <c r="U18" s="27"/>
      <c r="V18" s="27"/>
      <c r="W18" s="28"/>
      <c r="X18" s="27"/>
      <c r="Y18" s="27"/>
    </row>
    <row r="19" spans="1:32" s="3" customFormat="1">
      <c r="A19" s="24" t="s">
        <v>311</v>
      </c>
      <c r="B19" s="29" t="s">
        <v>27</v>
      </c>
      <c r="C19" s="22">
        <v>175</v>
      </c>
      <c r="D19" s="22"/>
      <c r="E19" s="102">
        <v>0.11792220738547983</v>
      </c>
      <c r="F19" s="102">
        <v>0.36512193352152528</v>
      </c>
      <c r="G19" s="102">
        <v>0.86781464282266541</v>
      </c>
      <c r="H19" s="102">
        <v>1.8739217498104396E-3</v>
      </c>
      <c r="I19" s="102">
        <v>2.9041712295589866E-2</v>
      </c>
      <c r="J19" s="100">
        <f t="shared" ref="J19" si="8">0.89*I19</f>
        <v>2.5847123943074982E-2</v>
      </c>
      <c r="K19" s="103">
        <v>166.54541562452522</v>
      </c>
      <c r="L19" s="102">
        <v>1.063993297769634E-2</v>
      </c>
      <c r="M19" s="104">
        <f t="shared" ref="M19" si="9">0.095*G19</f>
        <v>8.2442391068153209E-2</v>
      </c>
      <c r="N19" s="98">
        <v>1</v>
      </c>
      <c r="O19" s="87">
        <v>2</v>
      </c>
      <c r="P19" s="363">
        <v>280</v>
      </c>
      <c r="Q19" s="34">
        <f t="shared" ref="Q19:Y19" si="10">(E19*$N19*$O19)</f>
        <v>0.23584441477095966</v>
      </c>
      <c r="R19" s="26">
        <f t="shared" si="10"/>
        <v>0.73024386704305055</v>
      </c>
      <c r="S19" s="26">
        <f t="shared" si="10"/>
        <v>1.7356292856453308</v>
      </c>
      <c r="T19" s="26">
        <f t="shared" si="10"/>
        <v>3.7478434996208792E-3</v>
      </c>
      <c r="U19" s="26">
        <f t="shared" si="10"/>
        <v>5.8083424591179732E-2</v>
      </c>
      <c r="V19" s="26">
        <f t="shared" si="10"/>
        <v>5.1694247886149965E-2</v>
      </c>
      <c r="W19" s="26">
        <f t="shared" si="10"/>
        <v>333.09083124905044</v>
      </c>
      <c r="X19" s="26">
        <f t="shared" si="10"/>
        <v>2.127986595539268E-2</v>
      </c>
      <c r="Y19" s="26">
        <f t="shared" si="10"/>
        <v>0.16488478213630642</v>
      </c>
    </row>
    <row r="20" spans="1:32" s="6" customFormat="1">
      <c r="A20" s="17" t="s">
        <v>28</v>
      </c>
      <c r="B20" s="97"/>
      <c r="C20" s="22"/>
      <c r="D20" s="22"/>
      <c r="E20" s="23"/>
      <c r="F20" s="23"/>
      <c r="G20" s="23"/>
      <c r="H20" s="23"/>
      <c r="I20" s="23"/>
      <c r="J20" s="24"/>
      <c r="K20" s="25"/>
      <c r="L20" s="23"/>
      <c r="M20" s="23"/>
      <c r="N20" s="88"/>
      <c r="O20" s="88"/>
      <c r="P20" s="88"/>
      <c r="Q20" s="27">
        <f t="shared" ref="Q20:Y20" si="11">SUM(Q19:Q19)</f>
        <v>0.23584441477095966</v>
      </c>
      <c r="R20" s="27">
        <f t="shared" si="11"/>
        <v>0.73024386704305055</v>
      </c>
      <c r="S20" s="27">
        <f t="shared" si="11"/>
        <v>1.7356292856453308</v>
      </c>
      <c r="T20" s="27">
        <f t="shared" si="11"/>
        <v>3.7478434996208792E-3</v>
      </c>
      <c r="U20" s="27">
        <f t="shared" si="11"/>
        <v>5.8083424591179732E-2</v>
      </c>
      <c r="V20" s="27">
        <f t="shared" si="11"/>
        <v>5.1694247886149965E-2</v>
      </c>
      <c r="W20" s="27">
        <f t="shared" si="11"/>
        <v>333.09083124905044</v>
      </c>
      <c r="X20" s="27">
        <f t="shared" si="11"/>
        <v>2.127986595539268E-2</v>
      </c>
      <c r="Y20" s="27">
        <f t="shared" si="11"/>
        <v>0.16488478213630642</v>
      </c>
      <c r="AF20" s="7"/>
    </row>
    <row r="21" spans="1:32">
      <c r="A21" s="17" t="s">
        <v>499</v>
      </c>
      <c r="B21" s="549"/>
      <c r="C21" s="18"/>
      <c r="D21" s="22"/>
      <c r="E21" s="19"/>
      <c r="F21" s="19"/>
      <c r="G21" s="19"/>
      <c r="H21" s="19"/>
      <c r="I21" s="19"/>
      <c r="J21" s="19"/>
      <c r="K21" s="19"/>
      <c r="L21" s="19"/>
      <c r="M21" s="19"/>
      <c r="N21" s="30"/>
      <c r="O21" s="30"/>
      <c r="P21" s="364"/>
      <c r="Q21" s="20">
        <f>Q11+Q16+Q20</f>
        <v>2.8371768560302342</v>
      </c>
      <c r="R21" s="20">
        <f t="shared" ref="R21:Y21" si="12">R11+R16+R20</f>
        <v>9.5263540143458485</v>
      </c>
      <c r="S21" s="20">
        <f t="shared" si="12"/>
        <v>20.041720016947135</v>
      </c>
      <c r="T21" s="20">
        <f t="shared" si="12"/>
        <v>4.205365773266579E-2</v>
      </c>
      <c r="U21" s="20">
        <f t="shared" si="12"/>
        <v>0.76855911363666507</v>
      </c>
      <c r="V21" s="20">
        <f t="shared" si="12"/>
        <v>0.68401761113663184</v>
      </c>
      <c r="W21" s="20">
        <f t="shared" si="12"/>
        <v>3694.2709737264822</v>
      </c>
      <c r="X21" s="20">
        <f t="shared" si="12"/>
        <v>0.26405859978910384</v>
      </c>
      <c r="Y21" s="20">
        <f t="shared" si="12"/>
        <v>1.9039634016099776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4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661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C9*(F9)*$B$229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C10*(F10)*$B$229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336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C14*(F14)*$B$171</f>
        <v>0</v>
      </c>
      <c r="AA14" s="50">
        <f>Z14*0.21</f>
        <v>0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0.19978255106729004</v>
      </c>
      <c r="U15" s="81">
        <f t="shared" si="1"/>
        <v>0.36881875565943734</v>
      </c>
      <c r="V15" s="81">
        <f t="shared" si="1"/>
        <v>4.50613455258927E-2</v>
      </c>
      <c r="W15" s="81">
        <f t="shared" si="1"/>
        <v>2.7797226812149543E-3</v>
      </c>
      <c r="X15" s="81">
        <f t="shared" si="1"/>
        <v>7.2738929740302244E-2</v>
      </c>
      <c r="Y15" s="81">
        <f t="shared" si="1"/>
        <v>4.8332197965954803E-2</v>
      </c>
      <c r="Z15" s="81">
        <f t="shared" si="1"/>
        <v>0</v>
      </c>
      <c r="AA15" s="81">
        <f t="shared" si="1"/>
        <v>0</v>
      </c>
      <c r="AB15" s="81">
        <f t="shared" si="1"/>
        <v>193.62821118051326</v>
      </c>
      <c r="AC15" s="81">
        <f t="shared" si="1"/>
        <v>1.1064496871488068E-2</v>
      </c>
      <c r="AD15" s="81">
        <f t="shared" si="1"/>
        <v>4.9599802576000274E-3</v>
      </c>
    </row>
    <row r="16" spans="1:30">
      <c r="A16" s="75"/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</row>
    <row r="17" spans="1:30">
      <c r="A17" s="114" t="s">
        <v>335</v>
      </c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61"/>
      <c r="U17" s="61"/>
      <c r="V17" s="61"/>
      <c r="W17" s="61"/>
      <c r="X17" s="61"/>
      <c r="Y17" s="61"/>
      <c r="Z17" s="62"/>
      <c r="AA17" s="62"/>
      <c r="AB17" s="62"/>
      <c r="AC17" s="62"/>
      <c r="AD17" s="62"/>
    </row>
    <row r="18" spans="1:30">
      <c r="A18" s="78" t="s">
        <v>311</v>
      </c>
      <c r="B18" s="76" t="s">
        <v>105</v>
      </c>
      <c r="C18" s="374">
        <v>1</v>
      </c>
      <c r="D18" s="77"/>
      <c r="E18" s="77">
        <v>35</v>
      </c>
      <c r="F18" s="77">
        <v>80</v>
      </c>
      <c r="G18" s="106">
        <v>1.08263976628415</v>
      </c>
      <c r="H18" s="106">
        <v>4.9712718909585103</v>
      </c>
      <c r="I18" s="106">
        <v>0.26248012575016899</v>
      </c>
      <c r="J18" s="106">
        <v>1.0711818E-2</v>
      </c>
      <c r="K18" s="106">
        <v>7.1679901072141505E-2</v>
      </c>
      <c r="L18" s="576">
        <v>3.59998119015979E-2</v>
      </c>
      <c r="M18" s="576">
        <v>6.1739677411240299E-2</v>
      </c>
      <c r="N18" s="106">
        <v>6.5945508986370194E-2</v>
      </c>
      <c r="O18" s="576">
        <v>2.9999843251331498E-3</v>
      </c>
      <c r="P18" s="576">
        <v>5.5859708133979398E-2</v>
      </c>
      <c r="Q18" s="106">
        <v>1710.7260798814</v>
      </c>
      <c r="R18" s="47">
        <v>1.5235246282551899E-2</v>
      </c>
      <c r="S18" s="80">
        <f>0.000025616*Q18</f>
        <v>4.3821959262241944E-2</v>
      </c>
      <c r="T18" s="50">
        <f>C18*($F18*$G18)/453.59</f>
        <v>0.19094596728925242</v>
      </c>
      <c r="U18" s="50">
        <f>C18*($F18*$H18)/453.59</f>
        <v>0.87678685878586582</v>
      </c>
      <c r="V18" s="50">
        <f>C18*(($F18*$I18))/453.59</f>
        <v>4.6293811724274173E-2</v>
      </c>
      <c r="W18" s="50">
        <f>C18*($F18*$J18)/453.59</f>
        <v>1.8892511739676801E-3</v>
      </c>
      <c r="X18" s="50">
        <f>C18*(($F18*($K18+$L18+$M18)))/453.59</f>
        <v>2.9880621774726907E-2</v>
      </c>
      <c r="Y18" s="50">
        <f>C18*(($F18*($N18+$O18+$P18)))/453.59</f>
        <v>2.2011984646131133E-2</v>
      </c>
      <c r="Z18" s="50">
        <f>C18*(F18)*$B$229</f>
        <v>0</v>
      </c>
      <c r="AA18" s="50">
        <f>Z18*0.21</f>
        <v>0</v>
      </c>
      <c r="AB18" s="50">
        <f>C18*(($F18*($Q18)))/453.59</f>
        <v>301.72200972356535</v>
      </c>
      <c r="AC18" s="50">
        <f>C18*(($F18*($R18)))/453.59</f>
        <v>2.6870515280410772E-3</v>
      </c>
      <c r="AD18" s="50">
        <f>C18*(($F18*($S18)))/453.59</f>
        <v>7.7289110010788503E-3</v>
      </c>
    </row>
    <row r="19" spans="1:30">
      <c r="A19" s="75" t="s">
        <v>28</v>
      </c>
      <c r="B19" s="74"/>
      <c r="C19" s="112"/>
      <c r="D19" s="112"/>
      <c r="E19" s="74"/>
      <c r="F19" s="74"/>
      <c r="G19" s="577"/>
      <c r="H19" s="41"/>
      <c r="I19" s="41"/>
      <c r="J19" s="41"/>
      <c r="K19" s="574"/>
      <c r="L19" s="574"/>
      <c r="M19" s="574"/>
      <c r="N19" s="574"/>
      <c r="O19" s="574"/>
      <c r="P19" s="574"/>
      <c r="Q19" s="41"/>
      <c r="R19" s="574"/>
      <c r="S19" s="574"/>
      <c r="T19" s="81">
        <f t="shared" ref="T19:AD19" si="2">SUM(T18:T18)</f>
        <v>0.19094596728925242</v>
      </c>
      <c r="U19" s="81">
        <f t="shared" si="2"/>
        <v>0.87678685878586582</v>
      </c>
      <c r="V19" s="81">
        <f t="shared" si="2"/>
        <v>4.6293811724274173E-2</v>
      </c>
      <c r="W19" s="81">
        <f t="shared" si="2"/>
        <v>1.8892511739676801E-3</v>
      </c>
      <c r="X19" s="81">
        <f t="shared" si="2"/>
        <v>2.9880621774726907E-2</v>
      </c>
      <c r="Y19" s="81">
        <f t="shared" si="2"/>
        <v>2.2011984646131133E-2</v>
      </c>
      <c r="Z19" s="81">
        <f t="shared" si="2"/>
        <v>0</v>
      </c>
      <c r="AA19" s="81">
        <f t="shared" si="2"/>
        <v>0</v>
      </c>
      <c r="AB19" s="81">
        <f t="shared" si="2"/>
        <v>301.72200972356535</v>
      </c>
      <c r="AC19" s="81">
        <f t="shared" si="2"/>
        <v>2.6870515280410772E-3</v>
      </c>
      <c r="AD19" s="81">
        <f t="shared" si="2"/>
        <v>7.7289110010788503E-3</v>
      </c>
    </row>
    <row r="20" spans="1:30">
      <c r="A20" s="75" t="s">
        <v>388</v>
      </c>
      <c r="B20" s="74"/>
      <c r="C20" s="112"/>
      <c r="D20" s="112"/>
      <c r="E20" s="74"/>
      <c r="F20" s="74"/>
      <c r="G20" s="547"/>
      <c r="H20" s="41"/>
      <c r="I20" s="41"/>
      <c r="J20" s="41"/>
      <c r="K20" s="544"/>
      <c r="L20" s="544"/>
      <c r="M20" s="544"/>
      <c r="N20" s="544"/>
      <c r="O20" s="544"/>
      <c r="P20" s="544"/>
      <c r="Q20" s="41"/>
      <c r="R20" s="544"/>
      <c r="S20" s="544"/>
      <c r="T20" s="81">
        <f>T11+T15+T19</f>
        <v>0.6815657611794399</v>
      </c>
      <c r="U20" s="81">
        <f t="shared" ref="U20:AD20" si="3">U11+U15+U19</f>
        <v>2.3068018510608876</v>
      </c>
      <c r="V20" s="81">
        <f t="shared" si="3"/>
        <v>0.16017964173738741</v>
      </c>
      <c r="W20" s="81">
        <f t="shared" si="3"/>
        <v>7.9480863697577921E-3</v>
      </c>
      <c r="X20" s="81">
        <f t="shared" si="3"/>
        <v>0.16886963815990719</v>
      </c>
      <c r="Y20" s="81">
        <f t="shared" si="3"/>
        <v>0.11652226624119447</v>
      </c>
      <c r="Z20" s="81">
        <f t="shared" si="3"/>
        <v>0</v>
      </c>
      <c r="AA20" s="81">
        <f t="shared" si="3"/>
        <v>0</v>
      </c>
      <c r="AB20" s="81">
        <f t="shared" si="3"/>
        <v>893.88633621790063</v>
      </c>
      <c r="AC20" s="81">
        <f t="shared" si="3"/>
        <v>2.1970848363314255E-2</v>
      </c>
      <c r="AD20" s="81">
        <f t="shared" si="3"/>
        <v>2.2897792388557742E-2</v>
      </c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372" spans="1:2" ht="25.5">
      <c r="A372" s="82" t="s">
        <v>109</v>
      </c>
    </row>
    <row r="374" spans="1:2">
      <c r="A374" s="36" t="s">
        <v>81</v>
      </c>
    </row>
    <row r="375" spans="1:2">
      <c r="A375" s="36" t="s">
        <v>82</v>
      </c>
    </row>
    <row r="376" spans="1:2">
      <c r="A376" s="36" t="s">
        <v>83</v>
      </c>
    </row>
    <row r="377" spans="1:2">
      <c r="A377" s="37" t="s">
        <v>96</v>
      </c>
    </row>
    <row r="378" spans="1:2">
      <c r="A378" s="36" t="s">
        <v>85</v>
      </c>
    </row>
    <row r="379" spans="1:2">
      <c r="A379" s="36" t="s">
        <v>86</v>
      </c>
    </row>
    <row r="380" spans="1:2">
      <c r="A380" s="36" t="s">
        <v>87</v>
      </c>
    </row>
    <row r="381" spans="1:2">
      <c r="A381" s="36" t="s">
        <v>0</v>
      </c>
    </row>
    <row r="382" spans="1:2">
      <c r="A382" s="37" t="s">
        <v>97</v>
      </c>
      <c r="B382" s="36">
        <f>(0.016*(0.03/2)^0.65*(2/3)^1.5)-0.00047</f>
        <v>9.8123053326417428E-5</v>
      </c>
    </row>
    <row r="383" spans="1:2">
      <c r="A383" s="37" t="s">
        <v>98</v>
      </c>
      <c r="B383" s="36">
        <f>(0.016*(0.03/2)^0.65*(13/3)^1.5)-0.00047</f>
        <v>8.9448292388582783E-3</v>
      </c>
    </row>
    <row r="384" spans="1:2">
      <c r="A384" s="37" t="s">
        <v>99</v>
      </c>
      <c r="B384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662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67" ht="25.5">
      <c r="A5" s="44" t="s">
        <v>336</v>
      </c>
      <c r="B5" s="45" t="s">
        <v>102</v>
      </c>
      <c r="C5" s="46">
        <v>5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335</v>
      </c>
      <c r="B6" s="45" t="s">
        <v>102</v>
      </c>
      <c r="C6" s="46">
        <v>1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546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2">AG$11*$AC16</f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>AR$11*$AC16</f>
        <v>#REF!</v>
      </c>
      <c r="AS16" s="36" t="e">
        <f t="shared" ref="AS16:BA24" si="3">AS$11*$AC16</f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4">AF$11*$AC17</f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ref="AR17:AR24" si="5">AR$11*$AC17</f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6">AF$11*$AC27</f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ref="AR27:BA35" si="7">AR$11*$AC27</f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8">AF$11*$AC38</f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ref="AR38:BA46" si="9">AR$11*$AC38</f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0">AF16+AF18+AF19</f>
        <v>#REF!</v>
      </c>
      <c r="AG51" s="70" t="e">
        <f t="shared" si="10"/>
        <v>#REF!</v>
      </c>
      <c r="AH51" s="70" t="e">
        <f t="shared" si="10"/>
        <v>#REF!</v>
      </c>
      <c r="AI51" s="70" t="e">
        <f t="shared" si="10"/>
        <v>#REF!</v>
      </c>
      <c r="AJ51" s="70" t="e">
        <f t="shared" si="10"/>
        <v>#REF!</v>
      </c>
      <c r="AK51" s="70" t="e">
        <f t="shared" si="10"/>
        <v>#REF!</v>
      </c>
      <c r="AL51" s="70" t="e">
        <f t="shared" si="10"/>
        <v>#REF!</v>
      </c>
      <c r="AM51" s="70" t="e">
        <f t="shared" si="10"/>
        <v>#REF!</v>
      </c>
      <c r="AN51" s="70" t="e">
        <f t="shared" si="10"/>
        <v>#REF!</v>
      </c>
      <c r="AO51" s="70" t="e">
        <f t="shared" si="10"/>
        <v>#REF!</v>
      </c>
      <c r="AP51" s="70"/>
      <c r="AQ51" s="70"/>
      <c r="AR51" s="70" t="e">
        <f t="shared" ref="AR51:BA51" si="11">AR16+AR18+AR19</f>
        <v>#REF!</v>
      </c>
      <c r="AS51" s="70" t="e">
        <f t="shared" si="11"/>
        <v>#REF!</v>
      </c>
      <c r="AT51" s="70" t="e">
        <f t="shared" si="11"/>
        <v>#REF!</v>
      </c>
      <c r="AU51" s="70" t="e">
        <f t="shared" si="11"/>
        <v>#REF!</v>
      </c>
      <c r="AV51" s="70" t="e">
        <f t="shared" si="11"/>
        <v>#REF!</v>
      </c>
      <c r="AW51" s="70" t="e">
        <f t="shared" si="11"/>
        <v>#REF!</v>
      </c>
      <c r="AX51" s="70" t="e">
        <f t="shared" si="11"/>
        <v>#REF!</v>
      </c>
      <c r="AY51" s="70" t="e">
        <f t="shared" si="11"/>
        <v>#REF!</v>
      </c>
      <c r="AZ51" s="70" t="e">
        <f t="shared" si="11"/>
        <v>#REF!</v>
      </c>
      <c r="BA51" s="70" t="e">
        <f t="shared" si="11"/>
        <v>#REF!</v>
      </c>
    </row>
    <row r="52" spans="27:53" hidden="1">
      <c r="AA52" s="71" t="s">
        <v>41</v>
      </c>
      <c r="AB52" s="35"/>
      <c r="AF52" s="70" t="e">
        <f t="shared" ref="AF52:AO52" si="12">AF27+AF29+AF30</f>
        <v>#REF!</v>
      </c>
      <c r="AG52" s="70" t="e">
        <f t="shared" si="12"/>
        <v>#REF!</v>
      </c>
      <c r="AH52" s="70" t="e">
        <f t="shared" si="12"/>
        <v>#REF!</v>
      </c>
      <c r="AI52" s="70" t="e">
        <f t="shared" si="12"/>
        <v>#REF!</v>
      </c>
      <c r="AJ52" s="70" t="e">
        <f t="shared" si="12"/>
        <v>#REF!</v>
      </c>
      <c r="AK52" s="70" t="e">
        <f t="shared" si="12"/>
        <v>#REF!</v>
      </c>
      <c r="AL52" s="70" t="e">
        <f t="shared" si="12"/>
        <v>#REF!</v>
      </c>
      <c r="AM52" s="70" t="e">
        <f t="shared" si="12"/>
        <v>#REF!</v>
      </c>
      <c r="AN52" s="70" t="e">
        <f t="shared" si="12"/>
        <v>#REF!</v>
      </c>
      <c r="AO52" s="70" t="e">
        <f t="shared" si="12"/>
        <v>#REF!</v>
      </c>
      <c r="AP52" s="70"/>
      <c r="AQ52" s="70"/>
      <c r="AR52" s="70" t="e">
        <f t="shared" ref="AR52:BA52" si="13">AR27+AR29+AR30</f>
        <v>#REF!</v>
      </c>
      <c r="AS52" s="70" t="e">
        <f t="shared" si="13"/>
        <v>#REF!</v>
      </c>
      <c r="AT52" s="70" t="e">
        <f t="shared" si="13"/>
        <v>#REF!</v>
      </c>
      <c r="AU52" s="70" t="e">
        <f t="shared" si="13"/>
        <v>#REF!</v>
      </c>
      <c r="AV52" s="70" t="e">
        <f t="shared" si="13"/>
        <v>#REF!</v>
      </c>
      <c r="AW52" s="70" t="e">
        <f t="shared" si="13"/>
        <v>#REF!</v>
      </c>
      <c r="AX52" s="70" t="e">
        <f t="shared" si="13"/>
        <v>#REF!</v>
      </c>
      <c r="AY52" s="70" t="e">
        <f t="shared" si="13"/>
        <v>#REF!</v>
      </c>
      <c r="AZ52" s="70" t="e">
        <f t="shared" si="13"/>
        <v>#REF!</v>
      </c>
      <c r="BA52" s="70" t="e">
        <f t="shared" si="13"/>
        <v>#REF!</v>
      </c>
    </row>
    <row r="53" spans="27:53" hidden="1">
      <c r="AA53" s="71" t="s">
        <v>42</v>
      </c>
      <c r="AB53" s="35"/>
      <c r="AF53" s="70" t="e">
        <f t="shared" ref="AF53:AO53" si="14">AF38+AF40+AF41</f>
        <v>#REF!</v>
      </c>
      <c r="AG53" s="70" t="e">
        <f t="shared" si="14"/>
        <v>#REF!</v>
      </c>
      <c r="AH53" s="70" t="e">
        <f t="shared" si="14"/>
        <v>#REF!</v>
      </c>
      <c r="AI53" s="70" t="e">
        <f t="shared" si="14"/>
        <v>#REF!</v>
      </c>
      <c r="AJ53" s="70" t="e">
        <f t="shared" si="14"/>
        <v>#REF!</v>
      </c>
      <c r="AK53" s="70" t="e">
        <f t="shared" si="14"/>
        <v>#REF!</v>
      </c>
      <c r="AL53" s="70" t="e">
        <f t="shared" si="14"/>
        <v>#REF!</v>
      </c>
      <c r="AM53" s="70" t="e">
        <f t="shared" si="14"/>
        <v>#REF!</v>
      </c>
      <c r="AN53" s="70" t="e">
        <f t="shared" si="14"/>
        <v>#REF!</v>
      </c>
      <c r="AO53" s="70" t="e">
        <f t="shared" si="14"/>
        <v>#REF!</v>
      </c>
      <c r="AP53" s="70"/>
      <c r="AQ53" s="70"/>
      <c r="AR53" s="70" t="e">
        <f t="shared" ref="AR53:BA53" si="15">AR38+AR40+AR41</f>
        <v>#REF!</v>
      </c>
      <c r="AS53" s="70" t="e">
        <f t="shared" si="15"/>
        <v>#REF!</v>
      </c>
      <c r="AT53" s="70" t="e">
        <f t="shared" si="15"/>
        <v>#REF!</v>
      </c>
      <c r="AU53" s="70" t="e">
        <f t="shared" si="15"/>
        <v>#REF!</v>
      </c>
      <c r="AV53" s="70" t="e">
        <f t="shared" si="15"/>
        <v>#REF!</v>
      </c>
      <c r="AW53" s="70" t="e">
        <f t="shared" si="15"/>
        <v>#REF!</v>
      </c>
      <c r="AX53" s="70" t="e">
        <f t="shared" si="15"/>
        <v>#REF!</v>
      </c>
      <c r="AY53" s="70" t="e">
        <f t="shared" si="15"/>
        <v>#REF!</v>
      </c>
      <c r="AZ53" s="70" t="e">
        <f t="shared" si="15"/>
        <v>#REF!</v>
      </c>
      <c r="BA53" s="70" t="e">
        <f t="shared" si="15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6">AF16+AF18+AF20+AF22</f>
        <v>#REF!</v>
      </c>
      <c r="AG55" s="70" t="e">
        <f t="shared" si="16"/>
        <v>#REF!</v>
      </c>
      <c r="AH55" s="70" t="e">
        <f t="shared" si="16"/>
        <v>#REF!</v>
      </c>
      <c r="AI55" s="70" t="e">
        <f t="shared" si="16"/>
        <v>#REF!</v>
      </c>
      <c r="AJ55" s="70" t="e">
        <f t="shared" si="16"/>
        <v>#REF!</v>
      </c>
      <c r="AK55" s="70" t="e">
        <f t="shared" si="16"/>
        <v>#REF!</v>
      </c>
      <c r="AL55" s="70" t="e">
        <f t="shared" si="16"/>
        <v>#REF!</v>
      </c>
      <c r="AM55" s="70" t="e">
        <f t="shared" si="16"/>
        <v>#REF!</v>
      </c>
      <c r="AN55" s="70" t="e">
        <f t="shared" si="16"/>
        <v>#REF!</v>
      </c>
      <c r="AO55" s="70" t="e">
        <f t="shared" si="16"/>
        <v>#REF!</v>
      </c>
      <c r="AP55" s="70"/>
      <c r="AQ55" s="70"/>
      <c r="AR55" s="70" t="e">
        <f t="shared" ref="AR55:BA55" si="17">AR16+AR18+AR20+AR22</f>
        <v>#REF!</v>
      </c>
      <c r="AS55" s="70" t="e">
        <f t="shared" si="17"/>
        <v>#REF!</v>
      </c>
      <c r="AT55" s="70" t="e">
        <f t="shared" si="17"/>
        <v>#REF!</v>
      </c>
      <c r="AU55" s="70" t="e">
        <f t="shared" si="17"/>
        <v>#REF!</v>
      </c>
      <c r="AV55" s="70" t="e">
        <f t="shared" si="17"/>
        <v>#REF!</v>
      </c>
      <c r="AW55" s="70" t="e">
        <f t="shared" si="17"/>
        <v>#REF!</v>
      </c>
      <c r="AX55" s="70" t="e">
        <f t="shared" si="17"/>
        <v>#REF!</v>
      </c>
      <c r="AY55" s="70" t="e">
        <f t="shared" si="17"/>
        <v>#REF!</v>
      </c>
      <c r="AZ55" s="70" t="e">
        <f t="shared" si="17"/>
        <v>#REF!</v>
      </c>
      <c r="BA55" s="70" t="e">
        <f t="shared" si="17"/>
        <v>#REF!</v>
      </c>
    </row>
    <row r="56" spans="27:53" hidden="1">
      <c r="AA56" s="71" t="s">
        <v>41</v>
      </c>
      <c r="AB56" s="35"/>
      <c r="AF56" s="70" t="e">
        <f t="shared" ref="AF56:AO56" si="18">AF27+AF29+AF31+AF33</f>
        <v>#REF!</v>
      </c>
      <c r="AG56" s="70" t="e">
        <f t="shared" si="18"/>
        <v>#REF!</v>
      </c>
      <c r="AH56" s="70" t="e">
        <f t="shared" si="18"/>
        <v>#REF!</v>
      </c>
      <c r="AI56" s="70" t="e">
        <f t="shared" si="18"/>
        <v>#REF!</v>
      </c>
      <c r="AJ56" s="70" t="e">
        <f t="shared" si="18"/>
        <v>#REF!</v>
      </c>
      <c r="AK56" s="70" t="e">
        <f t="shared" si="18"/>
        <v>#REF!</v>
      </c>
      <c r="AL56" s="70" t="e">
        <f t="shared" si="18"/>
        <v>#REF!</v>
      </c>
      <c r="AM56" s="70" t="e">
        <f t="shared" si="18"/>
        <v>#REF!</v>
      </c>
      <c r="AN56" s="70" t="e">
        <f t="shared" si="18"/>
        <v>#REF!</v>
      </c>
      <c r="AO56" s="70" t="e">
        <f t="shared" si="18"/>
        <v>#REF!</v>
      </c>
      <c r="AP56" s="70"/>
      <c r="AQ56" s="70"/>
      <c r="AR56" s="70" t="e">
        <f t="shared" ref="AR56:BA56" si="19">AR27+AR29+AR31+AR33</f>
        <v>#REF!</v>
      </c>
      <c r="AS56" s="70" t="e">
        <f t="shared" si="19"/>
        <v>#REF!</v>
      </c>
      <c r="AT56" s="70" t="e">
        <f t="shared" si="19"/>
        <v>#REF!</v>
      </c>
      <c r="AU56" s="70" t="e">
        <f t="shared" si="19"/>
        <v>#REF!</v>
      </c>
      <c r="AV56" s="70" t="e">
        <f t="shared" si="19"/>
        <v>#REF!</v>
      </c>
      <c r="AW56" s="70" t="e">
        <f t="shared" si="19"/>
        <v>#REF!</v>
      </c>
      <c r="AX56" s="70" t="e">
        <f t="shared" si="19"/>
        <v>#REF!</v>
      </c>
      <c r="AY56" s="70" t="e">
        <f t="shared" si="19"/>
        <v>#REF!</v>
      </c>
      <c r="AZ56" s="70" t="e">
        <f t="shared" si="19"/>
        <v>#REF!</v>
      </c>
      <c r="BA56" s="70" t="e">
        <f t="shared" si="19"/>
        <v>#REF!</v>
      </c>
    </row>
    <row r="57" spans="27:53" hidden="1">
      <c r="AA57" s="71" t="s">
        <v>42</v>
      </c>
      <c r="AB57" s="35"/>
      <c r="AF57" s="70" t="e">
        <f t="shared" ref="AF57:AO57" si="20">AF38+AF40+AF42+AF44</f>
        <v>#REF!</v>
      </c>
      <c r="AG57" s="70" t="e">
        <f t="shared" si="20"/>
        <v>#REF!</v>
      </c>
      <c r="AH57" s="70" t="e">
        <f t="shared" si="20"/>
        <v>#REF!</v>
      </c>
      <c r="AI57" s="70" t="e">
        <f t="shared" si="20"/>
        <v>#REF!</v>
      </c>
      <c r="AJ57" s="70" t="e">
        <f t="shared" si="20"/>
        <v>#REF!</v>
      </c>
      <c r="AK57" s="70" t="e">
        <f t="shared" si="20"/>
        <v>#REF!</v>
      </c>
      <c r="AL57" s="70" t="e">
        <f t="shared" si="20"/>
        <v>#REF!</v>
      </c>
      <c r="AM57" s="70" t="e">
        <f t="shared" si="20"/>
        <v>#REF!</v>
      </c>
      <c r="AN57" s="70" t="e">
        <f t="shared" si="20"/>
        <v>#REF!</v>
      </c>
      <c r="AO57" s="70" t="e">
        <f t="shared" si="20"/>
        <v>#REF!</v>
      </c>
      <c r="AP57" s="70"/>
      <c r="AQ57" s="70"/>
      <c r="AR57" s="70" t="e">
        <f t="shared" ref="AR57:BA57" si="21">AR38+AR40+AR42+AR44</f>
        <v>#REF!</v>
      </c>
      <c r="AS57" s="70" t="e">
        <f t="shared" si="21"/>
        <v>#REF!</v>
      </c>
      <c r="AT57" s="70" t="e">
        <f t="shared" si="21"/>
        <v>#REF!</v>
      </c>
      <c r="AU57" s="70" t="e">
        <f t="shared" si="21"/>
        <v>#REF!</v>
      </c>
      <c r="AV57" s="70" t="e">
        <f t="shared" si="21"/>
        <v>#REF!</v>
      </c>
      <c r="AW57" s="70" t="e">
        <f t="shared" si="21"/>
        <v>#REF!</v>
      </c>
      <c r="AX57" s="70" t="e">
        <f t="shared" si="21"/>
        <v>#REF!</v>
      </c>
      <c r="AY57" s="70" t="e">
        <f t="shared" si="21"/>
        <v>#REF!</v>
      </c>
      <c r="AZ57" s="70" t="e">
        <f t="shared" si="21"/>
        <v>#REF!</v>
      </c>
      <c r="BA57" s="70" t="e">
        <f t="shared" si="21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2">AF16+AF18+AF20+AF21+AF23</f>
        <v>#REF!</v>
      </c>
      <c r="AG59" s="70" t="e">
        <f t="shared" si="22"/>
        <v>#REF!</v>
      </c>
      <c r="AH59" s="70" t="e">
        <f t="shared" si="22"/>
        <v>#REF!</v>
      </c>
      <c r="AI59" s="70" t="e">
        <f t="shared" si="22"/>
        <v>#REF!</v>
      </c>
      <c r="AJ59" s="70" t="e">
        <f t="shared" si="22"/>
        <v>#REF!</v>
      </c>
      <c r="AK59" s="70" t="e">
        <f t="shared" si="22"/>
        <v>#REF!</v>
      </c>
      <c r="AL59" s="70" t="e">
        <f t="shared" si="22"/>
        <v>#REF!</v>
      </c>
      <c r="AM59" s="70" t="e">
        <f t="shared" si="22"/>
        <v>#REF!</v>
      </c>
      <c r="AN59" s="70" t="e">
        <f t="shared" si="22"/>
        <v>#REF!</v>
      </c>
      <c r="AO59" s="70" t="e">
        <f t="shared" si="22"/>
        <v>#REF!</v>
      </c>
      <c r="AP59" s="70"/>
      <c r="AQ59" s="70"/>
      <c r="AR59" s="70" t="e">
        <f t="shared" ref="AR59:BA59" si="23">AR16+AR18+AR20+AR21+AR23</f>
        <v>#REF!</v>
      </c>
      <c r="AS59" s="70" t="e">
        <f t="shared" si="23"/>
        <v>#REF!</v>
      </c>
      <c r="AT59" s="70" t="e">
        <f t="shared" si="23"/>
        <v>#REF!</v>
      </c>
      <c r="AU59" s="70" t="e">
        <f t="shared" si="23"/>
        <v>#REF!</v>
      </c>
      <c r="AV59" s="70" t="e">
        <f t="shared" si="23"/>
        <v>#REF!</v>
      </c>
      <c r="AW59" s="70" t="e">
        <f t="shared" si="23"/>
        <v>#REF!</v>
      </c>
      <c r="AX59" s="70" t="e">
        <f t="shared" si="23"/>
        <v>#REF!</v>
      </c>
      <c r="AY59" s="70" t="e">
        <f t="shared" si="23"/>
        <v>#REF!</v>
      </c>
      <c r="AZ59" s="70" t="e">
        <f t="shared" si="23"/>
        <v>#REF!</v>
      </c>
      <c r="BA59" s="70" t="e">
        <f t="shared" si="23"/>
        <v>#REF!</v>
      </c>
    </row>
    <row r="60" spans="27:53" hidden="1">
      <c r="AA60" s="71" t="s">
        <v>41</v>
      </c>
      <c r="AB60" s="35"/>
      <c r="AF60" s="70" t="e">
        <f t="shared" ref="AF60:AO60" si="24">AF27+AF29+AF31+AF32+AF34</f>
        <v>#REF!</v>
      </c>
      <c r="AG60" s="70" t="e">
        <f t="shared" si="24"/>
        <v>#REF!</v>
      </c>
      <c r="AH60" s="70" t="e">
        <f t="shared" si="24"/>
        <v>#REF!</v>
      </c>
      <c r="AI60" s="70" t="e">
        <f t="shared" si="24"/>
        <v>#REF!</v>
      </c>
      <c r="AJ60" s="70" t="e">
        <f t="shared" si="24"/>
        <v>#REF!</v>
      </c>
      <c r="AK60" s="70" t="e">
        <f t="shared" si="24"/>
        <v>#REF!</v>
      </c>
      <c r="AL60" s="70" t="e">
        <f t="shared" si="24"/>
        <v>#REF!</v>
      </c>
      <c r="AM60" s="70" t="e">
        <f t="shared" si="24"/>
        <v>#REF!</v>
      </c>
      <c r="AN60" s="70" t="e">
        <f t="shared" si="24"/>
        <v>#REF!</v>
      </c>
      <c r="AO60" s="70" t="e">
        <f t="shared" si="24"/>
        <v>#REF!</v>
      </c>
      <c r="AP60" s="70"/>
      <c r="AQ60" s="70"/>
      <c r="AR60" s="70" t="e">
        <f t="shared" ref="AR60:BA60" si="25">AR27+AR29+AR31+AR32+AR34</f>
        <v>#REF!</v>
      </c>
      <c r="AS60" s="70" t="e">
        <f t="shared" si="25"/>
        <v>#REF!</v>
      </c>
      <c r="AT60" s="70" t="e">
        <f t="shared" si="25"/>
        <v>#REF!</v>
      </c>
      <c r="AU60" s="70" t="e">
        <f t="shared" si="25"/>
        <v>#REF!</v>
      </c>
      <c r="AV60" s="70" t="e">
        <f t="shared" si="25"/>
        <v>#REF!</v>
      </c>
      <c r="AW60" s="70" t="e">
        <f t="shared" si="25"/>
        <v>#REF!</v>
      </c>
      <c r="AX60" s="70" t="e">
        <f t="shared" si="25"/>
        <v>#REF!</v>
      </c>
      <c r="AY60" s="70" t="e">
        <f t="shared" si="25"/>
        <v>#REF!</v>
      </c>
      <c r="AZ60" s="70" t="e">
        <f t="shared" si="25"/>
        <v>#REF!</v>
      </c>
      <c r="BA60" s="70" t="e">
        <f t="shared" si="25"/>
        <v>#REF!</v>
      </c>
    </row>
    <row r="61" spans="27:53" hidden="1">
      <c r="AA61" s="71" t="s">
        <v>42</v>
      </c>
      <c r="AB61" s="35"/>
      <c r="AF61" s="70" t="e">
        <f t="shared" ref="AF61:AO61" si="26">AF38+AF40+AF42+AF43+AF45</f>
        <v>#REF!</v>
      </c>
      <c r="AG61" s="70" t="e">
        <f t="shared" si="26"/>
        <v>#REF!</v>
      </c>
      <c r="AH61" s="70" t="e">
        <f t="shared" si="26"/>
        <v>#REF!</v>
      </c>
      <c r="AI61" s="70" t="e">
        <f t="shared" si="26"/>
        <v>#REF!</v>
      </c>
      <c r="AJ61" s="70" t="e">
        <f t="shared" si="26"/>
        <v>#REF!</v>
      </c>
      <c r="AK61" s="70" t="e">
        <f t="shared" si="26"/>
        <v>#REF!</v>
      </c>
      <c r="AL61" s="70" t="e">
        <f t="shared" si="26"/>
        <v>#REF!</v>
      </c>
      <c r="AM61" s="70" t="e">
        <f t="shared" si="26"/>
        <v>#REF!</v>
      </c>
      <c r="AN61" s="70" t="e">
        <f t="shared" si="26"/>
        <v>#REF!</v>
      </c>
      <c r="AO61" s="70" t="e">
        <f t="shared" si="26"/>
        <v>#REF!</v>
      </c>
      <c r="AP61" s="70"/>
      <c r="AQ61" s="70"/>
      <c r="AR61" s="70" t="e">
        <f t="shared" ref="AR61:BA61" si="27">AR38+AR40+AR42+AR43+AR45</f>
        <v>#REF!</v>
      </c>
      <c r="AS61" s="70" t="e">
        <f t="shared" si="27"/>
        <v>#REF!</v>
      </c>
      <c r="AT61" s="70" t="e">
        <f t="shared" si="27"/>
        <v>#REF!</v>
      </c>
      <c r="AU61" s="70" t="e">
        <f t="shared" si="27"/>
        <v>#REF!</v>
      </c>
      <c r="AV61" s="70" t="e">
        <f t="shared" si="27"/>
        <v>#REF!</v>
      </c>
      <c r="AW61" s="70" t="e">
        <f t="shared" si="27"/>
        <v>#REF!</v>
      </c>
      <c r="AX61" s="70" t="e">
        <f t="shared" si="27"/>
        <v>#REF!</v>
      </c>
      <c r="AY61" s="70" t="e">
        <f t="shared" si="27"/>
        <v>#REF!</v>
      </c>
      <c r="AZ61" s="70" t="e">
        <f t="shared" si="27"/>
        <v>#REF!</v>
      </c>
      <c r="BA61" s="70" t="e">
        <f t="shared" si="27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28">AF16+AF18+AF20+AF21+AF24</f>
        <v>#REF!</v>
      </c>
      <c r="AG63" s="70" t="e">
        <f t="shared" si="28"/>
        <v>#REF!</v>
      </c>
      <c r="AH63" s="70" t="e">
        <f t="shared" si="28"/>
        <v>#REF!</v>
      </c>
      <c r="AI63" s="70" t="e">
        <f t="shared" si="28"/>
        <v>#REF!</v>
      </c>
      <c r="AJ63" s="70" t="e">
        <f t="shared" si="28"/>
        <v>#REF!</v>
      </c>
      <c r="AK63" s="70" t="e">
        <f t="shared" si="28"/>
        <v>#REF!</v>
      </c>
      <c r="AL63" s="70" t="e">
        <f t="shared" si="28"/>
        <v>#REF!</v>
      </c>
      <c r="AM63" s="70" t="e">
        <f t="shared" si="28"/>
        <v>#REF!</v>
      </c>
      <c r="AN63" s="70" t="e">
        <f t="shared" si="28"/>
        <v>#REF!</v>
      </c>
      <c r="AO63" s="70" t="e">
        <f t="shared" si="28"/>
        <v>#REF!</v>
      </c>
      <c r="AP63" s="70"/>
      <c r="AQ63" s="70"/>
      <c r="AR63" s="70" t="e">
        <f t="shared" ref="AR63:BA63" si="29">AR16+AR18+AR20+AR21+AR24</f>
        <v>#REF!</v>
      </c>
      <c r="AS63" s="70" t="e">
        <f t="shared" si="29"/>
        <v>#REF!</v>
      </c>
      <c r="AT63" s="70" t="e">
        <f t="shared" si="29"/>
        <v>#REF!</v>
      </c>
      <c r="AU63" s="70" t="e">
        <f t="shared" si="29"/>
        <v>#REF!</v>
      </c>
      <c r="AV63" s="70" t="e">
        <f t="shared" si="29"/>
        <v>#REF!</v>
      </c>
      <c r="AW63" s="70" t="e">
        <f t="shared" si="29"/>
        <v>#REF!</v>
      </c>
      <c r="AX63" s="70" t="e">
        <f t="shared" si="29"/>
        <v>#REF!</v>
      </c>
      <c r="AY63" s="70" t="e">
        <f t="shared" si="29"/>
        <v>#REF!</v>
      </c>
      <c r="AZ63" s="70" t="e">
        <f t="shared" si="29"/>
        <v>#REF!</v>
      </c>
      <c r="BA63" s="70" t="e">
        <f t="shared" si="29"/>
        <v>#REF!</v>
      </c>
    </row>
    <row r="64" spans="27:53" hidden="1">
      <c r="AA64" s="71" t="s">
        <v>41</v>
      </c>
      <c r="AB64" s="35"/>
      <c r="AF64" s="70" t="e">
        <f t="shared" ref="AF64:AO64" si="30">AF27+AF29+AF31+AF32+AF35</f>
        <v>#REF!</v>
      </c>
      <c r="AG64" s="70" t="e">
        <f t="shared" si="30"/>
        <v>#REF!</v>
      </c>
      <c r="AH64" s="70" t="e">
        <f t="shared" si="30"/>
        <v>#REF!</v>
      </c>
      <c r="AI64" s="70" t="e">
        <f t="shared" si="30"/>
        <v>#REF!</v>
      </c>
      <c r="AJ64" s="70" t="e">
        <f t="shared" si="30"/>
        <v>#REF!</v>
      </c>
      <c r="AK64" s="70" t="e">
        <f t="shared" si="30"/>
        <v>#REF!</v>
      </c>
      <c r="AL64" s="70" t="e">
        <f t="shared" si="30"/>
        <v>#REF!</v>
      </c>
      <c r="AM64" s="70" t="e">
        <f t="shared" si="30"/>
        <v>#REF!</v>
      </c>
      <c r="AN64" s="70" t="e">
        <f t="shared" si="30"/>
        <v>#REF!</v>
      </c>
      <c r="AO64" s="70" t="e">
        <f t="shared" si="30"/>
        <v>#REF!</v>
      </c>
      <c r="AP64" s="70"/>
      <c r="AQ64" s="70"/>
      <c r="AR64" s="70" t="e">
        <f t="shared" ref="AR64:BA64" si="31">AR27+AR29+AR31+AR32+AR35</f>
        <v>#REF!</v>
      </c>
      <c r="AS64" s="70" t="e">
        <f t="shared" si="31"/>
        <v>#REF!</v>
      </c>
      <c r="AT64" s="70" t="e">
        <f t="shared" si="31"/>
        <v>#REF!</v>
      </c>
      <c r="AU64" s="70" t="e">
        <f t="shared" si="31"/>
        <v>#REF!</v>
      </c>
      <c r="AV64" s="70" t="e">
        <f t="shared" si="31"/>
        <v>#REF!</v>
      </c>
      <c r="AW64" s="70" t="e">
        <f t="shared" si="31"/>
        <v>#REF!</v>
      </c>
      <c r="AX64" s="70" t="e">
        <f t="shared" si="31"/>
        <v>#REF!</v>
      </c>
      <c r="AY64" s="70" t="e">
        <f t="shared" si="31"/>
        <v>#REF!</v>
      </c>
      <c r="AZ64" s="70" t="e">
        <f t="shared" si="31"/>
        <v>#REF!</v>
      </c>
      <c r="BA64" s="70" t="e">
        <f t="shared" si="31"/>
        <v>#REF!</v>
      </c>
    </row>
    <row r="65" spans="27:53" hidden="1">
      <c r="AA65" s="71" t="s">
        <v>42</v>
      </c>
      <c r="AB65" s="35"/>
      <c r="AF65" s="70" t="e">
        <f t="shared" ref="AF65:AO65" si="32">AF38+AF40+AF42+AF43+AF46</f>
        <v>#REF!</v>
      </c>
      <c r="AG65" s="70" t="e">
        <f t="shared" si="32"/>
        <v>#REF!</v>
      </c>
      <c r="AH65" s="70" t="e">
        <f t="shared" si="32"/>
        <v>#REF!</v>
      </c>
      <c r="AI65" s="70" t="e">
        <f t="shared" si="32"/>
        <v>#REF!</v>
      </c>
      <c r="AJ65" s="70" t="e">
        <f t="shared" si="32"/>
        <v>#REF!</v>
      </c>
      <c r="AK65" s="70" t="e">
        <f t="shared" si="32"/>
        <v>#REF!</v>
      </c>
      <c r="AL65" s="70" t="e">
        <f t="shared" si="32"/>
        <v>#REF!</v>
      </c>
      <c r="AM65" s="70" t="e">
        <f t="shared" si="32"/>
        <v>#REF!</v>
      </c>
      <c r="AN65" s="70" t="e">
        <f t="shared" si="32"/>
        <v>#REF!</v>
      </c>
      <c r="AO65" s="70" t="e">
        <f t="shared" si="32"/>
        <v>#REF!</v>
      </c>
      <c r="AP65" s="70"/>
      <c r="AQ65" s="70"/>
      <c r="AR65" s="70" t="e">
        <f t="shared" ref="AR65:BA65" si="33">AR38+AR40+AR42+AR43+AR46</f>
        <v>#REF!</v>
      </c>
      <c r="AS65" s="70" t="e">
        <f t="shared" si="33"/>
        <v>#REF!</v>
      </c>
      <c r="AT65" s="70" t="e">
        <f t="shared" si="33"/>
        <v>#REF!</v>
      </c>
      <c r="AU65" s="70" t="e">
        <f t="shared" si="33"/>
        <v>#REF!</v>
      </c>
      <c r="AV65" s="70" t="e">
        <f t="shared" si="33"/>
        <v>#REF!</v>
      </c>
      <c r="AW65" s="70" t="e">
        <f t="shared" si="33"/>
        <v>#REF!</v>
      </c>
      <c r="AX65" s="70" t="e">
        <f t="shared" si="33"/>
        <v>#REF!</v>
      </c>
      <c r="AY65" s="70" t="e">
        <f t="shared" si="33"/>
        <v>#REF!</v>
      </c>
      <c r="AZ65" s="70" t="e">
        <f t="shared" si="33"/>
        <v>#REF!</v>
      </c>
      <c r="BA65" s="70" t="e">
        <f t="shared" si="33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4">AF16+AF17+AF22</f>
        <v>#REF!</v>
      </c>
      <c r="AG67" s="70" t="e">
        <f t="shared" si="34"/>
        <v>#REF!</v>
      </c>
      <c r="AH67" s="70" t="e">
        <f t="shared" si="34"/>
        <v>#REF!</v>
      </c>
      <c r="AI67" s="70" t="e">
        <f t="shared" si="34"/>
        <v>#REF!</v>
      </c>
      <c r="AJ67" s="70" t="e">
        <f t="shared" si="34"/>
        <v>#REF!</v>
      </c>
      <c r="AK67" s="70" t="e">
        <f t="shared" si="34"/>
        <v>#REF!</v>
      </c>
      <c r="AL67" s="70" t="e">
        <f t="shared" si="34"/>
        <v>#REF!</v>
      </c>
      <c r="AM67" s="70" t="e">
        <f t="shared" si="34"/>
        <v>#REF!</v>
      </c>
      <c r="AN67" s="70" t="e">
        <f t="shared" si="34"/>
        <v>#REF!</v>
      </c>
      <c r="AO67" s="70" t="e">
        <f t="shared" si="34"/>
        <v>#REF!</v>
      </c>
      <c r="AP67" s="70"/>
      <c r="AQ67" s="70"/>
      <c r="AR67" s="70" t="e">
        <f t="shared" ref="AR67:BA67" si="35">AR16+AR17+AR22</f>
        <v>#REF!</v>
      </c>
      <c r="AS67" s="70" t="e">
        <f t="shared" si="35"/>
        <v>#REF!</v>
      </c>
      <c r="AT67" s="70" t="e">
        <f t="shared" si="35"/>
        <v>#REF!</v>
      </c>
      <c r="AU67" s="70" t="e">
        <f t="shared" si="35"/>
        <v>#REF!</v>
      </c>
      <c r="AV67" s="70" t="e">
        <f t="shared" si="35"/>
        <v>#REF!</v>
      </c>
      <c r="AW67" s="70" t="e">
        <f t="shared" si="35"/>
        <v>#REF!</v>
      </c>
      <c r="AX67" s="70" t="e">
        <f t="shared" si="35"/>
        <v>#REF!</v>
      </c>
      <c r="AY67" s="70" t="e">
        <f t="shared" si="35"/>
        <v>#REF!</v>
      </c>
      <c r="AZ67" s="70" t="e">
        <f t="shared" si="35"/>
        <v>#REF!</v>
      </c>
      <c r="BA67" s="70" t="e">
        <f t="shared" si="35"/>
        <v>#REF!</v>
      </c>
    </row>
    <row r="68" spans="27:53" hidden="1">
      <c r="AA68" s="71" t="s">
        <v>41</v>
      </c>
      <c r="AB68" s="35"/>
      <c r="AF68" s="70" t="e">
        <f t="shared" ref="AF68:AO68" si="36">AF27+AF28+AF33</f>
        <v>#REF!</v>
      </c>
      <c r="AG68" s="70" t="e">
        <f t="shared" si="36"/>
        <v>#REF!</v>
      </c>
      <c r="AH68" s="70" t="e">
        <f t="shared" si="36"/>
        <v>#REF!</v>
      </c>
      <c r="AI68" s="70" t="e">
        <f t="shared" si="36"/>
        <v>#REF!</v>
      </c>
      <c r="AJ68" s="70" t="e">
        <f t="shared" si="36"/>
        <v>#REF!</v>
      </c>
      <c r="AK68" s="70" t="e">
        <f t="shared" si="36"/>
        <v>#REF!</v>
      </c>
      <c r="AL68" s="70" t="e">
        <f t="shared" si="36"/>
        <v>#REF!</v>
      </c>
      <c r="AM68" s="70" t="e">
        <f t="shared" si="36"/>
        <v>#REF!</v>
      </c>
      <c r="AN68" s="70" t="e">
        <f t="shared" si="36"/>
        <v>#REF!</v>
      </c>
      <c r="AO68" s="70" t="e">
        <f t="shared" si="36"/>
        <v>#REF!</v>
      </c>
      <c r="AP68" s="70"/>
      <c r="AQ68" s="70"/>
      <c r="AR68" s="70" t="e">
        <f t="shared" ref="AR68:BA68" si="37">AR27+AR28+AR33</f>
        <v>#REF!</v>
      </c>
      <c r="AS68" s="70" t="e">
        <f t="shared" si="37"/>
        <v>#REF!</v>
      </c>
      <c r="AT68" s="70" t="e">
        <f t="shared" si="37"/>
        <v>#REF!</v>
      </c>
      <c r="AU68" s="70" t="e">
        <f t="shared" si="37"/>
        <v>#REF!</v>
      </c>
      <c r="AV68" s="70" t="e">
        <f t="shared" si="37"/>
        <v>#REF!</v>
      </c>
      <c r="AW68" s="70" t="e">
        <f t="shared" si="37"/>
        <v>#REF!</v>
      </c>
      <c r="AX68" s="70" t="e">
        <f t="shared" si="37"/>
        <v>#REF!</v>
      </c>
      <c r="AY68" s="70" t="e">
        <f t="shared" si="37"/>
        <v>#REF!</v>
      </c>
      <c r="AZ68" s="70" t="e">
        <f t="shared" si="37"/>
        <v>#REF!</v>
      </c>
      <c r="BA68" s="70" t="e">
        <f t="shared" si="37"/>
        <v>#REF!</v>
      </c>
    </row>
    <row r="69" spans="27:53" hidden="1">
      <c r="AA69" s="71" t="s">
        <v>42</v>
      </c>
      <c r="AB69" s="35"/>
      <c r="AF69" s="70" t="e">
        <f t="shared" ref="AF69:AO69" si="38">AF38+AF39+AF44</f>
        <v>#REF!</v>
      </c>
      <c r="AG69" s="70" t="e">
        <f t="shared" si="38"/>
        <v>#REF!</v>
      </c>
      <c r="AH69" s="70" t="e">
        <f t="shared" si="38"/>
        <v>#REF!</v>
      </c>
      <c r="AI69" s="70" t="e">
        <f t="shared" si="38"/>
        <v>#REF!</v>
      </c>
      <c r="AJ69" s="70" t="e">
        <f t="shared" si="38"/>
        <v>#REF!</v>
      </c>
      <c r="AK69" s="70" t="e">
        <f t="shared" si="38"/>
        <v>#REF!</v>
      </c>
      <c r="AL69" s="70" t="e">
        <f t="shared" si="38"/>
        <v>#REF!</v>
      </c>
      <c r="AM69" s="70" t="e">
        <f t="shared" si="38"/>
        <v>#REF!</v>
      </c>
      <c r="AN69" s="70" t="e">
        <f t="shared" si="38"/>
        <v>#REF!</v>
      </c>
      <c r="AO69" s="70" t="e">
        <f t="shared" si="38"/>
        <v>#REF!</v>
      </c>
      <c r="AP69" s="70"/>
      <c r="AQ69" s="70"/>
      <c r="AR69" s="70" t="e">
        <f t="shared" ref="AR69:BA69" si="39">AR38+AR39+AR44</f>
        <v>#REF!</v>
      </c>
      <c r="AS69" s="70" t="e">
        <f t="shared" si="39"/>
        <v>#REF!</v>
      </c>
      <c r="AT69" s="70" t="e">
        <f t="shared" si="39"/>
        <v>#REF!</v>
      </c>
      <c r="AU69" s="70" t="e">
        <f t="shared" si="39"/>
        <v>#REF!</v>
      </c>
      <c r="AV69" s="70" t="e">
        <f t="shared" si="39"/>
        <v>#REF!</v>
      </c>
      <c r="AW69" s="70" t="e">
        <f t="shared" si="39"/>
        <v>#REF!</v>
      </c>
      <c r="AX69" s="70" t="e">
        <f t="shared" si="39"/>
        <v>#REF!</v>
      </c>
      <c r="AY69" s="70" t="e">
        <f t="shared" si="39"/>
        <v>#REF!</v>
      </c>
      <c r="AZ69" s="70" t="e">
        <f t="shared" si="39"/>
        <v>#REF!</v>
      </c>
      <c r="BA69" s="70" t="e">
        <f t="shared" si="39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0">AF16+AF17+AF21+AF23</f>
        <v>#REF!</v>
      </c>
      <c r="AG71" s="70" t="e">
        <f t="shared" si="40"/>
        <v>#REF!</v>
      </c>
      <c r="AH71" s="70" t="e">
        <f t="shared" si="40"/>
        <v>#REF!</v>
      </c>
      <c r="AI71" s="70" t="e">
        <f t="shared" si="40"/>
        <v>#REF!</v>
      </c>
      <c r="AJ71" s="70" t="e">
        <f t="shared" si="40"/>
        <v>#REF!</v>
      </c>
      <c r="AK71" s="70" t="e">
        <f t="shared" si="40"/>
        <v>#REF!</v>
      </c>
      <c r="AL71" s="70" t="e">
        <f t="shared" si="40"/>
        <v>#REF!</v>
      </c>
      <c r="AM71" s="70" t="e">
        <f t="shared" si="40"/>
        <v>#REF!</v>
      </c>
      <c r="AN71" s="70" t="e">
        <f t="shared" si="40"/>
        <v>#REF!</v>
      </c>
      <c r="AO71" s="70" t="e">
        <f t="shared" si="40"/>
        <v>#REF!</v>
      </c>
      <c r="AP71" s="70"/>
      <c r="AQ71" s="70"/>
      <c r="AR71" s="70" t="e">
        <f t="shared" ref="AR71:BA71" si="41">AR16+AR17+AR21+AR23</f>
        <v>#REF!</v>
      </c>
      <c r="AS71" s="70" t="e">
        <f t="shared" si="41"/>
        <v>#REF!</v>
      </c>
      <c r="AT71" s="70" t="e">
        <f t="shared" si="41"/>
        <v>#REF!</v>
      </c>
      <c r="AU71" s="70" t="e">
        <f t="shared" si="41"/>
        <v>#REF!</v>
      </c>
      <c r="AV71" s="70" t="e">
        <f t="shared" si="41"/>
        <v>#REF!</v>
      </c>
      <c r="AW71" s="70" t="e">
        <f t="shared" si="41"/>
        <v>#REF!</v>
      </c>
      <c r="AX71" s="70" t="e">
        <f t="shared" si="41"/>
        <v>#REF!</v>
      </c>
      <c r="AY71" s="70" t="e">
        <f t="shared" si="41"/>
        <v>#REF!</v>
      </c>
      <c r="AZ71" s="70" t="e">
        <f t="shared" si="41"/>
        <v>#REF!</v>
      </c>
      <c r="BA71" s="70" t="e">
        <f t="shared" si="41"/>
        <v>#REF!</v>
      </c>
    </row>
    <row r="72" spans="27:53" hidden="1">
      <c r="AA72" s="71" t="s">
        <v>41</v>
      </c>
      <c r="AB72" s="35"/>
      <c r="AF72" s="70" t="e">
        <f t="shared" ref="AF72:AO72" si="42">AF27+AF28+AF32+AF34</f>
        <v>#REF!</v>
      </c>
      <c r="AG72" s="70" t="e">
        <f t="shared" si="42"/>
        <v>#REF!</v>
      </c>
      <c r="AH72" s="70" t="e">
        <f t="shared" si="42"/>
        <v>#REF!</v>
      </c>
      <c r="AI72" s="70" t="e">
        <f t="shared" si="42"/>
        <v>#REF!</v>
      </c>
      <c r="AJ72" s="70" t="e">
        <f t="shared" si="42"/>
        <v>#REF!</v>
      </c>
      <c r="AK72" s="70" t="e">
        <f t="shared" si="42"/>
        <v>#REF!</v>
      </c>
      <c r="AL72" s="70" t="e">
        <f t="shared" si="42"/>
        <v>#REF!</v>
      </c>
      <c r="AM72" s="70" t="e">
        <f t="shared" si="42"/>
        <v>#REF!</v>
      </c>
      <c r="AN72" s="70" t="e">
        <f t="shared" si="42"/>
        <v>#REF!</v>
      </c>
      <c r="AO72" s="70" t="e">
        <f t="shared" si="42"/>
        <v>#REF!</v>
      </c>
      <c r="AP72" s="70"/>
      <c r="AQ72" s="70"/>
      <c r="AR72" s="70" t="e">
        <f t="shared" ref="AR72:BA72" si="43">AR27+AR28+AR32+AR34</f>
        <v>#REF!</v>
      </c>
      <c r="AS72" s="70" t="e">
        <f t="shared" si="43"/>
        <v>#REF!</v>
      </c>
      <c r="AT72" s="70" t="e">
        <f t="shared" si="43"/>
        <v>#REF!</v>
      </c>
      <c r="AU72" s="70" t="e">
        <f t="shared" si="43"/>
        <v>#REF!</v>
      </c>
      <c r="AV72" s="70" t="e">
        <f t="shared" si="43"/>
        <v>#REF!</v>
      </c>
      <c r="AW72" s="70" t="e">
        <f t="shared" si="43"/>
        <v>#REF!</v>
      </c>
      <c r="AX72" s="70" t="e">
        <f t="shared" si="43"/>
        <v>#REF!</v>
      </c>
      <c r="AY72" s="70" t="e">
        <f t="shared" si="43"/>
        <v>#REF!</v>
      </c>
      <c r="AZ72" s="70" t="e">
        <f t="shared" si="43"/>
        <v>#REF!</v>
      </c>
      <c r="BA72" s="70" t="e">
        <f t="shared" si="43"/>
        <v>#REF!</v>
      </c>
    </row>
    <row r="73" spans="27:53" hidden="1">
      <c r="AA73" s="71" t="s">
        <v>42</v>
      </c>
      <c r="AB73" s="35"/>
      <c r="AF73" s="70" t="e">
        <f t="shared" ref="AF73:AO73" si="44">AF38+AF39+AF43+AF45</f>
        <v>#REF!</v>
      </c>
      <c r="AG73" s="70" t="e">
        <f t="shared" si="44"/>
        <v>#REF!</v>
      </c>
      <c r="AH73" s="70" t="e">
        <f t="shared" si="44"/>
        <v>#REF!</v>
      </c>
      <c r="AI73" s="70" t="e">
        <f t="shared" si="44"/>
        <v>#REF!</v>
      </c>
      <c r="AJ73" s="70" t="e">
        <f t="shared" si="44"/>
        <v>#REF!</v>
      </c>
      <c r="AK73" s="70" t="e">
        <f t="shared" si="44"/>
        <v>#REF!</v>
      </c>
      <c r="AL73" s="70" t="e">
        <f t="shared" si="44"/>
        <v>#REF!</v>
      </c>
      <c r="AM73" s="70" t="e">
        <f t="shared" si="44"/>
        <v>#REF!</v>
      </c>
      <c r="AN73" s="70" t="e">
        <f t="shared" si="44"/>
        <v>#REF!</v>
      </c>
      <c r="AO73" s="70" t="e">
        <f t="shared" si="44"/>
        <v>#REF!</v>
      </c>
      <c r="AP73" s="70"/>
      <c r="AQ73" s="70"/>
      <c r="AR73" s="70" t="e">
        <f t="shared" ref="AR73:BA73" si="45">AR38+AR39+AR43+AR45</f>
        <v>#REF!</v>
      </c>
      <c r="AS73" s="70" t="e">
        <f t="shared" si="45"/>
        <v>#REF!</v>
      </c>
      <c r="AT73" s="70" t="e">
        <f t="shared" si="45"/>
        <v>#REF!</v>
      </c>
      <c r="AU73" s="70" t="e">
        <f t="shared" si="45"/>
        <v>#REF!</v>
      </c>
      <c r="AV73" s="70" t="e">
        <f t="shared" si="45"/>
        <v>#REF!</v>
      </c>
      <c r="AW73" s="70" t="e">
        <f t="shared" si="45"/>
        <v>#REF!</v>
      </c>
      <c r="AX73" s="70" t="e">
        <f t="shared" si="45"/>
        <v>#REF!</v>
      </c>
      <c r="AY73" s="70" t="e">
        <f t="shared" si="45"/>
        <v>#REF!</v>
      </c>
      <c r="AZ73" s="70" t="e">
        <f t="shared" si="45"/>
        <v>#REF!</v>
      </c>
      <c r="BA73" s="70" t="e">
        <f t="shared" si="45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6">AF16+AF17+AF21+AF24</f>
        <v>#REF!</v>
      </c>
      <c r="AG75" s="70" t="e">
        <f t="shared" si="46"/>
        <v>#REF!</v>
      </c>
      <c r="AH75" s="70" t="e">
        <f t="shared" si="46"/>
        <v>#REF!</v>
      </c>
      <c r="AI75" s="70" t="e">
        <f t="shared" si="46"/>
        <v>#REF!</v>
      </c>
      <c r="AJ75" s="70" t="e">
        <f t="shared" si="46"/>
        <v>#REF!</v>
      </c>
      <c r="AK75" s="70" t="e">
        <f t="shared" si="46"/>
        <v>#REF!</v>
      </c>
      <c r="AL75" s="70" t="e">
        <f t="shared" si="46"/>
        <v>#REF!</v>
      </c>
      <c r="AM75" s="70" t="e">
        <f t="shared" si="46"/>
        <v>#REF!</v>
      </c>
      <c r="AN75" s="70" t="e">
        <f t="shared" si="46"/>
        <v>#REF!</v>
      </c>
      <c r="AO75" s="70" t="e">
        <f t="shared" si="46"/>
        <v>#REF!</v>
      </c>
      <c r="AP75" s="70"/>
      <c r="AQ75" s="70"/>
      <c r="AR75" s="70" t="e">
        <f t="shared" ref="AR75:BA75" si="47">AR16+AR17+AR21+AR24</f>
        <v>#REF!</v>
      </c>
      <c r="AS75" s="70" t="e">
        <f t="shared" si="47"/>
        <v>#REF!</v>
      </c>
      <c r="AT75" s="70" t="e">
        <f t="shared" si="47"/>
        <v>#REF!</v>
      </c>
      <c r="AU75" s="70" t="e">
        <f t="shared" si="47"/>
        <v>#REF!</v>
      </c>
      <c r="AV75" s="70" t="e">
        <f t="shared" si="47"/>
        <v>#REF!</v>
      </c>
      <c r="AW75" s="70" t="e">
        <f t="shared" si="47"/>
        <v>#REF!</v>
      </c>
      <c r="AX75" s="70" t="e">
        <f t="shared" si="47"/>
        <v>#REF!</v>
      </c>
      <c r="AY75" s="70" t="e">
        <f t="shared" si="47"/>
        <v>#REF!</v>
      </c>
      <c r="AZ75" s="70" t="e">
        <f t="shared" si="47"/>
        <v>#REF!</v>
      </c>
      <c r="BA75" s="70" t="e">
        <f t="shared" si="47"/>
        <v>#REF!</v>
      </c>
    </row>
    <row r="76" spans="27:53" hidden="1">
      <c r="AA76" s="71" t="s">
        <v>41</v>
      </c>
      <c r="AB76" s="35"/>
      <c r="AF76" s="70" t="e">
        <f t="shared" ref="AF76:AO76" si="48">AF27+AF28+AF32+AF35</f>
        <v>#REF!</v>
      </c>
      <c r="AG76" s="70" t="e">
        <f t="shared" si="48"/>
        <v>#REF!</v>
      </c>
      <c r="AH76" s="70" t="e">
        <f t="shared" si="48"/>
        <v>#REF!</v>
      </c>
      <c r="AI76" s="70" t="e">
        <f t="shared" si="48"/>
        <v>#REF!</v>
      </c>
      <c r="AJ76" s="70" t="e">
        <f t="shared" si="48"/>
        <v>#REF!</v>
      </c>
      <c r="AK76" s="70" t="e">
        <f t="shared" si="48"/>
        <v>#REF!</v>
      </c>
      <c r="AL76" s="70" t="e">
        <f t="shared" si="48"/>
        <v>#REF!</v>
      </c>
      <c r="AM76" s="70" t="e">
        <f t="shared" si="48"/>
        <v>#REF!</v>
      </c>
      <c r="AN76" s="70" t="e">
        <f t="shared" si="48"/>
        <v>#REF!</v>
      </c>
      <c r="AO76" s="70" t="e">
        <f t="shared" si="48"/>
        <v>#REF!</v>
      </c>
      <c r="AP76" s="70"/>
      <c r="AQ76" s="70"/>
      <c r="AR76" s="70" t="e">
        <f t="shared" ref="AR76:BA76" si="49">AR27+AR28+AR32+AR35</f>
        <v>#REF!</v>
      </c>
      <c r="AS76" s="70" t="e">
        <f t="shared" si="49"/>
        <v>#REF!</v>
      </c>
      <c r="AT76" s="70" t="e">
        <f t="shared" si="49"/>
        <v>#REF!</v>
      </c>
      <c r="AU76" s="70" t="e">
        <f t="shared" si="49"/>
        <v>#REF!</v>
      </c>
      <c r="AV76" s="70" t="e">
        <f t="shared" si="49"/>
        <v>#REF!</v>
      </c>
      <c r="AW76" s="70" t="e">
        <f t="shared" si="49"/>
        <v>#REF!</v>
      </c>
      <c r="AX76" s="70" t="e">
        <f t="shared" si="49"/>
        <v>#REF!</v>
      </c>
      <c r="AY76" s="70" t="e">
        <f t="shared" si="49"/>
        <v>#REF!</v>
      </c>
      <c r="AZ76" s="70" t="e">
        <f t="shared" si="49"/>
        <v>#REF!</v>
      </c>
      <c r="BA76" s="70" t="e">
        <f t="shared" si="49"/>
        <v>#REF!</v>
      </c>
    </row>
    <row r="77" spans="27:53" hidden="1">
      <c r="AA77" s="71" t="s">
        <v>42</v>
      </c>
      <c r="AB77" s="35"/>
      <c r="AF77" s="70" t="e">
        <f t="shared" ref="AF77:AO77" si="50">AF38+AF39+AF43+AF46</f>
        <v>#REF!</v>
      </c>
      <c r="AG77" s="70" t="e">
        <f t="shared" si="50"/>
        <v>#REF!</v>
      </c>
      <c r="AH77" s="70" t="e">
        <f t="shared" si="50"/>
        <v>#REF!</v>
      </c>
      <c r="AI77" s="70" t="e">
        <f t="shared" si="50"/>
        <v>#REF!</v>
      </c>
      <c r="AJ77" s="70" t="e">
        <f t="shared" si="50"/>
        <v>#REF!</v>
      </c>
      <c r="AK77" s="70" t="e">
        <f t="shared" si="50"/>
        <v>#REF!</v>
      </c>
      <c r="AL77" s="70" t="e">
        <f t="shared" si="50"/>
        <v>#REF!</v>
      </c>
      <c r="AM77" s="70" t="e">
        <f t="shared" si="50"/>
        <v>#REF!</v>
      </c>
      <c r="AN77" s="70" t="e">
        <f t="shared" si="50"/>
        <v>#REF!</v>
      </c>
      <c r="AO77" s="70" t="e">
        <f t="shared" si="50"/>
        <v>#REF!</v>
      </c>
      <c r="AP77" s="70"/>
      <c r="AQ77" s="70"/>
      <c r="AR77" s="70" t="e">
        <f t="shared" ref="AR77:BA77" si="51">AR38+AR39+AR43+AR46</f>
        <v>#REF!</v>
      </c>
      <c r="AS77" s="70" t="e">
        <f t="shared" si="51"/>
        <v>#REF!</v>
      </c>
      <c r="AT77" s="70" t="e">
        <f t="shared" si="51"/>
        <v>#REF!</v>
      </c>
      <c r="AU77" s="70" t="e">
        <f t="shared" si="51"/>
        <v>#REF!</v>
      </c>
      <c r="AV77" s="70" t="e">
        <f t="shared" si="51"/>
        <v>#REF!</v>
      </c>
      <c r="AW77" s="70" t="e">
        <f t="shared" si="51"/>
        <v>#REF!</v>
      </c>
      <c r="AX77" s="70" t="e">
        <f t="shared" si="51"/>
        <v>#REF!</v>
      </c>
      <c r="AY77" s="70" t="e">
        <f t="shared" si="51"/>
        <v>#REF!</v>
      </c>
      <c r="AZ77" s="70" t="e">
        <f t="shared" si="51"/>
        <v>#REF!</v>
      </c>
      <c r="BA77" s="70" t="e">
        <f t="shared" si="51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45" t="s">
        <v>55</v>
      </c>
      <c r="G89" s="545" t="s">
        <v>73</v>
      </c>
      <c r="H89" s="545" t="s">
        <v>74</v>
      </c>
      <c r="I89" s="545" t="s">
        <v>58</v>
      </c>
      <c r="J89" s="545" t="s">
        <v>59</v>
      </c>
      <c r="K89" s="545" t="s">
        <v>60</v>
      </c>
      <c r="L89" s="544" t="s">
        <v>75</v>
      </c>
      <c r="M89" s="544" t="s">
        <v>76</v>
      </c>
      <c r="N89" s="544" t="s">
        <v>61</v>
      </c>
      <c r="O89" s="544" t="s">
        <v>62</v>
      </c>
      <c r="P89" s="544" t="s">
        <v>63</v>
      </c>
      <c r="AN89" s="38"/>
      <c r="AZ89" s="36"/>
    </row>
    <row r="90" spans="1:52" ht="25.5">
      <c r="A90" s="44" t="str">
        <f t="shared" ref="A90:C92" si="52">A4</f>
        <v>Substation General Construction</v>
      </c>
      <c r="B90" s="45" t="str">
        <f t="shared" si="52"/>
        <v>Light-Duty Truck, catalyst</v>
      </c>
      <c r="C90" s="46">
        <f t="shared" si="52"/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2" si="53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si="52"/>
        <v>Substation Above Grade Construction</v>
      </c>
      <c r="B91" s="45" t="str">
        <f t="shared" si="52"/>
        <v>Light-Duty Truck, catalyst</v>
      </c>
      <c r="C91" s="46">
        <f t="shared" si="52"/>
        <v>5</v>
      </c>
      <c r="D91" s="46">
        <v>35</v>
      </c>
      <c r="E91" s="46">
        <v>80</v>
      </c>
      <c r="F91" s="50">
        <f>C5*($E5*$F5+($G5))/453.59</f>
        <v>2.4285969294046006</v>
      </c>
      <c r="G91" s="50">
        <f>C5*($E5*$H5+($I5))/453.59</f>
        <v>0.21835328647189006</v>
      </c>
      <c r="H91" s="50">
        <f>C5*(($E5*$J5)+($K5)+($L5)+($E5*$N5)+(($M5+$O5)))/453.59</f>
        <v>0.25249990161976665</v>
      </c>
      <c r="I91" s="50">
        <f>C5*($E5*$P5+($Q5))/453.59</f>
        <v>3.6339851358030799E-3</v>
      </c>
      <c r="J91" s="50">
        <f>C5*(($E5*($R5+$T5+$U5))+($S5))/453.59</f>
        <v>4.2620452276039479E-2</v>
      </c>
      <c r="K91" s="50">
        <f>$C5*(($E5*($V5+$X5+$Y5))+($W5))/453.59</f>
        <v>1.8560026621265706E-2</v>
      </c>
      <c r="L91" s="50">
        <f>$B$23*C5*(E5+6)</f>
        <v>4.219291293035949E-2</v>
      </c>
      <c r="M91" s="50">
        <f t="shared" si="53"/>
        <v>1.7299094301447389E-2</v>
      </c>
      <c r="N91" s="50">
        <f>C5*($E5*$Z5+($AA5))/453.59</f>
        <v>277.11788363019446</v>
      </c>
      <c r="O91" s="50">
        <f>C5*($E5*$AB5+($AC5))/453.59</f>
        <v>1.5852376945151247E-2</v>
      </c>
      <c r="P91" s="50">
        <f>C5*($E5*$AD5+($AE5))/453.59</f>
        <v>2.8855599569216798E-2</v>
      </c>
      <c r="AN91" s="38"/>
      <c r="AZ91" s="36"/>
    </row>
    <row r="92" spans="1:52" ht="25.5">
      <c r="A92" s="44" t="str">
        <f t="shared" si="52"/>
        <v>Substation Wiring</v>
      </c>
      <c r="B92" s="45" t="str">
        <f t="shared" si="52"/>
        <v>Light-Duty Truck, catalyst</v>
      </c>
      <c r="C92" s="46">
        <f t="shared" si="52"/>
        <v>1</v>
      </c>
      <c r="D92" s="46">
        <v>35</v>
      </c>
      <c r="E92" s="46">
        <v>80</v>
      </c>
      <c r="F92" s="50">
        <f>C6*($E6*$F6+($G6))/453.59</f>
        <v>0.48571938588092006</v>
      </c>
      <c r="G92" s="50">
        <f>C6*($E6*$H6+($I6))/453.59</f>
        <v>4.367065729437801E-2</v>
      </c>
      <c r="H92" s="50">
        <f>C6*(($E6*$J6)+($K6)+($L6)+($E6*$N6)+(($M6+$O6)))/453.59</f>
        <v>5.0499980323953329E-2</v>
      </c>
      <c r="I92" s="50">
        <f>C6*($E6*$P6+($Q6))/453.59</f>
        <v>7.2679702716061593E-4</v>
      </c>
      <c r="J92" s="50">
        <f>C6*(($E6*($R6+$T6+$U6))+($S6))/453.59</f>
        <v>8.5240904552078972E-3</v>
      </c>
      <c r="K92" s="50">
        <f>$C6*(($E6*($V6+$X6+$Y6))+($W6))/453.59</f>
        <v>3.7120053242531417E-3</v>
      </c>
      <c r="L92" s="50">
        <f>$B$23*C6*(E6+6)</f>
        <v>8.4385825860718994E-3</v>
      </c>
      <c r="M92" s="50">
        <f t="shared" si="53"/>
        <v>3.4598188602894785E-3</v>
      </c>
      <c r="N92" s="50">
        <f>C6*($E6*$Z6+($AA6))/453.59</f>
        <v>55.423576726038895</v>
      </c>
      <c r="O92" s="50">
        <f>C6*($E6*$AB6+($AC6))/453.59</f>
        <v>3.1704753890302493E-3</v>
      </c>
      <c r="P92" s="50">
        <f>C6*($E6*$AD6+($AE6))/453.59</f>
        <v>5.7711199138433603E-3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 t="shared" ref="F93:P93" si="54">SUM(F90:F92)</f>
        <v>4.3714744729282806</v>
      </c>
      <c r="G93" s="81">
        <f t="shared" si="54"/>
        <v>0.3930359156494021</v>
      </c>
      <c r="H93" s="81">
        <f t="shared" si="54"/>
        <v>0.45449982291557994</v>
      </c>
      <c r="I93" s="81">
        <f t="shared" si="54"/>
        <v>6.5411732444455436E-3</v>
      </c>
      <c r="J93" s="81">
        <f t="shared" si="54"/>
        <v>7.6716814096871061E-2</v>
      </c>
      <c r="K93" s="81">
        <f t="shared" si="54"/>
        <v>3.3408047918278276E-2</v>
      </c>
      <c r="L93" s="81">
        <f t="shared" si="54"/>
        <v>7.5947243274647094E-2</v>
      </c>
      <c r="M93" s="81">
        <f t="shared" si="54"/>
        <v>3.1138369742605303E-2</v>
      </c>
      <c r="N93" s="81">
        <f t="shared" si="54"/>
        <v>498.81219053435007</v>
      </c>
      <c r="O93" s="81">
        <f t="shared" si="54"/>
        <v>2.8534278501272242E-2</v>
      </c>
      <c r="P93" s="81">
        <f t="shared" si="54"/>
        <v>5.1940079224590242E-2</v>
      </c>
      <c r="AN93" s="38"/>
      <c r="AZ93" s="36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1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663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399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24" t="s">
        <v>400</v>
      </c>
      <c r="B14" s="29" t="s">
        <v>27</v>
      </c>
      <c r="C14" s="97">
        <v>235</v>
      </c>
      <c r="D14" s="97"/>
      <c r="E14" s="102">
        <v>0.11792220738547983</v>
      </c>
      <c r="F14" s="102">
        <v>0.36512193352152528</v>
      </c>
      <c r="G14" s="102">
        <v>0.86781464282266541</v>
      </c>
      <c r="H14" s="102">
        <v>1.8739217498104396E-3</v>
      </c>
      <c r="I14" s="102">
        <v>2.9041712295589866E-2</v>
      </c>
      <c r="J14" s="100">
        <f t="shared" ref="J14:J15" si="4">0.89*I14</f>
        <v>2.5847123943074982E-2</v>
      </c>
      <c r="K14" s="103">
        <v>166.54541562452522</v>
      </c>
      <c r="L14" s="102">
        <v>1.063993297769634E-2</v>
      </c>
      <c r="M14" s="104">
        <f t="shared" ref="M14:M15" si="5">0.095*G14</f>
        <v>8.2442391068153209E-2</v>
      </c>
      <c r="N14" s="98">
        <v>1</v>
      </c>
      <c r="O14" s="87">
        <v>8</v>
      </c>
      <c r="P14" s="88">
        <v>4</v>
      </c>
      <c r="Q14" s="34">
        <f t="shared" ref="Q14:Y15" si="6">(E14*$N14*$O14)</f>
        <v>0.94337765908383864</v>
      </c>
      <c r="R14" s="26">
        <f t="shared" si="6"/>
        <v>2.9209754681722022</v>
      </c>
      <c r="S14" s="26">
        <f t="shared" si="6"/>
        <v>6.9425171425813232</v>
      </c>
      <c r="T14" s="26">
        <f t="shared" si="6"/>
        <v>1.4991373998483517E-2</v>
      </c>
      <c r="U14" s="26">
        <f t="shared" si="6"/>
        <v>0.23233369836471893</v>
      </c>
      <c r="V14" s="26">
        <f t="shared" si="6"/>
        <v>0.20677699154459986</v>
      </c>
      <c r="W14" s="26">
        <f t="shared" si="6"/>
        <v>1332.3633249962018</v>
      </c>
      <c r="X14" s="26">
        <f t="shared" si="6"/>
        <v>8.5119463821570721E-2</v>
      </c>
      <c r="Y14" s="26">
        <f t="shared" si="6"/>
        <v>0.65953912854522567</v>
      </c>
    </row>
    <row r="15" spans="1:25" s="3" customFormat="1">
      <c r="A15" s="24" t="s">
        <v>297</v>
      </c>
      <c r="B15" s="29" t="s">
        <v>27</v>
      </c>
      <c r="C15" s="97">
        <v>235</v>
      </c>
      <c r="D15" s="97"/>
      <c r="E15" s="102">
        <v>0.11792220738547983</v>
      </c>
      <c r="F15" s="102">
        <v>0.36512193352152528</v>
      </c>
      <c r="G15" s="102">
        <v>0.86781464282266541</v>
      </c>
      <c r="H15" s="102">
        <v>1.8739217498104396E-3</v>
      </c>
      <c r="I15" s="102">
        <v>2.9041712295589866E-2</v>
      </c>
      <c r="J15" s="100">
        <f t="shared" si="4"/>
        <v>2.5847123943074982E-2</v>
      </c>
      <c r="K15" s="103">
        <v>166.54541562452522</v>
      </c>
      <c r="L15" s="102">
        <v>1.063993297769634E-2</v>
      </c>
      <c r="M15" s="104">
        <f t="shared" si="5"/>
        <v>8.2442391068153209E-2</v>
      </c>
      <c r="N15" s="98">
        <v>1</v>
      </c>
      <c r="O15" s="87">
        <v>8</v>
      </c>
      <c r="P15" s="88">
        <v>4</v>
      </c>
      <c r="Q15" s="34">
        <f t="shared" si="6"/>
        <v>0.94337765908383864</v>
      </c>
      <c r="R15" s="26">
        <f t="shared" si="6"/>
        <v>2.9209754681722022</v>
      </c>
      <c r="S15" s="26">
        <f t="shared" si="6"/>
        <v>6.9425171425813232</v>
      </c>
      <c r="T15" s="26">
        <f t="shared" si="6"/>
        <v>1.4991373998483517E-2</v>
      </c>
      <c r="U15" s="26">
        <f t="shared" si="6"/>
        <v>0.23233369836471893</v>
      </c>
      <c r="V15" s="26">
        <f t="shared" si="6"/>
        <v>0.20677699154459986</v>
      </c>
      <c r="W15" s="26">
        <f t="shared" si="6"/>
        <v>1332.3633249962018</v>
      </c>
      <c r="X15" s="26">
        <f t="shared" si="6"/>
        <v>8.5119463821570721E-2</v>
      </c>
      <c r="Y15" s="26">
        <f t="shared" si="6"/>
        <v>0.65953912854522567</v>
      </c>
    </row>
    <row r="16" spans="1:25" s="3" customFormat="1">
      <c r="A16" s="17" t="s">
        <v>28</v>
      </c>
      <c r="B16" s="97"/>
      <c r="C16" s="22"/>
      <c r="D16" s="22"/>
      <c r="E16" s="23"/>
      <c r="F16" s="23"/>
      <c r="G16" s="23"/>
      <c r="H16" s="23"/>
      <c r="I16" s="23"/>
      <c r="J16" s="24"/>
      <c r="K16" s="25"/>
      <c r="L16" s="23"/>
      <c r="M16" s="23"/>
      <c r="N16" s="88"/>
      <c r="O16" s="88"/>
      <c r="P16" s="88"/>
      <c r="Q16" s="27">
        <f t="shared" ref="Q16:Y16" si="7">SUM(Q14:Q15)</f>
        <v>1.8867553181676773</v>
      </c>
      <c r="R16" s="27">
        <f t="shared" si="7"/>
        <v>5.8419509363444044</v>
      </c>
      <c r="S16" s="27">
        <f t="shared" si="7"/>
        <v>13.885034285162646</v>
      </c>
      <c r="T16" s="27">
        <f t="shared" si="7"/>
        <v>2.9982747996967034E-2</v>
      </c>
      <c r="U16" s="27">
        <f t="shared" si="7"/>
        <v>0.46466739672943785</v>
      </c>
      <c r="V16" s="27">
        <f t="shared" si="7"/>
        <v>0.41355398308919972</v>
      </c>
      <c r="W16" s="27">
        <f t="shared" si="7"/>
        <v>2664.7266499924035</v>
      </c>
      <c r="X16" s="27">
        <f t="shared" si="7"/>
        <v>0.17023892764314144</v>
      </c>
      <c r="Y16" s="27">
        <f t="shared" si="7"/>
        <v>1.3190782570904513</v>
      </c>
    </row>
    <row r="17" spans="1:25" s="3" customFormat="1">
      <c r="A17" s="17"/>
      <c r="B17" s="29"/>
      <c r="C17" s="22"/>
      <c r="D17" s="22"/>
      <c r="E17" s="23"/>
      <c r="F17" s="23"/>
      <c r="G17" s="23"/>
      <c r="H17" s="23"/>
      <c r="I17" s="23"/>
      <c r="J17" s="24"/>
      <c r="K17" s="25"/>
      <c r="L17" s="23"/>
      <c r="M17" s="23"/>
      <c r="N17" s="99"/>
      <c r="O17" s="99"/>
      <c r="P17" s="99"/>
      <c r="Q17" s="27"/>
      <c r="R17" s="27"/>
      <c r="S17" s="27"/>
      <c r="T17" s="27"/>
      <c r="U17" s="27"/>
      <c r="V17" s="27"/>
      <c r="W17" s="27"/>
      <c r="X17" s="27"/>
      <c r="Y17" s="27"/>
    </row>
    <row r="18" spans="1:25" s="3" customFormat="1">
      <c r="A18" s="11" t="s">
        <v>317</v>
      </c>
      <c r="B18" s="22"/>
      <c r="C18" s="18"/>
      <c r="D18" s="22"/>
      <c r="E18" s="19"/>
      <c r="F18" s="19"/>
      <c r="G18" s="19"/>
      <c r="H18" s="19"/>
      <c r="I18" s="19"/>
      <c r="J18" s="19"/>
      <c r="K18" s="19"/>
      <c r="L18" s="19"/>
      <c r="M18" s="19"/>
      <c r="N18" s="11"/>
      <c r="O18" s="11"/>
      <c r="P18" s="11"/>
      <c r="Q18" s="27"/>
      <c r="R18" s="27"/>
      <c r="S18" s="27"/>
      <c r="T18" s="27"/>
      <c r="U18" s="27"/>
      <c r="V18" s="27"/>
      <c r="W18" s="28"/>
      <c r="X18" s="27"/>
      <c r="Y18" s="27"/>
    </row>
    <row r="19" spans="1:25" s="3" customFormat="1">
      <c r="A19" s="24" t="s">
        <v>311</v>
      </c>
      <c r="B19" s="29" t="s">
        <v>27</v>
      </c>
      <c r="C19" s="22">
        <v>175</v>
      </c>
      <c r="D19" s="22"/>
      <c r="E19" s="102">
        <v>0.11792220738547983</v>
      </c>
      <c r="F19" s="102">
        <v>0.36512193352152528</v>
      </c>
      <c r="G19" s="102">
        <v>0.86781464282266541</v>
      </c>
      <c r="H19" s="102">
        <v>1.8739217498104396E-3</v>
      </c>
      <c r="I19" s="102">
        <v>2.9041712295589866E-2</v>
      </c>
      <c r="J19" s="100">
        <f t="shared" ref="J19" si="8">0.89*I19</f>
        <v>2.5847123943074982E-2</v>
      </c>
      <c r="K19" s="103">
        <v>166.54541562452522</v>
      </c>
      <c r="L19" s="102">
        <v>1.063993297769634E-2</v>
      </c>
      <c r="M19" s="104">
        <f t="shared" ref="M19" si="9">0.095*G19</f>
        <v>8.2442391068153209E-2</v>
      </c>
      <c r="N19" s="98">
        <v>1</v>
      </c>
      <c r="O19" s="87">
        <v>2</v>
      </c>
      <c r="P19" s="363">
        <v>280</v>
      </c>
      <c r="Q19" s="34">
        <f t="shared" ref="Q19:Y19" si="10">(E19*$N19*$O19)</f>
        <v>0.23584441477095966</v>
      </c>
      <c r="R19" s="26">
        <f t="shared" si="10"/>
        <v>0.73024386704305055</v>
      </c>
      <c r="S19" s="26">
        <f t="shared" si="10"/>
        <v>1.7356292856453308</v>
      </c>
      <c r="T19" s="26">
        <f t="shared" si="10"/>
        <v>3.7478434996208792E-3</v>
      </c>
      <c r="U19" s="26">
        <f t="shared" si="10"/>
        <v>5.8083424591179732E-2</v>
      </c>
      <c r="V19" s="26">
        <f t="shared" si="10"/>
        <v>5.1694247886149965E-2</v>
      </c>
      <c r="W19" s="26">
        <f t="shared" si="10"/>
        <v>333.09083124905044</v>
      </c>
      <c r="X19" s="26">
        <f t="shared" si="10"/>
        <v>2.127986595539268E-2</v>
      </c>
      <c r="Y19" s="26">
        <f t="shared" si="10"/>
        <v>0.16488478213630642</v>
      </c>
    </row>
    <row r="20" spans="1:25" s="3" customFormat="1">
      <c r="A20" s="17" t="s">
        <v>28</v>
      </c>
      <c r="B20" s="97"/>
      <c r="C20" s="22"/>
      <c r="D20" s="22"/>
      <c r="E20" s="23"/>
      <c r="F20" s="23"/>
      <c r="G20" s="23"/>
      <c r="H20" s="23"/>
      <c r="I20" s="23"/>
      <c r="J20" s="24"/>
      <c r="K20" s="25"/>
      <c r="L20" s="23"/>
      <c r="M20" s="23"/>
      <c r="N20" s="88"/>
      <c r="O20" s="88"/>
      <c r="P20" s="88"/>
      <c r="Q20" s="27">
        <f t="shared" ref="Q20:Y20" si="11">SUM(Q19:Q19)</f>
        <v>0.23584441477095966</v>
      </c>
      <c r="R20" s="27">
        <f t="shared" si="11"/>
        <v>0.73024386704305055</v>
      </c>
      <c r="S20" s="27">
        <f t="shared" si="11"/>
        <v>1.7356292856453308</v>
      </c>
      <c r="T20" s="27">
        <f t="shared" si="11"/>
        <v>3.7478434996208792E-3</v>
      </c>
      <c r="U20" s="27">
        <f t="shared" si="11"/>
        <v>5.8083424591179732E-2</v>
      </c>
      <c r="V20" s="27">
        <f t="shared" si="11"/>
        <v>5.1694247886149965E-2</v>
      </c>
      <c r="W20" s="27">
        <f t="shared" si="11"/>
        <v>333.09083124905044</v>
      </c>
      <c r="X20" s="27">
        <f t="shared" si="11"/>
        <v>2.127986595539268E-2</v>
      </c>
      <c r="Y20" s="27">
        <f t="shared" si="11"/>
        <v>0.16488478213630642</v>
      </c>
    </row>
    <row r="21" spans="1:25">
      <c r="A21" s="17" t="s">
        <v>499</v>
      </c>
      <c r="B21" s="549"/>
      <c r="C21" s="18"/>
      <c r="D21" s="22"/>
      <c r="E21" s="19"/>
      <c r="F21" s="19"/>
      <c r="G21" s="19"/>
      <c r="H21" s="19"/>
      <c r="I21" s="19"/>
      <c r="J21" s="19"/>
      <c r="K21" s="19"/>
      <c r="L21" s="19"/>
      <c r="M21" s="19"/>
      <c r="N21" s="30"/>
      <c r="O21" s="30"/>
      <c r="P21" s="364"/>
      <c r="Q21" s="20">
        <f>Q11+Q16+Q20</f>
        <v>2.8371768560302342</v>
      </c>
      <c r="R21" s="20">
        <f t="shared" ref="R21:Y21" si="12">R11+R16+R20</f>
        <v>9.5263540143458485</v>
      </c>
      <c r="S21" s="20">
        <f t="shared" si="12"/>
        <v>20.041720016947135</v>
      </c>
      <c r="T21" s="20">
        <f t="shared" si="12"/>
        <v>4.205365773266579E-2</v>
      </c>
      <c r="U21" s="20">
        <f t="shared" si="12"/>
        <v>0.76855911363666507</v>
      </c>
      <c r="V21" s="20">
        <f t="shared" si="12"/>
        <v>0.68401761113663184</v>
      </c>
      <c r="W21" s="20">
        <f t="shared" si="12"/>
        <v>3694.2709737264822</v>
      </c>
      <c r="X21" s="20">
        <f t="shared" si="12"/>
        <v>0.26405859978910384</v>
      </c>
      <c r="Y21" s="20">
        <f t="shared" si="12"/>
        <v>1.9039634016099776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4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664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C9*(F9)*$B$221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C10*(F10)*$B$221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336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C14*(F14)*$B$163</f>
        <v>0</v>
      </c>
      <c r="AA14" s="50">
        <f>Z14*0.21</f>
        <v>0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0.19978255106729004</v>
      </c>
      <c r="U15" s="81">
        <f t="shared" si="1"/>
        <v>0.36881875565943734</v>
      </c>
      <c r="V15" s="81">
        <f t="shared" si="1"/>
        <v>4.50613455258927E-2</v>
      </c>
      <c r="W15" s="81">
        <f t="shared" si="1"/>
        <v>2.7797226812149543E-3</v>
      </c>
      <c r="X15" s="81">
        <f t="shared" si="1"/>
        <v>7.2738929740302244E-2</v>
      </c>
      <c r="Y15" s="81">
        <f t="shared" si="1"/>
        <v>4.8332197965954803E-2</v>
      </c>
      <c r="Z15" s="81">
        <f t="shared" si="1"/>
        <v>0</v>
      </c>
      <c r="AA15" s="81">
        <f t="shared" si="1"/>
        <v>0</v>
      </c>
      <c r="AB15" s="81">
        <f t="shared" si="1"/>
        <v>193.62821118051326</v>
      </c>
      <c r="AC15" s="81">
        <f t="shared" si="1"/>
        <v>1.1064496871488068E-2</v>
      </c>
      <c r="AD15" s="81">
        <f t="shared" si="1"/>
        <v>4.9599802576000274E-3</v>
      </c>
    </row>
    <row r="16" spans="1:30">
      <c r="A16" s="75"/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</row>
    <row r="17" spans="1:30">
      <c r="A17" s="114" t="s">
        <v>335</v>
      </c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61"/>
      <c r="U17" s="61"/>
      <c r="V17" s="61"/>
      <c r="W17" s="61"/>
      <c r="X17" s="61"/>
      <c r="Y17" s="61"/>
      <c r="Z17" s="62"/>
      <c r="AA17" s="62"/>
      <c r="AB17" s="62"/>
      <c r="AC17" s="62"/>
      <c r="AD17" s="62"/>
    </row>
    <row r="18" spans="1:30">
      <c r="A18" s="78" t="s">
        <v>311</v>
      </c>
      <c r="B18" s="76" t="s">
        <v>105</v>
      </c>
      <c r="C18" s="374">
        <v>1</v>
      </c>
      <c r="D18" s="77"/>
      <c r="E18" s="77">
        <v>35</v>
      </c>
      <c r="F18" s="77">
        <v>80</v>
      </c>
      <c r="G18" s="106">
        <v>1.08263976628415</v>
      </c>
      <c r="H18" s="106">
        <v>4.9712718909585103</v>
      </c>
      <c r="I18" s="106">
        <v>0.26248012575016899</v>
      </c>
      <c r="J18" s="106">
        <v>1.0711818E-2</v>
      </c>
      <c r="K18" s="106">
        <v>7.1679901072141505E-2</v>
      </c>
      <c r="L18" s="576">
        <v>3.59998119015979E-2</v>
      </c>
      <c r="M18" s="576">
        <v>6.1739677411240299E-2</v>
      </c>
      <c r="N18" s="106">
        <v>6.5945508986370194E-2</v>
      </c>
      <c r="O18" s="576">
        <v>2.9999843251331498E-3</v>
      </c>
      <c r="P18" s="576">
        <v>5.5859708133979398E-2</v>
      </c>
      <c r="Q18" s="106">
        <v>1710.7260798814</v>
      </c>
      <c r="R18" s="47">
        <v>1.5235246282551899E-2</v>
      </c>
      <c r="S18" s="80">
        <f>0.000025616*Q18</f>
        <v>4.3821959262241944E-2</v>
      </c>
      <c r="T18" s="50">
        <f>C18*($F18*$G18)/453.59</f>
        <v>0.19094596728925242</v>
      </c>
      <c r="U18" s="50">
        <f>C18*($F18*$H18)/453.59</f>
        <v>0.87678685878586582</v>
      </c>
      <c r="V18" s="50">
        <f>C18*(($F18*$I18))/453.59</f>
        <v>4.6293811724274173E-2</v>
      </c>
      <c r="W18" s="50">
        <f>C18*($F18*$J18)/453.59</f>
        <v>1.8892511739676801E-3</v>
      </c>
      <c r="X18" s="50">
        <f>C18*(($F18*($K18+$L18+$M18)))/453.59</f>
        <v>2.9880621774726907E-2</v>
      </c>
      <c r="Y18" s="50">
        <f>C18*(($F18*($N18+$O18+$P18)))/453.59</f>
        <v>2.2011984646131133E-2</v>
      </c>
      <c r="Z18" s="50">
        <f>C18*(F18)*$B$221</f>
        <v>0</v>
      </c>
      <c r="AA18" s="50">
        <f>Z18*0.21</f>
        <v>0</v>
      </c>
      <c r="AB18" s="50">
        <f>C18*(($F18*($Q18)))/453.59</f>
        <v>301.72200972356535</v>
      </c>
      <c r="AC18" s="50">
        <f>C18*(($F18*($R18)))/453.59</f>
        <v>2.6870515280410772E-3</v>
      </c>
      <c r="AD18" s="50">
        <f>C18*(($F18*($S18)))/453.59</f>
        <v>7.7289110010788503E-3</v>
      </c>
    </row>
    <row r="19" spans="1:30">
      <c r="A19" s="75" t="s">
        <v>28</v>
      </c>
      <c r="B19" s="74"/>
      <c r="C19" s="112"/>
      <c r="D19" s="112"/>
      <c r="E19" s="74"/>
      <c r="F19" s="74"/>
      <c r="G19" s="577"/>
      <c r="H19" s="41"/>
      <c r="I19" s="41"/>
      <c r="J19" s="41"/>
      <c r="K19" s="574"/>
      <c r="L19" s="574"/>
      <c r="M19" s="574"/>
      <c r="N19" s="574"/>
      <c r="O19" s="574"/>
      <c r="P19" s="574"/>
      <c r="Q19" s="41"/>
      <c r="R19" s="574"/>
      <c r="S19" s="574"/>
      <c r="T19" s="81">
        <f t="shared" ref="T19:AD19" si="2">SUM(T18:T18)</f>
        <v>0.19094596728925242</v>
      </c>
      <c r="U19" s="81">
        <f t="shared" si="2"/>
        <v>0.87678685878586582</v>
      </c>
      <c r="V19" s="81">
        <f t="shared" si="2"/>
        <v>4.6293811724274173E-2</v>
      </c>
      <c r="W19" s="81">
        <f t="shared" si="2"/>
        <v>1.8892511739676801E-3</v>
      </c>
      <c r="X19" s="81">
        <f t="shared" si="2"/>
        <v>2.9880621774726907E-2</v>
      </c>
      <c r="Y19" s="81">
        <f t="shared" si="2"/>
        <v>2.2011984646131133E-2</v>
      </c>
      <c r="Z19" s="81">
        <f t="shared" si="2"/>
        <v>0</v>
      </c>
      <c r="AA19" s="81">
        <f t="shared" si="2"/>
        <v>0</v>
      </c>
      <c r="AB19" s="81">
        <f t="shared" si="2"/>
        <v>301.72200972356535</v>
      </c>
      <c r="AC19" s="81">
        <f t="shared" si="2"/>
        <v>2.6870515280410772E-3</v>
      </c>
      <c r="AD19" s="81">
        <f t="shared" si="2"/>
        <v>7.7289110010788503E-3</v>
      </c>
    </row>
    <row r="20" spans="1:30">
      <c r="A20" s="75" t="s">
        <v>388</v>
      </c>
      <c r="B20" s="74"/>
      <c r="C20" s="112"/>
      <c r="D20" s="112"/>
      <c r="E20" s="74"/>
      <c r="F20" s="74"/>
      <c r="G20" s="547"/>
      <c r="H20" s="41"/>
      <c r="I20" s="41"/>
      <c r="J20" s="41"/>
      <c r="K20" s="544"/>
      <c r="L20" s="544"/>
      <c r="M20" s="544"/>
      <c r="N20" s="544"/>
      <c r="O20" s="544"/>
      <c r="P20" s="544"/>
      <c r="Q20" s="41"/>
      <c r="R20" s="544"/>
      <c r="S20" s="544"/>
      <c r="T20" s="81">
        <f>T11+T15+T19</f>
        <v>0.6815657611794399</v>
      </c>
      <c r="U20" s="81">
        <f t="shared" ref="U20:AD20" si="3">U11+U15+U19</f>
        <v>2.3068018510608876</v>
      </c>
      <c r="V20" s="81">
        <f t="shared" si="3"/>
        <v>0.16017964173738741</v>
      </c>
      <c r="W20" s="81">
        <f t="shared" si="3"/>
        <v>7.9480863697577921E-3</v>
      </c>
      <c r="X20" s="81">
        <f t="shared" si="3"/>
        <v>0.16886963815990719</v>
      </c>
      <c r="Y20" s="81">
        <f t="shared" si="3"/>
        <v>0.11652226624119447</v>
      </c>
      <c r="Z20" s="81">
        <f t="shared" si="3"/>
        <v>0</v>
      </c>
      <c r="AA20" s="81">
        <f t="shared" si="3"/>
        <v>0</v>
      </c>
      <c r="AB20" s="81">
        <f t="shared" si="3"/>
        <v>893.88633621790063</v>
      </c>
      <c r="AC20" s="81">
        <f t="shared" si="3"/>
        <v>2.1970848363314255E-2</v>
      </c>
      <c r="AD20" s="81">
        <f t="shared" si="3"/>
        <v>2.2897792388557742E-2</v>
      </c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372" spans="1:2" ht="25.5">
      <c r="A372" s="82" t="s">
        <v>109</v>
      </c>
    </row>
    <row r="374" spans="1:2">
      <c r="A374" s="36" t="s">
        <v>81</v>
      </c>
    </row>
    <row r="375" spans="1:2">
      <c r="A375" s="36" t="s">
        <v>82</v>
      </c>
    </row>
    <row r="376" spans="1:2">
      <c r="A376" s="36" t="s">
        <v>83</v>
      </c>
    </row>
    <row r="377" spans="1:2">
      <c r="A377" s="37" t="s">
        <v>96</v>
      </c>
    </row>
    <row r="378" spans="1:2">
      <c r="A378" s="36" t="s">
        <v>85</v>
      </c>
    </row>
    <row r="379" spans="1:2">
      <c r="A379" s="36" t="s">
        <v>86</v>
      </c>
    </row>
    <row r="380" spans="1:2">
      <c r="A380" s="36" t="s">
        <v>87</v>
      </c>
    </row>
    <row r="381" spans="1:2">
      <c r="A381" s="36" t="s">
        <v>0</v>
      </c>
    </row>
    <row r="382" spans="1:2">
      <c r="A382" s="37" t="s">
        <v>97</v>
      </c>
      <c r="B382" s="36">
        <f>(0.016*(0.03/2)^0.65*(2/3)^1.5)-0.00047</f>
        <v>9.8123053326417428E-5</v>
      </c>
    </row>
    <row r="383" spans="1:2">
      <c r="A383" s="37" t="s">
        <v>98</v>
      </c>
      <c r="B383" s="36">
        <f>(0.016*(0.03/2)^0.65*(13/3)^1.5)-0.00047</f>
        <v>8.9448292388582783E-3</v>
      </c>
    </row>
    <row r="384" spans="1:2">
      <c r="A384" s="37" t="s">
        <v>99</v>
      </c>
      <c r="B384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665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67" ht="25.5">
      <c r="A5" s="44" t="s">
        <v>336</v>
      </c>
      <c r="B5" s="45" t="s">
        <v>102</v>
      </c>
      <c r="C5" s="46">
        <v>5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335</v>
      </c>
      <c r="B6" s="45" t="s">
        <v>102</v>
      </c>
      <c r="C6" s="46">
        <v>1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546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2">AG$11*$AC16</f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>AR$11*$AC16</f>
        <v>#REF!</v>
      </c>
      <c r="AS16" s="36" t="e">
        <f t="shared" ref="AS16:BA24" si="3">AS$11*$AC16</f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4">AF$11*$AC17</f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ref="AR17:AR24" si="5">AR$11*$AC17</f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6">AF$11*$AC27</f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ref="AR27:BA35" si="7">AR$11*$AC27</f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8">AF$11*$AC38</f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ref="AR38:BA46" si="9">AR$11*$AC38</f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0">AF16+AF18+AF19</f>
        <v>#REF!</v>
      </c>
      <c r="AG51" s="70" t="e">
        <f t="shared" si="10"/>
        <v>#REF!</v>
      </c>
      <c r="AH51" s="70" t="e">
        <f t="shared" si="10"/>
        <v>#REF!</v>
      </c>
      <c r="AI51" s="70" t="e">
        <f t="shared" si="10"/>
        <v>#REF!</v>
      </c>
      <c r="AJ51" s="70" t="e">
        <f t="shared" si="10"/>
        <v>#REF!</v>
      </c>
      <c r="AK51" s="70" t="e">
        <f t="shared" si="10"/>
        <v>#REF!</v>
      </c>
      <c r="AL51" s="70" t="e">
        <f t="shared" si="10"/>
        <v>#REF!</v>
      </c>
      <c r="AM51" s="70" t="e">
        <f t="shared" si="10"/>
        <v>#REF!</v>
      </c>
      <c r="AN51" s="70" t="e">
        <f t="shared" si="10"/>
        <v>#REF!</v>
      </c>
      <c r="AO51" s="70" t="e">
        <f t="shared" si="10"/>
        <v>#REF!</v>
      </c>
      <c r="AP51" s="70"/>
      <c r="AQ51" s="70"/>
      <c r="AR51" s="70" t="e">
        <f t="shared" ref="AR51:BA51" si="11">AR16+AR18+AR19</f>
        <v>#REF!</v>
      </c>
      <c r="AS51" s="70" t="e">
        <f t="shared" si="11"/>
        <v>#REF!</v>
      </c>
      <c r="AT51" s="70" t="e">
        <f t="shared" si="11"/>
        <v>#REF!</v>
      </c>
      <c r="AU51" s="70" t="e">
        <f t="shared" si="11"/>
        <v>#REF!</v>
      </c>
      <c r="AV51" s="70" t="e">
        <f t="shared" si="11"/>
        <v>#REF!</v>
      </c>
      <c r="AW51" s="70" t="e">
        <f t="shared" si="11"/>
        <v>#REF!</v>
      </c>
      <c r="AX51" s="70" t="e">
        <f t="shared" si="11"/>
        <v>#REF!</v>
      </c>
      <c r="AY51" s="70" t="e">
        <f t="shared" si="11"/>
        <v>#REF!</v>
      </c>
      <c r="AZ51" s="70" t="e">
        <f t="shared" si="11"/>
        <v>#REF!</v>
      </c>
      <c r="BA51" s="70" t="e">
        <f t="shared" si="11"/>
        <v>#REF!</v>
      </c>
    </row>
    <row r="52" spans="27:53" hidden="1">
      <c r="AA52" s="71" t="s">
        <v>41</v>
      </c>
      <c r="AB52" s="35"/>
      <c r="AF52" s="70" t="e">
        <f t="shared" ref="AF52:AO52" si="12">AF27+AF29+AF30</f>
        <v>#REF!</v>
      </c>
      <c r="AG52" s="70" t="e">
        <f t="shared" si="12"/>
        <v>#REF!</v>
      </c>
      <c r="AH52" s="70" t="e">
        <f t="shared" si="12"/>
        <v>#REF!</v>
      </c>
      <c r="AI52" s="70" t="e">
        <f t="shared" si="12"/>
        <v>#REF!</v>
      </c>
      <c r="AJ52" s="70" t="e">
        <f t="shared" si="12"/>
        <v>#REF!</v>
      </c>
      <c r="AK52" s="70" t="e">
        <f t="shared" si="12"/>
        <v>#REF!</v>
      </c>
      <c r="AL52" s="70" t="e">
        <f t="shared" si="12"/>
        <v>#REF!</v>
      </c>
      <c r="AM52" s="70" t="e">
        <f t="shared" si="12"/>
        <v>#REF!</v>
      </c>
      <c r="AN52" s="70" t="e">
        <f t="shared" si="12"/>
        <v>#REF!</v>
      </c>
      <c r="AO52" s="70" t="e">
        <f t="shared" si="12"/>
        <v>#REF!</v>
      </c>
      <c r="AP52" s="70"/>
      <c r="AQ52" s="70"/>
      <c r="AR52" s="70" t="e">
        <f t="shared" ref="AR52:BA52" si="13">AR27+AR29+AR30</f>
        <v>#REF!</v>
      </c>
      <c r="AS52" s="70" t="e">
        <f t="shared" si="13"/>
        <v>#REF!</v>
      </c>
      <c r="AT52" s="70" t="e">
        <f t="shared" si="13"/>
        <v>#REF!</v>
      </c>
      <c r="AU52" s="70" t="e">
        <f t="shared" si="13"/>
        <v>#REF!</v>
      </c>
      <c r="AV52" s="70" t="e">
        <f t="shared" si="13"/>
        <v>#REF!</v>
      </c>
      <c r="AW52" s="70" t="e">
        <f t="shared" si="13"/>
        <v>#REF!</v>
      </c>
      <c r="AX52" s="70" t="e">
        <f t="shared" si="13"/>
        <v>#REF!</v>
      </c>
      <c r="AY52" s="70" t="e">
        <f t="shared" si="13"/>
        <v>#REF!</v>
      </c>
      <c r="AZ52" s="70" t="e">
        <f t="shared" si="13"/>
        <v>#REF!</v>
      </c>
      <c r="BA52" s="70" t="e">
        <f t="shared" si="13"/>
        <v>#REF!</v>
      </c>
    </row>
    <row r="53" spans="27:53" hidden="1">
      <c r="AA53" s="71" t="s">
        <v>42</v>
      </c>
      <c r="AB53" s="35"/>
      <c r="AF53" s="70" t="e">
        <f t="shared" ref="AF53:AO53" si="14">AF38+AF40+AF41</f>
        <v>#REF!</v>
      </c>
      <c r="AG53" s="70" t="e">
        <f t="shared" si="14"/>
        <v>#REF!</v>
      </c>
      <c r="AH53" s="70" t="e">
        <f t="shared" si="14"/>
        <v>#REF!</v>
      </c>
      <c r="AI53" s="70" t="e">
        <f t="shared" si="14"/>
        <v>#REF!</v>
      </c>
      <c r="AJ53" s="70" t="e">
        <f t="shared" si="14"/>
        <v>#REF!</v>
      </c>
      <c r="AK53" s="70" t="e">
        <f t="shared" si="14"/>
        <v>#REF!</v>
      </c>
      <c r="AL53" s="70" t="e">
        <f t="shared" si="14"/>
        <v>#REF!</v>
      </c>
      <c r="AM53" s="70" t="e">
        <f t="shared" si="14"/>
        <v>#REF!</v>
      </c>
      <c r="AN53" s="70" t="e">
        <f t="shared" si="14"/>
        <v>#REF!</v>
      </c>
      <c r="AO53" s="70" t="e">
        <f t="shared" si="14"/>
        <v>#REF!</v>
      </c>
      <c r="AP53" s="70"/>
      <c r="AQ53" s="70"/>
      <c r="AR53" s="70" t="e">
        <f t="shared" ref="AR53:BA53" si="15">AR38+AR40+AR41</f>
        <v>#REF!</v>
      </c>
      <c r="AS53" s="70" t="e">
        <f t="shared" si="15"/>
        <v>#REF!</v>
      </c>
      <c r="AT53" s="70" t="e">
        <f t="shared" si="15"/>
        <v>#REF!</v>
      </c>
      <c r="AU53" s="70" t="e">
        <f t="shared" si="15"/>
        <v>#REF!</v>
      </c>
      <c r="AV53" s="70" t="e">
        <f t="shared" si="15"/>
        <v>#REF!</v>
      </c>
      <c r="AW53" s="70" t="e">
        <f t="shared" si="15"/>
        <v>#REF!</v>
      </c>
      <c r="AX53" s="70" t="e">
        <f t="shared" si="15"/>
        <v>#REF!</v>
      </c>
      <c r="AY53" s="70" t="e">
        <f t="shared" si="15"/>
        <v>#REF!</v>
      </c>
      <c r="AZ53" s="70" t="e">
        <f t="shared" si="15"/>
        <v>#REF!</v>
      </c>
      <c r="BA53" s="70" t="e">
        <f t="shared" si="15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6">AF16+AF18+AF20+AF22</f>
        <v>#REF!</v>
      </c>
      <c r="AG55" s="70" t="e">
        <f t="shared" si="16"/>
        <v>#REF!</v>
      </c>
      <c r="AH55" s="70" t="e">
        <f t="shared" si="16"/>
        <v>#REF!</v>
      </c>
      <c r="AI55" s="70" t="e">
        <f t="shared" si="16"/>
        <v>#REF!</v>
      </c>
      <c r="AJ55" s="70" t="e">
        <f t="shared" si="16"/>
        <v>#REF!</v>
      </c>
      <c r="AK55" s="70" t="e">
        <f t="shared" si="16"/>
        <v>#REF!</v>
      </c>
      <c r="AL55" s="70" t="e">
        <f t="shared" si="16"/>
        <v>#REF!</v>
      </c>
      <c r="AM55" s="70" t="e">
        <f t="shared" si="16"/>
        <v>#REF!</v>
      </c>
      <c r="AN55" s="70" t="e">
        <f t="shared" si="16"/>
        <v>#REF!</v>
      </c>
      <c r="AO55" s="70" t="e">
        <f t="shared" si="16"/>
        <v>#REF!</v>
      </c>
      <c r="AP55" s="70"/>
      <c r="AQ55" s="70"/>
      <c r="AR55" s="70" t="e">
        <f t="shared" ref="AR55:BA55" si="17">AR16+AR18+AR20+AR22</f>
        <v>#REF!</v>
      </c>
      <c r="AS55" s="70" t="e">
        <f t="shared" si="17"/>
        <v>#REF!</v>
      </c>
      <c r="AT55" s="70" t="e">
        <f t="shared" si="17"/>
        <v>#REF!</v>
      </c>
      <c r="AU55" s="70" t="e">
        <f t="shared" si="17"/>
        <v>#REF!</v>
      </c>
      <c r="AV55" s="70" t="e">
        <f t="shared" si="17"/>
        <v>#REF!</v>
      </c>
      <c r="AW55" s="70" t="e">
        <f t="shared" si="17"/>
        <v>#REF!</v>
      </c>
      <c r="AX55" s="70" t="e">
        <f t="shared" si="17"/>
        <v>#REF!</v>
      </c>
      <c r="AY55" s="70" t="e">
        <f t="shared" si="17"/>
        <v>#REF!</v>
      </c>
      <c r="AZ55" s="70" t="e">
        <f t="shared" si="17"/>
        <v>#REF!</v>
      </c>
      <c r="BA55" s="70" t="e">
        <f t="shared" si="17"/>
        <v>#REF!</v>
      </c>
    </row>
    <row r="56" spans="27:53" hidden="1">
      <c r="AA56" s="71" t="s">
        <v>41</v>
      </c>
      <c r="AB56" s="35"/>
      <c r="AF56" s="70" t="e">
        <f t="shared" ref="AF56:AO56" si="18">AF27+AF29+AF31+AF33</f>
        <v>#REF!</v>
      </c>
      <c r="AG56" s="70" t="e">
        <f t="shared" si="18"/>
        <v>#REF!</v>
      </c>
      <c r="AH56" s="70" t="e">
        <f t="shared" si="18"/>
        <v>#REF!</v>
      </c>
      <c r="AI56" s="70" t="e">
        <f t="shared" si="18"/>
        <v>#REF!</v>
      </c>
      <c r="AJ56" s="70" t="e">
        <f t="shared" si="18"/>
        <v>#REF!</v>
      </c>
      <c r="AK56" s="70" t="e">
        <f t="shared" si="18"/>
        <v>#REF!</v>
      </c>
      <c r="AL56" s="70" t="e">
        <f t="shared" si="18"/>
        <v>#REF!</v>
      </c>
      <c r="AM56" s="70" t="e">
        <f t="shared" si="18"/>
        <v>#REF!</v>
      </c>
      <c r="AN56" s="70" t="e">
        <f t="shared" si="18"/>
        <v>#REF!</v>
      </c>
      <c r="AO56" s="70" t="e">
        <f t="shared" si="18"/>
        <v>#REF!</v>
      </c>
      <c r="AP56" s="70"/>
      <c r="AQ56" s="70"/>
      <c r="AR56" s="70" t="e">
        <f t="shared" ref="AR56:BA56" si="19">AR27+AR29+AR31+AR33</f>
        <v>#REF!</v>
      </c>
      <c r="AS56" s="70" t="e">
        <f t="shared" si="19"/>
        <v>#REF!</v>
      </c>
      <c r="AT56" s="70" t="e">
        <f t="shared" si="19"/>
        <v>#REF!</v>
      </c>
      <c r="AU56" s="70" t="e">
        <f t="shared" si="19"/>
        <v>#REF!</v>
      </c>
      <c r="AV56" s="70" t="e">
        <f t="shared" si="19"/>
        <v>#REF!</v>
      </c>
      <c r="AW56" s="70" t="e">
        <f t="shared" si="19"/>
        <v>#REF!</v>
      </c>
      <c r="AX56" s="70" t="e">
        <f t="shared" si="19"/>
        <v>#REF!</v>
      </c>
      <c r="AY56" s="70" t="e">
        <f t="shared" si="19"/>
        <v>#REF!</v>
      </c>
      <c r="AZ56" s="70" t="e">
        <f t="shared" si="19"/>
        <v>#REF!</v>
      </c>
      <c r="BA56" s="70" t="e">
        <f t="shared" si="19"/>
        <v>#REF!</v>
      </c>
    </row>
    <row r="57" spans="27:53" hidden="1">
      <c r="AA57" s="71" t="s">
        <v>42</v>
      </c>
      <c r="AB57" s="35"/>
      <c r="AF57" s="70" t="e">
        <f t="shared" ref="AF57:AO57" si="20">AF38+AF40+AF42+AF44</f>
        <v>#REF!</v>
      </c>
      <c r="AG57" s="70" t="e">
        <f t="shared" si="20"/>
        <v>#REF!</v>
      </c>
      <c r="AH57" s="70" t="e">
        <f t="shared" si="20"/>
        <v>#REF!</v>
      </c>
      <c r="AI57" s="70" t="e">
        <f t="shared" si="20"/>
        <v>#REF!</v>
      </c>
      <c r="AJ57" s="70" t="e">
        <f t="shared" si="20"/>
        <v>#REF!</v>
      </c>
      <c r="AK57" s="70" t="e">
        <f t="shared" si="20"/>
        <v>#REF!</v>
      </c>
      <c r="AL57" s="70" t="e">
        <f t="shared" si="20"/>
        <v>#REF!</v>
      </c>
      <c r="AM57" s="70" t="e">
        <f t="shared" si="20"/>
        <v>#REF!</v>
      </c>
      <c r="AN57" s="70" t="e">
        <f t="shared" si="20"/>
        <v>#REF!</v>
      </c>
      <c r="AO57" s="70" t="e">
        <f t="shared" si="20"/>
        <v>#REF!</v>
      </c>
      <c r="AP57" s="70"/>
      <c r="AQ57" s="70"/>
      <c r="AR57" s="70" t="e">
        <f t="shared" ref="AR57:BA57" si="21">AR38+AR40+AR42+AR44</f>
        <v>#REF!</v>
      </c>
      <c r="AS57" s="70" t="e">
        <f t="shared" si="21"/>
        <v>#REF!</v>
      </c>
      <c r="AT57" s="70" t="e">
        <f t="shared" si="21"/>
        <v>#REF!</v>
      </c>
      <c r="AU57" s="70" t="e">
        <f t="shared" si="21"/>
        <v>#REF!</v>
      </c>
      <c r="AV57" s="70" t="e">
        <f t="shared" si="21"/>
        <v>#REF!</v>
      </c>
      <c r="AW57" s="70" t="e">
        <f t="shared" si="21"/>
        <v>#REF!</v>
      </c>
      <c r="AX57" s="70" t="e">
        <f t="shared" si="21"/>
        <v>#REF!</v>
      </c>
      <c r="AY57" s="70" t="e">
        <f t="shared" si="21"/>
        <v>#REF!</v>
      </c>
      <c r="AZ57" s="70" t="e">
        <f t="shared" si="21"/>
        <v>#REF!</v>
      </c>
      <c r="BA57" s="70" t="e">
        <f t="shared" si="21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2">AF16+AF18+AF20+AF21+AF23</f>
        <v>#REF!</v>
      </c>
      <c r="AG59" s="70" t="e">
        <f t="shared" si="22"/>
        <v>#REF!</v>
      </c>
      <c r="AH59" s="70" t="e">
        <f t="shared" si="22"/>
        <v>#REF!</v>
      </c>
      <c r="AI59" s="70" t="e">
        <f t="shared" si="22"/>
        <v>#REF!</v>
      </c>
      <c r="AJ59" s="70" t="e">
        <f t="shared" si="22"/>
        <v>#REF!</v>
      </c>
      <c r="AK59" s="70" t="e">
        <f t="shared" si="22"/>
        <v>#REF!</v>
      </c>
      <c r="AL59" s="70" t="e">
        <f t="shared" si="22"/>
        <v>#REF!</v>
      </c>
      <c r="AM59" s="70" t="e">
        <f t="shared" si="22"/>
        <v>#REF!</v>
      </c>
      <c r="AN59" s="70" t="e">
        <f t="shared" si="22"/>
        <v>#REF!</v>
      </c>
      <c r="AO59" s="70" t="e">
        <f t="shared" si="22"/>
        <v>#REF!</v>
      </c>
      <c r="AP59" s="70"/>
      <c r="AQ59" s="70"/>
      <c r="AR59" s="70" t="e">
        <f t="shared" ref="AR59:BA59" si="23">AR16+AR18+AR20+AR21+AR23</f>
        <v>#REF!</v>
      </c>
      <c r="AS59" s="70" t="e">
        <f t="shared" si="23"/>
        <v>#REF!</v>
      </c>
      <c r="AT59" s="70" t="e">
        <f t="shared" si="23"/>
        <v>#REF!</v>
      </c>
      <c r="AU59" s="70" t="e">
        <f t="shared" si="23"/>
        <v>#REF!</v>
      </c>
      <c r="AV59" s="70" t="e">
        <f t="shared" si="23"/>
        <v>#REF!</v>
      </c>
      <c r="AW59" s="70" t="e">
        <f t="shared" si="23"/>
        <v>#REF!</v>
      </c>
      <c r="AX59" s="70" t="e">
        <f t="shared" si="23"/>
        <v>#REF!</v>
      </c>
      <c r="AY59" s="70" t="e">
        <f t="shared" si="23"/>
        <v>#REF!</v>
      </c>
      <c r="AZ59" s="70" t="e">
        <f t="shared" si="23"/>
        <v>#REF!</v>
      </c>
      <c r="BA59" s="70" t="e">
        <f t="shared" si="23"/>
        <v>#REF!</v>
      </c>
    </row>
    <row r="60" spans="27:53" hidden="1">
      <c r="AA60" s="71" t="s">
        <v>41</v>
      </c>
      <c r="AB60" s="35"/>
      <c r="AF60" s="70" t="e">
        <f t="shared" ref="AF60:AO60" si="24">AF27+AF29+AF31+AF32+AF34</f>
        <v>#REF!</v>
      </c>
      <c r="AG60" s="70" t="e">
        <f t="shared" si="24"/>
        <v>#REF!</v>
      </c>
      <c r="AH60" s="70" t="e">
        <f t="shared" si="24"/>
        <v>#REF!</v>
      </c>
      <c r="AI60" s="70" t="e">
        <f t="shared" si="24"/>
        <v>#REF!</v>
      </c>
      <c r="AJ60" s="70" t="e">
        <f t="shared" si="24"/>
        <v>#REF!</v>
      </c>
      <c r="AK60" s="70" t="e">
        <f t="shared" si="24"/>
        <v>#REF!</v>
      </c>
      <c r="AL60" s="70" t="e">
        <f t="shared" si="24"/>
        <v>#REF!</v>
      </c>
      <c r="AM60" s="70" t="e">
        <f t="shared" si="24"/>
        <v>#REF!</v>
      </c>
      <c r="AN60" s="70" t="e">
        <f t="shared" si="24"/>
        <v>#REF!</v>
      </c>
      <c r="AO60" s="70" t="e">
        <f t="shared" si="24"/>
        <v>#REF!</v>
      </c>
      <c r="AP60" s="70"/>
      <c r="AQ60" s="70"/>
      <c r="AR60" s="70" t="e">
        <f t="shared" ref="AR60:BA60" si="25">AR27+AR29+AR31+AR32+AR34</f>
        <v>#REF!</v>
      </c>
      <c r="AS60" s="70" t="e">
        <f t="shared" si="25"/>
        <v>#REF!</v>
      </c>
      <c r="AT60" s="70" t="e">
        <f t="shared" si="25"/>
        <v>#REF!</v>
      </c>
      <c r="AU60" s="70" t="e">
        <f t="shared" si="25"/>
        <v>#REF!</v>
      </c>
      <c r="AV60" s="70" t="e">
        <f t="shared" si="25"/>
        <v>#REF!</v>
      </c>
      <c r="AW60" s="70" t="e">
        <f t="shared" si="25"/>
        <v>#REF!</v>
      </c>
      <c r="AX60" s="70" t="e">
        <f t="shared" si="25"/>
        <v>#REF!</v>
      </c>
      <c r="AY60" s="70" t="e">
        <f t="shared" si="25"/>
        <v>#REF!</v>
      </c>
      <c r="AZ60" s="70" t="e">
        <f t="shared" si="25"/>
        <v>#REF!</v>
      </c>
      <c r="BA60" s="70" t="e">
        <f t="shared" si="25"/>
        <v>#REF!</v>
      </c>
    </row>
    <row r="61" spans="27:53" hidden="1">
      <c r="AA61" s="71" t="s">
        <v>42</v>
      </c>
      <c r="AB61" s="35"/>
      <c r="AF61" s="70" t="e">
        <f t="shared" ref="AF61:AO61" si="26">AF38+AF40+AF42+AF43+AF45</f>
        <v>#REF!</v>
      </c>
      <c r="AG61" s="70" t="e">
        <f t="shared" si="26"/>
        <v>#REF!</v>
      </c>
      <c r="AH61" s="70" t="e">
        <f t="shared" si="26"/>
        <v>#REF!</v>
      </c>
      <c r="AI61" s="70" t="e">
        <f t="shared" si="26"/>
        <v>#REF!</v>
      </c>
      <c r="AJ61" s="70" t="e">
        <f t="shared" si="26"/>
        <v>#REF!</v>
      </c>
      <c r="AK61" s="70" t="e">
        <f t="shared" si="26"/>
        <v>#REF!</v>
      </c>
      <c r="AL61" s="70" t="e">
        <f t="shared" si="26"/>
        <v>#REF!</v>
      </c>
      <c r="AM61" s="70" t="e">
        <f t="shared" si="26"/>
        <v>#REF!</v>
      </c>
      <c r="AN61" s="70" t="e">
        <f t="shared" si="26"/>
        <v>#REF!</v>
      </c>
      <c r="AO61" s="70" t="e">
        <f t="shared" si="26"/>
        <v>#REF!</v>
      </c>
      <c r="AP61" s="70"/>
      <c r="AQ61" s="70"/>
      <c r="AR61" s="70" t="e">
        <f t="shared" ref="AR61:BA61" si="27">AR38+AR40+AR42+AR43+AR45</f>
        <v>#REF!</v>
      </c>
      <c r="AS61" s="70" t="e">
        <f t="shared" si="27"/>
        <v>#REF!</v>
      </c>
      <c r="AT61" s="70" t="e">
        <f t="shared" si="27"/>
        <v>#REF!</v>
      </c>
      <c r="AU61" s="70" t="e">
        <f t="shared" si="27"/>
        <v>#REF!</v>
      </c>
      <c r="AV61" s="70" t="e">
        <f t="shared" si="27"/>
        <v>#REF!</v>
      </c>
      <c r="AW61" s="70" t="e">
        <f t="shared" si="27"/>
        <v>#REF!</v>
      </c>
      <c r="AX61" s="70" t="e">
        <f t="shared" si="27"/>
        <v>#REF!</v>
      </c>
      <c r="AY61" s="70" t="e">
        <f t="shared" si="27"/>
        <v>#REF!</v>
      </c>
      <c r="AZ61" s="70" t="e">
        <f t="shared" si="27"/>
        <v>#REF!</v>
      </c>
      <c r="BA61" s="70" t="e">
        <f t="shared" si="27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28">AF16+AF18+AF20+AF21+AF24</f>
        <v>#REF!</v>
      </c>
      <c r="AG63" s="70" t="e">
        <f t="shared" si="28"/>
        <v>#REF!</v>
      </c>
      <c r="AH63" s="70" t="e">
        <f t="shared" si="28"/>
        <v>#REF!</v>
      </c>
      <c r="AI63" s="70" t="e">
        <f t="shared" si="28"/>
        <v>#REF!</v>
      </c>
      <c r="AJ63" s="70" t="e">
        <f t="shared" si="28"/>
        <v>#REF!</v>
      </c>
      <c r="AK63" s="70" t="e">
        <f t="shared" si="28"/>
        <v>#REF!</v>
      </c>
      <c r="AL63" s="70" t="e">
        <f t="shared" si="28"/>
        <v>#REF!</v>
      </c>
      <c r="AM63" s="70" t="e">
        <f t="shared" si="28"/>
        <v>#REF!</v>
      </c>
      <c r="AN63" s="70" t="e">
        <f t="shared" si="28"/>
        <v>#REF!</v>
      </c>
      <c r="AO63" s="70" t="e">
        <f t="shared" si="28"/>
        <v>#REF!</v>
      </c>
      <c r="AP63" s="70"/>
      <c r="AQ63" s="70"/>
      <c r="AR63" s="70" t="e">
        <f t="shared" ref="AR63:BA63" si="29">AR16+AR18+AR20+AR21+AR24</f>
        <v>#REF!</v>
      </c>
      <c r="AS63" s="70" t="e">
        <f t="shared" si="29"/>
        <v>#REF!</v>
      </c>
      <c r="AT63" s="70" t="e">
        <f t="shared" si="29"/>
        <v>#REF!</v>
      </c>
      <c r="AU63" s="70" t="e">
        <f t="shared" si="29"/>
        <v>#REF!</v>
      </c>
      <c r="AV63" s="70" t="e">
        <f t="shared" si="29"/>
        <v>#REF!</v>
      </c>
      <c r="AW63" s="70" t="e">
        <f t="shared" si="29"/>
        <v>#REF!</v>
      </c>
      <c r="AX63" s="70" t="e">
        <f t="shared" si="29"/>
        <v>#REF!</v>
      </c>
      <c r="AY63" s="70" t="e">
        <f t="shared" si="29"/>
        <v>#REF!</v>
      </c>
      <c r="AZ63" s="70" t="e">
        <f t="shared" si="29"/>
        <v>#REF!</v>
      </c>
      <c r="BA63" s="70" t="e">
        <f t="shared" si="29"/>
        <v>#REF!</v>
      </c>
    </row>
    <row r="64" spans="27:53" hidden="1">
      <c r="AA64" s="71" t="s">
        <v>41</v>
      </c>
      <c r="AB64" s="35"/>
      <c r="AF64" s="70" t="e">
        <f t="shared" ref="AF64:AO64" si="30">AF27+AF29+AF31+AF32+AF35</f>
        <v>#REF!</v>
      </c>
      <c r="AG64" s="70" t="e">
        <f t="shared" si="30"/>
        <v>#REF!</v>
      </c>
      <c r="AH64" s="70" t="e">
        <f t="shared" si="30"/>
        <v>#REF!</v>
      </c>
      <c r="AI64" s="70" t="e">
        <f t="shared" si="30"/>
        <v>#REF!</v>
      </c>
      <c r="AJ64" s="70" t="e">
        <f t="shared" si="30"/>
        <v>#REF!</v>
      </c>
      <c r="AK64" s="70" t="e">
        <f t="shared" si="30"/>
        <v>#REF!</v>
      </c>
      <c r="AL64" s="70" t="e">
        <f t="shared" si="30"/>
        <v>#REF!</v>
      </c>
      <c r="AM64" s="70" t="e">
        <f t="shared" si="30"/>
        <v>#REF!</v>
      </c>
      <c r="AN64" s="70" t="e">
        <f t="shared" si="30"/>
        <v>#REF!</v>
      </c>
      <c r="AO64" s="70" t="e">
        <f t="shared" si="30"/>
        <v>#REF!</v>
      </c>
      <c r="AP64" s="70"/>
      <c r="AQ64" s="70"/>
      <c r="AR64" s="70" t="e">
        <f t="shared" ref="AR64:BA64" si="31">AR27+AR29+AR31+AR32+AR35</f>
        <v>#REF!</v>
      </c>
      <c r="AS64" s="70" t="e">
        <f t="shared" si="31"/>
        <v>#REF!</v>
      </c>
      <c r="AT64" s="70" t="e">
        <f t="shared" si="31"/>
        <v>#REF!</v>
      </c>
      <c r="AU64" s="70" t="e">
        <f t="shared" si="31"/>
        <v>#REF!</v>
      </c>
      <c r="AV64" s="70" t="e">
        <f t="shared" si="31"/>
        <v>#REF!</v>
      </c>
      <c r="AW64" s="70" t="e">
        <f t="shared" si="31"/>
        <v>#REF!</v>
      </c>
      <c r="AX64" s="70" t="e">
        <f t="shared" si="31"/>
        <v>#REF!</v>
      </c>
      <c r="AY64" s="70" t="e">
        <f t="shared" si="31"/>
        <v>#REF!</v>
      </c>
      <c r="AZ64" s="70" t="e">
        <f t="shared" si="31"/>
        <v>#REF!</v>
      </c>
      <c r="BA64" s="70" t="e">
        <f t="shared" si="31"/>
        <v>#REF!</v>
      </c>
    </row>
    <row r="65" spans="27:53" hidden="1">
      <c r="AA65" s="71" t="s">
        <v>42</v>
      </c>
      <c r="AB65" s="35"/>
      <c r="AF65" s="70" t="e">
        <f t="shared" ref="AF65:AO65" si="32">AF38+AF40+AF42+AF43+AF46</f>
        <v>#REF!</v>
      </c>
      <c r="AG65" s="70" t="e">
        <f t="shared" si="32"/>
        <v>#REF!</v>
      </c>
      <c r="AH65" s="70" t="e">
        <f t="shared" si="32"/>
        <v>#REF!</v>
      </c>
      <c r="AI65" s="70" t="e">
        <f t="shared" si="32"/>
        <v>#REF!</v>
      </c>
      <c r="AJ65" s="70" t="e">
        <f t="shared" si="32"/>
        <v>#REF!</v>
      </c>
      <c r="AK65" s="70" t="e">
        <f t="shared" si="32"/>
        <v>#REF!</v>
      </c>
      <c r="AL65" s="70" t="e">
        <f t="shared" si="32"/>
        <v>#REF!</v>
      </c>
      <c r="AM65" s="70" t="e">
        <f t="shared" si="32"/>
        <v>#REF!</v>
      </c>
      <c r="AN65" s="70" t="e">
        <f t="shared" si="32"/>
        <v>#REF!</v>
      </c>
      <c r="AO65" s="70" t="e">
        <f t="shared" si="32"/>
        <v>#REF!</v>
      </c>
      <c r="AP65" s="70"/>
      <c r="AQ65" s="70"/>
      <c r="AR65" s="70" t="e">
        <f t="shared" ref="AR65:BA65" si="33">AR38+AR40+AR42+AR43+AR46</f>
        <v>#REF!</v>
      </c>
      <c r="AS65" s="70" t="e">
        <f t="shared" si="33"/>
        <v>#REF!</v>
      </c>
      <c r="AT65" s="70" t="e">
        <f t="shared" si="33"/>
        <v>#REF!</v>
      </c>
      <c r="AU65" s="70" t="e">
        <f t="shared" si="33"/>
        <v>#REF!</v>
      </c>
      <c r="AV65" s="70" t="e">
        <f t="shared" si="33"/>
        <v>#REF!</v>
      </c>
      <c r="AW65" s="70" t="e">
        <f t="shared" si="33"/>
        <v>#REF!</v>
      </c>
      <c r="AX65" s="70" t="e">
        <f t="shared" si="33"/>
        <v>#REF!</v>
      </c>
      <c r="AY65" s="70" t="e">
        <f t="shared" si="33"/>
        <v>#REF!</v>
      </c>
      <c r="AZ65" s="70" t="e">
        <f t="shared" si="33"/>
        <v>#REF!</v>
      </c>
      <c r="BA65" s="70" t="e">
        <f t="shared" si="33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4">AF16+AF17+AF22</f>
        <v>#REF!</v>
      </c>
      <c r="AG67" s="70" t="e">
        <f t="shared" si="34"/>
        <v>#REF!</v>
      </c>
      <c r="AH67" s="70" t="e">
        <f t="shared" si="34"/>
        <v>#REF!</v>
      </c>
      <c r="AI67" s="70" t="e">
        <f t="shared" si="34"/>
        <v>#REF!</v>
      </c>
      <c r="AJ67" s="70" t="e">
        <f t="shared" si="34"/>
        <v>#REF!</v>
      </c>
      <c r="AK67" s="70" t="e">
        <f t="shared" si="34"/>
        <v>#REF!</v>
      </c>
      <c r="AL67" s="70" t="e">
        <f t="shared" si="34"/>
        <v>#REF!</v>
      </c>
      <c r="AM67" s="70" t="e">
        <f t="shared" si="34"/>
        <v>#REF!</v>
      </c>
      <c r="AN67" s="70" t="e">
        <f t="shared" si="34"/>
        <v>#REF!</v>
      </c>
      <c r="AO67" s="70" t="e">
        <f t="shared" si="34"/>
        <v>#REF!</v>
      </c>
      <c r="AP67" s="70"/>
      <c r="AQ67" s="70"/>
      <c r="AR67" s="70" t="e">
        <f t="shared" ref="AR67:BA67" si="35">AR16+AR17+AR22</f>
        <v>#REF!</v>
      </c>
      <c r="AS67" s="70" t="e">
        <f t="shared" si="35"/>
        <v>#REF!</v>
      </c>
      <c r="AT67" s="70" t="e">
        <f t="shared" si="35"/>
        <v>#REF!</v>
      </c>
      <c r="AU67" s="70" t="e">
        <f t="shared" si="35"/>
        <v>#REF!</v>
      </c>
      <c r="AV67" s="70" t="e">
        <f t="shared" si="35"/>
        <v>#REF!</v>
      </c>
      <c r="AW67" s="70" t="e">
        <f t="shared" si="35"/>
        <v>#REF!</v>
      </c>
      <c r="AX67" s="70" t="e">
        <f t="shared" si="35"/>
        <v>#REF!</v>
      </c>
      <c r="AY67" s="70" t="e">
        <f t="shared" si="35"/>
        <v>#REF!</v>
      </c>
      <c r="AZ67" s="70" t="e">
        <f t="shared" si="35"/>
        <v>#REF!</v>
      </c>
      <c r="BA67" s="70" t="e">
        <f t="shared" si="35"/>
        <v>#REF!</v>
      </c>
    </row>
    <row r="68" spans="27:53" hidden="1">
      <c r="AA68" s="71" t="s">
        <v>41</v>
      </c>
      <c r="AB68" s="35"/>
      <c r="AF68" s="70" t="e">
        <f t="shared" ref="AF68:AO68" si="36">AF27+AF28+AF33</f>
        <v>#REF!</v>
      </c>
      <c r="AG68" s="70" t="e">
        <f t="shared" si="36"/>
        <v>#REF!</v>
      </c>
      <c r="AH68" s="70" t="e">
        <f t="shared" si="36"/>
        <v>#REF!</v>
      </c>
      <c r="AI68" s="70" t="e">
        <f t="shared" si="36"/>
        <v>#REF!</v>
      </c>
      <c r="AJ68" s="70" t="e">
        <f t="shared" si="36"/>
        <v>#REF!</v>
      </c>
      <c r="AK68" s="70" t="e">
        <f t="shared" si="36"/>
        <v>#REF!</v>
      </c>
      <c r="AL68" s="70" t="e">
        <f t="shared" si="36"/>
        <v>#REF!</v>
      </c>
      <c r="AM68" s="70" t="e">
        <f t="shared" si="36"/>
        <v>#REF!</v>
      </c>
      <c r="AN68" s="70" t="e">
        <f t="shared" si="36"/>
        <v>#REF!</v>
      </c>
      <c r="AO68" s="70" t="e">
        <f t="shared" si="36"/>
        <v>#REF!</v>
      </c>
      <c r="AP68" s="70"/>
      <c r="AQ68" s="70"/>
      <c r="AR68" s="70" t="e">
        <f t="shared" ref="AR68:BA68" si="37">AR27+AR28+AR33</f>
        <v>#REF!</v>
      </c>
      <c r="AS68" s="70" t="e">
        <f t="shared" si="37"/>
        <v>#REF!</v>
      </c>
      <c r="AT68" s="70" t="e">
        <f t="shared" si="37"/>
        <v>#REF!</v>
      </c>
      <c r="AU68" s="70" t="e">
        <f t="shared" si="37"/>
        <v>#REF!</v>
      </c>
      <c r="AV68" s="70" t="e">
        <f t="shared" si="37"/>
        <v>#REF!</v>
      </c>
      <c r="AW68" s="70" t="e">
        <f t="shared" si="37"/>
        <v>#REF!</v>
      </c>
      <c r="AX68" s="70" t="e">
        <f t="shared" si="37"/>
        <v>#REF!</v>
      </c>
      <c r="AY68" s="70" t="e">
        <f t="shared" si="37"/>
        <v>#REF!</v>
      </c>
      <c r="AZ68" s="70" t="e">
        <f t="shared" si="37"/>
        <v>#REF!</v>
      </c>
      <c r="BA68" s="70" t="e">
        <f t="shared" si="37"/>
        <v>#REF!</v>
      </c>
    </row>
    <row r="69" spans="27:53" hidden="1">
      <c r="AA69" s="71" t="s">
        <v>42</v>
      </c>
      <c r="AB69" s="35"/>
      <c r="AF69" s="70" t="e">
        <f t="shared" ref="AF69:AO69" si="38">AF38+AF39+AF44</f>
        <v>#REF!</v>
      </c>
      <c r="AG69" s="70" t="e">
        <f t="shared" si="38"/>
        <v>#REF!</v>
      </c>
      <c r="AH69" s="70" t="e">
        <f t="shared" si="38"/>
        <v>#REF!</v>
      </c>
      <c r="AI69" s="70" t="e">
        <f t="shared" si="38"/>
        <v>#REF!</v>
      </c>
      <c r="AJ69" s="70" t="e">
        <f t="shared" si="38"/>
        <v>#REF!</v>
      </c>
      <c r="AK69" s="70" t="e">
        <f t="shared" si="38"/>
        <v>#REF!</v>
      </c>
      <c r="AL69" s="70" t="e">
        <f t="shared" si="38"/>
        <v>#REF!</v>
      </c>
      <c r="AM69" s="70" t="e">
        <f t="shared" si="38"/>
        <v>#REF!</v>
      </c>
      <c r="AN69" s="70" t="e">
        <f t="shared" si="38"/>
        <v>#REF!</v>
      </c>
      <c r="AO69" s="70" t="e">
        <f t="shared" si="38"/>
        <v>#REF!</v>
      </c>
      <c r="AP69" s="70"/>
      <c r="AQ69" s="70"/>
      <c r="AR69" s="70" t="e">
        <f t="shared" ref="AR69:BA69" si="39">AR38+AR39+AR44</f>
        <v>#REF!</v>
      </c>
      <c r="AS69" s="70" t="e">
        <f t="shared" si="39"/>
        <v>#REF!</v>
      </c>
      <c r="AT69" s="70" t="e">
        <f t="shared" si="39"/>
        <v>#REF!</v>
      </c>
      <c r="AU69" s="70" t="e">
        <f t="shared" si="39"/>
        <v>#REF!</v>
      </c>
      <c r="AV69" s="70" t="e">
        <f t="shared" si="39"/>
        <v>#REF!</v>
      </c>
      <c r="AW69" s="70" t="e">
        <f t="shared" si="39"/>
        <v>#REF!</v>
      </c>
      <c r="AX69" s="70" t="e">
        <f t="shared" si="39"/>
        <v>#REF!</v>
      </c>
      <c r="AY69" s="70" t="e">
        <f t="shared" si="39"/>
        <v>#REF!</v>
      </c>
      <c r="AZ69" s="70" t="e">
        <f t="shared" si="39"/>
        <v>#REF!</v>
      </c>
      <c r="BA69" s="70" t="e">
        <f t="shared" si="39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0">AF16+AF17+AF21+AF23</f>
        <v>#REF!</v>
      </c>
      <c r="AG71" s="70" t="e">
        <f t="shared" si="40"/>
        <v>#REF!</v>
      </c>
      <c r="AH71" s="70" t="e">
        <f t="shared" si="40"/>
        <v>#REF!</v>
      </c>
      <c r="AI71" s="70" t="e">
        <f t="shared" si="40"/>
        <v>#REF!</v>
      </c>
      <c r="AJ71" s="70" t="e">
        <f t="shared" si="40"/>
        <v>#REF!</v>
      </c>
      <c r="AK71" s="70" t="e">
        <f t="shared" si="40"/>
        <v>#REF!</v>
      </c>
      <c r="AL71" s="70" t="e">
        <f t="shared" si="40"/>
        <v>#REF!</v>
      </c>
      <c r="AM71" s="70" t="e">
        <f t="shared" si="40"/>
        <v>#REF!</v>
      </c>
      <c r="AN71" s="70" t="e">
        <f t="shared" si="40"/>
        <v>#REF!</v>
      </c>
      <c r="AO71" s="70" t="e">
        <f t="shared" si="40"/>
        <v>#REF!</v>
      </c>
      <c r="AP71" s="70"/>
      <c r="AQ71" s="70"/>
      <c r="AR71" s="70" t="e">
        <f t="shared" ref="AR71:BA71" si="41">AR16+AR17+AR21+AR23</f>
        <v>#REF!</v>
      </c>
      <c r="AS71" s="70" t="e">
        <f t="shared" si="41"/>
        <v>#REF!</v>
      </c>
      <c r="AT71" s="70" t="e">
        <f t="shared" si="41"/>
        <v>#REF!</v>
      </c>
      <c r="AU71" s="70" t="e">
        <f t="shared" si="41"/>
        <v>#REF!</v>
      </c>
      <c r="AV71" s="70" t="e">
        <f t="shared" si="41"/>
        <v>#REF!</v>
      </c>
      <c r="AW71" s="70" t="e">
        <f t="shared" si="41"/>
        <v>#REF!</v>
      </c>
      <c r="AX71" s="70" t="e">
        <f t="shared" si="41"/>
        <v>#REF!</v>
      </c>
      <c r="AY71" s="70" t="e">
        <f t="shared" si="41"/>
        <v>#REF!</v>
      </c>
      <c r="AZ71" s="70" t="e">
        <f t="shared" si="41"/>
        <v>#REF!</v>
      </c>
      <c r="BA71" s="70" t="e">
        <f t="shared" si="41"/>
        <v>#REF!</v>
      </c>
    </row>
    <row r="72" spans="27:53" hidden="1">
      <c r="AA72" s="71" t="s">
        <v>41</v>
      </c>
      <c r="AB72" s="35"/>
      <c r="AF72" s="70" t="e">
        <f t="shared" ref="AF72:AO72" si="42">AF27+AF28+AF32+AF34</f>
        <v>#REF!</v>
      </c>
      <c r="AG72" s="70" t="e">
        <f t="shared" si="42"/>
        <v>#REF!</v>
      </c>
      <c r="AH72" s="70" t="e">
        <f t="shared" si="42"/>
        <v>#REF!</v>
      </c>
      <c r="AI72" s="70" t="e">
        <f t="shared" si="42"/>
        <v>#REF!</v>
      </c>
      <c r="AJ72" s="70" t="e">
        <f t="shared" si="42"/>
        <v>#REF!</v>
      </c>
      <c r="AK72" s="70" t="e">
        <f t="shared" si="42"/>
        <v>#REF!</v>
      </c>
      <c r="AL72" s="70" t="e">
        <f t="shared" si="42"/>
        <v>#REF!</v>
      </c>
      <c r="AM72" s="70" t="e">
        <f t="shared" si="42"/>
        <v>#REF!</v>
      </c>
      <c r="AN72" s="70" t="e">
        <f t="shared" si="42"/>
        <v>#REF!</v>
      </c>
      <c r="AO72" s="70" t="e">
        <f t="shared" si="42"/>
        <v>#REF!</v>
      </c>
      <c r="AP72" s="70"/>
      <c r="AQ72" s="70"/>
      <c r="AR72" s="70" t="e">
        <f t="shared" ref="AR72:BA72" si="43">AR27+AR28+AR32+AR34</f>
        <v>#REF!</v>
      </c>
      <c r="AS72" s="70" t="e">
        <f t="shared" si="43"/>
        <v>#REF!</v>
      </c>
      <c r="AT72" s="70" t="e">
        <f t="shared" si="43"/>
        <v>#REF!</v>
      </c>
      <c r="AU72" s="70" t="e">
        <f t="shared" si="43"/>
        <v>#REF!</v>
      </c>
      <c r="AV72" s="70" t="e">
        <f t="shared" si="43"/>
        <v>#REF!</v>
      </c>
      <c r="AW72" s="70" t="e">
        <f t="shared" si="43"/>
        <v>#REF!</v>
      </c>
      <c r="AX72" s="70" t="e">
        <f t="shared" si="43"/>
        <v>#REF!</v>
      </c>
      <c r="AY72" s="70" t="e">
        <f t="shared" si="43"/>
        <v>#REF!</v>
      </c>
      <c r="AZ72" s="70" t="e">
        <f t="shared" si="43"/>
        <v>#REF!</v>
      </c>
      <c r="BA72" s="70" t="e">
        <f t="shared" si="43"/>
        <v>#REF!</v>
      </c>
    </row>
    <row r="73" spans="27:53" hidden="1">
      <c r="AA73" s="71" t="s">
        <v>42</v>
      </c>
      <c r="AB73" s="35"/>
      <c r="AF73" s="70" t="e">
        <f t="shared" ref="AF73:AO73" si="44">AF38+AF39+AF43+AF45</f>
        <v>#REF!</v>
      </c>
      <c r="AG73" s="70" t="e">
        <f t="shared" si="44"/>
        <v>#REF!</v>
      </c>
      <c r="AH73" s="70" t="e">
        <f t="shared" si="44"/>
        <v>#REF!</v>
      </c>
      <c r="AI73" s="70" t="e">
        <f t="shared" si="44"/>
        <v>#REF!</v>
      </c>
      <c r="AJ73" s="70" t="e">
        <f t="shared" si="44"/>
        <v>#REF!</v>
      </c>
      <c r="AK73" s="70" t="e">
        <f t="shared" si="44"/>
        <v>#REF!</v>
      </c>
      <c r="AL73" s="70" t="e">
        <f t="shared" si="44"/>
        <v>#REF!</v>
      </c>
      <c r="AM73" s="70" t="e">
        <f t="shared" si="44"/>
        <v>#REF!</v>
      </c>
      <c r="AN73" s="70" t="e">
        <f t="shared" si="44"/>
        <v>#REF!</v>
      </c>
      <c r="AO73" s="70" t="e">
        <f t="shared" si="44"/>
        <v>#REF!</v>
      </c>
      <c r="AP73" s="70"/>
      <c r="AQ73" s="70"/>
      <c r="AR73" s="70" t="e">
        <f t="shared" ref="AR73:BA73" si="45">AR38+AR39+AR43+AR45</f>
        <v>#REF!</v>
      </c>
      <c r="AS73" s="70" t="e">
        <f t="shared" si="45"/>
        <v>#REF!</v>
      </c>
      <c r="AT73" s="70" t="e">
        <f t="shared" si="45"/>
        <v>#REF!</v>
      </c>
      <c r="AU73" s="70" t="e">
        <f t="shared" si="45"/>
        <v>#REF!</v>
      </c>
      <c r="AV73" s="70" t="e">
        <f t="shared" si="45"/>
        <v>#REF!</v>
      </c>
      <c r="AW73" s="70" t="e">
        <f t="shared" si="45"/>
        <v>#REF!</v>
      </c>
      <c r="AX73" s="70" t="e">
        <f t="shared" si="45"/>
        <v>#REF!</v>
      </c>
      <c r="AY73" s="70" t="e">
        <f t="shared" si="45"/>
        <v>#REF!</v>
      </c>
      <c r="AZ73" s="70" t="e">
        <f t="shared" si="45"/>
        <v>#REF!</v>
      </c>
      <c r="BA73" s="70" t="e">
        <f t="shared" si="45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6">AF16+AF17+AF21+AF24</f>
        <v>#REF!</v>
      </c>
      <c r="AG75" s="70" t="e">
        <f t="shared" si="46"/>
        <v>#REF!</v>
      </c>
      <c r="AH75" s="70" t="e">
        <f t="shared" si="46"/>
        <v>#REF!</v>
      </c>
      <c r="AI75" s="70" t="e">
        <f t="shared" si="46"/>
        <v>#REF!</v>
      </c>
      <c r="AJ75" s="70" t="e">
        <f t="shared" si="46"/>
        <v>#REF!</v>
      </c>
      <c r="AK75" s="70" t="e">
        <f t="shared" si="46"/>
        <v>#REF!</v>
      </c>
      <c r="AL75" s="70" t="e">
        <f t="shared" si="46"/>
        <v>#REF!</v>
      </c>
      <c r="AM75" s="70" t="e">
        <f t="shared" si="46"/>
        <v>#REF!</v>
      </c>
      <c r="AN75" s="70" t="e">
        <f t="shared" si="46"/>
        <v>#REF!</v>
      </c>
      <c r="AO75" s="70" t="e">
        <f t="shared" si="46"/>
        <v>#REF!</v>
      </c>
      <c r="AP75" s="70"/>
      <c r="AQ75" s="70"/>
      <c r="AR75" s="70" t="e">
        <f t="shared" ref="AR75:BA75" si="47">AR16+AR17+AR21+AR24</f>
        <v>#REF!</v>
      </c>
      <c r="AS75" s="70" t="e">
        <f t="shared" si="47"/>
        <v>#REF!</v>
      </c>
      <c r="AT75" s="70" t="e">
        <f t="shared" si="47"/>
        <v>#REF!</v>
      </c>
      <c r="AU75" s="70" t="e">
        <f t="shared" si="47"/>
        <v>#REF!</v>
      </c>
      <c r="AV75" s="70" t="e">
        <f t="shared" si="47"/>
        <v>#REF!</v>
      </c>
      <c r="AW75" s="70" t="e">
        <f t="shared" si="47"/>
        <v>#REF!</v>
      </c>
      <c r="AX75" s="70" t="e">
        <f t="shared" si="47"/>
        <v>#REF!</v>
      </c>
      <c r="AY75" s="70" t="e">
        <f t="shared" si="47"/>
        <v>#REF!</v>
      </c>
      <c r="AZ75" s="70" t="e">
        <f t="shared" si="47"/>
        <v>#REF!</v>
      </c>
      <c r="BA75" s="70" t="e">
        <f t="shared" si="47"/>
        <v>#REF!</v>
      </c>
    </row>
    <row r="76" spans="27:53" hidden="1">
      <c r="AA76" s="71" t="s">
        <v>41</v>
      </c>
      <c r="AB76" s="35"/>
      <c r="AF76" s="70" t="e">
        <f t="shared" ref="AF76:AO76" si="48">AF27+AF28+AF32+AF35</f>
        <v>#REF!</v>
      </c>
      <c r="AG76" s="70" t="e">
        <f t="shared" si="48"/>
        <v>#REF!</v>
      </c>
      <c r="AH76" s="70" t="e">
        <f t="shared" si="48"/>
        <v>#REF!</v>
      </c>
      <c r="AI76" s="70" t="e">
        <f t="shared" si="48"/>
        <v>#REF!</v>
      </c>
      <c r="AJ76" s="70" t="e">
        <f t="shared" si="48"/>
        <v>#REF!</v>
      </c>
      <c r="AK76" s="70" t="e">
        <f t="shared" si="48"/>
        <v>#REF!</v>
      </c>
      <c r="AL76" s="70" t="e">
        <f t="shared" si="48"/>
        <v>#REF!</v>
      </c>
      <c r="AM76" s="70" t="e">
        <f t="shared" si="48"/>
        <v>#REF!</v>
      </c>
      <c r="AN76" s="70" t="e">
        <f t="shared" si="48"/>
        <v>#REF!</v>
      </c>
      <c r="AO76" s="70" t="e">
        <f t="shared" si="48"/>
        <v>#REF!</v>
      </c>
      <c r="AP76" s="70"/>
      <c r="AQ76" s="70"/>
      <c r="AR76" s="70" t="e">
        <f t="shared" ref="AR76:BA76" si="49">AR27+AR28+AR32+AR35</f>
        <v>#REF!</v>
      </c>
      <c r="AS76" s="70" t="e">
        <f t="shared" si="49"/>
        <v>#REF!</v>
      </c>
      <c r="AT76" s="70" t="e">
        <f t="shared" si="49"/>
        <v>#REF!</v>
      </c>
      <c r="AU76" s="70" t="e">
        <f t="shared" si="49"/>
        <v>#REF!</v>
      </c>
      <c r="AV76" s="70" t="e">
        <f t="shared" si="49"/>
        <v>#REF!</v>
      </c>
      <c r="AW76" s="70" t="e">
        <f t="shared" si="49"/>
        <v>#REF!</v>
      </c>
      <c r="AX76" s="70" t="e">
        <f t="shared" si="49"/>
        <v>#REF!</v>
      </c>
      <c r="AY76" s="70" t="e">
        <f t="shared" si="49"/>
        <v>#REF!</v>
      </c>
      <c r="AZ76" s="70" t="e">
        <f t="shared" si="49"/>
        <v>#REF!</v>
      </c>
      <c r="BA76" s="70" t="e">
        <f t="shared" si="49"/>
        <v>#REF!</v>
      </c>
    </row>
    <row r="77" spans="27:53" hidden="1">
      <c r="AA77" s="71" t="s">
        <v>42</v>
      </c>
      <c r="AB77" s="35"/>
      <c r="AF77" s="70" t="e">
        <f t="shared" ref="AF77:AO77" si="50">AF38+AF39+AF43+AF46</f>
        <v>#REF!</v>
      </c>
      <c r="AG77" s="70" t="e">
        <f t="shared" si="50"/>
        <v>#REF!</v>
      </c>
      <c r="AH77" s="70" t="e">
        <f t="shared" si="50"/>
        <v>#REF!</v>
      </c>
      <c r="AI77" s="70" t="e">
        <f t="shared" si="50"/>
        <v>#REF!</v>
      </c>
      <c r="AJ77" s="70" t="e">
        <f t="shared" si="50"/>
        <v>#REF!</v>
      </c>
      <c r="AK77" s="70" t="e">
        <f t="shared" si="50"/>
        <v>#REF!</v>
      </c>
      <c r="AL77" s="70" t="e">
        <f t="shared" si="50"/>
        <v>#REF!</v>
      </c>
      <c r="AM77" s="70" t="e">
        <f t="shared" si="50"/>
        <v>#REF!</v>
      </c>
      <c r="AN77" s="70" t="e">
        <f t="shared" si="50"/>
        <v>#REF!</v>
      </c>
      <c r="AO77" s="70" t="e">
        <f t="shared" si="50"/>
        <v>#REF!</v>
      </c>
      <c r="AP77" s="70"/>
      <c r="AQ77" s="70"/>
      <c r="AR77" s="70" t="e">
        <f t="shared" ref="AR77:BA77" si="51">AR38+AR39+AR43+AR46</f>
        <v>#REF!</v>
      </c>
      <c r="AS77" s="70" t="e">
        <f t="shared" si="51"/>
        <v>#REF!</v>
      </c>
      <c r="AT77" s="70" t="e">
        <f t="shared" si="51"/>
        <v>#REF!</v>
      </c>
      <c r="AU77" s="70" t="e">
        <f t="shared" si="51"/>
        <v>#REF!</v>
      </c>
      <c r="AV77" s="70" t="e">
        <f t="shared" si="51"/>
        <v>#REF!</v>
      </c>
      <c r="AW77" s="70" t="e">
        <f t="shared" si="51"/>
        <v>#REF!</v>
      </c>
      <c r="AX77" s="70" t="e">
        <f t="shared" si="51"/>
        <v>#REF!</v>
      </c>
      <c r="AY77" s="70" t="e">
        <f t="shared" si="51"/>
        <v>#REF!</v>
      </c>
      <c r="AZ77" s="70" t="e">
        <f t="shared" si="51"/>
        <v>#REF!</v>
      </c>
      <c r="BA77" s="70" t="e">
        <f t="shared" si="51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45" t="s">
        <v>55</v>
      </c>
      <c r="G89" s="545" t="s">
        <v>73</v>
      </c>
      <c r="H89" s="545" t="s">
        <v>74</v>
      </c>
      <c r="I89" s="545" t="s">
        <v>58</v>
      </c>
      <c r="J89" s="545" t="s">
        <v>59</v>
      </c>
      <c r="K89" s="545" t="s">
        <v>60</v>
      </c>
      <c r="L89" s="544" t="s">
        <v>75</v>
      </c>
      <c r="M89" s="544" t="s">
        <v>76</v>
      </c>
      <c r="N89" s="544" t="s">
        <v>61</v>
      </c>
      <c r="O89" s="544" t="s">
        <v>62</v>
      </c>
      <c r="P89" s="544" t="s">
        <v>63</v>
      </c>
      <c r="AN89" s="38"/>
      <c r="AZ89" s="36"/>
    </row>
    <row r="90" spans="1:52" ht="25.5">
      <c r="A90" s="44" t="str">
        <f t="shared" ref="A90:C92" si="52">A4</f>
        <v>Substation General Construction</v>
      </c>
      <c r="B90" s="45" t="str">
        <f t="shared" si="52"/>
        <v>Light-Duty Truck, catalyst</v>
      </c>
      <c r="C90" s="46">
        <f t="shared" si="52"/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2" si="53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si="52"/>
        <v>Substation Above Grade Construction</v>
      </c>
      <c r="B91" s="45" t="str">
        <f t="shared" si="52"/>
        <v>Light-Duty Truck, catalyst</v>
      </c>
      <c r="C91" s="46">
        <f t="shared" si="52"/>
        <v>5</v>
      </c>
      <c r="D91" s="46">
        <v>35</v>
      </c>
      <c r="E91" s="46">
        <v>80</v>
      </c>
      <c r="F91" s="50">
        <f>C5*($E5*$F5+($G5))/453.59</f>
        <v>2.4285969294046006</v>
      </c>
      <c r="G91" s="50">
        <f>C5*($E5*$H5+($I5))/453.59</f>
        <v>0.21835328647189006</v>
      </c>
      <c r="H91" s="50">
        <f>C5*(($E5*$J5)+($K5)+($L5)+($E5*$N5)+(($M5+$O5)))/453.59</f>
        <v>0.25249990161976665</v>
      </c>
      <c r="I91" s="50">
        <f>C5*($E5*$P5+($Q5))/453.59</f>
        <v>3.6339851358030799E-3</v>
      </c>
      <c r="J91" s="50">
        <f>C5*(($E5*($R5+$T5+$U5))+($S5))/453.59</f>
        <v>4.2620452276039479E-2</v>
      </c>
      <c r="K91" s="50">
        <f>$C5*(($E5*($V5+$X5+$Y5))+($W5))/453.59</f>
        <v>1.8560026621265706E-2</v>
      </c>
      <c r="L91" s="50">
        <f>$B$23*C5*(E5+6)</f>
        <v>4.219291293035949E-2</v>
      </c>
      <c r="M91" s="50">
        <f t="shared" si="53"/>
        <v>1.7299094301447389E-2</v>
      </c>
      <c r="N91" s="50">
        <f>C5*($E5*$Z5+($AA5))/453.59</f>
        <v>277.11788363019446</v>
      </c>
      <c r="O91" s="50">
        <f>C5*($E5*$AB5+($AC5))/453.59</f>
        <v>1.5852376945151247E-2</v>
      </c>
      <c r="P91" s="50">
        <f>C5*($E5*$AD5+($AE5))/453.59</f>
        <v>2.8855599569216798E-2</v>
      </c>
      <c r="AN91" s="38"/>
      <c r="AZ91" s="36"/>
    </row>
    <row r="92" spans="1:52" ht="25.5">
      <c r="A92" s="44" t="str">
        <f t="shared" si="52"/>
        <v>Substation Wiring</v>
      </c>
      <c r="B92" s="45" t="str">
        <f t="shared" si="52"/>
        <v>Light-Duty Truck, catalyst</v>
      </c>
      <c r="C92" s="46">
        <f t="shared" si="52"/>
        <v>1</v>
      </c>
      <c r="D92" s="46">
        <v>35</v>
      </c>
      <c r="E92" s="46">
        <v>80</v>
      </c>
      <c r="F92" s="50">
        <f>C6*($E6*$F6+($G6))/453.59</f>
        <v>0.48571938588092006</v>
      </c>
      <c r="G92" s="50">
        <f>C6*($E6*$H6+($I6))/453.59</f>
        <v>4.367065729437801E-2</v>
      </c>
      <c r="H92" s="50">
        <f>C6*(($E6*$J6)+($K6)+($L6)+($E6*$N6)+(($M6+$O6)))/453.59</f>
        <v>5.0499980323953329E-2</v>
      </c>
      <c r="I92" s="50">
        <f>C6*($E6*$P6+($Q6))/453.59</f>
        <v>7.2679702716061593E-4</v>
      </c>
      <c r="J92" s="50">
        <f>C6*(($E6*($R6+$T6+$U6))+($S6))/453.59</f>
        <v>8.5240904552078972E-3</v>
      </c>
      <c r="K92" s="50">
        <f>$C6*(($E6*($V6+$X6+$Y6))+($W6))/453.59</f>
        <v>3.7120053242531417E-3</v>
      </c>
      <c r="L92" s="50">
        <f>$B$23*C6*(E6+6)</f>
        <v>8.4385825860718994E-3</v>
      </c>
      <c r="M92" s="50">
        <f t="shared" si="53"/>
        <v>3.4598188602894785E-3</v>
      </c>
      <c r="N92" s="50">
        <f>C6*($E6*$Z6+($AA6))/453.59</f>
        <v>55.423576726038895</v>
      </c>
      <c r="O92" s="50">
        <f>C6*($E6*$AB6+($AC6))/453.59</f>
        <v>3.1704753890302493E-3</v>
      </c>
      <c r="P92" s="50">
        <f>C6*($E6*$AD6+($AE6))/453.59</f>
        <v>5.7711199138433603E-3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 t="shared" ref="F93:P93" si="54">SUM(F90:F92)</f>
        <v>4.3714744729282806</v>
      </c>
      <c r="G93" s="81">
        <f t="shared" si="54"/>
        <v>0.3930359156494021</v>
      </c>
      <c r="H93" s="81">
        <f t="shared" si="54"/>
        <v>0.45449982291557994</v>
      </c>
      <c r="I93" s="81">
        <f t="shared" si="54"/>
        <v>6.5411732444455436E-3</v>
      </c>
      <c r="J93" s="81">
        <f t="shared" si="54"/>
        <v>7.6716814096871061E-2</v>
      </c>
      <c r="K93" s="81">
        <f t="shared" si="54"/>
        <v>3.3408047918278276E-2</v>
      </c>
      <c r="L93" s="81">
        <f t="shared" si="54"/>
        <v>7.5947243274647094E-2</v>
      </c>
      <c r="M93" s="81">
        <f t="shared" si="54"/>
        <v>3.1138369742605303E-2</v>
      </c>
      <c r="N93" s="81">
        <f t="shared" si="54"/>
        <v>498.81219053435007</v>
      </c>
      <c r="O93" s="81">
        <f t="shared" si="54"/>
        <v>2.8534278501272242E-2</v>
      </c>
      <c r="P93" s="81">
        <f t="shared" si="54"/>
        <v>5.1940079224590242E-2</v>
      </c>
      <c r="AN93" s="38"/>
      <c r="AZ93" s="36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6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666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317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24" t="s">
        <v>311</v>
      </c>
      <c r="B14" s="29" t="s">
        <v>27</v>
      </c>
      <c r="C14" s="22">
        <v>175</v>
      </c>
      <c r="D14" s="22"/>
      <c r="E14" s="102">
        <v>0.11792220738547983</v>
      </c>
      <c r="F14" s="102">
        <v>0.36512193352152528</v>
      </c>
      <c r="G14" s="102">
        <v>0.86781464282266541</v>
      </c>
      <c r="H14" s="102">
        <v>1.8739217498104396E-3</v>
      </c>
      <c r="I14" s="102">
        <v>2.9041712295589866E-2</v>
      </c>
      <c r="J14" s="100">
        <f t="shared" ref="J14" si="4">0.89*I14</f>
        <v>2.5847123943074982E-2</v>
      </c>
      <c r="K14" s="103">
        <v>166.54541562452522</v>
      </c>
      <c r="L14" s="102">
        <v>1.063993297769634E-2</v>
      </c>
      <c r="M14" s="104">
        <f t="shared" ref="M14" si="5">0.095*G14</f>
        <v>8.2442391068153209E-2</v>
      </c>
      <c r="N14" s="98">
        <v>1</v>
      </c>
      <c r="O14" s="87">
        <v>2</v>
      </c>
      <c r="P14" s="363">
        <v>280</v>
      </c>
      <c r="Q14" s="34">
        <f t="shared" ref="Q14:Y14" si="6">(E14*$N14*$O14)</f>
        <v>0.23584441477095966</v>
      </c>
      <c r="R14" s="26">
        <f t="shared" si="6"/>
        <v>0.73024386704305055</v>
      </c>
      <c r="S14" s="26">
        <f t="shared" si="6"/>
        <v>1.7356292856453308</v>
      </c>
      <c r="T14" s="26">
        <f t="shared" si="6"/>
        <v>3.7478434996208792E-3</v>
      </c>
      <c r="U14" s="26">
        <f t="shared" si="6"/>
        <v>5.8083424591179732E-2</v>
      </c>
      <c r="V14" s="26">
        <f t="shared" si="6"/>
        <v>5.1694247886149965E-2</v>
      </c>
      <c r="W14" s="26">
        <f t="shared" si="6"/>
        <v>333.09083124905044</v>
      </c>
      <c r="X14" s="26">
        <f t="shared" si="6"/>
        <v>2.127986595539268E-2</v>
      </c>
      <c r="Y14" s="26">
        <f t="shared" si="6"/>
        <v>0.16488478213630642</v>
      </c>
    </row>
    <row r="15" spans="1:25" s="3" customFormat="1">
      <c r="A15" s="17" t="s">
        <v>28</v>
      </c>
      <c r="B15" s="97"/>
      <c r="C15" s="22"/>
      <c r="D15" s="22"/>
      <c r="E15" s="23"/>
      <c r="F15" s="23"/>
      <c r="G15" s="23"/>
      <c r="H15" s="23"/>
      <c r="I15" s="23"/>
      <c r="J15" s="24"/>
      <c r="K15" s="25"/>
      <c r="L15" s="23"/>
      <c r="M15" s="23"/>
      <c r="N15" s="88"/>
      <c r="O15" s="88"/>
      <c r="P15" s="88"/>
      <c r="Q15" s="27">
        <f t="shared" ref="Q15:Y15" si="7">SUM(Q14:Q14)</f>
        <v>0.23584441477095966</v>
      </c>
      <c r="R15" s="27">
        <f t="shared" si="7"/>
        <v>0.73024386704305055</v>
      </c>
      <c r="S15" s="27">
        <f t="shared" si="7"/>
        <v>1.7356292856453308</v>
      </c>
      <c r="T15" s="27">
        <f t="shared" si="7"/>
        <v>3.7478434996208792E-3</v>
      </c>
      <c r="U15" s="27">
        <f t="shared" si="7"/>
        <v>5.8083424591179732E-2</v>
      </c>
      <c r="V15" s="27">
        <f t="shared" si="7"/>
        <v>5.1694247886149965E-2</v>
      </c>
      <c r="W15" s="27">
        <f t="shared" si="7"/>
        <v>333.09083124905044</v>
      </c>
      <c r="X15" s="27">
        <f t="shared" si="7"/>
        <v>2.127986595539268E-2</v>
      </c>
      <c r="Y15" s="27">
        <f t="shared" si="7"/>
        <v>0.16488478213630642</v>
      </c>
    </row>
    <row r="16" spans="1:25">
      <c r="A16" s="17" t="s">
        <v>499</v>
      </c>
      <c r="B16" s="549"/>
      <c r="C16" s="18"/>
      <c r="D16" s="22"/>
      <c r="E16" s="19"/>
      <c r="F16" s="19"/>
      <c r="G16" s="19"/>
      <c r="H16" s="19"/>
      <c r="I16" s="19"/>
      <c r="J16" s="19"/>
      <c r="K16" s="19"/>
      <c r="L16" s="19"/>
      <c r="M16" s="19"/>
      <c r="N16" s="30"/>
      <c r="O16" s="30"/>
      <c r="P16" s="364"/>
      <c r="Q16" s="20">
        <f>Q11+Q15</f>
        <v>0.9504215378625569</v>
      </c>
      <c r="R16" s="20">
        <f t="shared" ref="R16:Y16" si="8">R11+R15</f>
        <v>3.6844030780014445</v>
      </c>
      <c r="S16" s="20">
        <f t="shared" si="8"/>
        <v>6.1566857317844876</v>
      </c>
      <c r="T16" s="20">
        <f t="shared" si="8"/>
        <v>1.207090973569876E-2</v>
      </c>
      <c r="U16" s="20">
        <f t="shared" si="8"/>
        <v>0.30389171690722716</v>
      </c>
      <c r="V16" s="20">
        <f t="shared" si="8"/>
        <v>0.27046362804743218</v>
      </c>
      <c r="W16" s="20">
        <f t="shared" si="8"/>
        <v>1029.5443237340787</v>
      </c>
      <c r="X16" s="20">
        <f t="shared" si="8"/>
        <v>9.3819672145962416E-2</v>
      </c>
      <c r="Y16" s="20">
        <f t="shared" si="8"/>
        <v>0.58488514451952633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0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667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C9*(F9)*$B$206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C10*(F10)*$B$206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335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311</v>
      </c>
      <c r="B14" s="76" t="s">
        <v>105</v>
      </c>
      <c r="C14" s="374">
        <v>1</v>
      </c>
      <c r="D14" s="77"/>
      <c r="E14" s="77">
        <v>35</v>
      </c>
      <c r="F14" s="77">
        <v>80</v>
      </c>
      <c r="G14" s="106">
        <v>1.08263976628415</v>
      </c>
      <c r="H14" s="106">
        <v>4.9712718909585103</v>
      </c>
      <c r="I14" s="106">
        <v>0.26248012575016899</v>
      </c>
      <c r="J14" s="106">
        <v>1.0711818E-2</v>
      </c>
      <c r="K14" s="106">
        <v>7.1679901072141505E-2</v>
      </c>
      <c r="L14" s="576">
        <v>3.59998119015979E-2</v>
      </c>
      <c r="M14" s="576">
        <v>6.1739677411240299E-2</v>
      </c>
      <c r="N14" s="106">
        <v>6.5945508986370194E-2</v>
      </c>
      <c r="O14" s="576">
        <v>2.9999843251331498E-3</v>
      </c>
      <c r="P14" s="576">
        <v>5.5859708133979398E-2</v>
      </c>
      <c r="Q14" s="106">
        <v>1710.7260798814</v>
      </c>
      <c r="R14" s="47">
        <v>1.5235246282551899E-2</v>
      </c>
      <c r="S14" s="80">
        <f>0.000025616*Q14</f>
        <v>4.3821959262241944E-2</v>
      </c>
      <c r="T14" s="50">
        <f>C14*($F14*$G14)/453.59</f>
        <v>0.19094596728925242</v>
      </c>
      <c r="U14" s="50">
        <f>C14*($F14*$H14)/453.59</f>
        <v>0.87678685878586582</v>
      </c>
      <c r="V14" s="50">
        <f>C14*(($F14*$I14))/453.59</f>
        <v>4.6293811724274173E-2</v>
      </c>
      <c r="W14" s="50">
        <f>C14*($F14*$J14)/453.59</f>
        <v>1.8892511739676801E-3</v>
      </c>
      <c r="X14" s="50">
        <f>C14*(($F14*($K14+$L14+$M14)))/453.59</f>
        <v>2.9880621774726907E-2</v>
      </c>
      <c r="Y14" s="50">
        <f>C14*(($F14*($N14+$O14+$P14)))/453.59</f>
        <v>2.2011984646131133E-2</v>
      </c>
      <c r="Z14" s="50">
        <f>C14*(F14)*$B$206</f>
        <v>0</v>
      </c>
      <c r="AA14" s="50">
        <f>Z14*0.21</f>
        <v>0</v>
      </c>
      <c r="AB14" s="50">
        <f>C14*(($F14*($Q14)))/453.59</f>
        <v>301.72200972356535</v>
      </c>
      <c r="AC14" s="50">
        <f>C14*(($F14*($R14)))/453.59</f>
        <v>2.6870515280410772E-3</v>
      </c>
      <c r="AD14" s="50">
        <f>C14*(($F14*($S14)))/453.59</f>
        <v>7.7289110010788503E-3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0.19094596728925242</v>
      </c>
      <c r="U15" s="81">
        <f t="shared" si="1"/>
        <v>0.87678685878586582</v>
      </c>
      <c r="V15" s="81">
        <f t="shared" si="1"/>
        <v>4.6293811724274173E-2</v>
      </c>
      <c r="W15" s="81">
        <f t="shared" si="1"/>
        <v>1.8892511739676801E-3</v>
      </c>
      <c r="X15" s="81">
        <f t="shared" si="1"/>
        <v>2.9880621774726907E-2</v>
      </c>
      <c r="Y15" s="81">
        <f t="shared" si="1"/>
        <v>2.2011984646131133E-2</v>
      </c>
      <c r="Z15" s="81">
        <f t="shared" si="1"/>
        <v>0</v>
      </c>
      <c r="AA15" s="81">
        <f t="shared" si="1"/>
        <v>0</v>
      </c>
      <c r="AB15" s="81">
        <f t="shared" si="1"/>
        <v>301.72200972356535</v>
      </c>
      <c r="AC15" s="81">
        <f t="shared" si="1"/>
        <v>2.6870515280410772E-3</v>
      </c>
      <c r="AD15" s="81">
        <f t="shared" si="1"/>
        <v>7.7289110010788503E-3</v>
      </c>
    </row>
    <row r="16" spans="1:30">
      <c r="A16" s="75" t="s">
        <v>388</v>
      </c>
      <c r="B16" s="74"/>
      <c r="C16" s="112"/>
      <c r="D16" s="112"/>
      <c r="E16" s="74"/>
      <c r="F16" s="74"/>
      <c r="G16" s="547"/>
      <c r="H16" s="41"/>
      <c r="I16" s="41"/>
      <c r="J16" s="41"/>
      <c r="K16" s="544"/>
      <c r="L16" s="544"/>
      <c r="M16" s="544"/>
      <c r="N16" s="544"/>
      <c r="O16" s="544"/>
      <c r="P16" s="544"/>
      <c r="Q16" s="41"/>
      <c r="R16" s="544"/>
      <c r="S16" s="544"/>
      <c r="T16" s="81">
        <f>T11+T15</f>
        <v>0.48178321011214986</v>
      </c>
      <c r="U16" s="81">
        <f t="shared" ref="U16:AD16" si="2">U11+U15</f>
        <v>1.9379830954014503</v>
      </c>
      <c r="V16" s="81">
        <f t="shared" si="2"/>
        <v>0.11511829621149469</v>
      </c>
      <c r="W16" s="81">
        <f t="shared" si="2"/>
        <v>5.1683636885428378E-3</v>
      </c>
      <c r="X16" s="81">
        <f t="shared" si="2"/>
        <v>9.6130708419604929E-2</v>
      </c>
      <c r="Y16" s="81">
        <f t="shared" si="2"/>
        <v>6.8190068275239671E-2</v>
      </c>
      <c r="Z16" s="81">
        <f t="shared" si="2"/>
        <v>0</v>
      </c>
      <c r="AA16" s="81">
        <f t="shared" si="2"/>
        <v>0</v>
      </c>
      <c r="AB16" s="81">
        <f t="shared" si="2"/>
        <v>700.25812503738734</v>
      </c>
      <c r="AC16" s="81">
        <f t="shared" si="2"/>
        <v>1.0906351491826187E-2</v>
      </c>
      <c r="AD16" s="81">
        <f t="shared" si="2"/>
        <v>1.7937812130957714E-2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368" spans="1:1" ht="25.5">
      <c r="A368" s="82" t="s">
        <v>109</v>
      </c>
    </row>
    <row r="370" spans="1:2">
      <c r="A370" s="36" t="s">
        <v>81</v>
      </c>
    </row>
    <row r="371" spans="1:2">
      <c r="A371" s="36" t="s">
        <v>82</v>
      </c>
    </row>
    <row r="372" spans="1:2">
      <c r="A372" s="36" t="s">
        <v>83</v>
      </c>
    </row>
    <row r="373" spans="1:2">
      <c r="A373" s="37" t="s">
        <v>96</v>
      </c>
    </row>
    <row r="374" spans="1:2">
      <c r="A374" s="36" t="s">
        <v>85</v>
      </c>
    </row>
    <row r="375" spans="1:2">
      <c r="A375" s="36" t="s">
        <v>86</v>
      </c>
    </row>
    <row r="376" spans="1:2">
      <c r="A376" s="36" t="s">
        <v>87</v>
      </c>
    </row>
    <row r="377" spans="1:2">
      <c r="A377" s="36" t="s">
        <v>0</v>
      </c>
    </row>
    <row r="378" spans="1:2">
      <c r="A378" s="37" t="s">
        <v>97</v>
      </c>
      <c r="B378" s="36">
        <f>(0.016*(0.03/2)^0.65*(2/3)^1.5)-0.00047</f>
        <v>9.8123053326417428E-5</v>
      </c>
    </row>
    <row r="379" spans="1:2">
      <c r="A379" s="37" t="s">
        <v>98</v>
      </c>
      <c r="B379" s="36">
        <f>(0.016*(0.03/2)^0.65*(13/3)^1.5)-0.00047</f>
        <v>8.9448292388582783E-3</v>
      </c>
    </row>
    <row r="380" spans="1:2">
      <c r="A380" s="37" t="s">
        <v>99</v>
      </c>
      <c r="B38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B100" sqref="B100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533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69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66" t="s">
        <v>69</v>
      </c>
      <c r="S3" s="42" t="s">
        <v>118</v>
      </c>
      <c r="T3" s="566" t="s">
        <v>71</v>
      </c>
      <c r="U3" s="566" t="s">
        <v>72</v>
      </c>
      <c r="V3" s="566" t="s">
        <v>69</v>
      </c>
      <c r="W3" s="42" t="s">
        <v>118</v>
      </c>
      <c r="X3" s="566" t="s">
        <v>71</v>
      </c>
      <c r="Y3" s="566" t="s">
        <v>72</v>
      </c>
      <c r="Z3" s="41" t="s">
        <v>69</v>
      </c>
      <c r="AA3" s="42" t="s">
        <v>118</v>
      </c>
      <c r="AB3" s="566" t="s">
        <v>69</v>
      </c>
      <c r="AC3" s="42" t="s">
        <v>118</v>
      </c>
      <c r="AD3" s="566" t="s">
        <v>69</v>
      </c>
      <c r="AE3" s="42" t="s">
        <v>118</v>
      </c>
    </row>
    <row r="4" spans="1:67" ht="25.5">
      <c r="A4" s="44" t="s">
        <v>346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67" ht="25.5">
      <c r="A5" s="44" t="s">
        <v>330</v>
      </c>
      <c r="B5" s="45" t="s">
        <v>102</v>
      </c>
      <c r="C5" s="46">
        <v>20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337</v>
      </c>
      <c r="B6" s="45" t="s">
        <v>102</v>
      </c>
      <c r="C6" s="46">
        <v>13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568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2">AG$11*$AC16</f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>AR$11*$AC16</f>
        <v>#REF!</v>
      </c>
      <c r="AS16" s="36" t="e">
        <f t="shared" ref="AS16:BA24" si="3">AS$11*$AC16</f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4">AF$11*$AC17</f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ref="AR17:AR24" si="5">AR$11*$AC17</f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6">AF$11*$AC27</f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ref="AR27:BA35" si="7">AR$11*$AC27</f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8">AF$11*$AC38</f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ref="AR38:BA46" si="9">AR$11*$AC38</f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0">AF16+AF18+AF19</f>
        <v>#REF!</v>
      </c>
      <c r="AG51" s="70" t="e">
        <f t="shared" si="10"/>
        <v>#REF!</v>
      </c>
      <c r="AH51" s="70" t="e">
        <f t="shared" si="10"/>
        <v>#REF!</v>
      </c>
      <c r="AI51" s="70" t="e">
        <f t="shared" si="10"/>
        <v>#REF!</v>
      </c>
      <c r="AJ51" s="70" t="e">
        <f t="shared" si="10"/>
        <v>#REF!</v>
      </c>
      <c r="AK51" s="70" t="e">
        <f t="shared" si="10"/>
        <v>#REF!</v>
      </c>
      <c r="AL51" s="70" t="e">
        <f t="shared" si="10"/>
        <v>#REF!</v>
      </c>
      <c r="AM51" s="70" t="e">
        <f t="shared" si="10"/>
        <v>#REF!</v>
      </c>
      <c r="AN51" s="70" t="e">
        <f t="shared" si="10"/>
        <v>#REF!</v>
      </c>
      <c r="AO51" s="70" t="e">
        <f t="shared" si="10"/>
        <v>#REF!</v>
      </c>
      <c r="AP51" s="70"/>
      <c r="AQ51" s="70"/>
      <c r="AR51" s="70" t="e">
        <f t="shared" ref="AR51:BA51" si="11">AR16+AR18+AR19</f>
        <v>#REF!</v>
      </c>
      <c r="AS51" s="70" t="e">
        <f t="shared" si="11"/>
        <v>#REF!</v>
      </c>
      <c r="AT51" s="70" t="e">
        <f t="shared" si="11"/>
        <v>#REF!</v>
      </c>
      <c r="AU51" s="70" t="e">
        <f t="shared" si="11"/>
        <v>#REF!</v>
      </c>
      <c r="AV51" s="70" t="e">
        <f t="shared" si="11"/>
        <v>#REF!</v>
      </c>
      <c r="AW51" s="70" t="e">
        <f t="shared" si="11"/>
        <v>#REF!</v>
      </c>
      <c r="AX51" s="70" t="e">
        <f t="shared" si="11"/>
        <v>#REF!</v>
      </c>
      <c r="AY51" s="70" t="e">
        <f t="shared" si="11"/>
        <v>#REF!</v>
      </c>
      <c r="AZ51" s="70" t="e">
        <f t="shared" si="11"/>
        <v>#REF!</v>
      </c>
      <c r="BA51" s="70" t="e">
        <f t="shared" si="11"/>
        <v>#REF!</v>
      </c>
    </row>
    <row r="52" spans="27:53" hidden="1">
      <c r="AA52" s="71" t="s">
        <v>41</v>
      </c>
      <c r="AB52" s="35"/>
      <c r="AF52" s="70" t="e">
        <f t="shared" ref="AF52:AO52" si="12">AF27+AF29+AF30</f>
        <v>#REF!</v>
      </c>
      <c r="AG52" s="70" t="e">
        <f t="shared" si="12"/>
        <v>#REF!</v>
      </c>
      <c r="AH52" s="70" t="e">
        <f t="shared" si="12"/>
        <v>#REF!</v>
      </c>
      <c r="AI52" s="70" t="e">
        <f t="shared" si="12"/>
        <v>#REF!</v>
      </c>
      <c r="AJ52" s="70" t="e">
        <f t="shared" si="12"/>
        <v>#REF!</v>
      </c>
      <c r="AK52" s="70" t="e">
        <f t="shared" si="12"/>
        <v>#REF!</v>
      </c>
      <c r="AL52" s="70" t="e">
        <f t="shared" si="12"/>
        <v>#REF!</v>
      </c>
      <c r="AM52" s="70" t="e">
        <f t="shared" si="12"/>
        <v>#REF!</v>
      </c>
      <c r="AN52" s="70" t="e">
        <f t="shared" si="12"/>
        <v>#REF!</v>
      </c>
      <c r="AO52" s="70" t="e">
        <f t="shared" si="12"/>
        <v>#REF!</v>
      </c>
      <c r="AP52" s="70"/>
      <c r="AQ52" s="70"/>
      <c r="AR52" s="70" t="e">
        <f t="shared" ref="AR52:BA52" si="13">AR27+AR29+AR30</f>
        <v>#REF!</v>
      </c>
      <c r="AS52" s="70" t="e">
        <f t="shared" si="13"/>
        <v>#REF!</v>
      </c>
      <c r="AT52" s="70" t="e">
        <f t="shared" si="13"/>
        <v>#REF!</v>
      </c>
      <c r="AU52" s="70" t="e">
        <f t="shared" si="13"/>
        <v>#REF!</v>
      </c>
      <c r="AV52" s="70" t="e">
        <f t="shared" si="13"/>
        <v>#REF!</v>
      </c>
      <c r="AW52" s="70" t="e">
        <f t="shared" si="13"/>
        <v>#REF!</v>
      </c>
      <c r="AX52" s="70" t="e">
        <f t="shared" si="13"/>
        <v>#REF!</v>
      </c>
      <c r="AY52" s="70" t="e">
        <f t="shared" si="13"/>
        <v>#REF!</v>
      </c>
      <c r="AZ52" s="70" t="e">
        <f t="shared" si="13"/>
        <v>#REF!</v>
      </c>
      <c r="BA52" s="70" t="e">
        <f t="shared" si="13"/>
        <v>#REF!</v>
      </c>
    </row>
    <row r="53" spans="27:53" hidden="1">
      <c r="AA53" s="71" t="s">
        <v>42</v>
      </c>
      <c r="AB53" s="35"/>
      <c r="AF53" s="70" t="e">
        <f t="shared" ref="AF53:AO53" si="14">AF38+AF40+AF41</f>
        <v>#REF!</v>
      </c>
      <c r="AG53" s="70" t="e">
        <f t="shared" si="14"/>
        <v>#REF!</v>
      </c>
      <c r="AH53" s="70" t="e">
        <f t="shared" si="14"/>
        <v>#REF!</v>
      </c>
      <c r="AI53" s="70" t="e">
        <f t="shared" si="14"/>
        <v>#REF!</v>
      </c>
      <c r="AJ53" s="70" t="e">
        <f t="shared" si="14"/>
        <v>#REF!</v>
      </c>
      <c r="AK53" s="70" t="e">
        <f t="shared" si="14"/>
        <v>#REF!</v>
      </c>
      <c r="AL53" s="70" t="e">
        <f t="shared" si="14"/>
        <v>#REF!</v>
      </c>
      <c r="AM53" s="70" t="e">
        <f t="shared" si="14"/>
        <v>#REF!</v>
      </c>
      <c r="AN53" s="70" t="e">
        <f t="shared" si="14"/>
        <v>#REF!</v>
      </c>
      <c r="AO53" s="70" t="e">
        <f t="shared" si="14"/>
        <v>#REF!</v>
      </c>
      <c r="AP53" s="70"/>
      <c r="AQ53" s="70"/>
      <c r="AR53" s="70" t="e">
        <f t="shared" ref="AR53:BA53" si="15">AR38+AR40+AR41</f>
        <v>#REF!</v>
      </c>
      <c r="AS53" s="70" t="e">
        <f t="shared" si="15"/>
        <v>#REF!</v>
      </c>
      <c r="AT53" s="70" t="e">
        <f t="shared" si="15"/>
        <v>#REF!</v>
      </c>
      <c r="AU53" s="70" t="e">
        <f t="shared" si="15"/>
        <v>#REF!</v>
      </c>
      <c r="AV53" s="70" t="e">
        <f t="shared" si="15"/>
        <v>#REF!</v>
      </c>
      <c r="AW53" s="70" t="e">
        <f t="shared" si="15"/>
        <v>#REF!</v>
      </c>
      <c r="AX53" s="70" t="e">
        <f t="shared" si="15"/>
        <v>#REF!</v>
      </c>
      <c r="AY53" s="70" t="e">
        <f t="shared" si="15"/>
        <v>#REF!</v>
      </c>
      <c r="AZ53" s="70" t="e">
        <f t="shared" si="15"/>
        <v>#REF!</v>
      </c>
      <c r="BA53" s="70" t="e">
        <f t="shared" si="15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6">AF16+AF18+AF20+AF22</f>
        <v>#REF!</v>
      </c>
      <c r="AG55" s="70" t="e">
        <f t="shared" si="16"/>
        <v>#REF!</v>
      </c>
      <c r="AH55" s="70" t="e">
        <f t="shared" si="16"/>
        <v>#REF!</v>
      </c>
      <c r="AI55" s="70" t="e">
        <f t="shared" si="16"/>
        <v>#REF!</v>
      </c>
      <c r="AJ55" s="70" t="e">
        <f t="shared" si="16"/>
        <v>#REF!</v>
      </c>
      <c r="AK55" s="70" t="e">
        <f t="shared" si="16"/>
        <v>#REF!</v>
      </c>
      <c r="AL55" s="70" t="e">
        <f t="shared" si="16"/>
        <v>#REF!</v>
      </c>
      <c r="AM55" s="70" t="e">
        <f t="shared" si="16"/>
        <v>#REF!</v>
      </c>
      <c r="AN55" s="70" t="e">
        <f t="shared" si="16"/>
        <v>#REF!</v>
      </c>
      <c r="AO55" s="70" t="e">
        <f t="shared" si="16"/>
        <v>#REF!</v>
      </c>
      <c r="AP55" s="70"/>
      <c r="AQ55" s="70"/>
      <c r="AR55" s="70" t="e">
        <f t="shared" ref="AR55:BA55" si="17">AR16+AR18+AR20+AR22</f>
        <v>#REF!</v>
      </c>
      <c r="AS55" s="70" t="e">
        <f t="shared" si="17"/>
        <v>#REF!</v>
      </c>
      <c r="AT55" s="70" t="e">
        <f t="shared" si="17"/>
        <v>#REF!</v>
      </c>
      <c r="AU55" s="70" t="e">
        <f t="shared" si="17"/>
        <v>#REF!</v>
      </c>
      <c r="AV55" s="70" t="e">
        <f t="shared" si="17"/>
        <v>#REF!</v>
      </c>
      <c r="AW55" s="70" t="e">
        <f t="shared" si="17"/>
        <v>#REF!</v>
      </c>
      <c r="AX55" s="70" t="e">
        <f t="shared" si="17"/>
        <v>#REF!</v>
      </c>
      <c r="AY55" s="70" t="e">
        <f t="shared" si="17"/>
        <v>#REF!</v>
      </c>
      <c r="AZ55" s="70" t="e">
        <f t="shared" si="17"/>
        <v>#REF!</v>
      </c>
      <c r="BA55" s="70" t="e">
        <f t="shared" si="17"/>
        <v>#REF!</v>
      </c>
    </row>
    <row r="56" spans="27:53" hidden="1">
      <c r="AA56" s="71" t="s">
        <v>41</v>
      </c>
      <c r="AB56" s="35"/>
      <c r="AF56" s="70" t="e">
        <f t="shared" ref="AF56:AO56" si="18">AF27+AF29+AF31+AF33</f>
        <v>#REF!</v>
      </c>
      <c r="AG56" s="70" t="e">
        <f t="shared" si="18"/>
        <v>#REF!</v>
      </c>
      <c r="AH56" s="70" t="e">
        <f t="shared" si="18"/>
        <v>#REF!</v>
      </c>
      <c r="AI56" s="70" t="e">
        <f t="shared" si="18"/>
        <v>#REF!</v>
      </c>
      <c r="AJ56" s="70" t="e">
        <f t="shared" si="18"/>
        <v>#REF!</v>
      </c>
      <c r="AK56" s="70" t="e">
        <f t="shared" si="18"/>
        <v>#REF!</v>
      </c>
      <c r="AL56" s="70" t="e">
        <f t="shared" si="18"/>
        <v>#REF!</v>
      </c>
      <c r="AM56" s="70" t="e">
        <f t="shared" si="18"/>
        <v>#REF!</v>
      </c>
      <c r="AN56" s="70" t="e">
        <f t="shared" si="18"/>
        <v>#REF!</v>
      </c>
      <c r="AO56" s="70" t="e">
        <f t="shared" si="18"/>
        <v>#REF!</v>
      </c>
      <c r="AP56" s="70"/>
      <c r="AQ56" s="70"/>
      <c r="AR56" s="70" t="e">
        <f t="shared" ref="AR56:BA56" si="19">AR27+AR29+AR31+AR33</f>
        <v>#REF!</v>
      </c>
      <c r="AS56" s="70" t="e">
        <f t="shared" si="19"/>
        <v>#REF!</v>
      </c>
      <c r="AT56" s="70" t="e">
        <f t="shared" si="19"/>
        <v>#REF!</v>
      </c>
      <c r="AU56" s="70" t="e">
        <f t="shared" si="19"/>
        <v>#REF!</v>
      </c>
      <c r="AV56" s="70" t="e">
        <f t="shared" si="19"/>
        <v>#REF!</v>
      </c>
      <c r="AW56" s="70" t="e">
        <f t="shared" si="19"/>
        <v>#REF!</v>
      </c>
      <c r="AX56" s="70" t="e">
        <f t="shared" si="19"/>
        <v>#REF!</v>
      </c>
      <c r="AY56" s="70" t="e">
        <f t="shared" si="19"/>
        <v>#REF!</v>
      </c>
      <c r="AZ56" s="70" t="e">
        <f t="shared" si="19"/>
        <v>#REF!</v>
      </c>
      <c r="BA56" s="70" t="e">
        <f t="shared" si="19"/>
        <v>#REF!</v>
      </c>
    </row>
    <row r="57" spans="27:53" hidden="1">
      <c r="AA57" s="71" t="s">
        <v>42</v>
      </c>
      <c r="AB57" s="35"/>
      <c r="AF57" s="70" t="e">
        <f t="shared" ref="AF57:AO57" si="20">AF38+AF40+AF42+AF44</f>
        <v>#REF!</v>
      </c>
      <c r="AG57" s="70" t="e">
        <f t="shared" si="20"/>
        <v>#REF!</v>
      </c>
      <c r="AH57" s="70" t="e">
        <f t="shared" si="20"/>
        <v>#REF!</v>
      </c>
      <c r="AI57" s="70" t="e">
        <f t="shared" si="20"/>
        <v>#REF!</v>
      </c>
      <c r="AJ57" s="70" t="e">
        <f t="shared" si="20"/>
        <v>#REF!</v>
      </c>
      <c r="AK57" s="70" t="e">
        <f t="shared" si="20"/>
        <v>#REF!</v>
      </c>
      <c r="AL57" s="70" t="e">
        <f t="shared" si="20"/>
        <v>#REF!</v>
      </c>
      <c r="AM57" s="70" t="e">
        <f t="shared" si="20"/>
        <v>#REF!</v>
      </c>
      <c r="AN57" s="70" t="e">
        <f t="shared" si="20"/>
        <v>#REF!</v>
      </c>
      <c r="AO57" s="70" t="e">
        <f t="shared" si="20"/>
        <v>#REF!</v>
      </c>
      <c r="AP57" s="70"/>
      <c r="AQ57" s="70"/>
      <c r="AR57" s="70" t="e">
        <f t="shared" ref="AR57:BA57" si="21">AR38+AR40+AR42+AR44</f>
        <v>#REF!</v>
      </c>
      <c r="AS57" s="70" t="e">
        <f t="shared" si="21"/>
        <v>#REF!</v>
      </c>
      <c r="AT57" s="70" t="e">
        <f t="shared" si="21"/>
        <v>#REF!</v>
      </c>
      <c r="AU57" s="70" t="e">
        <f t="shared" si="21"/>
        <v>#REF!</v>
      </c>
      <c r="AV57" s="70" t="e">
        <f t="shared" si="21"/>
        <v>#REF!</v>
      </c>
      <c r="AW57" s="70" t="e">
        <f t="shared" si="21"/>
        <v>#REF!</v>
      </c>
      <c r="AX57" s="70" t="e">
        <f t="shared" si="21"/>
        <v>#REF!</v>
      </c>
      <c r="AY57" s="70" t="e">
        <f t="shared" si="21"/>
        <v>#REF!</v>
      </c>
      <c r="AZ57" s="70" t="e">
        <f t="shared" si="21"/>
        <v>#REF!</v>
      </c>
      <c r="BA57" s="70" t="e">
        <f t="shared" si="21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2">AF16+AF18+AF20+AF21+AF23</f>
        <v>#REF!</v>
      </c>
      <c r="AG59" s="70" t="e">
        <f t="shared" si="22"/>
        <v>#REF!</v>
      </c>
      <c r="AH59" s="70" t="e">
        <f t="shared" si="22"/>
        <v>#REF!</v>
      </c>
      <c r="AI59" s="70" t="e">
        <f t="shared" si="22"/>
        <v>#REF!</v>
      </c>
      <c r="AJ59" s="70" t="e">
        <f t="shared" si="22"/>
        <v>#REF!</v>
      </c>
      <c r="AK59" s="70" t="e">
        <f t="shared" si="22"/>
        <v>#REF!</v>
      </c>
      <c r="AL59" s="70" t="e">
        <f t="shared" si="22"/>
        <v>#REF!</v>
      </c>
      <c r="AM59" s="70" t="e">
        <f t="shared" si="22"/>
        <v>#REF!</v>
      </c>
      <c r="AN59" s="70" t="e">
        <f t="shared" si="22"/>
        <v>#REF!</v>
      </c>
      <c r="AO59" s="70" t="e">
        <f t="shared" si="22"/>
        <v>#REF!</v>
      </c>
      <c r="AP59" s="70"/>
      <c r="AQ59" s="70"/>
      <c r="AR59" s="70" t="e">
        <f t="shared" ref="AR59:BA59" si="23">AR16+AR18+AR20+AR21+AR23</f>
        <v>#REF!</v>
      </c>
      <c r="AS59" s="70" t="e">
        <f t="shared" si="23"/>
        <v>#REF!</v>
      </c>
      <c r="AT59" s="70" t="e">
        <f t="shared" si="23"/>
        <v>#REF!</v>
      </c>
      <c r="AU59" s="70" t="e">
        <f t="shared" si="23"/>
        <v>#REF!</v>
      </c>
      <c r="AV59" s="70" t="e">
        <f t="shared" si="23"/>
        <v>#REF!</v>
      </c>
      <c r="AW59" s="70" t="e">
        <f t="shared" si="23"/>
        <v>#REF!</v>
      </c>
      <c r="AX59" s="70" t="e">
        <f t="shared" si="23"/>
        <v>#REF!</v>
      </c>
      <c r="AY59" s="70" t="e">
        <f t="shared" si="23"/>
        <v>#REF!</v>
      </c>
      <c r="AZ59" s="70" t="e">
        <f t="shared" si="23"/>
        <v>#REF!</v>
      </c>
      <c r="BA59" s="70" t="e">
        <f t="shared" si="23"/>
        <v>#REF!</v>
      </c>
    </row>
    <row r="60" spans="27:53" hidden="1">
      <c r="AA60" s="71" t="s">
        <v>41</v>
      </c>
      <c r="AB60" s="35"/>
      <c r="AF60" s="70" t="e">
        <f t="shared" ref="AF60:AO60" si="24">AF27+AF29+AF31+AF32+AF34</f>
        <v>#REF!</v>
      </c>
      <c r="AG60" s="70" t="e">
        <f t="shared" si="24"/>
        <v>#REF!</v>
      </c>
      <c r="AH60" s="70" t="e">
        <f t="shared" si="24"/>
        <v>#REF!</v>
      </c>
      <c r="AI60" s="70" t="e">
        <f t="shared" si="24"/>
        <v>#REF!</v>
      </c>
      <c r="AJ60" s="70" t="e">
        <f t="shared" si="24"/>
        <v>#REF!</v>
      </c>
      <c r="AK60" s="70" t="e">
        <f t="shared" si="24"/>
        <v>#REF!</v>
      </c>
      <c r="AL60" s="70" t="e">
        <f t="shared" si="24"/>
        <v>#REF!</v>
      </c>
      <c r="AM60" s="70" t="e">
        <f t="shared" si="24"/>
        <v>#REF!</v>
      </c>
      <c r="AN60" s="70" t="e">
        <f t="shared" si="24"/>
        <v>#REF!</v>
      </c>
      <c r="AO60" s="70" t="e">
        <f t="shared" si="24"/>
        <v>#REF!</v>
      </c>
      <c r="AP60" s="70"/>
      <c r="AQ60" s="70"/>
      <c r="AR60" s="70" t="e">
        <f t="shared" ref="AR60:BA60" si="25">AR27+AR29+AR31+AR32+AR34</f>
        <v>#REF!</v>
      </c>
      <c r="AS60" s="70" t="e">
        <f t="shared" si="25"/>
        <v>#REF!</v>
      </c>
      <c r="AT60" s="70" t="e">
        <f t="shared" si="25"/>
        <v>#REF!</v>
      </c>
      <c r="AU60" s="70" t="e">
        <f t="shared" si="25"/>
        <v>#REF!</v>
      </c>
      <c r="AV60" s="70" t="e">
        <f t="shared" si="25"/>
        <v>#REF!</v>
      </c>
      <c r="AW60" s="70" t="e">
        <f t="shared" si="25"/>
        <v>#REF!</v>
      </c>
      <c r="AX60" s="70" t="e">
        <f t="shared" si="25"/>
        <v>#REF!</v>
      </c>
      <c r="AY60" s="70" t="e">
        <f t="shared" si="25"/>
        <v>#REF!</v>
      </c>
      <c r="AZ60" s="70" t="e">
        <f t="shared" si="25"/>
        <v>#REF!</v>
      </c>
      <c r="BA60" s="70" t="e">
        <f t="shared" si="25"/>
        <v>#REF!</v>
      </c>
    </row>
    <row r="61" spans="27:53" hidden="1">
      <c r="AA61" s="71" t="s">
        <v>42</v>
      </c>
      <c r="AB61" s="35"/>
      <c r="AF61" s="70" t="e">
        <f t="shared" ref="AF61:AO61" si="26">AF38+AF40+AF42+AF43+AF45</f>
        <v>#REF!</v>
      </c>
      <c r="AG61" s="70" t="e">
        <f t="shared" si="26"/>
        <v>#REF!</v>
      </c>
      <c r="AH61" s="70" t="e">
        <f t="shared" si="26"/>
        <v>#REF!</v>
      </c>
      <c r="AI61" s="70" t="e">
        <f t="shared" si="26"/>
        <v>#REF!</v>
      </c>
      <c r="AJ61" s="70" t="e">
        <f t="shared" si="26"/>
        <v>#REF!</v>
      </c>
      <c r="AK61" s="70" t="e">
        <f t="shared" si="26"/>
        <v>#REF!</v>
      </c>
      <c r="AL61" s="70" t="e">
        <f t="shared" si="26"/>
        <v>#REF!</v>
      </c>
      <c r="AM61" s="70" t="e">
        <f t="shared" si="26"/>
        <v>#REF!</v>
      </c>
      <c r="AN61" s="70" t="e">
        <f t="shared" si="26"/>
        <v>#REF!</v>
      </c>
      <c r="AO61" s="70" t="e">
        <f t="shared" si="26"/>
        <v>#REF!</v>
      </c>
      <c r="AP61" s="70"/>
      <c r="AQ61" s="70"/>
      <c r="AR61" s="70" t="e">
        <f t="shared" ref="AR61:BA61" si="27">AR38+AR40+AR42+AR43+AR45</f>
        <v>#REF!</v>
      </c>
      <c r="AS61" s="70" t="e">
        <f t="shared" si="27"/>
        <v>#REF!</v>
      </c>
      <c r="AT61" s="70" t="e">
        <f t="shared" si="27"/>
        <v>#REF!</v>
      </c>
      <c r="AU61" s="70" t="e">
        <f t="shared" si="27"/>
        <v>#REF!</v>
      </c>
      <c r="AV61" s="70" t="e">
        <f t="shared" si="27"/>
        <v>#REF!</v>
      </c>
      <c r="AW61" s="70" t="e">
        <f t="shared" si="27"/>
        <v>#REF!</v>
      </c>
      <c r="AX61" s="70" t="e">
        <f t="shared" si="27"/>
        <v>#REF!</v>
      </c>
      <c r="AY61" s="70" t="e">
        <f t="shared" si="27"/>
        <v>#REF!</v>
      </c>
      <c r="AZ61" s="70" t="e">
        <f t="shared" si="27"/>
        <v>#REF!</v>
      </c>
      <c r="BA61" s="70" t="e">
        <f t="shared" si="27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28">AF16+AF18+AF20+AF21+AF24</f>
        <v>#REF!</v>
      </c>
      <c r="AG63" s="70" t="e">
        <f t="shared" si="28"/>
        <v>#REF!</v>
      </c>
      <c r="AH63" s="70" t="e">
        <f t="shared" si="28"/>
        <v>#REF!</v>
      </c>
      <c r="AI63" s="70" t="e">
        <f t="shared" si="28"/>
        <v>#REF!</v>
      </c>
      <c r="AJ63" s="70" t="e">
        <f t="shared" si="28"/>
        <v>#REF!</v>
      </c>
      <c r="AK63" s="70" t="e">
        <f t="shared" si="28"/>
        <v>#REF!</v>
      </c>
      <c r="AL63" s="70" t="e">
        <f t="shared" si="28"/>
        <v>#REF!</v>
      </c>
      <c r="AM63" s="70" t="e">
        <f t="shared" si="28"/>
        <v>#REF!</v>
      </c>
      <c r="AN63" s="70" t="e">
        <f t="shared" si="28"/>
        <v>#REF!</v>
      </c>
      <c r="AO63" s="70" t="e">
        <f t="shared" si="28"/>
        <v>#REF!</v>
      </c>
      <c r="AP63" s="70"/>
      <c r="AQ63" s="70"/>
      <c r="AR63" s="70" t="e">
        <f t="shared" ref="AR63:BA63" si="29">AR16+AR18+AR20+AR21+AR24</f>
        <v>#REF!</v>
      </c>
      <c r="AS63" s="70" t="e">
        <f t="shared" si="29"/>
        <v>#REF!</v>
      </c>
      <c r="AT63" s="70" t="e">
        <f t="shared" si="29"/>
        <v>#REF!</v>
      </c>
      <c r="AU63" s="70" t="e">
        <f t="shared" si="29"/>
        <v>#REF!</v>
      </c>
      <c r="AV63" s="70" t="e">
        <f t="shared" si="29"/>
        <v>#REF!</v>
      </c>
      <c r="AW63" s="70" t="e">
        <f t="shared" si="29"/>
        <v>#REF!</v>
      </c>
      <c r="AX63" s="70" t="e">
        <f t="shared" si="29"/>
        <v>#REF!</v>
      </c>
      <c r="AY63" s="70" t="e">
        <f t="shared" si="29"/>
        <v>#REF!</v>
      </c>
      <c r="AZ63" s="70" t="e">
        <f t="shared" si="29"/>
        <v>#REF!</v>
      </c>
      <c r="BA63" s="70" t="e">
        <f t="shared" si="29"/>
        <v>#REF!</v>
      </c>
    </row>
    <row r="64" spans="27:53" hidden="1">
      <c r="AA64" s="71" t="s">
        <v>41</v>
      </c>
      <c r="AB64" s="35"/>
      <c r="AF64" s="70" t="e">
        <f t="shared" ref="AF64:AO64" si="30">AF27+AF29+AF31+AF32+AF35</f>
        <v>#REF!</v>
      </c>
      <c r="AG64" s="70" t="e">
        <f t="shared" si="30"/>
        <v>#REF!</v>
      </c>
      <c r="AH64" s="70" t="e">
        <f t="shared" si="30"/>
        <v>#REF!</v>
      </c>
      <c r="AI64" s="70" t="e">
        <f t="shared" si="30"/>
        <v>#REF!</v>
      </c>
      <c r="AJ64" s="70" t="e">
        <f t="shared" si="30"/>
        <v>#REF!</v>
      </c>
      <c r="AK64" s="70" t="e">
        <f t="shared" si="30"/>
        <v>#REF!</v>
      </c>
      <c r="AL64" s="70" t="e">
        <f t="shared" si="30"/>
        <v>#REF!</v>
      </c>
      <c r="AM64" s="70" t="e">
        <f t="shared" si="30"/>
        <v>#REF!</v>
      </c>
      <c r="AN64" s="70" t="e">
        <f t="shared" si="30"/>
        <v>#REF!</v>
      </c>
      <c r="AO64" s="70" t="e">
        <f t="shared" si="30"/>
        <v>#REF!</v>
      </c>
      <c r="AP64" s="70"/>
      <c r="AQ64" s="70"/>
      <c r="AR64" s="70" t="e">
        <f t="shared" ref="AR64:BA64" si="31">AR27+AR29+AR31+AR32+AR35</f>
        <v>#REF!</v>
      </c>
      <c r="AS64" s="70" t="e">
        <f t="shared" si="31"/>
        <v>#REF!</v>
      </c>
      <c r="AT64" s="70" t="e">
        <f t="shared" si="31"/>
        <v>#REF!</v>
      </c>
      <c r="AU64" s="70" t="e">
        <f t="shared" si="31"/>
        <v>#REF!</v>
      </c>
      <c r="AV64" s="70" t="e">
        <f t="shared" si="31"/>
        <v>#REF!</v>
      </c>
      <c r="AW64" s="70" t="e">
        <f t="shared" si="31"/>
        <v>#REF!</v>
      </c>
      <c r="AX64" s="70" t="e">
        <f t="shared" si="31"/>
        <v>#REF!</v>
      </c>
      <c r="AY64" s="70" t="e">
        <f t="shared" si="31"/>
        <v>#REF!</v>
      </c>
      <c r="AZ64" s="70" t="e">
        <f t="shared" si="31"/>
        <v>#REF!</v>
      </c>
      <c r="BA64" s="70" t="e">
        <f t="shared" si="31"/>
        <v>#REF!</v>
      </c>
    </row>
    <row r="65" spans="27:53" hidden="1">
      <c r="AA65" s="71" t="s">
        <v>42</v>
      </c>
      <c r="AB65" s="35"/>
      <c r="AF65" s="70" t="e">
        <f t="shared" ref="AF65:AO65" si="32">AF38+AF40+AF42+AF43+AF46</f>
        <v>#REF!</v>
      </c>
      <c r="AG65" s="70" t="e">
        <f t="shared" si="32"/>
        <v>#REF!</v>
      </c>
      <c r="AH65" s="70" t="e">
        <f t="shared" si="32"/>
        <v>#REF!</v>
      </c>
      <c r="AI65" s="70" t="e">
        <f t="shared" si="32"/>
        <v>#REF!</v>
      </c>
      <c r="AJ65" s="70" t="e">
        <f t="shared" si="32"/>
        <v>#REF!</v>
      </c>
      <c r="AK65" s="70" t="e">
        <f t="shared" si="32"/>
        <v>#REF!</v>
      </c>
      <c r="AL65" s="70" t="e">
        <f t="shared" si="32"/>
        <v>#REF!</v>
      </c>
      <c r="AM65" s="70" t="e">
        <f t="shared" si="32"/>
        <v>#REF!</v>
      </c>
      <c r="AN65" s="70" t="e">
        <f t="shared" si="32"/>
        <v>#REF!</v>
      </c>
      <c r="AO65" s="70" t="e">
        <f t="shared" si="32"/>
        <v>#REF!</v>
      </c>
      <c r="AP65" s="70"/>
      <c r="AQ65" s="70"/>
      <c r="AR65" s="70" t="e">
        <f t="shared" ref="AR65:BA65" si="33">AR38+AR40+AR42+AR43+AR46</f>
        <v>#REF!</v>
      </c>
      <c r="AS65" s="70" t="e">
        <f t="shared" si="33"/>
        <v>#REF!</v>
      </c>
      <c r="AT65" s="70" t="e">
        <f t="shared" si="33"/>
        <v>#REF!</v>
      </c>
      <c r="AU65" s="70" t="e">
        <f t="shared" si="33"/>
        <v>#REF!</v>
      </c>
      <c r="AV65" s="70" t="e">
        <f t="shared" si="33"/>
        <v>#REF!</v>
      </c>
      <c r="AW65" s="70" t="e">
        <f t="shared" si="33"/>
        <v>#REF!</v>
      </c>
      <c r="AX65" s="70" t="e">
        <f t="shared" si="33"/>
        <v>#REF!</v>
      </c>
      <c r="AY65" s="70" t="e">
        <f t="shared" si="33"/>
        <v>#REF!</v>
      </c>
      <c r="AZ65" s="70" t="e">
        <f t="shared" si="33"/>
        <v>#REF!</v>
      </c>
      <c r="BA65" s="70" t="e">
        <f t="shared" si="33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4">AF16+AF17+AF22</f>
        <v>#REF!</v>
      </c>
      <c r="AG67" s="70" t="e">
        <f t="shared" si="34"/>
        <v>#REF!</v>
      </c>
      <c r="AH67" s="70" t="e">
        <f t="shared" si="34"/>
        <v>#REF!</v>
      </c>
      <c r="AI67" s="70" t="e">
        <f t="shared" si="34"/>
        <v>#REF!</v>
      </c>
      <c r="AJ67" s="70" t="e">
        <f t="shared" si="34"/>
        <v>#REF!</v>
      </c>
      <c r="AK67" s="70" t="e">
        <f t="shared" si="34"/>
        <v>#REF!</v>
      </c>
      <c r="AL67" s="70" t="e">
        <f t="shared" si="34"/>
        <v>#REF!</v>
      </c>
      <c r="AM67" s="70" t="e">
        <f t="shared" si="34"/>
        <v>#REF!</v>
      </c>
      <c r="AN67" s="70" t="e">
        <f t="shared" si="34"/>
        <v>#REF!</v>
      </c>
      <c r="AO67" s="70" t="e">
        <f t="shared" si="34"/>
        <v>#REF!</v>
      </c>
      <c r="AP67" s="70"/>
      <c r="AQ67" s="70"/>
      <c r="AR67" s="70" t="e">
        <f t="shared" ref="AR67:BA67" si="35">AR16+AR17+AR22</f>
        <v>#REF!</v>
      </c>
      <c r="AS67" s="70" t="e">
        <f t="shared" si="35"/>
        <v>#REF!</v>
      </c>
      <c r="AT67" s="70" t="e">
        <f t="shared" si="35"/>
        <v>#REF!</v>
      </c>
      <c r="AU67" s="70" t="e">
        <f t="shared" si="35"/>
        <v>#REF!</v>
      </c>
      <c r="AV67" s="70" t="e">
        <f t="shared" si="35"/>
        <v>#REF!</v>
      </c>
      <c r="AW67" s="70" t="e">
        <f t="shared" si="35"/>
        <v>#REF!</v>
      </c>
      <c r="AX67" s="70" t="e">
        <f t="shared" si="35"/>
        <v>#REF!</v>
      </c>
      <c r="AY67" s="70" t="e">
        <f t="shared" si="35"/>
        <v>#REF!</v>
      </c>
      <c r="AZ67" s="70" t="e">
        <f t="shared" si="35"/>
        <v>#REF!</v>
      </c>
      <c r="BA67" s="70" t="e">
        <f t="shared" si="35"/>
        <v>#REF!</v>
      </c>
    </row>
    <row r="68" spans="27:53" hidden="1">
      <c r="AA68" s="71" t="s">
        <v>41</v>
      </c>
      <c r="AB68" s="35"/>
      <c r="AF68" s="70" t="e">
        <f t="shared" ref="AF68:AO68" si="36">AF27+AF28+AF33</f>
        <v>#REF!</v>
      </c>
      <c r="AG68" s="70" t="e">
        <f t="shared" si="36"/>
        <v>#REF!</v>
      </c>
      <c r="AH68" s="70" t="e">
        <f t="shared" si="36"/>
        <v>#REF!</v>
      </c>
      <c r="AI68" s="70" t="e">
        <f t="shared" si="36"/>
        <v>#REF!</v>
      </c>
      <c r="AJ68" s="70" t="e">
        <f t="shared" si="36"/>
        <v>#REF!</v>
      </c>
      <c r="AK68" s="70" t="e">
        <f t="shared" si="36"/>
        <v>#REF!</v>
      </c>
      <c r="AL68" s="70" t="e">
        <f t="shared" si="36"/>
        <v>#REF!</v>
      </c>
      <c r="AM68" s="70" t="e">
        <f t="shared" si="36"/>
        <v>#REF!</v>
      </c>
      <c r="AN68" s="70" t="e">
        <f t="shared" si="36"/>
        <v>#REF!</v>
      </c>
      <c r="AO68" s="70" t="e">
        <f t="shared" si="36"/>
        <v>#REF!</v>
      </c>
      <c r="AP68" s="70"/>
      <c r="AQ68" s="70"/>
      <c r="AR68" s="70" t="e">
        <f t="shared" ref="AR68:BA68" si="37">AR27+AR28+AR33</f>
        <v>#REF!</v>
      </c>
      <c r="AS68" s="70" t="e">
        <f t="shared" si="37"/>
        <v>#REF!</v>
      </c>
      <c r="AT68" s="70" t="e">
        <f t="shared" si="37"/>
        <v>#REF!</v>
      </c>
      <c r="AU68" s="70" t="e">
        <f t="shared" si="37"/>
        <v>#REF!</v>
      </c>
      <c r="AV68" s="70" t="e">
        <f t="shared" si="37"/>
        <v>#REF!</v>
      </c>
      <c r="AW68" s="70" t="e">
        <f t="shared" si="37"/>
        <v>#REF!</v>
      </c>
      <c r="AX68" s="70" t="e">
        <f t="shared" si="37"/>
        <v>#REF!</v>
      </c>
      <c r="AY68" s="70" t="e">
        <f t="shared" si="37"/>
        <v>#REF!</v>
      </c>
      <c r="AZ68" s="70" t="e">
        <f t="shared" si="37"/>
        <v>#REF!</v>
      </c>
      <c r="BA68" s="70" t="e">
        <f t="shared" si="37"/>
        <v>#REF!</v>
      </c>
    </row>
    <row r="69" spans="27:53" hidden="1">
      <c r="AA69" s="71" t="s">
        <v>42</v>
      </c>
      <c r="AB69" s="35"/>
      <c r="AF69" s="70" t="e">
        <f t="shared" ref="AF69:AO69" si="38">AF38+AF39+AF44</f>
        <v>#REF!</v>
      </c>
      <c r="AG69" s="70" t="e">
        <f t="shared" si="38"/>
        <v>#REF!</v>
      </c>
      <c r="AH69" s="70" t="e">
        <f t="shared" si="38"/>
        <v>#REF!</v>
      </c>
      <c r="AI69" s="70" t="e">
        <f t="shared" si="38"/>
        <v>#REF!</v>
      </c>
      <c r="AJ69" s="70" t="e">
        <f t="shared" si="38"/>
        <v>#REF!</v>
      </c>
      <c r="AK69" s="70" t="e">
        <f t="shared" si="38"/>
        <v>#REF!</v>
      </c>
      <c r="AL69" s="70" t="e">
        <f t="shared" si="38"/>
        <v>#REF!</v>
      </c>
      <c r="AM69" s="70" t="e">
        <f t="shared" si="38"/>
        <v>#REF!</v>
      </c>
      <c r="AN69" s="70" t="e">
        <f t="shared" si="38"/>
        <v>#REF!</v>
      </c>
      <c r="AO69" s="70" t="e">
        <f t="shared" si="38"/>
        <v>#REF!</v>
      </c>
      <c r="AP69" s="70"/>
      <c r="AQ69" s="70"/>
      <c r="AR69" s="70" t="e">
        <f t="shared" ref="AR69:BA69" si="39">AR38+AR39+AR44</f>
        <v>#REF!</v>
      </c>
      <c r="AS69" s="70" t="e">
        <f t="shared" si="39"/>
        <v>#REF!</v>
      </c>
      <c r="AT69" s="70" t="e">
        <f t="shared" si="39"/>
        <v>#REF!</v>
      </c>
      <c r="AU69" s="70" t="e">
        <f t="shared" si="39"/>
        <v>#REF!</v>
      </c>
      <c r="AV69" s="70" t="e">
        <f t="shared" si="39"/>
        <v>#REF!</v>
      </c>
      <c r="AW69" s="70" t="e">
        <f t="shared" si="39"/>
        <v>#REF!</v>
      </c>
      <c r="AX69" s="70" t="e">
        <f t="shared" si="39"/>
        <v>#REF!</v>
      </c>
      <c r="AY69" s="70" t="e">
        <f t="shared" si="39"/>
        <v>#REF!</v>
      </c>
      <c r="AZ69" s="70" t="e">
        <f t="shared" si="39"/>
        <v>#REF!</v>
      </c>
      <c r="BA69" s="70" t="e">
        <f t="shared" si="39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0">AF16+AF17+AF21+AF23</f>
        <v>#REF!</v>
      </c>
      <c r="AG71" s="70" t="e">
        <f t="shared" si="40"/>
        <v>#REF!</v>
      </c>
      <c r="AH71" s="70" t="e">
        <f t="shared" si="40"/>
        <v>#REF!</v>
      </c>
      <c r="AI71" s="70" t="e">
        <f t="shared" si="40"/>
        <v>#REF!</v>
      </c>
      <c r="AJ71" s="70" t="e">
        <f t="shared" si="40"/>
        <v>#REF!</v>
      </c>
      <c r="AK71" s="70" t="e">
        <f t="shared" si="40"/>
        <v>#REF!</v>
      </c>
      <c r="AL71" s="70" t="e">
        <f t="shared" si="40"/>
        <v>#REF!</v>
      </c>
      <c r="AM71" s="70" t="e">
        <f t="shared" si="40"/>
        <v>#REF!</v>
      </c>
      <c r="AN71" s="70" t="e">
        <f t="shared" si="40"/>
        <v>#REF!</v>
      </c>
      <c r="AO71" s="70" t="e">
        <f t="shared" si="40"/>
        <v>#REF!</v>
      </c>
      <c r="AP71" s="70"/>
      <c r="AQ71" s="70"/>
      <c r="AR71" s="70" t="e">
        <f t="shared" ref="AR71:BA71" si="41">AR16+AR17+AR21+AR23</f>
        <v>#REF!</v>
      </c>
      <c r="AS71" s="70" t="e">
        <f t="shared" si="41"/>
        <v>#REF!</v>
      </c>
      <c r="AT71" s="70" t="e">
        <f t="shared" si="41"/>
        <v>#REF!</v>
      </c>
      <c r="AU71" s="70" t="e">
        <f t="shared" si="41"/>
        <v>#REF!</v>
      </c>
      <c r="AV71" s="70" t="e">
        <f t="shared" si="41"/>
        <v>#REF!</v>
      </c>
      <c r="AW71" s="70" t="e">
        <f t="shared" si="41"/>
        <v>#REF!</v>
      </c>
      <c r="AX71" s="70" t="e">
        <f t="shared" si="41"/>
        <v>#REF!</v>
      </c>
      <c r="AY71" s="70" t="e">
        <f t="shared" si="41"/>
        <v>#REF!</v>
      </c>
      <c r="AZ71" s="70" t="e">
        <f t="shared" si="41"/>
        <v>#REF!</v>
      </c>
      <c r="BA71" s="70" t="e">
        <f t="shared" si="41"/>
        <v>#REF!</v>
      </c>
    </row>
    <row r="72" spans="27:53" hidden="1">
      <c r="AA72" s="71" t="s">
        <v>41</v>
      </c>
      <c r="AB72" s="35"/>
      <c r="AF72" s="70" t="e">
        <f t="shared" ref="AF72:AO72" si="42">AF27+AF28+AF32+AF34</f>
        <v>#REF!</v>
      </c>
      <c r="AG72" s="70" t="e">
        <f t="shared" si="42"/>
        <v>#REF!</v>
      </c>
      <c r="AH72" s="70" t="e">
        <f t="shared" si="42"/>
        <v>#REF!</v>
      </c>
      <c r="AI72" s="70" t="e">
        <f t="shared" si="42"/>
        <v>#REF!</v>
      </c>
      <c r="AJ72" s="70" t="e">
        <f t="shared" si="42"/>
        <v>#REF!</v>
      </c>
      <c r="AK72" s="70" t="e">
        <f t="shared" si="42"/>
        <v>#REF!</v>
      </c>
      <c r="AL72" s="70" t="e">
        <f t="shared" si="42"/>
        <v>#REF!</v>
      </c>
      <c r="AM72" s="70" t="e">
        <f t="shared" si="42"/>
        <v>#REF!</v>
      </c>
      <c r="AN72" s="70" t="e">
        <f t="shared" si="42"/>
        <v>#REF!</v>
      </c>
      <c r="AO72" s="70" t="e">
        <f t="shared" si="42"/>
        <v>#REF!</v>
      </c>
      <c r="AP72" s="70"/>
      <c r="AQ72" s="70"/>
      <c r="AR72" s="70" t="e">
        <f t="shared" ref="AR72:BA72" si="43">AR27+AR28+AR32+AR34</f>
        <v>#REF!</v>
      </c>
      <c r="AS72" s="70" t="e">
        <f t="shared" si="43"/>
        <v>#REF!</v>
      </c>
      <c r="AT72" s="70" t="e">
        <f t="shared" si="43"/>
        <v>#REF!</v>
      </c>
      <c r="AU72" s="70" t="e">
        <f t="shared" si="43"/>
        <v>#REF!</v>
      </c>
      <c r="AV72" s="70" t="e">
        <f t="shared" si="43"/>
        <v>#REF!</v>
      </c>
      <c r="AW72" s="70" t="e">
        <f t="shared" si="43"/>
        <v>#REF!</v>
      </c>
      <c r="AX72" s="70" t="e">
        <f t="shared" si="43"/>
        <v>#REF!</v>
      </c>
      <c r="AY72" s="70" t="e">
        <f t="shared" si="43"/>
        <v>#REF!</v>
      </c>
      <c r="AZ72" s="70" t="e">
        <f t="shared" si="43"/>
        <v>#REF!</v>
      </c>
      <c r="BA72" s="70" t="e">
        <f t="shared" si="43"/>
        <v>#REF!</v>
      </c>
    </row>
    <row r="73" spans="27:53" hidden="1">
      <c r="AA73" s="71" t="s">
        <v>42</v>
      </c>
      <c r="AB73" s="35"/>
      <c r="AF73" s="70" t="e">
        <f t="shared" ref="AF73:AO73" si="44">AF38+AF39+AF43+AF45</f>
        <v>#REF!</v>
      </c>
      <c r="AG73" s="70" t="e">
        <f t="shared" si="44"/>
        <v>#REF!</v>
      </c>
      <c r="AH73" s="70" t="e">
        <f t="shared" si="44"/>
        <v>#REF!</v>
      </c>
      <c r="AI73" s="70" t="e">
        <f t="shared" si="44"/>
        <v>#REF!</v>
      </c>
      <c r="AJ73" s="70" t="e">
        <f t="shared" si="44"/>
        <v>#REF!</v>
      </c>
      <c r="AK73" s="70" t="e">
        <f t="shared" si="44"/>
        <v>#REF!</v>
      </c>
      <c r="AL73" s="70" t="e">
        <f t="shared" si="44"/>
        <v>#REF!</v>
      </c>
      <c r="AM73" s="70" t="e">
        <f t="shared" si="44"/>
        <v>#REF!</v>
      </c>
      <c r="AN73" s="70" t="e">
        <f t="shared" si="44"/>
        <v>#REF!</v>
      </c>
      <c r="AO73" s="70" t="e">
        <f t="shared" si="44"/>
        <v>#REF!</v>
      </c>
      <c r="AP73" s="70"/>
      <c r="AQ73" s="70"/>
      <c r="AR73" s="70" t="e">
        <f t="shared" ref="AR73:BA73" si="45">AR38+AR39+AR43+AR45</f>
        <v>#REF!</v>
      </c>
      <c r="AS73" s="70" t="e">
        <f t="shared" si="45"/>
        <v>#REF!</v>
      </c>
      <c r="AT73" s="70" t="e">
        <f t="shared" si="45"/>
        <v>#REF!</v>
      </c>
      <c r="AU73" s="70" t="e">
        <f t="shared" si="45"/>
        <v>#REF!</v>
      </c>
      <c r="AV73" s="70" t="e">
        <f t="shared" si="45"/>
        <v>#REF!</v>
      </c>
      <c r="AW73" s="70" t="e">
        <f t="shared" si="45"/>
        <v>#REF!</v>
      </c>
      <c r="AX73" s="70" t="e">
        <f t="shared" si="45"/>
        <v>#REF!</v>
      </c>
      <c r="AY73" s="70" t="e">
        <f t="shared" si="45"/>
        <v>#REF!</v>
      </c>
      <c r="AZ73" s="70" t="e">
        <f t="shared" si="45"/>
        <v>#REF!</v>
      </c>
      <c r="BA73" s="70" t="e">
        <f t="shared" si="45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6">AF16+AF17+AF21+AF24</f>
        <v>#REF!</v>
      </c>
      <c r="AG75" s="70" t="e">
        <f t="shared" si="46"/>
        <v>#REF!</v>
      </c>
      <c r="AH75" s="70" t="e">
        <f t="shared" si="46"/>
        <v>#REF!</v>
      </c>
      <c r="AI75" s="70" t="e">
        <f t="shared" si="46"/>
        <v>#REF!</v>
      </c>
      <c r="AJ75" s="70" t="e">
        <f t="shared" si="46"/>
        <v>#REF!</v>
      </c>
      <c r="AK75" s="70" t="e">
        <f t="shared" si="46"/>
        <v>#REF!</v>
      </c>
      <c r="AL75" s="70" t="e">
        <f t="shared" si="46"/>
        <v>#REF!</v>
      </c>
      <c r="AM75" s="70" t="e">
        <f t="shared" si="46"/>
        <v>#REF!</v>
      </c>
      <c r="AN75" s="70" t="e">
        <f t="shared" si="46"/>
        <v>#REF!</v>
      </c>
      <c r="AO75" s="70" t="e">
        <f t="shared" si="46"/>
        <v>#REF!</v>
      </c>
      <c r="AP75" s="70"/>
      <c r="AQ75" s="70"/>
      <c r="AR75" s="70" t="e">
        <f t="shared" ref="AR75:BA75" si="47">AR16+AR17+AR21+AR24</f>
        <v>#REF!</v>
      </c>
      <c r="AS75" s="70" t="e">
        <f t="shared" si="47"/>
        <v>#REF!</v>
      </c>
      <c r="AT75" s="70" t="e">
        <f t="shared" si="47"/>
        <v>#REF!</v>
      </c>
      <c r="AU75" s="70" t="e">
        <f t="shared" si="47"/>
        <v>#REF!</v>
      </c>
      <c r="AV75" s="70" t="e">
        <f t="shared" si="47"/>
        <v>#REF!</v>
      </c>
      <c r="AW75" s="70" t="e">
        <f t="shared" si="47"/>
        <v>#REF!</v>
      </c>
      <c r="AX75" s="70" t="e">
        <f t="shared" si="47"/>
        <v>#REF!</v>
      </c>
      <c r="AY75" s="70" t="e">
        <f t="shared" si="47"/>
        <v>#REF!</v>
      </c>
      <c r="AZ75" s="70" t="e">
        <f t="shared" si="47"/>
        <v>#REF!</v>
      </c>
      <c r="BA75" s="70" t="e">
        <f t="shared" si="47"/>
        <v>#REF!</v>
      </c>
    </row>
    <row r="76" spans="27:53" hidden="1">
      <c r="AA76" s="71" t="s">
        <v>41</v>
      </c>
      <c r="AB76" s="35"/>
      <c r="AF76" s="70" t="e">
        <f t="shared" ref="AF76:AO76" si="48">AF27+AF28+AF32+AF35</f>
        <v>#REF!</v>
      </c>
      <c r="AG76" s="70" t="e">
        <f t="shared" si="48"/>
        <v>#REF!</v>
      </c>
      <c r="AH76" s="70" t="e">
        <f t="shared" si="48"/>
        <v>#REF!</v>
      </c>
      <c r="AI76" s="70" t="e">
        <f t="shared" si="48"/>
        <v>#REF!</v>
      </c>
      <c r="AJ76" s="70" t="e">
        <f t="shared" si="48"/>
        <v>#REF!</v>
      </c>
      <c r="AK76" s="70" t="e">
        <f t="shared" si="48"/>
        <v>#REF!</v>
      </c>
      <c r="AL76" s="70" t="e">
        <f t="shared" si="48"/>
        <v>#REF!</v>
      </c>
      <c r="AM76" s="70" t="e">
        <f t="shared" si="48"/>
        <v>#REF!</v>
      </c>
      <c r="AN76" s="70" t="e">
        <f t="shared" si="48"/>
        <v>#REF!</v>
      </c>
      <c r="AO76" s="70" t="e">
        <f t="shared" si="48"/>
        <v>#REF!</v>
      </c>
      <c r="AP76" s="70"/>
      <c r="AQ76" s="70"/>
      <c r="AR76" s="70" t="e">
        <f t="shared" ref="AR76:BA76" si="49">AR27+AR28+AR32+AR35</f>
        <v>#REF!</v>
      </c>
      <c r="AS76" s="70" t="e">
        <f t="shared" si="49"/>
        <v>#REF!</v>
      </c>
      <c r="AT76" s="70" t="e">
        <f t="shared" si="49"/>
        <v>#REF!</v>
      </c>
      <c r="AU76" s="70" t="e">
        <f t="shared" si="49"/>
        <v>#REF!</v>
      </c>
      <c r="AV76" s="70" t="e">
        <f t="shared" si="49"/>
        <v>#REF!</v>
      </c>
      <c r="AW76" s="70" t="e">
        <f t="shared" si="49"/>
        <v>#REF!</v>
      </c>
      <c r="AX76" s="70" t="e">
        <f t="shared" si="49"/>
        <v>#REF!</v>
      </c>
      <c r="AY76" s="70" t="e">
        <f t="shared" si="49"/>
        <v>#REF!</v>
      </c>
      <c r="AZ76" s="70" t="e">
        <f t="shared" si="49"/>
        <v>#REF!</v>
      </c>
      <c r="BA76" s="70" t="e">
        <f t="shared" si="49"/>
        <v>#REF!</v>
      </c>
    </row>
    <row r="77" spans="27:53" hidden="1">
      <c r="AA77" s="71" t="s">
        <v>42</v>
      </c>
      <c r="AB77" s="35"/>
      <c r="AF77" s="70" t="e">
        <f t="shared" ref="AF77:AO77" si="50">AF38+AF39+AF43+AF46</f>
        <v>#REF!</v>
      </c>
      <c r="AG77" s="70" t="e">
        <f t="shared" si="50"/>
        <v>#REF!</v>
      </c>
      <c r="AH77" s="70" t="e">
        <f t="shared" si="50"/>
        <v>#REF!</v>
      </c>
      <c r="AI77" s="70" t="e">
        <f t="shared" si="50"/>
        <v>#REF!</v>
      </c>
      <c r="AJ77" s="70" t="e">
        <f t="shared" si="50"/>
        <v>#REF!</v>
      </c>
      <c r="AK77" s="70" t="e">
        <f t="shared" si="50"/>
        <v>#REF!</v>
      </c>
      <c r="AL77" s="70" t="e">
        <f t="shared" si="50"/>
        <v>#REF!</v>
      </c>
      <c r="AM77" s="70" t="e">
        <f t="shared" si="50"/>
        <v>#REF!</v>
      </c>
      <c r="AN77" s="70" t="e">
        <f t="shared" si="50"/>
        <v>#REF!</v>
      </c>
      <c r="AO77" s="70" t="e">
        <f t="shared" si="50"/>
        <v>#REF!</v>
      </c>
      <c r="AP77" s="70"/>
      <c r="AQ77" s="70"/>
      <c r="AR77" s="70" t="e">
        <f t="shared" ref="AR77:BA77" si="51">AR38+AR39+AR43+AR46</f>
        <v>#REF!</v>
      </c>
      <c r="AS77" s="70" t="e">
        <f t="shared" si="51"/>
        <v>#REF!</v>
      </c>
      <c r="AT77" s="70" t="e">
        <f t="shared" si="51"/>
        <v>#REF!</v>
      </c>
      <c r="AU77" s="70" t="e">
        <f t="shared" si="51"/>
        <v>#REF!</v>
      </c>
      <c r="AV77" s="70" t="e">
        <f t="shared" si="51"/>
        <v>#REF!</v>
      </c>
      <c r="AW77" s="70" t="e">
        <f t="shared" si="51"/>
        <v>#REF!</v>
      </c>
      <c r="AX77" s="70" t="e">
        <f t="shared" si="51"/>
        <v>#REF!</v>
      </c>
      <c r="AY77" s="70" t="e">
        <f t="shared" si="51"/>
        <v>#REF!</v>
      </c>
      <c r="AZ77" s="70" t="e">
        <f t="shared" si="51"/>
        <v>#REF!</v>
      </c>
      <c r="BA77" s="70" t="e">
        <f t="shared" si="51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67" t="s">
        <v>55</v>
      </c>
      <c r="G89" s="567" t="s">
        <v>73</v>
      </c>
      <c r="H89" s="567" t="s">
        <v>74</v>
      </c>
      <c r="I89" s="567" t="s">
        <v>58</v>
      </c>
      <c r="J89" s="567" t="s">
        <v>59</v>
      </c>
      <c r="K89" s="567" t="s">
        <v>60</v>
      </c>
      <c r="L89" s="566" t="s">
        <v>75</v>
      </c>
      <c r="M89" s="566" t="s">
        <v>76</v>
      </c>
      <c r="N89" s="566" t="s">
        <v>61</v>
      </c>
      <c r="O89" s="566" t="s">
        <v>62</v>
      </c>
      <c r="P89" s="566" t="s">
        <v>63</v>
      </c>
      <c r="AN89" s="38"/>
      <c r="AZ89" s="36"/>
    </row>
    <row r="90" spans="1:52" ht="25.5">
      <c r="A90" s="44" t="str">
        <f>A4</f>
        <v>General Construction</v>
      </c>
      <c r="B90" s="45" t="str">
        <f>B4</f>
        <v>Light-Duty Truck, catalyst</v>
      </c>
      <c r="C90" s="46">
        <f>C4</f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2" si="52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ref="A91:C92" si="53">A5</f>
        <v>Site and Access Road Grading</v>
      </c>
      <c r="B91" s="45" t="str">
        <f t="shared" si="53"/>
        <v>Light-Duty Truck, catalyst</v>
      </c>
      <c r="C91" s="46">
        <f t="shared" si="53"/>
        <v>20</v>
      </c>
      <c r="D91" s="46">
        <v>35</v>
      </c>
      <c r="E91" s="46">
        <v>80</v>
      </c>
      <c r="F91" s="50">
        <f>C5*($E5*$F5+($G5))/453.59</f>
        <v>9.7143877176184024</v>
      </c>
      <c r="G91" s="50">
        <f>C5*($E5*$H5+($I5))/453.59</f>
        <v>0.87341314588756025</v>
      </c>
      <c r="H91" s="50">
        <f>C5*(($E5*$J5)+($K5)+($L5)+($E5*$N5)+(($M5+$O5)))/453.59</f>
        <v>1.0099996064790666</v>
      </c>
      <c r="I91" s="50">
        <f>C5*($E5*$P5+($Q5))/453.59</f>
        <v>1.453594054321232E-2</v>
      </c>
      <c r="J91" s="50">
        <f>C5*(($E5*($R5+$T5+$U5))+($S5))/453.59</f>
        <v>0.17048180910415792</v>
      </c>
      <c r="K91" s="50">
        <f>$C5*(($E5*($V5+$X5+$Y5))+($W5))/453.59</f>
        <v>7.4240106485062823E-2</v>
      </c>
      <c r="L91" s="50">
        <f>$B$23*C5*(E5+6)</f>
        <v>0.16877165172143796</v>
      </c>
      <c r="M91" s="50">
        <f t="shared" si="52"/>
        <v>6.9196377205789555E-2</v>
      </c>
      <c r="N91" s="50">
        <f>C5*($E5*$Z5+($AA5))/453.59</f>
        <v>1108.4715345207778</v>
      </c>
      <c r="O91" s="50">
        <f>C5*($E5*$AB5+($AC5))/453.59</f>
        <v>6.3409507780604987E-2</v>
      </c>
      <c r="P91" s="50">
        <f>C5*($E5*$AD5+($AE5))/453.59</f>
        <v>0.11542239827686719</v>
      </c>
      <c r="AN91" s="38"/>
      <c r="AZ91" s="36"/>
    </row>
    <row r="92" spans="1:52" ht="25.5">
      <c r="A92" s="44" t="str">
        <f t="shared" si="53"/>
        <v>Retaining Walls</v>
      </c>
      <c r="B92" s="45" t="str">
        <f t="shared" si="53"/>
        <v>Light-Duty Truck, catalyst</v>
      </c>
      <c r="C92" s="46">
        <f t="shared" si="53"/>
        <v>13</v>
      </c>
      <c r="D92" s="46">
        <v>35</v>
      </c>
      <c r="E92" s="46">
        <v>80</v>
      </c>
      <c r="F92" s="50">
        <f>C6*($E6*$F6+($G6))/453.59</f>
        <v>6.3143520164519611</v>
      </c>
      <c r="G92" s="50">
        <f>C6*($E6*$H6+($I6))/453.59</f>
        <v>0.56771854482691408</v>
      </c>
      <c r="H92" s="50">
        <f>C6*(($E6*$J6)+($K6)+($L6)+($E6*$N6)+(($M6+$O6)))/453.59</f>
        <v>0.65649974421139334</v>
      </c>
      <c r="I92" s="50">
        <f>C6*($E6*$P6+($Q6))/453.59</f>
        <v>9.4483613530880074E-3</v>
      </c>
      <c r="J92" s="50">
        <f>C6*(($E6*($R6+$T6+$U6))+($S6))/453.59</f>
        <v>0.11081317591770266</v>
      </c>
      <c r="K92" s="50">
        <f>$C6*(($E6*($V6+$X6+$Y6))+($W6))/453.59</f>
        <v>4.8256069215290839E-2</v>
      </c>
      <c r="L92" s="50">
        <f>$B$23*C6*(E6+6)</f>
        <v>0.10970157361893468</v>
      </c>
      <c r="M92" s="50">
        <f t="shared" si="52"/>
        <v>4.4977645183763217E-2</v>
      </c>
      <c r="N92" s="50">
        <f>C6*($E6*$Z6+($AA6))/453.59</f>
        <v>720.50649743850568</v>
      </c>
      <c r="O92" s="50">
        <f>C6*($E6*$AB6+($AC6))/453.59</f>
        <v>4.1216180057393241E-2</v>
      </c>
      <c r="P92" s="50">
        <f>C6*($E6*$AD6+($AE6))/453.59</f>
        <v>7.5024558879963676E-2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 t="shared" ref="F93:P93" si="54">SUM(F90:F92)</f>
        <v>17.485897891713122</v>
      </c>
      <c r="G93" s="81">
        <f t="shared" si="54"/>
        <v>1.5721436625976084</v>
      </c>
      <c r="H93" s="81">
        <f t="shared" si="54"/>
        <v>1.81799929166232</v>
      </c>
      <c r="I93" s="81">
        <f t="shared" si="54"/>
        <v>2.6164692977782171E-2</v>
      </c>
      <c r="J93" s="81">
        <f t="shared" si="54"/>
        <v>0.30686725638748424</v>
      </c>
      <c r="K93" s="81">
        <f t="shared" si="54"/>
        <v>0.13363219167311308</v>
      </c>
      <c r="L93" s="81">
        <f t="shared" si="54"/>
        <v>0.30378897309858832</v>
      </c>
      <c r="M93" s="81">
        <f t="shared" si="54"/>
        <v>0.12455347897042121</v>
      </c>
      <c r="N93" s="81">
        <f t="shared" si="54"/>
        <v>1995.2487621374003</v>
      </c>
      <c r="O93" s="81">
        <f t="shared" si="54"/>
        <v>0.11413711400508897</v>
      </c>
      <c r="P93" s="81">
        <f t="shared" si="54"/>
        <v>0.20776031689836094</v>
      </c>
      <c r="AN93" s="38"/>
      <c r="AZ93" s="36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668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335</v>
      </c>
      <c r="B5" s="45" t="s">
        <v>102</v>
      </c>
      <c r="C5" s="46">
        <v>1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54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545" t="s">
        <v>55</v>
      </c>
      <c r="G88" s="545" t="s">
        <v>73</v>
      </c>
      <c r="H88" s="545" t="s">
        <v>74</v>
      </c>
      <c r="I88" s="545" t="s">
        <v>58</v>
      </c>
      <c r="J88" s="545" t="s">
        <v>59</v>
      </c>
      <c r="K88" s="545" t="s">
        <v>60</v>
      </c>
      <c r="L88" s="544" t="s">
        <v>75</v>
      </c>
      <c r="M88" s="544" t="s">
        <v>76</v>
      </c>
      <c r="N88" s="544" t="s">
        <v>61</v>
      </c>
      <c r="O88" s="544" t="s">
        <v>62</v>
      </c>
      <c r="P88" s="544" t="s">
        <v>63</v>
      </c>
      <c r="AN88" s="38"/>
      <c r="AZ88" s="36"/>
    </row>
    <row r="89" spans="1:52" ht="25.5">
      <c r="A89" s="44" t="str">
        <f t="shared" ref="A89:C90" si="52">A4</f>
        <v>Substation General Construction</v>
      </c>
      <c r="B89" s="45" t="str">
        <f t="shared" si="52"/>
        <v>Light-Duty Truck, catalyst</v>
      </c>
      <c r="C89" s="46">
        <f t="shared" si="52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53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si="52"/>
        <v>Substation Wiring</v>
      </c>
      <c r="B90" s="45" t="str">
        <f t="shared" si="52"/>
        <v>Light-Duty Truck, catalyst</v>
      </c>
      <c r="C90" s="46">
        <f t="shared" si="52"/>
        <v>1</v>
      </c>
      <c r="D90" s="46">
        <v>35</v>
      </c>
      <c r="E90" s="46">
        <v>80</v>
      </c>
      <c r="F90" s="50">
        <f>C5*($E5*$F5+($G5))/453.59</f>
        <v>0.48571938588092006</v>
      </c>
      <c r="G90" s="50">
        <f>C5*($E5*$H5+($I5))/453.59</f>
        <v>4.367065729437801E-2</v>
      </c>
      <c r="H90" s="50">
        <f>C5*(($E5*$J5)+($K5)+($L5)+($E5*$N5)+(($M5+$O5)))/453.59</f>
        <v>5.0499980323953329E-2</v>
      </c>
      <c r="I90" s="50">
        <f>C5*($E5*$P5+($Q5))/453.59</f>
        <v>7.2679702716061593E-4</v>
      </c>
      <c r="J90" s="50">
        <f>C5*(($E5*($R5+$T5+$U5))+($S5))/453.59</f>
        <v>8.5240904552078972E-3</v>
      </c>
      <c r="K90" s="50">
        <f>$C5*(($E5*($V5+$X5+$Y5))+($W5))/453.59</f>
        <v>3.7120053242531417E-3</v>
      </c>
      <c r="L90" s="50">
        <f>$B$22*C5*(E5+6)</f>
        <v>8.4385825860718994E-3</v>
      </c>
      <c r="M90" s="50">
        <f t="shared" si="53"/>
        <v>3.4598188602894785E-3</v>
      </c>
      <c r="N90" s="50">
        <f>C5*($E5*$Z5+($AA5))/453.59</f>
        <v>55.423576726038895</v>
      </c>
      <c r="O90" s="50">
        <f>C5*($E5*$AB5+($AC5))/453.59</f>
        <v>3.1704753890302493E-3</v>
      </c>
      <c r="P90" s="50">
        <f>C5*($E5*$AD5+($AE5))/453.59</f>
        <v>5.7711199138433603E-3</v>
      </c>
      <c r="AN90" s="38"/>
      <c r="AZ90" s="36"/>
    </row>
    <row r="91" spans="1:52">
      <c r="A91" s="61" t="s">
        <v>389</v>
      </c>
      <c r="B91" s="40"/>
      <c r="C91" s="40"/>
      <c r="D91" s="40"/>
      <c r="E91" s="40"/>
      <c r="F91" s="81">
        <f t="shared" ref="F91:P91" si="54">SUM(F89:F90)</f>
        <v>1.9428775435236803</v>
      </c>
      <c r="G91" s="81">
        <f t="shared" si="54"/>
        <v>0.17468262917751204</v>
      </c>
      <c r="H91" s="81">
        <f t="shared" si="54"/>
        <v>0.20199992129581332</v>
      </c>
      <c r="I91" s="81">
        <f t="shared" si="54"/>
        <v>2.9071881086424637E-3</v>
      </c>
      <c r="J91" s="81">
        <f t="shared" si="54"/>
        <v>3.4096361820831589E-2</v>
      </c>
      <c r="K91" s="81">
        <f t="shared" si="54"/>
        <v>1.4848021297012567E-2</v>
      </c>
      <c r="L91" s="81">
        <f t="shared" si="54"/>
        <v>3.3754330344287597E-2</v>
      </c>
      <c r="M91" s="81">
        <f t="shared" si="54"/>
        <v>1.3839275441157914E-2</v>
      </c>
      <c r="N91" s="81">
        <f t="shared" si="54"/>
        <v>221.69430690415561</v>
      </c>
      <c r="O91" s="81">
        <f t="shared" si="54"/>
        <v>1.2681901556120997E-2</v>
      </c>
      <c r="P91" s="81">
        <f t="shared" si="54"/>
        <v>2.3084479655373441E-2</v>
      </c>
      <c r="AN91" s="38"/>
      <c r="AZ91" s="36"/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6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669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317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24" t="s">
        <v>311</v>
      </c>
      <c r="B14" s="29" t="s">
        <v>27</v>
      </c>
      <c r="C14" s="22">
        <v>175</v>
      </c>
      <c r="D14" s="22"/>
      <c r="E14" s="102">
        <v>0.11792220738547983</v>
      </c>
      <c r="F14" s="102">
        <v>0.36512193352152528</v>
      </c>
      <c r="G14" s="102">
        <v>0.86781464282266541</v>
      </c>
      <c r="H14" s="102">
        <v>1.8739217498104396E-3</v>
      </c>
      <c r="I14" s="102">
        <v>2.9041712295589866E-2</v>
      </c>
      <c r="J14" s="100">
        <f t="shared" ref="J14" si="4">0.89*I14</f>
        <v>2.5847123943074982E-2</v>
      </c>
      <c r="K14" s="103">
        <v>166.54541562452522</v>
      </c>
      <c r="L14" s="102">
        <v>1.063993297769634E-2</v>
      </c>
      <c r="M14" s="104">
        <f t="shared" ref="M14" si="5">0.095*G14</f>
        <v>8.2442391068153209E-2</v>
      </c>
      <c r="N14" s="98">
        <v>1</v>
      </c>
      <c r="O14" s="87">
        <v>2</v>
      </c>
      <c r="P14" s="363">
        <v>280</v>
      </c>
      <c r="Q14" s="34">
        <f t="shared" ref="Q14:Y14" si="6">(E14*$N14*$O14)</f>
        <v>0.23584441477095966</v>
      </c>
      <c r="R14" s="26">
        <f t="shared" si="6"/>
        <v>0.73024386704305055</v>
      </c>
      <c r="S14" s="26">
        <f t="shared" si="6"/>
        <v>1.7356292856453308</v>
      </c>
      <c r="T14" s="26">
        <f t="shared" si="6"/>
        <v>3.7478434996208792E-3</v>
      </c>
      <c r="U14" s="26">
        <f t="shared" si="6"/>
        <v>5.8083424591179732E-2</v>
      </c>
      <c r="V14" s="26">
        <f t="shared" si="6"/>
        <v>5.1694247886149965E-2</v>
      </c>
      <c r="W14" s="26">
        <f t="shared" si="6"/>
        <v>333.09083124905044</v>
      </c>
      <c r="X14" s="26">
        <f t="shared" si="6"/>
        <v>2.127986595539268E-2</v>
      </c>
      <c r="Y14" s="26">
        <f t="shared" si="6"/>
        <v>0.16488478213630642</v>
      </c>
    </row>
    <row r="15" spans="1:25" s="3" customFormat="1">
      <c r="A15" s="17" t="s">
        <v>28</v>
      </c>
      <c r="B15" s="97"/>
      <c r="C15" s="22"/>
      <c r="D15" s="22"/>
      <c r="E15" s="23"/>
      <c r="F15" s="23"/>
      <c r="G15" s="23"/>
      <c r="H15" s="23"/>
      <c r="I15" s="23"/>
      <c r="J15" s="24"/>
      <c r="K15" s="25"/>
      <c r="L15" s="23"/>
      <c r="M15" s="23"/>
      <c r="N15" s="88"/>
      <c r="O15" s="88"/>
      <c r="P15" s="88"/>
      <c r="Q15" s="27">
        <f t="shared" ref="Q15:Y15" si="7">SUM(Q14:Q14)</f>
        <v>0.23584441477095966</v>
      </c>
      <c r="R15" s="27">
        <f t="shared" si="7"/>
        <v>0.73024386704305055</v>
      </c>
      <c r="S15" s="27">
        <f t="shared" si="7"/>
        <v>1.7356292856453308</v>
      </c>
      <c r="T15" s="27">
        <f t="shared" si="7"/>
        <v>3.7478434996208792E-3</v>
      </c>
      <c r="U15" s="27">
        <f t="shared" si="7"/>
        <v>5.8083424591179732E-2</v>
      </c>
      <c r="V15" s="27">
        <f t="shared" si="7"/>
        <v>5.1694247886149965E-2</v>
      </c>
      <c r="W15" s="27">
        <f t="shared" si="7"/>
        <v>333.09083124905044</v>
      </c>
      <c r="X15" s="27">
        <f t="shared" si="7"/>
        <v>2.127986595539268E-2</v>
      </c>
      <c r="Y15" s="27">
        <f t="shared" si="7"/>
        <v>0.16488478213630642</v>
      </c>
    </row>
    <row r="16" spans="1:25">
      <c r="A16" s="17" t="s">
        <v>499</v>
      </c>
      <c r="B16" s="549"/>
      <c r="C16" s="18"/>
      <c r="D16" s="22"/>
      <c r="E16" s="19"/>
      <c r="F16" s="19"/>
      <c r="G16" s="19"/>
      <c r="H16" s="19"/>
      <c r="I16" s="19"/>
      <c r="J16" s="19"/>
      <c r="K16" s="19"/>
      <c r="L16" s="19"/>
      <c r="M16" s="19"/>
      <c r="N16" s="30"/>
      <c r="O16" s="30"/>
      <c r="P16" s="364"/>
      <c r="Q16" s="20">
        <f>Q11+Q15</f>
        <v>0.9504215378625569</v>
      </c>
      <c r="R16" s="20">
        <f t="shared" ref="R16:Y16" si="8">R11+R15</f>
        <v>3.6844030780014445</v>
      </c>
      <c r="S16" s="20">
        <f t="shared" si="8"/>
        <v>6.1566857317844876</v>
      </c>
      <c r="T16" s="20">
        <f t="shared" si="8"/>
        <v>1.207090973569876E-2</v>
      </c>
      <c r="U16" s="20">
        <f t="shared" si="8"/>
        <v>0.30389171690722716</v>
      </c>
      <c r="V16" s="20">
        <f t="shared" si="8"/>
        <v>0.27046362804743218</v>
      </c>
      <c r="W16" s="20">
        <f t="shared" si="8"/>
        <v>1029.5443237340787</v>
      </c>
      <c r="X16" s="20">
        <f t="shared" si="8"/>
        <v>9.3819672145962416E-2</v>
      </c>
      <c r="Y16" s="20">
        <f t="shared" si="8"/>
        <v>0.58488514451952633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0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670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C9*(F9)*$B$195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C10*(F10)*$B$195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335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311</v>
      </c>
      <c r="B14" s="76" t="s">
        <v>105</v>
      </c>
      <c r="C14" s="374">
        <v>1</v>
      </c>
      <c r="D14" s="77"/>
      <c r="E14" s="77">
        <v>35</v>
      </c>
      <c r="F14" s="77">
        <v>80</v>
      </c>
      <c r="G14" s="106">
        <v>1.08263976628415</v>
      </c>
      <c r="H14" s="106">
        <v>4.9712718909585103</v>
      </c>
      <c r="I14" s="106">
        <v>0.26248012575016899</v>
      </c>
      <c r="J14" s="106">
        <v>1.0711818E-2</v>
      </c>
      <c r="K14" s="106">
        <v>7.1679901072141505E-2</v>
      </c>
      <c r="L14" s="576">
        <v>3.59998119015979E-2</v>
      </c>
      <c r="M14" s="576">
        <v>6.1739677411240299E-2</v>
      </c>
      <c r="N14" s="106">
        <v>6.5945508986370194E-2</v>
      </c>
      <c r="O14" s="576">
        <v>2.9999843251331498E-3</v>
      </c>
      <c r="P14" s="576">
        <v>5.5859708133979398E-2</v>
      </c>
      <c r="Q14" s="106">
        <v>1710.7260798814</v>
      </c>
      <c r="R14" s="47">
        <v>1.5235246282551899E-2</v>
      </c>
      <c r="S14" s="80">
        <f>0.000025616*Q14</f>
        <v>4.3821959262241944E-2</v>
      </c>
      <c r="T14" s="50">
        <f>C14*($F14*$G14)/453.59</f>
        <v>0.19094596728925242</v>
      </c>
      <c r="U14" s="50">
        <f>C14*($F14*$H14)/453.59</f>
        <v>0.87678685878586582</v>
      </c>
      <c r="V14" s="50">
        <f>C14*(($F14*$I14))/453.59</f>
        <v>4.6293811724274173E-2</v>
      </c>
      <c r="W14" s="50">
        <f>C14*($F14*$J14)/453.59</f>
        <v>1.8892511739676801E-3</v>
      </c>
      <c r="X14" s="50">
        <f>C14*(($F14*($K14+$L14+$M14)))/453.59</f>
        <v>2.9880621774726907E-2</v>
      </c>
      <c r="Y14" s="50">
        <f>C14*(($F14*($N14+$O14+$P14)))/453.59</f>
        <v>2.2011984646131133E-2</v>
      </c>
      <c r="Z14" s="50">
        <f>C14*(F14)*$B$195</f>
        <v>0</v>
      </c>
      <c r="AA14" s="50">
        <f>Z14*0.21</f>
        <v>0</v>
      </c>
      <c r="AB14" s="50">
        <f>C14*(($F14*($Q14)))/453.59</f>
        <v>301.72200972356535</v>
      </c>
      <c r="AC14" s="50">
        <f>C14*(($F14*($R14)))/453.59</f>
        <v>2.6870515280410772E-3</v>
      </c>
      <c r="AD14" s="50">
        <f>C14*(($F14*($S14)))/453.59</f>
        <v>7.7289110010788503E-3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0.19094596728925242</v>
      </c>
      <c r="U15" s="81">
        <f t="shared" si="1"/>
        <v>0.87678685878586582</v>
      </c>
      <c r="V15" s="81">
        <f t="shared" si="1"/>
        <v>4.6293811724274173E-2</v>
      </c>
      <c r="W15" s="81">
        <f t="shared" si="1"/>
        <v>1.8892511739676801E-3</v>
      </c>
      <c r="X15" s="81">
        <f t="shared" si="1"/>
        <v>2.9880621774726907E-2</v>
      </c>
      <c r="Y15" s="81">
        <f t="shared" si="1"/>
        <v>2.2011984646131133E-2</v>
      </c>
      <c r="Z15" s="81">
        <f t="shared" si="1"/>
        <v>0</v>
      </c>
      <c r="AA15" s="81">
        <f t="shared" si="1"/>
        <v>0</v>
      </c>
      <c r="AB15" s="81">
        <f t="shared" si="1"/>
        <v>301.72200972356535</v>
      </c>
      <c r="AC15" s="81">
        <f t="shared" si="1"/>
        <v>2.6870515280410772E-3</v>
      </c>
      <c r="AD15" s="81">
        <f t="shared" si="1"/>
        <v>7.7289110010788503E-3</v>
      </c>
    </row>
    <row r="16" spans="1:30">
      <c r="A16" s="75" t="s">
        <v>388</v>
      </c>
      <c r="B16" s="74"/>
      <c r="C16" s="112"/>
      <c r="D16" s="112"/>
      <c r="E16" s="74"/>
      <c r="F16" s="74"/>
      <c r="G16" s="547"/>
      <c r="H16" s="41"/>
      <c r="I16" s="41"/>
      <c r="J16" s="41"/>
      <c r="K16" s="544"/>
      <c r="L16" s="544"/>
      <c r="M16" s="544"/>
      <c r="N16" s="544"/>
      <c r="O16" s="544"/>
      <c r="P16" s="544"/>
      <c r="Q16" s="41"/>
      <c r="R16" s="544"/>
      <c r="S16" s="544"/>
      <c r="T16" s="81">
        <f>T11+T15</f>
        <v>0.48178321011214986</v>
      </c>
      <c r="U16" s="81">
        <f t="shared" ref="U16:AD16" si="2">U11+U15</f>
        <v>1.9379830954014503</v>
      </c>
      <c r="V16" s="81">
        <f t="shared" si="2"/>
        <v>0.11511829621149469</v>
      </c>
      <c r="W16" s="81">
        <f t="shared" si="2"/>
        <v>5.1683636885428378E-3</v>
      </c>
      <c r="X16" s="81">
        <f t="shared" si="2"/>
        <v>9.6130708419604929E-2</v>
      </c>
      <c r="Y16" s="81">
        <f t="shared" si="2"/>
        <v>6.8190068275239671E-2</v>
      </c>
      <c r="Z16" s="81">
        <f t="shared" si="2"/>
        <v>0</v>
      </c>
      <c r="AA16" s="81">
        <f t="shared" si="2"/>
        <v>0</v>
      </c>
      <c r="AB16" s="81">
        <f t="shared" si="2"/>
        <v>700.25812503738734</v>
      </c>
      <c r="AC16" s="81">
        <f t="shared" si="2"/>
        <v>1.0906351491826187E-2</v>
      </c>
      <c r="AD16" s="81">
        <f t="shared" si="2"/>
        <v>1.7937812130957714E-2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368" spans="1:1" ht="25.5">
      <c r="A368" s="82" t="s">
        <v>109</v>
      </c>
    </row>
    <row r="370" spans="1:2">
      <c r="A370" s="36" t="s">
        <v>81</v>
      </c>
    </row>
    <row r="371" spans="1:2">
      <c r="A371" s="36" t="s">
        <v>82</v>
      </c>
    </row>
    <row r="372" spans="1:2">
      <c r="A372" s="36" t="s">
        <v>83</v>
      </c>
    </row>
    <row r="373" spans="1:2">
      <c r="A373" s="37" t="s">
        <v>96</v>
      </c>
    </row>
    <row r="374" spans="1:2">
      <c r="A374" s="36" t="s">
        <v>85</v>
      </c>
    </row>
    <row r="375" spans="1:2">
      <c r="A375" s="36" t="s">
        <v>86</v>
      </c>
    </row>
    <row r="376" spans="1:2">
      <c r="A376" s="36" t="s">
        <v>87</v>
      </c>
    </row>
    <row r="377" spans="1:2">
      <c r="A377" s="36" t="s">
        <v>0</v>
      </c>
    </row>
    <row r="378" spans="1:2">
      <c r="A378" s="37" t="s">
        <v>97</v>
      </c>
      <c r="B378" s="36">
        <f>(0.016*(0.03/2)^0.65*(2/3)^1.5)-0.00047</f>
        <v>9.8123053326417428E-5</v>
      </c>
    </row>
    <row r="379" spans="1:2">
      <c r="A379" s="37" t="s">
        <v>98</v>
      </c>
      <c r="B379" s="36">
        <f>(0.016*(0.03/2)^0.65*(13/3)^1.5)-0.00047</f>
        <v>8.9448292388582783E-3</v>
      </c>
    </row>
    <row r="380" spans="1:2">
      <c r="A380" s="37" t="s">
        <v>99</v>
      </c>
      <c r="B38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671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335</v>
      </c>
      <c r="B5" s="45" t="s">
        <v>102</v>
      </c>
      <c r="C5" s="46">
        <v>1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54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545" t="s">
        <v>55</v>
      </c>
      <c r="G88" s="545" t="s">
        <v>73</v>
      </c>
      <c r="H88" s="545" t="s">
        <v>74</v>
      </c>
      <c r="I88" s="545" t="s">
        <v>58</v>
      </c>
      <c r="J88" s="545" t="s">
        <v>59</v>
      </c>
      <c r="K88" s="545" t="s">
        <v>60</v>
      </c>
      <c r="L88" s="544" t="s">
        <v>75</v>
      </c>
      <c r="M88" s="544" t="s">
        <v>76</v>
      </c>
      <c r="N88" s="544" t="s">
        <v>61</v>
      </c>
      <c r="O88" s="544" t="s">
        <v>62</v>
      </c>
      <c r="P88" s="544" t="s">
        <v>63</v>
      </c>
      <c r="AN88" s="38"/>
      <c r="AZ88" s="36"/>
    </row>
    <row r="89" spans="1:52" ht="25.5">
      <c r="A89" s="44" t="str">
        <f t="shared" ref="A89:C90" si="52">A4</f>
        <v>Substation General Construction</v>
      </c>
      <c r="B89" s="45" t="str">
        <f t="shared" si="52"/>
        <v>Light-Duty Truck, catalyst</v>
      </c>
      <c r="C89" s="46">
        <f t="shared" si="52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53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si="52"/>
        <v>Substation Wiring</v>
      </c>
      <c r="B90" s="45" t="str">
        <f t="shared" si="52"/>
        <v>Light-Duty Truck, catalyst</v>
      </c>
      <c r="C90" s="46">
        <f t="shared" si="52"/>
        <v>1</v>
      </c>
      <c r="D90" s="46">
        <v>35</v>
      </c>
      <c r="E90" s="46">
        <v>80</v>
      </c>
      <c r="F90" s="50">
        <f>C5*($E5*$F5+($G5))/453.59</f>
        <v>0.48571938588092006</v>
      </c>
      <c r="G90" s="50">
        <f>C5*($E5*$H5+($I5))/453.59</f>
        <v>4.367065729437801E-2</v>
      </c>
      <c r="H90" s="50">
        <f>C5*(($E5*$J5)+($K5)+($L5)+($E5*$N5)+(($M5+$O5)))/453.59</f>
        <v>5.0499980323953329E-2</v>
      </c>
      <c r="I90" s="50">
        <f>C5*($E5*$P5+($Q5))/453.59</f>
        <v>7.2679702716061593E-4</v>
      </c>
      <c r="J90" s="50">
        <f>C5*(($E5*($R5+$T5+$U5))+($S5))/453.59</f>
        <v>8.5240904552078972E-3</v>
      </c>
      <c r="K90" s="50">
        <f>$C5*(($E5*($V5+$X5+$Y5))+($W5))/453.59</f>
        <v>3.7120053242531417E-3</v>
      </c>
      <c r="L90" s="50">
        <f>$B$22*C5*(E5+6)</f>
        <v>8.4385825860718994E-3</v>
      </c>
      <c r="M90" s="50">
        <f t="shared" si="53"/>
        <v>3.4598188602894785E-3</v>
      </c>
      <c r="N90" s="50">
        <f>C5*($E5*$Z5+($AA5))/453.59</f>
        <v>55.423576726038895</v>
      </c>
      <c r="O90" s="50">
        <f>C5*($E5*$AB5+($AC5))/453.59</f>
        <v>3.1704753890302493E-3</v>
      </c>
      <c r="P90" s="50">
        <f>C5*($E5*$AD5+($AE5))/453.59</f>
        <v>5.7711199138433603E-3</v>
      </c>
      <c r="AN90" s="38"/>
      <c r="AZ90" s="36"/>
    </row>
    <row r="91" spans="1:52">
      <c r="A91" s="61" t="s">
        <v>389</v>
      </c>
      <c r="B91" s="40"/>
      <c r="C91" s="40"/>
      <c r="D91" s="40"/>
      <c r="E91" s="40"/>
      <c r="F91" s="81">
        <f t="shared" ref="F91:P91" si="54">SUM(F89:F90)</f>
        <v>1.9428775435236803</v>
      </c>
      <c r="G91" s="81">
        <f t="shared" si="54"/>
        <v>0.17468262917751204</v>
      </c>
      <c r="H91" s="81">
        <f t="shared" si="54"/>
        <v>0.20199992129581332</v>
      </c>
      <c r="I91" s="81">
        <f t="shared" si="54"/>
        <v>2.9071881086424637E-3</v>
      </c>
      <c r="J91" s="81">
        <f t="shared" si="54"/>
        <v>3.4096361820831589E-2</v>
      </c>
      <c r="K91" s="81">
        <f t="shared" si="54"/>
        <v>1.4848021297012567E-2</v>
      </c>
      <c r="L91" s="81">
        <f t="shared" si="54"/>
        <v>3.3754330344287597E-2</v>
      </c>
      <c r="M91" s="81">
        <f t="shared" si="54"/>
        <v>1.3839275441157914E-2</v>
      </c>
      <c r="N91" s="81">
        <f t="shared" si="54"/>
        <v>221.69430690415561</v>
      </c>
      <c r="O91" s="81">
        <f t="shared" si="54"/>
        <v>1.2681901556120997E-2</v>
      </c>
      <c r="P91" s="81">
        <f t="shared" si="54"/>
        <v>2.3084479655373441E-2</v>
      </c>
      <c r="AN91" s="38"/>
      <c r="AZ91" s="36"/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6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672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317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24" t="s">
        <v>311</v>
      </c>
      <c r="B14" s="29" t="s">
        <v>27</v>
      </c>
      <c r="C14" s="22">
        <v>175</v>
      </c>
      <c r="D14" s="22"/>
      <c r="E14" s="102">
        <v>0.11792220738547983</v>
      </c>
      <c r="F14" s="102">
        <v>0.36512193352152528</v>
      </c>
      <c r="G14" s="102">
        <v>0.86781464282266541</v>
      </c>
      <c r="H14" s="102">
        <v>1.8739217498104396E-3</v>
      </c>
      <c r="I14" s="102">
        <v>2.9041712295589866E-2</v>
      </c>
      <c r="J14" s="100">
        <f t="shared" ref="J14" si="4">0.89*I14</f>
        <v>2.5847123943074982E-2</v>
      </c>
      <c r="K14" s="103">
        <v>166.54541562452522</v>
      </c>
      <c r="L14" s="102">
        <v>1.063993297769634E-2</v>
      </c>
      <c r="M14" s="104">
        <f t="shared" ref="M14" si="5">0.095*G14</f>
        <v>8.2442391068153209E-2</v>
      </c>
      <c r="N14" s="98">
        <v>1</v>
      </c>
      <c r="O14" s="87">
        <v>2</v>
      </c>
      <c r="P14" s="363">
        <v>280</v>
      </c>
      <c r="Q14" s="34">
        <f t="shared" ref="Q14:Y14" si="6">(E14*$N14*$O14)</f>
        <v>0.23584441477095966</v>
      </c>
      <c r="R14" s="26">
        <f t="shared" si="6"/>
        <v>0.73024386704305055</v>
      </c>
      <c r="S14" s="26">
        <f t="shared" si="6"/>
        <v>1.7356292856453308</v>
      </c>
      <c r="T14" s="26">
        <f t="shared" si="6"/>
        <v>3.7478434996208792E-3</v>
      </c>
      <c r="U14" s="26">
        <f t="shared" si="6"/>
        <v>5.8083424591179732E-2</v>
      </c>
      <c r="V14" s="26">
        <f t="shared" si="6"/>
        <v>5.1694247886149965E-2</v>
      </c>
      <c r="W14" s="26">
        <f t="shared" si="6"/>
        <v>333.09083124905044</v>
      </c>
      <c r="X14" s="26">
        <f t="shared" si="6"/>
        <v>2.127986595539268E-2</v>
      </c>
      <c r="Y14" s="26">
        <f t="shared" si="6"/>
        <v>0.16488478213630642</v>
      </c>
    </row>
    <row r="15" spans="1:25" s="3" customFormat="1">
      <c r="A15" s="17" t="s">
        <v>28</v>
      </c>
      <c r="B15" s="97"/>
      <c r="C15" s="22"/>
      <c r="D15" s="22"/>
      <c r="E15" s="23"/>
      <c r="F15" s="23"/>
      <c r="G15" s="23"/>
      <c r="H15" s="23"/>
      <c r="I15" s="23"/>
      <c r="J15" s="24"/>
      <c r="K15" s="25"/>
      <c r="L15" s="23"/>
      <c r="M15" s="23"/>
      <c r="N15" s="88"/>
      <c r="O15" s="88"/>
      <c r="P15" s="88"/>
      <c r="Q15" s="27">
        <f t="shared" ref="Q15:Y15" si="7">SUM(Q14:Q14)</f>
        <v>0.23584441477095966</v>
      </c>
      <c r="R15" s="27">
        <f t="shared" si="7"/>
        <v>0.73024386704305055</v>
      </c>
      <c r="S15" s="27">
        <f t="shared" si="7"/>
        <v>1.7356292856453308</v>
      </c>
      <c r="T15" s="27">
        <f t="shared" si="7"/>
        <v>3.7478434996208792E-3</v>
      </c>
      <c r="U15" s="27">
        <f t="shared" si="7"/>
        <v>5.8083424591179732E-2</v>
      </c>
      <c r="V15" s="27">
        <f t="shared" si="7"/>
        <v>5.1694247886149965E-2</v>
      </c>
      <c r="W15" s="27">
        <f t="shared" si="7"/>
        <v>333.09083124905044</v>
      </c>
      <c r="X15" s="27">
        <f t="shared" si="7"/>
        <v>2.127986595539268E-2</v>
      </c>
      <c r="Y15" s="27">
        <f t="shared" si="7"/>
        <v>0.16488478213630642</v>
      </c>
    </row>
    <row r="16" spans="1:25">
      <c r="A16" s="17" t="s">
        <v>499</v>
      </c>
      <c r="B16" s="549"/>
      <c r="C16" s="18"/>
      <c r="D16" s="22"/>
      <c r="E16" s="19"/>
      <c r="F16" s="19"/>
      <c r="G16" s="19"/>
      <c r="H16" s="19"/>
      <c r="I16" s="19"/>
      <c r="J16" s="19"/>
      <c r="K16" s="19"/>
      <c r="L16" s="19"/>
      <c r="M16" s="19"/>
      <c r="N16" s="30"/>
      <c r="O16" s="30"/>
      <c r="P16" s="364"/>
      <c r="Q16" s="20">
        <f>Q11+Q15</f>
        <v>0.9504215378625569</v>
      </c>
      <c r="R16" s="20">
        <f t="shared" ref="R16:Y16" si="8">R11+R15</f>
        <v>3.6844030780014445</v>
      </c>
      <c r="S16" s="20">
        <f t="shared" si="8"/>
        <v>6.1566857317844876</v>
      </c>
      <c r="T16" s="20">
        <f t="shared" si="8"/>
        <v>1.207090973569876E-2</v>
      </c>
      <c r="U16" s="20">
        <f t="shared" si="8"/>
        <v>0.30389171690722716</v>
      </c>
      <c r="V16" s="20">
        <f t="shared" si="8"/>
        <v>0.27046362804743218</v>
      </c>
      <c r="W16" s="20">
        <f t="shared" si="8"/>
        <v>1029.5443237340787</v>
      </c>
      <c r="X16" s="20">
        <f t="shared" si="8"/>
        <v>9.3819672145962416E-2</v>
      </c>
      <c r="Y16" s="20">
        <f t="shared" si="8"/>
        <v>0.58488514451952633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0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673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C9*(F9)*$B$184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C10*(F10)*$B$184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335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311</v>
      </c>
      <c r="B14" s="76" t="s">
        <v>105</v>
      </c>
      <c r="C14" s="374">
        <v>1</v>
      </c>
      <c r="D14" s="77"/>
      <c r="E14" s="77">
        <v>35</v>
      </c>
      <c r="F14" s="77">
        <v>80</v>
      </c>
      <c r="G14" s="106">
        <v>1.08263976628415</v>
      </c>
      <c r="H14" s="106">
        <v>4.9712718909585103</v>
      </c>
      <c r="I14" s="106">
        <v>0.26248012575016899</v>
      </c>
      <c r="J14" s="106">
        <v>1.0711818E-2</v>
      </c>
      <c r="K14" s="106">
        <v>7.1679901072141505E-2</v>
      </c>
      <c r="L14" s="576">
        <v>3.59998119015979E-2</v>
      </c>
      <c r="M14" s="576">
        <v>6.1739677411240299E-2</v>
      </c>
      <c r="N14" s="106">
        <v>6.5945508986370194E-2</v>
      </c>
      <c r="O14" s="576">
        <v>2.9999843251331498E-3</v>
      </c>
      <c r="P14" s="576">
        <v>5.5859708133979398E-2</v>
      </c>
      <c r="Q14" s="106">
        <v>1710.7260798814</v>
      </c>
      <c r="R14" s="47">
        <v>1.5235246282551899E-2</v>
      </c>
      <c r="S14" s="80">
        <f>0.000025616*Q14</f>
        <v>4.3821959262241944E-2</v>
      </c>
      <c r="T14" s="50">
        <f>C14*($F14*$G14)/453.59</f>
        <v>0.19094596728925242</v>
      </c>
      <c r="U14" s="50">
        <f>C14*($F14*$H14)/453.59</f>
        <v>0.87678685878586582</v>
      </c>
      <c r="V14" s="50">
        <f>C14*(($F14*$I14))/453.59</f>
        <v>4.6293811724274173E-2</v>
      </c>
      <c r="W14" s="50">
        <f>C14*($F14*$J14)/453.59</f>
        <v>1.8892511739676801E-3</v>
      </c>
      <c r="X14" s="50">
        <f>C14*(($F14*($K14+$L14+$M14)))/453.59</f>
        <v>2.9880621774726907E-2</v>
      </c>
      <c r="Y14" s="50">
        <f>C14*(($F14*($N14+$O14+$P14)))/453.59</f>
        <v>2.2011984646131133E-2</v>
      </c>
      <c r="Z14" s="50">
        <f>C14*(F14)*$B$184</f>
        <v>0</v>
      </c>
      <c r="AA14" s="50">
        <f>Z14*0.21</f>
        <v>0</v>
      </c>
      <c r="AB14" s="50">
        <f>C14*(($F14*($Q14)))/453.59</f>
        <v>301.72200972356535</v>
      </c>
      <c r="AC14" s="50">
        <f>C14*(($F14*($R14)))/453.59</f>
        <v>2.6870515280410772E-3</v>
      </c>
      <c r="AD14" s="50">
        <f>C14*(($F14*($S14)))/453.59</f>
        <v>7.7289110010788503E-3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0.19094596728925242</v>
      </c>
      <c r="U15" s="81">
        <f t="shared" si="1"/>
        <v>0.87678685878586582</v>
      </c>
      <c r="V15" s="81">
        <f t="shared" si="1"/>
        <v>4.6293811724274173E-2</v>
      </c>
      <c r="W15" s="81">
        <f t="shared" si="1"/>
        <v>1.8892511739676801E-3</v>
      </c>
      <c r="X15" s="81">
        <f t="shared" si="1"/>
        <v>2.9880621774726907E-2</v>
      </c>
      <c r="Y15" s="81">
        <f t="shared" si="1"/>
        <v>2.2011984646131133E-2</v>
      </c>
      <c r="Z15" s="81">
        <f t="shared" si="1"/>
        <v>0</v>
      </c>
      <c r="AA15" s="81">
        <f t="shared" si="1"/>
        <v>0</v>
      </c>
      <c r="AB15" s="81">
        <f t="shared" si="1"/>
        <v>301.72200972356535</v>
      </c>
      <c r="AC15" s="81">
        <f t="shared" si="1"/>
        <v>2.6870515280410772E-3</v>
      </c>
      <c r="AD15" s="81">
        <f t="shared" si="1"/>
        <v>7.7289110010788503E-3</v>
      </c>
    </row>
    <row r="16" spans="1:30">
      <c r="A16" s="75" t="s">
        <v>388</v>
      </c>
      <c r="B16" s="74"/>
      <c r="C16" s="112"/>
      <c r="D16" s="112"/>
      <c r="E16" s="74"/>
      <c r="F16" s="74"/>
      <c r="G16" s="547"/>
      <c r="H16" s="41"/>
      <c r="I16" s="41"/>
      <c r="J16" s="41"/>
      <c r="K16" s="544"/>
      <c r="L16" s="544"/>
      <c r="M16" s="544"/>
      <c r="N16" s="544"/>
      <c r="O16" s="544"/>
      <c r="P16" s="544"/>
      <c r="Q16" s="41"/>
      <c r="R16" s="544"/>
      <c r="S16" s="544"/>
      <c r="T16" s="81">
        <f>T11+T15</f>
        <v>0.48178321011214986</v>
      </c>
      <c r="U16" s="81">
        <f t="shared" ref="U16:AD16" si="2">U11+U15</f>
        <v>1.9379830954014503</v>
      </c>
      <c r="V16" s="81">
        <f t="shared" si="2"/>
        <v>0.11511829621149469</v>
      </c>
      <c r="W16" s="81">
        <f t="shared" si="2"/>
        <v>5.1683636885428378E-3</v>
      </c>
      <c r="X16" s="81">
        <f t="shared" si="2"/>
        <v>9.6130708419604929E-2</v>
      </c>
      <c r="Y16" s="81">
        <f t="shared" si="2"/>
        <v>6.8190068275239671E-2</v>
      </c>
      <c r="Z16" s="81">
        <f t="shared" si="2"/>
        <v>0</v>
      </c>
      <c r="AA16" s="81">
        <f t="shared" si="2"/>
        <v>0</v>
      </c>
      <c r="AB16" s="81">
        <f t="shared" si="2"/>
        <v>700.25812503738734</v>
      </c>
      <c r="AC16" s="81">
        <f t="shared" si="2"/>
        <v>1.0906351491826187E-2</v>
      </c>
      <c r="AD16" s="81">
        <f t="shared" si="2"/>
        <v>1.7937812130957714E-2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368" spans="1:1" ht="25.5">
      <c r="A368" s="82" t="s">
        <v>109</v>
      </c>
    </row>
    <row r="370" spans="1:2">
      <c r="A370" s="36" t="s">
        <v>81</v>
      </c>
    </row>
    <row r="371" spans="1:2">
      <c r="A371" s="36" t="s">
        <v>82</v>
      </c>
    </row>
    <row r="372" spans="1:2">
      <c r="A372" s="36" t="s">
        <v>83</v>
      </c>
    </row>
    <row r="373" spans="1:2">
      <c r="A373" s="37" t="s">
        <v>96</v>
      </c>
    </row>
    <row r="374" spans="1:2">
      <c r="A374" s="36" t="s">
        <v>85</v>
      </c>
    </row>
    <row r="375" spans="1:2">
      <c r="A375" s="36" t="s">
        <v>86</v>
      </c>
    </row>
    <row r="376" spans="1:2">
      <c r="A376" s="36" t="s">
        <v>87</v>
      </c>
    </row>
    <row r="377" spans="1:2">
      <c r="A377" s="36" t="s">
        <v>0</v>
      </c>
    </row>
    <row r="378" spans="1:2">
      <c r="A378" s="37" t="s">
        <v>97</v>
      </c>
      <c r="B378" s="36">
        <f>(0.016*(0.03/2)^0.65*(2/3)^1.5)-0.00047</f>
        <v>9.8123053326417428E-5</v>
      </c>
    </row>
    <row r="379" spans="1:2">
      <c r="A379" s="37" t="s">
        <v>98</v>
      </c>
      <c r="B379" s="36">
        <f>(0.016*(0.03/2)^0.65*(13/3)^1.5)-0.00047</f>
        <v>8.9448292388582783E-3</v>
      </c>
    </row>
    <row r="380" spans="1:2">
      <c r="A380" s="37" t="s">
        <v>99</v>
      </c>
      <c r="B38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674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335</v>
      </c>
      <c r="B5" s="45" t="s">
        <v>102</v>
      </c>
      <c r="C5" s="46">
        <v>1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54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545" t="s">
        <v>55</v>
      </c>
      <c r="G88" s="545" t="s">
        <v>73</v>
      </c>
      <c r="H88" s="545" t="s">
        <v>74</v>
      </c>
      <c r="I88" s="545" t="s">
        <v>58</v>
      </c>
      <c r="J88" s="545" t="s">
        <v>59</v>
      </c>
      <c r="K88" s="545" t="s">
        <v>60</v>
      </c>
      <c r="L88" s="544" t="s">
        <v>75</v>
      </c>
      <c r="M88" s="544" t="s">
        <v>76</v>
      </c>
      <c r="N88" s="544" t="s">
        <v>61</v>
      </c>
      <c r="O88" s="544" t="s">
        <v>62</v>
      </c>
      <c r="P88" s="544" t="s">
        <v>63</v>
      </c>
      <c r="AN88" s="38"/>
      <c r="AZ88" s="36"/>
    </row>
    <row r="89" spans="1:52" ht="25.5">
      <c r="A89" s="44" t="str">
        <f t="shared" ref="A89:C90" si="52">A4</f>
        <v>Substation General Construction</v>
      </c>
      <c r="B89" s="45" t="str">
        <f t="shared" si="52"/>
        <v>Light-Duty Truck, catalyst</v>
      </c>
      <c r="C89" s="46">
        <f t="shared" si="52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53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si="52"/>
        <v>Substation Wiring</v>
      </c>
      <c r="B90" s="45" t="str">
        <f t="shared" si="52"/>
        <v>Light-Duty Truck, catalyst</v>
      </c>
      <c r="C90" s="46">
        <f t="shared" si="52"/>
        <v>1</v>
      </c>
      <c r="D90" s="46">
        <v>35</v>
      </c>
      <c r="E90" s="46">
        <v>80</v>
      </c>
      <c r="F90" s="50">
        <f>C5*($E5*$F5+($G5))/453.59</f>
        <v>0.48571938588092006</v>
      </c>
      <c r="G90" s="50">
        <f>C5*($E5*$H5+($I5))/453.59</f>
        <v>4.367065729437801E-2</v>
      </c>
      <c r="H90" s="50">
        <f>C5*(($E5*$J5)+($K5)+($L5)+($E5*$N5)+(($M5+$O5)))/453.59</f>
        <v>5.0499980323953329E-2</v>
      </c>
      <c r="I90" s="50">
        <f>C5*($E5*$P5+($Q5))/453.59</f>
        <v>7.2679702716061593E-4</v>
      </c>
      <c r="J90" s="50">
        <f>C5*(($E5*($R5+$T5+$U5))+($S5))/453.59</f>
        <v>8.5240904552078972E-3</v>
      </c>
      <c r="K90" s="50">
        <f>$C5*(($E5*($V5+$X5+$Y5))+($W5))/453.59</f>
        <v>3.7120053242531417E-3</v>
      </c>
      <c r="L90" s="50">
        <f>$B$22*C5*(E5+6)</f>
        <v>8.4385825860718994E-3</v>
      </c>
      <c r="M90" s="50">
        <f t="shared" si="53"/>
        <v>3.4598188602894785E-3</v>
      </c>
      <c r="N90" s="50">
        <f>C5*($E5*$Z5+($AA5))/453.59</f>
        <v>55.423576726038895</v>
      </c>
      <c r="O90" s="50">
        <f>C5*($E5*$AB5+($AC5))/453.59</f>
        <v>3.1704753890302493E-3</v>
      </c>
      <c r="P90" s="50">
        <f>C5*($E5*$AD5+($AE5))/453.59</f>
        <v>5.7711199138433603E-3</v>
      </c>
      <c r="AN90" s="38"/>
      <c r="AZ90" s="36"/>
    </row>
    <row r="91" spans="1:52">
      <c r="A91" s="61" t="s">
        <v>389</v>
      </c>
      <c r="B91" s="40"/>
      <c r="C91" s="40"/>
      <c r="D91" s="40"/>
      <c r="E91" s="40"/>
      <c r="F91" s="81">
        <f t="shared" ref="F91:P91" si="54">SUM(F89:F90)</f>
        <v>1.9428775435236803</v>
      </c>
      <c r="G91" s="81">
        <f t="shared" si="54"/>
        <v>0.17468262917751204</v>
      </c>
      <c r="H91" s="81">
        <f t="shared" si="54"/>
        <v>0.20199992129581332</v>
      </c>
      <c r="I91" s="81">
        <f t="shared" si="54"/>
        <v>2.9071881086424637E-3</v>
      </c>
      <c r="J91" s="81">
        <f t="shared" si="54"/>
        <v>3.4096361820831589E-2</v>
      </c>
      <c r="K91" s="81">
        <f t="shared" si="54"/>
        <v>1.4848021297012567E-2</v>
      </c>
      <c r="L91" s="81">
        <f t="shared" si="54"/>
        <v>3.3754330344287597E-2</v>
      </c>
      <c r="M91" s="81">
        <f t="shared" si="54"/>
        <v>1.3839275441157914E-2</v>
      </c>
      <c r="N91" s="81">
        <f t="shared" si="54"/>
        <v>221.69430690415561</v>
      </c>
      <c r="O91" s="81">
        <f t="shared" si="54"/>
        <v>1.2681901556120997E-2</v>
      </c>
      <c r="P91" s="81">
        <f t="shared" si="54"/>
        <v>2.3084479655373441E-2</v>
      </c>
      <c r="AN91" s="38"/>
      <c r="AZ91" s="36"/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6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675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317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24" t="s">
        <v>311</v>
      </c>
      <c r="B14" s="29" t="s">
        <v>27</v>
      </c>
      <c r="C14" s="22">
        <v>175</v>
      </c>
      <c r="D14" s="22"/>
      <c r="E14" s="102">
        <v>0.11792220738547983</v>
      </c>
      <c r="F14" s="102">
        <v>0.36512193352152528</v>
      </c>
      <c r="G14" s="102">
        <v>0.86781464282266541</v>
      </c>
      <c r="H14" s="102">
        <v>1.8739217498104396E-3</v>
      </c>
      <c r="I14" s="102">
        <v>2.9041712295589866E-2</v>
      </c>
      <c r="J14" s="100">
        <f t="shared" ref="J14" si="4">0.89*I14</f>
        <v>2.5847123943074982E-2</v>
      </c>
      <c r="K14" s="103">
        <v>166.54541562452522</v>
      </c>
      <c r="L14" s="102">
        <v>1.063993297769634E-2</v>
      </c>
      <c r="M14" s="104">
        <f t="shared" ref="M14" si="5">0.095*G14</f>
        <v>8.2442391068153209E-2</v>
      </c>
      <c r="N14" s="98">
        <v>1</v>
      </c>
      <c r="O14" s="87">
        <v>2</v>
      </c>
      <c r="P14" s="363">
        <v>280</v>
      </c>
      <c r="Q14" s="34">
        <f t="shared" ref="Q14:Y14" si="6">(E14*$N14*$O14)</f>
        <v>0.23584441477095966</v>
      </c>
      <c r="R14" s="26">
        <f t="shared" si="6"/>
        <v>0.73024386704305055</v>
      </c>
      <c r="S14" s="26">
        <f t="shared" si="6"/>
        <v>1.7356292856453308</v>
      </c>
      <c r="T14" s="26">
        <f t="shared" si="6"/>
        <v>3.7478434996208792E-3</v>
      </c>
      <c r="U14" s="26">
        <f t="shared" si="6"/>
        <v>5.8083424591179732E-2</v>
      </c>
      <c r="V14" s="26">
        <f t="shared" si="6"/>
        <v>5.1694247886149965E-2</v>
      </c>
      <c r="W14" s="26">
        <f t="shared" si="6"/>
        <v>333.09083124905044</v>
      </c>
      <c r="X14" s="26">
        <f t="shared" si="6"/>
        <v>2.127986595539268E-2</v>
      </c>
      <c r="Y14" s="26">
        <f t="shared" si="6"/>
        <v>0.16488478213630642</v>
      </c>
    </row>
    <row r="15" spans="1:25" s="3" customFormat="1">
      <c r="A15" s="17" t="s">
        <v>28</v>
      </c>
      <c r="B15" s="97"/>
      <c r="C15" s="22"/>
      <c r="D15" s="22"/>
      <c r="E15" s="23"/>
      <c r="F15" s="23"/>
      <c r="G15" s="23"/>
      <c r="H15" s="23"/>
      <c r="I15" s="23"/>
      <c r="J15" s="24"/>
      <c r="K15" s="25"/>
      <c r="L15" s="23"/>
      <c r="M15" s="23"/>
      <c r="N15" s="88"/>
      <c r="O15" s="88"/>
      <c r="P15" s="88"/>
      <c r="Q15" s="27">
        <f t="shared" ref="Q15:Y15" si="7">SUM(Q14:Q14)</f>
        <v>0.23584441477095966</v>
      </c>
      <c r="R15" s="27">
        <f t="shared" si="7"/>
        <v>0.73024386704305055</v>
      </c>
      <c r="S15" s="27">
        <f t="shared" si="7"/>
        <v>1.7356292856453308</v>
      </c>
      <c r="T15" s="27">
        <f t="shared" si="7"/>
        <v>3.7478434996208792E-3</v>
      </c>
      <c r="U15" s="27">
        <f t="shared" si="7"/>
        <v>5.8083424591179732E-2</v>
      </c>
      <c r="V15" s="27">
        <f t="shared" si="7"/>
        <v>5.1694247886149965E-2</v>
      </c>
      <c r="W15" s="27">
        <f t="shared" si="7"/>
        <v>333.09083124905044</v>
      </c>
      <c r="X15" s="27">
        <f t="shared" si="7"/>
        <v>2.127986595539268E-2</v>
      </c>
      <c r="Y15" s="27">
        <f t="shared" si="7"/>
        <v>0.16488478213630642</v>
      </c>
    </row>
    <row r="16" spans="1:25">
      <c r="A16" s="17" t="s">
        <v>499</v>
      </c>
      <c r="B16" s="549"/>
      <c r="C16" s="18"/>
      <c r="D16" s="22"/>
      <c r="E16" s="19"/>
      <c r="F16" s="19"/>
      <c r="G16" s="19"/>
      <c r="H16" s="19"/>
      <c r="I16" s="19"/>
      <c r="J16" s="19"/>
      <c r="K16" s="19"/>
      <c r="L16" s="19"/>
      <c r="M16" s="19"/>
      <c r="N16" s="30"/>
      <c r="O16" s="30"/>
      <c r="P16" s="364"/>
      <c r="Q16" s="20">
        <f>Q11+Q15</f>
        <v>0.9504215378625569</v>
      </c>
      <c r="R16" s="20">
        <f t="shared" ref="R16:Y16" si="8">R11+R15</f>
        <v>3.6844030780014445</v>
      </c>
      <c r="S16" s="20">
        <f t="shared" si="8"/>
        <v>6.1566857317844876</v>
      </c>
      <c r="T16" s="20">
        <f t="shared" si="8"/>
        <v>1.207090973569876E-2</v>
      </c>
      <c r="U16" s="20">
        <f t="shared" si="8"/>
        <v>0.30389171690722716</v>
      </c>
      <c r="V16" s="20">
        <f t="shared" si="8"/>
        <v>0.27046362804743218</v>
      </c>
      <c r="W16" s="20">
        <f t="shared" si="8"/>
        <v>1029.5443237340787</v>
      </c>
      <c r="X16" s="20">
        <f t="shared" si="8"/>
        <v>9.3819672145962416E-2</v>
      </c>
      <c r="Y16" s="20">
        <f t="shared" si="8"/>
        <v>0.58488514451952633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0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676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C9*(F9)*$B$176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C10*(F10)*$B$176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335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311</v>
      </c>
      <c r="B14" s="76" t="s">
        <v>105</v>
      </c>
      <c r="C14" s="374">
        <v>1</v>
      </c>
      <c r="D14" s="77"/>
      <c r="E14" s="77">
        <v>35</v>
      </c>
      <c r="F14" s="77">
        <v>80</v>
      </c>
      <c r="G14" s="106">
        <v>1.08263976628415</v>
      </c>
      <c r="H14" s="106">
        <v>4.9712718909585103</v>
      </c>
      <c r="I14" s="106">
        <v>0.26248012575016899</v>
      </c>
      <c r="J14" s="106">
        <v>1.0711818E-2</v>
      </c>
      <c r="K14" s="106">
        <v>7.1679901072141505E-2</v>
      </c>
      <c r="L14" s="576">
        <v>3.59998119015979E-2</v>
      </c>
      <c r="M14" s="576">
        <v>6.1739677411240299E-2</v>
      </c>
      <c r="N14" s="106">
        <v>6.5945508986370194E-2</v>
      </c>
      <c r="O14" s="576">
        <v>2.9999843251331498E-3</v>
      </c>
      <c r="P14" s="576">
        <v>5.5859708133979398E-2</v>
      </c>
      <c r="Q14" s="106">
        <v>1710.7260798814</v>
      </c>
      <c r="R14" s="47">
        <v>1.5235246282551899E-2</v>
      </c>
      <c r="S14" s="80">
        <f>0.000025616*Q14</f>
        <v>4.3821959262241944E-2</v>
      </c>
      <c r="T14" s="50">
        <f>C14*($F14*$G14)/453.59</f>
        <v>0.19094596728925242</v>
      </c>
      <c r="U14" s="50">
        <f>C14*($F14*$H14)/453.59</f>
        <v>0.87678685878586582</v>
      </c>
      <c r="V14" s="50">
        <f>C14*(($F14*$I14))/453.59</f>
        <v>4.6293811724274173E-2</v>
      </c>
      <c r="W14" s="50">
        <f>C14*($F14*$J14)/453.59</f>
        <v>1.8892511739676801E-3</v>
      </c>
      <c r="X14" s="50">
        <f>C14*(($F14*($K14+$L14+$M14)))/453.59</f>
        <v>2.9880621774726907E-2</v>
      </c>
      <c r="Y14" s="50">
        <f>C14*(($F14*($N14+$O14+$P14)))/453.59</f>
        <v>2.2011984646131133E-2</v>
      </c>
      <c r="Z14" s="50">
        <f>C14*(F14)*$B$176</f>
        <v>0</v>
      </c>
      <c r="AA14" s="50">
        <f>Z14*0.21</f>
        <v>0</v>
      </c>
      <c r="AB14" s="50">
        <f>C14*(($F14*($Q14)))/453.59</f>
        <v>301.72200972356535</v>
      </c>
      <c r="AC14" s="50">
        <f>C14*(($F14*($R14)))/453.59</f>
        <v>2.6870515280410772E-3</v>
      </c>
      <c r="AD14" s="50">
        <f>C14*(($F14*($S14)))/453.59</f>
        <v>7.7289110010788503E-3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0.19094596728925242</v>
      </c>
      <c r="U15" s="81">
        <f t="shared" si="1"/>
        <v>0.87678685878586582</v>
      </c>
      <c r="V15" s="81">
        <f t="shared" si="1"/>
        <v>4.6293811724274173E-2</v>
      </c>
      <c r="W15" s="81">
        <f t="shared" si="1"/>
        <v>1.8892511739676801E-3</v>
      </c>
      <c r="X15" s="81">
        <f t="shared" si="1"/>
        <v>2.9880621774726907E-2</v>
      </c>
      <c r="Y15" s="81">
        <f t="shared" si="1"/>
        <v>2.2011984646131133E-2</v>
      </c>
      <c r="Z15" s="81">
        <f t="shared" si="1"/>
        <v>0</v>
      </c>
      <c r="AA15" s="81">
        <f t="shared" si="1"/>
        <v>0</v>
      </c>
      <c r="AB15" s="81">
        <f t="shared" si="1"/>
        <v>301.72200972356535</v>
      </c>
      <c r="AC15" s="81">
        <f t="shared" si="1"/>
        <v>2.6870515280410772E-3</v>
      </c>
      <c r="AD15" s="81">
        <f t="shared" si="1"/>
        <v>7.7289110010788503E-3</v>
      </c>
    </row>
    <row r="16" spans="1:30">
      <c r="A16" s="75" t="s">
        <v>388</v>
      </c>
      <c r="B16" s="74"/>
      <c r="C16" s="112"/>
      <c r="D16" s="112"/>
      <c r="E16" s="74"/>
      <c r="F16" s="74"/>
      <c r="G16" s="547"/>
      <c r="H16" s="41"/>
      <c r="I16" s="41"/>
      <c r="J16" s="41"/>
      <c r="K16" s="544"/>
      <c r="L16" s="544"/>
      <c r="M16" s="544"/>
      <c r="N16" s="544"/>
      <c r="O16" s="544"/>
      <c r="P16" s="544"/>
      <c r="Q16" s="41"/>
      <c r="R16" s="544"/>
      <c r="S16" s="544"/>
      <c r="T16" s="81">
        <f>T11+T15</f>
        <v>0.48178321011214986</v>
      </c>
      <c r="U16" s="81">
        <f t="shared" ref="U16:AD16" si="2">U11+U15</f>
        <v>1.9379830954014503</v>
      </c>
      <c r="V16" s="81">
        <f t="shared" si="2"/>
        <v>0.11511829621149469</v>
      </c>
      <c r="W16" s="81">
        <f t="shared" si="2"/>
        <v>5.1683636885428378E-3</v>
      </c>
      <c r="X16" s="81">
        <f t="shared" si="2"/>
        <v>9.6130708419604929E-2</v>
      </c>
      <c r="Y16" s="81">
        <f t="shared" si="2"/>
        <v>6.8190068275239671E-2</v>
      </c>
      <c r="Z16" s="81">
        <f t="shared" si="2"/>
        <v>0</v>
      </c>
      <c r="AA16" s="81">
        <f t="shared" si="2"/>
        <v>0</v>
      </c>
      <c r="AB16" s="81">
        <f t="shared" si="2"/>
        <v>700.25812503738734</v>
      </c>
      <c r="AC16" s="81">
        <f t="shared" si="2"/>
        <v>1.0906351491826187E-2</v>
      </c>
      <c r="AD16" s="81">
        <f t="shared" si="2"/>
        <v>1.7937812130957714E-2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368" spans="1:1" ht="25.5">
      <c r="A368" s="82" t="s">
        <v>109</v>
      </c>
    </row>
    <row r="370" spans="1:2">
      <c r="A370" s="36" t="s">
        <v>81</v>
      </c>
    </row>
    <row r="371" spans="1:2">
      <c r="A371" s="36" t="s">
        <v>82</v>
      </c>
    </row>
    <row r="372" spans="1:2">
      <c r="A372" s="36" t="s">
        <v>83</v>
      </c>
    </row>
    <row r="373" spans="1:2">
      <c r="A373" s="37" t="s">
        <v>96</v>
      </c>
    </row>
    <row r="374" spans="1:2">
      <c r="A374" s="36" t="s">
        <v>85</v>
      </c>
    </row>
    <row r="375" spans="1:2">
      <c r="A375" s="36" t="s">
        <v>86</v>
      </c>
    </row>
    <row r="376" spans="1:2">
      <c r="A376" s="36" t="s">
        <v>87</v>
      </c>
    </row>
    <row r="377" spans="1:2">
      <c r="A377" s="36" t="s">
        <v>0</v>
      </c>
    </row>
    <row r="378" spans="1:2">
      <c r="A378" s="37" t="s">
        <v>97</v>
      </c>
      <c r="B378" s="36">
        <f>(0.016*(0.03/2)^0.65*(2/3)^1.5)-0.00047</f>
        <v>9.8123053326417428E-5</v>
      </c>
    </row>
    <row r="379" spans="1:2">
      <c r="A379" s="37" t="s">
        <v>98</v>
      </c>
      <c r="B379" s="36">
        <f>(0.016*(0.03/2)^0.65*(13/3)^1.5)-0.00047</f>
        <v>8.9448292388582783E-3</v>
      </c>
    </row>
    <row r="380" spans="1:2">
      <c r="A380" s="37" t="s">
        <v>99</v>
      </c>
      <c r="B38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677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335</v>
      </c>
      <c r="B5" s="45" t="s">
        <v>102</v>
      </c>
      <c r="C5" s="46">
        <v>1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idden="1">
      <c r="A9" s="55" t="s">
        <v>78</v>
      </c>
      <c r="B9" s="37"/>
      <c r="C9" s="37"/>
      <c r="AA9" s="57"/>
      <c r="AB9" s="57"/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54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/>
      <c r="B13" s="37"/>
      <c r="C13" s="37"/>
      <c r="AQ13" s="38"/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F14" s="36" t="e">
        <f t="shared" ref="AF14:AF22" si="2">AF$9*$AC15</f>
        <v>#REF!</v>
      </c>
      <c r="AG14" s="36" t="e">
        <f t="shared" ref="AG14:AG22" si="3">AG$9*$AC15</f>
        <v>#REF!</v>
      </c>
      <c r="AH14" s="36" t="e">
        <f t="shared" ref="AH14:AH22" si="4">AH$9*$AC15</f>
        <v>#REF!</v>
      </c>
      <c r="AI14" s="36" t="e">
        <f t="shared" ref="AI14:AI22" si="5">AI$9*$AC15</f>
        <v>#REF!</v>
      </c>
      <c r="AJ14" s="36" t="e">
        <f t="shared" ref="AJ14:AJ22" si="6">AJ$9*$AC15</f>
        <v>#REF!</v>
      </c>
      <c r="AK14" s="36" t="e">
        <f t="shared" ref="AK14:AK22" si="7">AK$9*$AC15</f>
        <v>#REF!</v>
      </c>
      <c r="AL14" s="36" t="e">
        <f t="shared" ref="AL14:AL22" si="8">AL$9*$AC15</f>
        <v>#REF!</v>
      </c>
      <c r="AM14" s="36" t="e">
        <f t="shared" ref="AM14:AM22" si="9">AM$9*$AC15</f>
        <v>#REF!</v>
      </c>
      <c r="AN14" s="36" t="e">
        <f t="shared" ref="AN14:AN22" si="10">AN$9*$AC15</f>
        <v>#REF!</v>
      </c>
      <c r="AO14" s="36" t="e">
        <f t="shared" ref="AO14:AO22" si="11">AO$9*$AC15</f>
        <v>#REF!</v>
      </c>
      <c r="AQ14" s="38"/>
      <c r="AR14" s="36" t="e">
        <f t="shared" ref="AR14:AR22" si="12">AR$9*$AC15</f>
        <v>#REF!</v>
      </c>
      <c r="AS14" s="36" t="e">
        <f t="shared" ref="AS14:AS22" si="13">AS$9*$AC15</f>
        <v>#REF!</v>
      </c>
      <c r="AT14" s="36" t="e">
        <f t="shared" ref="AT14:AT22" si="14">AT$9*$AC15</f>
        <v>#REF!</v>
      </c>
      <c r="AU14" s="36" t="e">
        <f t="shared" ref="AU14:AU22" si="15">AU$9*$AC15</f>
        <v>#REF!</v>
      </c>
      <c r="AV14" s="36" t="e">
        <f t="shared" ref="AV14:AV22" si="16">AV$9*$AC15</f>
        <v>#REF!</v>
      </c>
      <c r="AW14" s="36" t="e">
        <f t="shared" ref="AW14:AW22" si="17">AW$9*$AC15</f>
        <v>#REF!</v>
      </c>
      <c r="AX14" s="36" t="e">
        <f t="shared" ref="AX14:AX22" si="18">AX$9*$AC15</f>
        <v>#REF!</v>
      </c>
      <c r="AY14" s="36" t="e">
        <f t="shared" ref="AY14:AY22" si="19">AY$9*$AC15</f>
        <v>#REF!</v>
      </c>
      <c r="AZ14" s="36" t="e">
        <f t="shared" ref="AZ14:AZ22" si="20">AZ$9*$AC15</f>
        <v>#REF!</v>
      </c>
      <c r="BA14" s="36" t="e">
        <f t="shared" ref="BA14:BA22" si="21">BA$9*$AC15</f>
        <v>#REF!</v>
      </c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 t="shared" si="2"/>
        <v>#REF!</v>
      </c>
      <c r="AG15" s="36" t="e">
        <f t="shared" si="3"/>
        <v>#REF!</v>
      </c>
      <c r="AH15" s="36" t="e">
        <f t="shared" si="4"/>
        <v>#REF!</v>
      </c>
      <c r="AI15" s="36" t="e">
        <f t="shared" si="5"/>
        <v>#REF!</v>
      </c>
      <c r="AJ15" s="36" t="e">
        <f t="shared" si="6"/>
        <v>#REF!</v>
      </c>
      <c r="AK15" s="36" t="e">
        <f t="shared" si="7"/>
        <v>#REF!</v>
      </c>
      <c r="AL15" s="36" t="e">
        <f t="shared" si="8"/>
        <v>#REF!</v>
      </c>
      <c r="AM15" s="36" t="e">
        <f t="shared" si="9"/>
        <v>#REF!</v>
      </c>
      <c r="AN15" s="36" t="e">
        <f t="shared" si="10"/>
        <v>#REF!</v>
      </c>
      <c r="AO15" s="36" t="e">
        <f t="shared" si="11"/>
        <v>#REF!</v>
      </c>
      <c r="AQ15" s="38"/>
      <c r="AR15" s="36" t="e">
        <f t="shared" si="12"/>
        <v>#REF!</v>
      </c>
      <c r="AS15" s="36" t="e">
        <f t="shared" si="13"/>
        <v>#REF!</v>
      </c>
      <c r="AT15" s="36" t="e">
        <f t="shared" si="14"/>
        <v>#REF!</v>
      </c>
      <c r="AU15" s="36" t="e">
        <f t="shared" si="15"/>
        <v>#REF!</v>
      </c>
      <c r="AV15" s="36" t="e">
        <f t="shared" si="16"/>
        <v>#REF!</v>
      </c>
      <c r="AW15" s="36" t="e">
        <f t="shared" si="17"/>
        <v>#REF!</v>
      </c>
      <c r="AX15" s="36" t="e">
        <f t="shared" si="18"/>
        <v>#REF!</v>
      </c>
      <c r="AY15" s="36" t="e">
        <f t="shared" si="19"/>
        <v>#REF!</v>
      </c>
      <c r="AZ15" s="36" t="e">
        <f t="shared" si="20"/>
        <v>#REF!</v>
      </c>
      <c r="BA15" s="36" t="e">
        <f t="shared" si="21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si="2"/>
        <v>#REF!</v>
      </c>
      <c r="AG16" s="36" t="e">
        <f t="shared" si="3"/>
        <v>#REF!</v>
      </c>
      <c r="AH16" s="36" t="e">
        <f t="shared" si="4"/>
        <v>#REF!</v>
      </c>
      <c r="AI16" s="36" t="e">
        <f t="shared" si="5"/>
        <v>#REF!</v>
      </c>
      <c r="AJ16" s="36" t="e">
        <f t="shared" si="6"/>
        <v>#REF!</v>
      </c>
      <c r="AK16" s="36" t="e">
        <f t="shared" si="7"/>
        <v>#REF!</v>
      </c>
      <c r="AL16" s="36" t="e">
        <f t="shared" si="8"/>
        <v>#REF!</v>
      </c>
      <c r="AM16" s="36" t="e">
        <f t="shared" si="9"/>
        <v>#REF!</v>
      </c>
      <c r="AN16" s="36" t="e">
        <f t="shared" si="10"/>
        <v>#REF!</v>
      </c>
      <c r="AO16" s="36" t="e">
        <f t="shared" si="11"/>
        <v>#REF!</v>
      </c>
      <c r="AQ16" s="38"/>
      <c r="AR16" s="36" t="e">
        <f t="shared" si="12"/>
        <v>#REF!</v>
      </c>
      <c r="AS16" s="36" t="e">
        <f t="shared" si="13"/>
        <v>#REF!</v>
      </c>
      <c r="AT16" s="36" t="e">
        <f t="shared" si="14"/>
        <v>#REF!</v>
      </c>
      <c r="AU16" s="36" t="e">
        <f t="shared" si="15"/>
        <v>#REF!</v>
      </c>
      <c r="AV16" s="36" t="e">
        <f t="shared" si="16"/>
        <v>#REF!</v>
      </c>
      <c r="AW16" s="36" t="e">
        <f t="shared" si="17"/>
        <v>#REF!</v>
      </c>
      <c r="AX16" s="36" t="e">
        <f t="shared" si="18"/>
        <v>#REF!</v>
      </c>
      <c r="AY16" s="36" t="e">
        <f t="shared" si="19"/>
        <v>#REF!</v>
      </c>
      <c r="AZ16" s="36" t="e">
        <f t="shared" si="20"/>
        <v>#REF!</v>
      </c>
      <c r="BA16" s="36" t="e">
        <f t="shared" si="21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2"/>
        <v>#REF!</v>
      </c>
      <c r="AG17" s="36" t="e">
        <f t="shared" si="3"/>
        <v>#REF!</v>
      </c>
      <c r="AH17" s="36" t="e">
        <f t="shared" si="4"/>
        <v>#REF!</v>
      </c>
      <c r="AI17" s="36" t="e">
        <f t="shared" si="5"/>
        <v>#REF!</v>
      </c>
      <c r="AJ17" s="36" t="e">
        <f t="shared" si="6"/>
        <v>#REF!</v>
      </c>
      <c r="AK17" s="36" t="e">
        <f t="shared" si="7"/>
        <v>#REF!</v>
      </c>
      <c r="AL17" s="36" t="e">
        <f t="shared" si="8"/>
        <v>#REF!</v>
      </c>
      <c r="AM17" s="36" t="e">
        <f t="shared" si="9"/>
        <v>#REF!</v>
      </c>
      <c r="AN17" s="36" t="e">
        <f t="shared" si="10"/>
        <v>#REF!</v>
      </c>
      <c r="AO17" s="36" t="e">
        <f t="shared" si="11"/>
        <v>#REF!</v>
      </c>
      <c r="AQ17" s="38"/>
      <c r="AR17" s="36" t="e">
        <f t="shared" si="12"/>
        <v>#REF!</v>
      </c>
      <c r="AS17" s="36" t="e">
        <f t="shared" si="13"/>
        <v>#REF!</v>
      </c>
      <c r="AT17" s="36" t="e">
        <f t="shared" si="14"/>
        <v>#REF!</v>
      </c>
      <c r="AU17" s="36" t="e">
        <f t="shared" si="15"/>
        <v>#REF!</v>
      </c>
      <c r="AV17" s="36" t="e">
        <f t="shared" si="16"/>
        <v>#REF!</v>
      </c>
      <c r="AW17" s="36" t="e">
        <f t="shared" si="17"/>
        <v>#REF!</v>
      </c>
      <c r="AX17" s="36" t="e">
        <f t="shared" si="18"/>
        <v>#REF!</v>
      </c>
      <c r="AY17" s="36" t="e">
        <f t="shared" si="19"/>
        <v>#REF!</v>
      </c>
      <c r="AZ17" s="36" t="e">
        <f t="shared" si="20"/>
        <v>#REF!</v>
      </c>
      <c r="BA17" s="36" t="e">
        <f t="shared" si="21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2"/>
        <v>#REF!</v>
      </c>
      <c r="AG18" s="36" t="e">
        <f t="shared" si="3"/>
        <v>#REF!</v>
      </c>
      <c r="AH18" s="36" t="e">
        <f t="shared" si="4"/>
        <v>#REF!</v>
      </c>
      <c r="AI18" s="36" t="e">
        <f t="shared" si="5"/>
        <v>#REF!</v>
      </c>
      <c r="AJ18" s="36" t="e">
        <f t="shared" si="6"/>
        <v>#REF!</v>
      </c>
      <c r="AK18" s="36" t="e">
        <f t="shared" si="7"/>
        <v>#REF!</v>
      </c>
      <c r="AL18" s="36" t="e">
        <f t="shared" si="8"/>
        <v>#REF!</v>
      </c>
      <c r="AM18" s="36" t="e">
        <f t="shared" si="9"/>
        <v>#REF!</v>
      </c>
      <c r="AN18" s="36" t="e">
        <f t="shared" si="10"/>
        <v>#REF!</v>
      </c>
      <c r="AO18" s="36" t="e">
        <f t="shared" si="11"/>
        <v>#REF!</v>
      </c>
      <c r="AQ18" s="38"/>
      <c r="AR18" s="36" t="e">
        <f t="shared" si="12"/>
        <v>#REF!</v>
      </c>
      <c r="AS18" s="36" t="e">
        <f t="shared" si="13"/>
        <v>#REF!</v>
      </c>
      <c r="AT18" s="36" t="e">
        <f t="shared" si="14"/>
        <v>#REF!</v>
      </c>
      <c r="AU18" s="36" t="e">
        <f t="shared" si="15"/>
        <v>#REF!</v>
      </c>
      <c r="AV18" s="36" t="e">
        <f t="shared" si="16"/>
        <v>#REF!</v>
      </c>
      <c r="AW18" s="36" t="e">
        <f t="shared" si="17"/>
        <v>#REF!</v>
      </c>
      <c r="AX18" s="36" t="e">
        <f t="shared" si="18"/>
        <v>#REF!</v>
      </c>
      <c r="AY18" s="36" t="e">
        <f t="shared" si="19"/>
        <v>#REF!</v>
      </c>
      <c r="AZ18" s="36" t="e">
        <f t="shared" si="20"/>
        <v>#REF!</v>
      </c>
      <c r="BA18" s="36" t="e">
        <f t="shared" si="21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2"/>
        <v>#REF!</v>
      </c>
      <c r="AG19" s="36" t="e">
        <f t="shared" si="3"/>
        <v>#REF!</v>
      </c>
      <c r="AH19" s="36" t="e">
        <f t="shared" si="4"/>
        <v>#REF!</v>
      </c>
      <c r="AI19" s="36" t="e">
        <f t="shared" si="5"/>
        <v>#REF!</v>
      </c>
      <c r="AJ19" s="36" t="e">
        <f t="shared" si="6"/>
        <v>#REF!</v>
      </c>
      <c r="AK19" s="36" t="e">
        <f t="shared" si="7"/>
        <v>#REF!</v>
      </c>
      <c r="AL19" s="36" t="e">
        <f t="shared" si="8"/>
        <v>#REF!</v>
      </c>
      <c r="AM19" s="36" t="e">
        <f t="shared" si="9"/>
        <v>#REF!</v>
      </c>
      <c r="AN19" s="36" t="e">
        <f t="shared" si="10"/>
        <v>#REF!</v>
      </c>
      <c r="AO19" s="36" t="e">
        <f t="shared" si="11"/>
        <v>#REF!</v>
      </c>
      <c r="AQ19" s="38"/>
      <c r="AR19" s="36" t="e">
        <f t="shared" si="12"/>
        <v>#REF!</v>
      </c>
      <c r="AS19" s="36" t="e">
        <f t="shared" si="13"/>
        <v>#REF!</v>
      </c>
      <c r="AT19" s="36" t="e">
        <f t="shared" si="14"/>
        <v>#REF!</v>
      </c>
      <c r="AU19" s="36" t="e">
        <f t="shared" si="15"/>
        <v>#REF!</v>
      </c>
      <c r="AV19" s="36" t="e">
        <f t="shared" si="16"/>
        <v>#REF!</v>
      </c>
      <c r="AW19" s="36" t="e">
        <f t="shared" si="17"/>
        <v>#REF!</v>
      </c>
      <c r="AX19" s="36" t="e">
        <f t="shared" si="18"/>
        <v>#REF!</v>
      </c>
      <c r="AY19" s="36" t="e">
        <f t="shared" si="19"/>
        <v>#REF!</v>
      </c>
      <c r="AZ19" s="36" t="e">
        <f t="shared" si="20"/>
        <v>#REF!</v>
      </c>
      <c r="BA19" s="36" t="e">
        <f t="shared" si="21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2"/>
        <v>#REF!</v>
      </c>
      <c r="AG20" s="36" t="e">
        <f t="shared" si="3"/>
        <v>#REF!</v>
      </c>
      <c r="AH20" s="36" t="e">
        <f t="shared" si="4"/>
        <v>#REF!</v>
      </c>
      <c r="AI20" s="36" t="e">
        <f t="shared" si="5"/>
        <v>#REF!</v>
      </c>
      <c r="AJ20" s="36" t="e">
        <f t="shared" si="6"/>
        <v>#REF!</v>
      </c>
      <c r="AK20" s="36" t="e">
        <f t="shared" si="7"/>
        <v>#REF!</v>
      </c>
      <c r="AL20" s="36" t="e">
        <f t="shared" si="8"/>
        <v>#REF!</v>
      </c>
      <c r="AM20" s="36" t="e">
        <f t="shared" si="9"/>
        <v>#REF!</v>
      </c>
      <c r="AN20" s="36" t="e">
        <f t="shared" si="10"/>
        <v>#REF!</v>
      </c>
      <c r="AO20" s="36" t="e">
        <f t="shared" si="11"/>
        <v>#REF!</v>
      </c>
      <c r="AQ20" s="38"/>
      <c r="AR20" s="36" t="e">
        <f t="shared" si="12"/>
        <v>#REF!</v>
      </c>
      <c r="AS20" s="36" t="e">
        <f t="shared" si="13"/>
        <v>#REF!</v>
      </c>
      <c r="AT20" s="36" t="e">
        <f t="shared" si="14"/>
        <v>#REF!</v>
      </c>
      <c r="AU20" s="36" t="e">
        <f t="shared" si="15"/>
        <v>#REF!</v>
      </c>
      <c r="AV20" s="36" t="e">
        <f t="shared" si="16"/>
        <v>#REF!</v>
      </c>
      <c r="AW20" s="36" t="e">
        <f t="shared" si="17"/>
        <v>#REF!</v>
      </c>
      <c r="AX20" s="36" t="e">
        <f t="shared" si="18"/>
        <v>#REF!</v>
      </c>
      <c r="AY20" s="36" t="e">
        <f t="shared" si="19"/>
        <v>#REF!</v>
      </c>
      <c r="AZ20" s="36" t="e">
        <f t="shared" si="20"/>
        <v>#REF!</v>
      </c>
      <c r="BA20" s="36" t="e">
        <f t="shared" si="21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2"/>
        <v>#REF!</v>
      </c>
      <c r="AG21" s="36" t="e">
        <f t="shared" si="3"/>
        <v>#REF!</v>
      </c>
      <c r="AH21" s="36" t="e">
        <f t="shared" si="4"/>
        <v>#REF!</v>
      </c>
      <c r="AI21" s="36" t="e">
        <f t="shared" si="5"/>
        <v>#REF!</v>
      </c>
      <c r="AJ21" s="36" t="e">
        <f t="shared" si="6"/>
        <v>#REF!</v>
      </c>
      <c r="AK21" s="36" t="e">
        <f t="shared" si="7"/>
        <v>#REF!</v>
      </c>
      <c r="AL21" s="36" t="e">
        <f t="shared" si="8"/>
        <v>#REF!</v>
      </c>
      <c r="AM21" s="36" t="e">
        <f t="shared" si="9"/>
        <v>#REF!</v>
      </c>
      <c r="AN21" s="36" t="e">
        <f t="shared" si="10"/>
        <v>#REF!</v>
      </c>
      <c r="AO21" s="36" t="e">
        <f t="shared" si="11"/>
        <v>#REF!</v>
      </c>
      <c r="AQ21" s="38"/>
      <c r="AR21" s="36" t="e">
        <f t="shared" si="12"/>
        <v>#REF!</v>
      </c>
      <c r="AS21" s="36" t="e">
        <f t="shared" si="13"/>
        <v>#REF!</v>
      </c>
      <c r="AT21" s="36" t="e">
        <f t="shared" si="14"/>
        <v>#REF!</v>
      </c>
      <c r="AU21" s="36" t="e">
        <f t="shared" si="15"/>
        <v>#REF!</v>
      </c>
      <c r="AV21" s="36" t="e">
        <f t="shared" si="16"/>
        <v>#REF!</v>
      </c>
      <c r="AW21" s="36" t="e">
        <f t="shared" si="17"/>
        <v>#REF!</v>
      </c>
      <c r="AX21" s="36" t="e">
        <f t="shared" si="18"/>
        <v>#REF!</v>
      </c>
      <c r="AY21" s="36" t="e">
        <f t="shared" si="19"/>
        <v>#REF!</v>
      </c>
      <c r="AZ21" s="36" t="e">
        <f t="shared" si="20"/>
        <v>#REF!</v>
      </c>
      <c r="BA21" s="36" t="e">
        <f t="shared" si="21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2"/>
        <v>#REF!</v>
      </c>
      <c r="AG22" s="36" t="e">
        <f t="shared" si="3"/>
        <v>#REF!</v>
      </c>
      <c r="AH22" s="36" t="e">
        <f t="shared" si="4"/>
        <v>#REF!</v>
      </c>
      <c r="AI22" s="36" t="e">
        <f t="shared" si="5"/>
        <v>#REF!</v>
      </c>
      <c r="AJ22" s="36" t="e">
        <f t="shared" si="6"/>
        <v>#REF!</v>
      </c>
      <c r="AK22" s="36" t="e">
        <f t="shared" si="7"/>
        <v>#REF!</v>
      </c>
      <c r="AL22" s="36" t="e">
        <f t="shared" si="8"/>
        <v>#REF!</v>
      </c>
      <c r="AM22" s="36" t="e">
        <f t="shared" si="9"/>
        <v>#REF!</v>
      </c>
      <c r="AN22" s="36" t="e">
        <f t="shared" si="10"/>
        <v>#REF!</v>
      </c>
      <c r="AO22" s="36" t="e">
        <f t="shared" si="11"/>
        <v>#REF!</v>
      </c>
      <c r="AQ22" s="38"/>
      <c r="AR22" s="36" t="e">
        <f t="shared" si="12"/>
        <v>#REF!</v>
      </c>
      <c r="AS22" s="36" t="e">
        <f t="shared" si="13"/>
        <v>#REF!</v>
      </c>
      <c r="AT22" s="36" t="e">
        <f t="shared" si="14"/>
        <v>#REF!</v>
      </c>
      <c r="AU22" s="36" t="e">
        <f t="shared" si="15"/>
        <v>#REF!</v>
      </c>
      <c r="AV22" s="36" t="e">
        <f t="shared" si="16"/>
        <v>#REF!</v>
      </c>
      <c r="AW22" s="36" t="e">
        <f t="shared" si="17"/>
        <v>#REF!</v>
      </c>
      <c r="AX22" s="36" t="e">
        <f t="shared" si="18"/>
        <v>#REF!</v>
      </c>
      <c r="AY22" s="36" t="e">
        <f t="shared" si="19"/>
        <v>#REF!</v>
      </c>
      <c r="AZ22" s="36" t="e">
        <f t="shared" si="20"/>
        <v>#REF!</v>
      </c>
      <c r="BA22" s="36" t="e">
        <f t="shared" si="21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Q23" s="38"/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F25" s="36" t="e">
        <f t="shared" ref="AF25:AF33" si="22">AF$9*$AC26</f>
        <v>#REF!</v>
      </c>
      <c r="AG25" s="36" t="e">
        <f t="shared" ref="AG25:AG33" si="23">AG$9*$AC26</f>
        <v>#REF!</v>
      </c>
      <c r="AH25" s="36" t="e">
        <f t="shared" ref="AH25:AH33" si="24">AH$9*$AC26</f>
        <v>#REF!</v>
      </c>
      <c r="AI25" s="36" t="e">
        <f t="shared" ref="AI25:AI33" si="25">AI$9*$AC26</f>
        <v>#REF!</v>
      </c>
      <c r="AJ25" s="36" t="e">
        <f t="shared" ref="AJ25:AJ33" si="26">AJ$9*$AC26</f>
        <v>#REF!</v>
      </c>
      <c r="AK25" s="36" t="e">
        <f t="shared" ref="AK25:AK33" si="27">AK$9*$AC26</f>
        <v>#REF!</v>
      </c>
      <c r="AL25" s="36" t="e">
        <f t="shared" ref="AL25:AL33" si="28">AL$9*$AC26</f>
        <v>#REF!</v>
      </c>
      <c r="AM25" s="36" t="e">
        <f t="shared" ref="AM25:AM33" si="29">AM$9*$AC26</f>
        <v>#REF!</v>
      </c>
      <c r="AN25" s="36" t="e">
        <f t="shared" ref="AN25:AN33" si="30">AN$9*$AC26</f>
        <v>#REF!</v>
      </c>
      <c r="AO25" s="36" t="e">
        <f t="shared" ref="AO25:AO33" si="31">AO$9*$AC26</f>
        <v>#REF!</v>
      </c>
      <c r="AQ25" s="38"/>
      <c r="AR25" s="36" t="e">
        <f t="shared" ref="AR25:AR33" si="32">AR$9*$AC26</f>
        <v>#REF!</v>
      </c>
      <c r="AS25" s="36" t="e">
        <f t="shared" ref="AS25:AS33" si="33">AS$9*$AC26</f>
        <v>#REF!</v>
      </c>
      <c r="AT25" s="36" t="e">
        <f t="shared" ref="AT25:AT33" si="34">AT$9*$AC26</f>
        <v>#REF!</v>
      </c>
      <c r="AU25" s="36" t="e">
        <f t="shared" ref="AU25:AU33" si="35">AU$9*$AC26</f>
        <v>#REF!</v>
      </c>
      <c r="AV25" s="36" t="e">
        <f t="shared" ref="AV25:AV33" si="36">AV$9*$AC26</f>
        <v>#REF!</v>
      </c>
      <c r="AW25" s="36" t="e">
        <f t="shared" ref="AW25:AW33" si="37">AW$9*$AC26</f>
        <v>#REF!</v>
      </c>
      <c r="AX25" s="36" t="e">
        <f t="shared" ref="AX25:AX33" si="38">AX$9*$AC26</f>
        <v>#REF!</v>
      </c>
      <c r="AY25" s="36" t="e">
        <f t="shared" ref="AY25:AY33" si="39">AY$9*$AC26</f>
        <v>#REF!</v>
      </c>
      <c r="AZ25" s="36" t="e">
        <f t="shared" ref="AZ25:AZ33" si="40">AZ$9*$AC26</f>
        <v>#REF!</v>
      </c>
      <c r="BA25" s="36" t="e">
        <f t="shared" ref="BA25:BA33" si="41">BA$9*$AC26</f>
        <v>#REF!</v>
      </c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si="22"/>
        <v>#REF!</v>
      </c>
      <c r="AG26" s="36" t="e">
        <f t="shared" si="23"/>
        <v>#REF!</v>
      </c>
      <c r="AH26" s="36" t="e">
        <f t="shared" si="24"/>
        <v>#REF!</v>
      </c>
      <c r="AI26" s="36" t="e">
        <f t="shared" si="25"/>
        <v>#REF!</v>
      </c>
      <c r="AJ26" s="36" t="e">
        <f t="shared" si="26"/>
        <v>#REF!</v>
      </c>
      <c r="AK26" s="36" t="e">
        <f t="shared" si="27"/>
        <v>#REF!</v>
      </c>
      <c r="AL26" s="36" t="e">
        <f t="shared" si="28"/>
        <v>#REF!</v>
      </c>
      <c r="AM26" s="36" t="e">
        <f t="shared" si="29"/>
        <v>#REF!</v>
      </c>
      <c r="AN26" s="36" t="e">
        <f t="shared" si="30"/>
        <v>#REF!</v>
      </c>
      <c r="AO26" s="36" t="e">
        <f t="shared" si="31"/>
        <v>#REF!</v>
      </c>
      <c r="AQ26" s="38"/>
      <c r="AR26" s="36" t="e">
        <f t="shared" si="32"/>
        <v>#REF!</v>
      </c>
      <c r="AS26" s="36" t="e">
        <f t="shared" si="33"/>
        <v>#REF!</v>
      </c>
      <c r="AT26" s="36" t="e">
        <f t="shared" si="34"/>
        <v>#REF!</v>
      </c>
      <c r="AU26" s="36" t="e">
        <f t="shared" si="35"/>
        <v>#REF!</v>
      </c>
      <c r="AV26" s="36" t="e">
        <f t="shared" si="36"/>
        <v>#REF!</v>
      </c>
      <c r="AW26" s="36" t="e">
        <f t="shared" si="37"/>
        <v>#REF!</v>
      </c>
      <c r="AX26" s="36" t="e">
        <f t="shared" si="38"/>
        <v>#REF!</v>
      </c>
      <c r="AY26" s="36" t="e">
        <f t="shared" si="39"/>
        <v>#REF!</v>
      </c>
      <c r="AZ26" s="36" t="e">
        <f t="shared" si="40"/>
        <v>#REF!</v>
      </c>
      <c r="BA26" s="36" t="e">
        <f t="shared" si="41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22"/>
        <v>#REF!</v>
      </c>
      <c r="AG27" s="36" t="e">
        <f t="shared" si="23"/>
        <v>#REF!</v>
      </c>
      <c r="AH27" s="36" t="e">
        <f t="shared" si="24"/>
        <v>#REF!</v>
      </c>
      <c r="AI27" s="36" t="e">
        <f t="shared" si="25"/>
        <v>#REF!</v>
      </c>
      <c r="AJ27" s="36" t="e">
        <f t="shared" si="26"/>
        <v>#REF!</v>
      </c>
      <c r="AK27" s="36" t="e">
        <f t="shared" si="27"/>
        <v>#REF!</v>
      </c>
      <c r="AL27" s="36" t="e">
        <f t="shared" si="28"/>
        <v>#REF!</v>
      </c>
      <c r="AM27" s="36" t="e">
        <f t="shared" si="29"/>
        <v>#REF!</v>
      </c>
      <c r="AN27" s="36" t="e">
        <f t="shared" si="30"/>
        <v>#REF!</v>
      </c>
      <c r="AO27" s="36" t="e">
        <f t="shared" si="31"/>
        <v>#REF!</v>
      </c>
      <c r="AQ27" s="38"/>
      <c r="AR27" s="36" t="e">
        <f t="shared" si="32"/>
        <v>#REF!</v>
      </c>
      <c r="AS27" s="36" t="e">
        <f t="shared" si="33"/>
        <v>#REF!</v>
      </c>
      <c r="AT27" s="36" t="e">
        <f t="shared" si="34"/>
        <v>#REF!</v>
      </c>
      <c r="AU27" s="36" t="e">
        <f t="shared" si="35"/>
        <v>#REF!</v>
      </c>
      <c r="AV27" s="36" t="e">
        <f t="shared" si="36"/>
        <v>#REF!</v>
      </c>
      <c r="AW27" s="36" t="e">
        <f t="shared" si="37"/>
        <v>#REF!</v>
      </c>
      <c r="AX27" s="36" t="e">
        <f t="shared" si="38"/>
        <v>#REF!</v>
      </c>
      <c r="AY27" s="36" t="e">
        <f t="shared" si="39"/>
        <v>#REF!</v>
      </c>
      <c r="AZ27" s="36" t="e">
        <f t="shared" si="40"/>
        <v>#REF!</v>
      </c>
      <c r="BA27" s="36" t="e">
        <f t="shared" si="41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22"/>
        <v>#REF!</v>
      </c>
      <c r="AG28" s="36" t="e">
        <f t="shared" si="23"/>
        <v>#REF!</v>
      </c>
      <c r="AH28" s="36" t="e">
        <f t="shared" si="24"/>
        <v>#REF!</v>
      </c>
      <c r="AI28" s="36" t="e">
        <f t="shared" si="25"/>
        <v>#REF!</v>
      </c>
      <c r="AJ28" s="36" t="e">
        <f t="shared" si="26"/>
        <v>#REF!</v>
      </c>
      <c r="AK28" s="36" t="e">
        <f t="shared" si="27"/>
        <v>#REF!</v>
      </c>
      <c r="AL28" s="36" t="e">
        <f t="shared" si="28"/>
        <v>#REF!</v>
      </c>
      <c r="AM28" s="36" t="e">
        <f t="shared" si="29"/>
        <v>#REF!</v>
      </c>
      <c r="AN28" s="36" t="e">
        <f t="shared" si="30"/>
        <v>#REF!</v>
      </c>
      <c r="AO28" s="36" t="e">
        <f t="shared" si="31"/>
        <v>#REF!</v>
      </c>
      <c r="AQ28" s="38"/>
      <c r="AR28" s="36" t="e">
        <f t="shared" si="32"/>
        <v>#REF!</v>
      </c>
      <c r="AS28" s="36" t="e">
        <f t="shared" si="33"/>
        <v>#REF!</v>
      </c>
      <c r="AT28" s="36" t="e">
        <f t="shared" si="34"/>
        <v>#REF!</v>
      </c>
      <c r="AU28" s="36" t="e">
        <f t="shared" si="35"/>
        <v>#REF!</v>
      </c>
      <c r="AV28" s="36" t="e">
        <f t="shared" si="36"/>
        <v>#REF!</v>
      </c>
      <c r="AW28" s="36" t="e">
        <f t="shared" si="37"/>
        <v>#REF!</v>
      </c>
      <c r="AX28" s="36" t="e">
        <f t="shared" si="38"/>
        <v>#REF!</v>
      </c>
      <c r="AY28" s="36" t="e">
        <f t="shared" si="39"/>
        <v>#REF!</v>
      </c>
      <c r="AZ28" s="36" t="e">
        <f t="shared" si="40"/>
        <v>#REF!</v>
      </c>
      <c r="BA28" s="36" t="e">
        <f t="shared" si="41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22"/>
        <v>#REF!</v>
      </c>
      <c r="AG29" s="36" t="e">
        <f t="shared" si="23"/>
        <v>#REF!</v>
      </c>
      <c r="AH29" s="36" t="e">
        <f t="shared" si="24"/>
        <v>#REF!</v>
      </c>
      <c r="AI29" s="36" t="e">
        <f t="shared" si="25"/>
        <v>#REF!</v>
      </c>
      <c r="AJ29" s="36" t="e">
        <f t="shared" si="26"/>
        <v>#REF!</v>
      </c>
      <c r="AK29" s="36" t="e">
        <f t="shared" si="27"/>
        <v>#REF!</v>
      </c>
      <c r="AL29" s="36" t="e">
        <f t="shared" si="28"/>
        <v>#REF!</v>
      </c>
      <c r="AM29" s="36" t="e">
        <f t="shared" si="29"/>
        <v>#REF!</v>
      </c>
      <c r="AN29" s="36" t="e">
        <f t="shared" si="30"/>
        <v>#REF!</v>
      </c>
      <c r="AO29" s="36" t="e">
        <f t="shared" si="31"/>
        <v>#REF!</v>
      </c>
      <c r="AQ29" s="38"/>
      <c r="AR29" s="36" t="e">
        <f t="shared" si="32"/>
        <v>#REF!</v>
      </c>
      <c r="AS29" s="36" t="e">
        <f t="shared" si="33"/>
        <v>#REF!</v>
      </c>
      <c r="AT29" s="36" t="e">
        <f t="shared" si="34"/>
        <v>#REF!</v>
      </c>
      <c r="AU29" s="36" t="e">
        <f t="shared" si="35"/>
        <v>#REF!</v>
      </c>
      <c r="AV29" s="36" t="e">
        <f t="shared" si="36"/>
        <v>#REF!</v>
      </c>
      <c r="AW29" s="36" t="e">
        <f t="shared" si="37"/>
        <v>#REF!</v>
      </c>
      <c r="AX29" s="36" t="e">
        <f t="shared" si="38"/>
        <v>#REF!</v>
      </c>
      <c r="AY29" s="36" t="e">
        <f t="shared" si="39"/>
        <v>#REF!</v>
      </c>
      <c r="AZ29" s="36" t="e">
        <f t="shared" si="40"/>
        <v>#REF!</v>
      </c>
      <c r="BA29" s="36" t="e">
        <f t="shared" si="41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22"/>
        <v>#REF!</v>
      </c>
      <c r="AG30" s="36" t="e">
        <f t="shared" si="23"/>
        <v>#REF!</v>
      </c>
      <c r="AH30" s="36" t="e">
        <f t="shared" si="24"/>
        <v>#REF!</v>
      </c>
      <c r="AI30" s="36" t="e">
        <f t="shared" si="25"/>
        <v>#REF!</v>
      </c>
      <c r="AJ30" s="36" t="e">
        <f t="shared" si="26"/>
        <v>#REF!</v>
      </c>
      <c r="AK30" s="36" t="e">
        <f t="shared" si="27"/>
        <v>#REF!</v>
      </c>
      <c r="AL30" s="36" t="e">
        <f t="shared" si="28"/>
        <v>#REF!</v>
      </c>
      <c r="AM30" s="36" t="e">
        <f t="shared" si="29"/>
        <v>#REF!</v>
      </c>
      <c r="AN30" s="36" t="e">
        <f t="shared" si="30"/>
        <v>#REF!</v>
      </c>
      <c r="AO30" s="36" t="e">
        <f t="shared" si="31"/>
        <v>#REF!</v>
      </c>
      <c r="AQ30" s="38"/>
      <c r="AR30" s="36" t="e">
        <f t="shared" si="32"/>
        <v>#REF!</v>
      </c>
      <c r="AS30" s="36" t="e">
        <f t="shared" si="33"/>
        <v>#REF!</v>
      </c>
      <c r="AT30" s="36" t="e">
        <f t="shared" si="34"/>
        <v>#REF!</v>
      </c>
      <c r="AU30" s="36" t="e">
        <f t="shared" si="35"/>
        <v>#REF!</v>
      </c>
      <c r="AV30" s="36" t="e">
        <f t="shared" si="36"/>
        <v>#REF!</v>
      </c>
      <c r="AW30" s="36" t="e">
        <f t="shared" si="37"/>
        <v>#REF!</v>
      </c>
      <c r="AX30" s="36" t="e">
        <f t="shared" si="38"/>
        <v>#REF!</v>
      </c>
      <c r="AY30" s="36" t="e">
        <f t="shared" si="39"/>
        <v>#REF!</v>
      </c>
      <c r="AZ30" s="36" t="e">
        <f t="shared" si="40"/>
        <v>#REF!</v>
      </c>
      <c r="BA30" s="36" t="e">
        <f t="shared" si="41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22"/>
        <v>#REF!</v>
      </c>
      <c r="AG31" s="36" t="e">
        <f t="shared" si="23"/>
        <v>#REF!</v>
      </c>
      <c r="AH31" s="36" t="e">
        <f t="shared" si="24"/>
        <v>#REF!</v>
      </c>
      <c r="AI31" s="36" t="e">
        <f t="shared" si="25"/>
        <v>#REF!</v>
      </c>
      <c r="AJ31" s="36" t="e">
        <f t="shared" si="26"/>
        <v>#REF!</v>
      </c>
      <c r="AK31" s="36" t="e">
        <f t="shared" si="27"/>
        <v>#REF!</v>
      </c>
      <c r="AL31" s="36" t="e">
        <f t="shared" si="28"/>
        <v>#REF!</v>
      </c>
      <c r="AM31" s="36" t="e">
        <f t="shared" si="29"/>
        <v>#REF!</v>
      </c>
      <c r="AN31" s="36" t="e">
        <f t="shared" si="30"/>
        <v>#REF!</v>
      </c>
      <c r="AO31" s="36" t="e">
        <f t="shared" si="31"/>
        <v>#REF!</v>
      </c>
      <c r="AQ31" s="38"/>
      <c r="AR31" s="36" t="e">
        <f t="shared" si="32"/>
        <v>#REF!</v>
      </c>
      <c r="AS31" s="36" t="e">
        <f t="shared" si="33"/>
        <v>#REF!</v>
      </c>
      <c r="AT31" s="36" t="e">
        <f t="shared" si="34"/>
        <v>#REF!</v>
      </c>
      <c r="AU31" s="36" t="e">
        <f t="shared" si="35"/>
        <v>#REF!</v>
      </c>
      <c r="AV31" s="36" t="e">
        <f t="shared" si="36"/>
        <v>#REF!</v>
      </c>
      <c r="AW31" s="36" t="e">
        <f t="shared" si="37"/>
        <v>#REF!</v>
      </c>
      <c r="AX31" s="36" t="e">
        <f t="shared" si="38"/>
        <v>#REF!</v>
      </c>
      <c r="AY31" s="36" t="e">
        <f t="shared" si="39"/>
        <v>#REF!</v>
      </c>
      <c r="AZ31" s="36" t="e">
        <f t="shared" si="40"/>
        <v>#REF!</v>
      </c>
      <c r="BA31" s="36" t="e">
        <f t="shared" si="41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22"/>
        <v>#REF!</v>
      </c>
      <c r="AG32" s="36" t="e">
        <f t="shared" si="23"/>
        <v>#REF!</v>
      </c>
      <c r="AH32" s="36" t="e">
        <f t="shared" si="24"/>
        <v>#REF!</v>
      </c>
      <c r="AI32" s="36" t="e">
        <f t="shared" si="25"/>
        <v>#REF!</v>
      </c>
      <c r="AJ32" s="36" t="e">
        <f t="shared" si="26"/>
        <v>#REF!</v>
      </c>
      <c r="AK32" s="36" t="e">
        <f t="shared" si="27"/>
        <v>#REF!</v>
      </c>
      <c r="AL32" s="36" t="e">
        <f t="shared" si="28"/>
        <v>#REF!</v>
      </c>
      <c r="AM32" s="36" t="e">
        <f t="shared" si="29"/>
        <v>#REF!</v>
      </c>
      <c r="AN32" s="36" t="e">
        <f t="shared" si="30"/>
        <v>#REF!</v>
      </c>
      <c r="AO32" s="36" t="e">
        <f t="shared" si="31"/>
        <v>#REF!</v>
      </c>
      <c r="AQ32" s="38"/>
      <c r="AR32" s="36" t="e">
        <f t="shared" si="32"/>
        <v>#REF!</v>
      </c>
      <c r="AS32" s="36" t="e">
        <f t="shared" si="33"/>
        <v>#REF!</v>
      </c>
      <c r="AT32" s="36" t="e">
        <f t="shared" si="34"/>
        <v>#REF!</v>
      </c>
      <c r="AU32" s="36" t="e">
        <f t="shared" si="35"/>
        <v>#REF!</v>
      </c>
      <c r="AV32" s="36" t="e">
        <f t="shared" si="36"/>
        <v>#REF!</v>
      </c>
      <c r="AW32" s="36" t="e">
        <f t="shared" si="37"/>
        <v>#REF!</v>
      </c>
      <c r="AX32" s="36" t="e">
        <f t="shared" si="38"/>
        <v>#REF!</v>
      </c>
      <c r="AY32" s="36" t="e">
        <f t="shared" si="39"/>
        <v>#REF!</v>
      </c>
      <c r="AZ32" s="36" t="e">
        <f t="shared" si="40"/>
        <v>#REF!</v>
      </c>
      <c r="BA32" s="36" t="e">
        <f t="shared" si="41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22"/>
        <v>#REF!</v>
      </c>
      <c r="AG33" s="36" t="e">
        <f t="shared" si="23"/>
        <v>#REF!</v>
      </c>
      <c r="AH33" s="36" t="e">
        <f t="shared" si="24"/>
        <v>#REF!</v>
      </c>
      <c r="AI33" s="36" t="e">
        <f t="shared" si="25"/>
        <v>#REF!</v>
      </c>
      <c r="AJ33" s="36" t="e">
        <f t="shared" si="26"/>
        <v>#REF!</v>
      </c>
      <c r="AK33" s="36" t="e">
        <f t="shared" si="27"/>
        <v>#REF!</v>
      </c>
      <c r="AL33" s="36" t="e">
        <f t="shared" si="28"/>
        <v>#REF!</v>
      </c>
      <c r="AM33" s="36" t="e">
        <f t="shared" si="29"/>
        <v>#REF!</v>
      </c>
      <c r="AN33" s="36" t="e">
        <f t="shared" si="30"/>
        <v>#REF!</v>
      </c>
      <c r="AO33" s="36" t="e">
        <f t="shared" si="31"/>
        <v>#REF!</v>
      </c>
      <c r="AQ33" s="38"/>
      <c r="AR33" s="36" t="e">
        <f t="shared" si="32"/>
        <v>#REF!</v>
      </c>
      <c r="AS33" s="36" t="e">
        <f t="shared" si="33"/>
        <v>#REF!</v>
      </c>
      <c r="AT33" s="36" t="e">
        <f t="shared" si="34"/>
        <v>#REF!</v>
      </c>
      <c r="AU33" s="36" t="e">
        <f t="shared" si="35"/>
        <v>#REF!</v>
      </c>
      <c r="AV33" s="36" t="e">
        <f t="shared" si="36"/>
        <v>#REF!</v>
      </c>
      <c r="AW33" s="36" t="e">
        <f t="shared" si="37"/>
        <v>#REF!</v>
      </c>
      <c r="AX33" s="36" t="e">
        <f t="shared" si="38"/>
        <v>#REF!</v>
      </c>
      <c r="AY33" s="36" t="e">
        <f t="shared" si="39"/>
        <v>#REF!</v>
      </c>
      <c r="AZ33" s="36" t="e">
        <f t="shared" si="40"/>
        <v>#REF!</v>
      </c>
      <c r="BA33" s="36" t="e">
        <f t="shared" si="41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Q34" s="38"/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F36" s="36" t="e">
        <f t="shared" ref="AF36:AF44" si="42">AF$9*$AC37</f>
        <v>#REF!</v>
      </c>
      <c r="AG36" s="36" t="e">
        <f t="shared" ref="AG36:AG44" si="43">AG$9*$AC37</f>
        <v>#REF!</v>
      </c>
      <c r="AH36" s="36" t="e">
        <f t="shared" ref="AH36:AH44" si="44">AH$9*$AC37</f>
        <v>#REF!</v>
      </c>
      <c r="AI36" s="36" t="e">
        <f t="shared" ref="AI36:AI44" si="45">AI$9*$AC37</f>
        <v>#REF!</v>
      </c>
      <c r="AJ36" s="36" t="e">
        <f t="shared" ref="AJ36:AJ44" si="46">AJ$9*$AC37</f>
        <v>#REF!</v>
      </c>
      <c r="AK36" s="36" t="e">
        <f t="shared" ref="AK36:AK44" si="47">AK$9*$AC37</f>
        <v>#REF!</v>
      </c>
      <c r="AL36" s="36" t="e">
        <f t="shared" ref="AL36:AL44" si="48">AL$9*$AC37</f>
        <v>#REF!</v>
      </c>
      <c r="AM36" s="36" t="e">
        <f t="shared" ref="AM36:AM44" si="49">AM$9*$AC37</f>
        <v>#REF!</v>
      </c>
      <c r="AN36" s="36" t="e">
        <f t="shared" ref="AN36:AN44" si="50">AN$9*$AC37</f>
        <v>#REF!</v>
      </c>
      <c r="AO36" s="36" t="e">
        <f t="shared" ref="AO36:AO44" si="51">AO$9*$AC37</f>
        <v>#REF!</v>
      </c>
      <c r="AQ36" s="38"/>
      <c r="AR36" s="36" t="e">
        <f t="shared" ref="AR36:AR44" si="52">AR$9*$AC37</f>
        <v>#REF!</v>
      </c>
      <c r="AS36" s="36" t="e">
        <f t="shared" ref="AS36:AS44" si="53">AS$9*$AC37</f>
        <v>#REF!</v>
      </c>
      <c r="AT36" s="36" t="e">
        <f t="shared" ref="AT36:AT44" si="54">AT$9*$AC37</f>
        <v>#REF!</v>
      </c>
      <c r="AU36" s="36" t="e">
        <f t="shared" ref="AU36:AU44" si="55">AU$9*$AC37</f>
        <v>#REF!</v>
      </c>
      <c r="AV36" s="36" t="e">
        <f t="shared" ref="AV36:AV44" si="56">AV$9*$AC37</f>
        <v>#REF!</v>
      </c>
      <c r="AW36" s="36" t="e">
        <f t="shared" ref="AW36:AW44" si="57">AW$9*$AC37</f>
        <v>#REF!</v>
      </c>
      <c r="AX36" s="36" t="e">
        <f t="shared" ref="AX36:AX44" si="58">AX$9*$AC37</f>
        <v>#REF!</v>
      </c>
      <c r="AY36" s="36" t="e">
        <f t="shared" ref="AY36:AY44" si="59">AY$9*$AC37</f>
        <v>#REF!</v>
      </c>
      <c r="AZ36" s="36" t="e">
        <f t="shared" ref="AZ36:AZ44" si="60">AZ$9*$AC37</f>
        <v>#REF!</v>
      </c>
      <c r="BA36" s="36" t="e">
        <f t="shared" ref="BA36:BA44" si="61">BA$9*$AC37</f>
        <v>#REF!</v>
      </c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si="42"/>
        <v>#REF!</v>
      </c>
      <c r="AG37" s="36" t="e">
        <f t="shared" si="43"/>
        <v>#REF!</v>
      </c>
      <c r="AH37" s="36" t="e">
        <f t="shared" si="44"/>
        <v>#REF!</v>
      </c>
      <c r="AI37" s="36" t="e">
        <f t="shared" si="45"/>
        <v>#REF!</v>
      </c>
      <c r="AJ37" s="36" t="e">
        <f t="shared" si="46"/>
        <v>#REF!</v>
      </c>
      <c r="AK37" s="36" t="e">
        <f t="shared" si="47"/>
        <v>#REF!</v>
      </c>
      <c r="AL37" s="36" t="e">
        <f t="shared" si="48"/>
        <v>#REF!</v>
      </c>
      <c r="AM37" s="36" t="e">
        <f t="shared" si="49"/>
        <v>#REF!</v>
      </c>
      <c r="AN37" s="36" t="e">
        <f t="shared" si="50"/>
        <v>#REF!</v>
      </c>
      <c r="AO37" s="36" t="e">
        <f t="shared" si="51"/>
        <v>#REF!</v>
      </c>
      <c r="AQ37" s="38"/>
      <c r="AR37" s="36" t="e">
        <f t="shared" si="52"/>
        <v>#REF!</v>
      </c>
      <c r="AS37" s="36" t="e">
        <f t="shared" si="53"/>
        <v>#REF!</v>
      </c>
      <c r="AT37" s="36" t="e">
        <f t="shared" si="54"/>
        <v>#REF!</v>
      </c>
      <c r="AU37" s="36" t="e">
        <f t="shared" si="55"/>
        <v>#REF!</v>
      </c>
      <c r="AV37" s="36" t="e">
        <f t="shared" si="56"/>
        <v>#REF!</v>
      </c>
      <c r="AW37" s="36" t="e">
        <f t="shared" si="57"/>
        <v>#REF!</v>
      </c>
      <c r="AX37" s="36" t="e">
        <f t="shared" si="58"/>
        <v>#REF!</v>
      </c>
      <c r="AY37" s="36" t="e">
        <f t="shared" si="59"/>
        <v>#REF!</v>
      </c>
      <c r="AZ37" s="36" t="e">
        <f t="shared" si="60"/>
        <v>#REF!</v>
      </c>
      <c r="BA37" s="36" t="e">
        <f t="shared" si="61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42"/>
        <v>#REF!</v>
      </c>
      <c r="AG38" s="36" t="e">
        <f t="shared" si="43"/>
        <v>#REF!</v>
      </c>
      <c r="AH38" s="36" t="e">
        <f t="shared" si="44"/>
        <v>#REF!</v>
      </c>
      <c r="AI38" s="36" t="e">
        <f t="shared" si="45"/>
        <v>#REF!</v>
      </c>
      <c r="AJ38" s="36" t="e">
        <f t="shared" si="46"/>
        <v>#REF!</v>
      </c>
      <c r="AK38" s="36" t="e">
        <f t="shared" si="47"/>
        <v>#REF!</v>
      </c>
      <c r="AL38" s="36" t="e">
        <f t="shared" si="48"/>
        <v>#REF!</v>
      </c>
      <c r="AM38" s="36" t="e">
        <f t="shared" si="49"/>
        <v>#REF!</v>
      </c>
      <c r="AN38" s="36" t="e">
        <f t="shared" si="50"/>
        <v>#REF!</v>
      </c>
      <c r="AO38" s="36" t="e">
        <f t="shared" si="51"/>
        <v>#REF!</v>
      </c>
      <c r="AQ38" s="38"/>
      <c r="AR38" s="36" t="e">
        <f t="shared" si="52"/>
        <v>#REF!</v>
      </c>
      <c r="AS38" s="36" t="e">
        <f t="shared" si="53"/>
        <v>#REF!</v>
      </c>
      <c r="AT38" s="36" t="e">
        <f t="shared" si="54"/>
        <v>#REF!</v>
      </c>
      <c r="AU38" s="36" t="e">
        <f t="shared" si="55"/>
        <v>#REF!</v>
      </c>
      <c r="AV38" s="36" t="e">
        <f t="shared" si="56"/>
        <v>#REF!</v>
      </c>
      <c r="AW38" s="36" t="e">
        <f t="shared" si="57"/>
        <v>#REF!</v>
      </c>
      <c r="AX38" s="36" t="e">
        <f t="shared" si="58"/>
        <v>#REF!</v>
      </c>
      <c r="AY38" s="36" t="e">
        <f t="shared" si="59"/>
        <v>#REF!</v>
      </c>
      <c r="AZ38" s="36" t="e">
        <f t="shared" si="60"/>
        <v>#REF!</v>
      </c>
      <c r="BA38" s="36" t="e">
        <f t="shared" si="61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42"/>
        <v>#REF!</v>
      </c>
      <c r="AG39" s="36" t="e">
        <f t="shared" si="43"/>
        <v>#REF!</v>
      </c>
      <c r="AH39" s="36" t="e">
        <f t="shared" si="44"/>
        <v>#REF!</v>
      </c>
      <c r="AI39" s="36" t="e">
        <f t="shared" si="45"/>
        <v>#REF!</v>
      </c>
      <c r="AJ39" s="36" t="e">
        <f t="shared" si="46"/>
        <v>#REF!</v>
      </c>
      <c r="AK39" s="36" t="e">
        <f t="shared" si="47"/>
        <v>#REF!</v>
      </c>
      <c r="AL39" s="36" t="e">
        <f t="shared" si="48"/>
        <v>#REF!</v>
      </c>
      <c r="AM39" s="36" t="e">
        <f t="shared" si="49"/>
        <v>#REF!</v>
      </c>
      <c r="AN39" s="36" t="e">
        <f t="shared" si="50"/>
        <v>#REF!</v>
      </c>
      <c r="AO39" s="36" t="e">
        <f t="shared" si="51"/>
        <v>#REF!</v>
      </c>
      <c r="AQ39" s="38"/>
      <c r="AR39" s="36" t="e">
        <f t="shared" si="52"/>
        <v>#REF!</v>
      </c>
      <c r="AS39" s="36" t="e">
        <f t="shared" si="53"/>
        <v>#REF!</v>
      </c>
      <c r="AT39" s="36" t="e">
        <f t="shared" si="54"/>
        <v>#REF!</v>
      </c>
      <c r="AU39" s="36" t="e">
        <f t="shared" si="55"/>
        <v>#REF!</v>
      </c>
      <c r="AV39" s="36" t="e">
        <f t="shared" si="56"/>
        <v>#REF!</v>
      </c>
      <c r="AW39" s="36" t="e">
        <f t="shared" si="57"/>
        <v>#REF!</v>
      </c>
      <c r="AX39" s="36" t="e">
        <f t="shared" si="58"/>
        <v>#REF!</v>
      </c>
      <c r="AY39" s="36" t="e">
        <f t="shared" si="59"/>
        <v>#REF!</v>
      </c>
      <c r="AZ39" s="36" t="e">
        <f t="shared" si="60"/>
        <v>#REF!</v>
      </c>
      <c r="BA39" s="36" t="e">
        <f t="shared" si="61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42"/>
        <v>#REF!</v>
      </c>
      <c r="AG40" s="36" t="e">
        <f t="shared" si="43"/>
        <v>#REF!</v>
      </c>
      <c r="AH40" s="36" t="e">
        <f t="shared" si="44"/>
        <v>#REF!</v>
      </c>
      <c r="AI40" s="36" t="e">
        <f t="shared" si="45"/>
        <v>#REF!</v>
      </c>
      <c r="AJ40" s="36" t="e">
        <f t="shared" si="46"/>
        <v>#REF!</v>
      </c>
      <c r="AK40" s="36" t="e">
        <f t="shared" si="47"/>
        <v>#REF!</v>
      </c>
      <c r="AL40" s="36" t="e">
        <f t="shared" si="48"/>
        <v>#REF!</v>
      </c>
      <c r="AM40" s="36" t="e">
        <f t="shared" si="49"/>
        <v>#REF!</v>
      </c>
      <c r="AN40" s="36" t="e">
        <f t="shared" si="50"/>
        <v>#REF!</v>
      </c>
      <c r="AO40" s="36" t="e">
        <f t="shared" si="51"/>
        <v>#REF!</v>
      </c>
      <c r="AQ40" s="38"/>
      <c r="AR40" s="36" t="e">
        <f t="shared" si="52"/>
        <v>#REF!</v>
      </c>
      <c r="AS40" s="36" t="e">
        <f t="shared" si="53"/>
        <v>#REF!</v>
      </c>
      <c r="AT40" s="36" t="e">
        <f t="shared" si="54"/>
        <v>#REF!</v>
      </c>
      <c r="AU40" s="36" t="e">
        <f t="shared" si="55"/>
        <v>#REF!</v>
      </c>
      <c r="AV40" s="36" t="e">
        <f t="shared" si="56"/>
        <v>#REF!</v>
      </c>
      <c r="AW40" s="36" t="e">
        <f t="shared" si="57"/>
        <v>#REF!</v>
      </c>
      <c r="AX40" s="36" t="e">
        <f t="shared" si="58"/>
        <v>#REF!</v>
      </c>
      <c r="AY40" s="36" t="e">
        <f t="shared" si="59"/>
        <v>#REF!</v>
      </c>
      <c r="AZ40" s="36" t="e">
        <f t="shared" si="60"/>
        <v>#REF!</v>
      </c>
      <c r="BA40" s="36" t="e">
        <f t="shared" si="61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42"/>
        <v>#REF!</v>
      </c>
      <c r="AG41" s="36" t="e">
        <f t="shared" si="43"/>
        <v>#REF!</v>
      </c>
      <c r="AH41" s="36" t="e">
        <f t="shared" si="44"/>
        <v>#REF!</v>
      </c>
      <c r="AI41" s="36" t="e">
        <f t="shared" si="45"/>
        <v>#REF!</v>
      </c>
      <c r="AJ41" s="36" t="e">
        <f t="shared" si="46"/>
        <v>#REF!</v>
      </c>
      <c r="AK41" s="36" t="e">
        <f t="shared" si="47"/>
        <v>#REF!</v>
      </c>
      <c r="AL41" s="36" t="e">
        <f t="shared" si="48"/>
        <v>#REF!</v>
      </c>
      <c r="AM41" s="36" t="e">
        <f t="shared" si="49"/>
        <v>#REF!</v>
      </c>
      <c r="AN41" s="36" t="e">
        <f t="shared" si="50"/>
        <v>#REF!</v>
      </c>
      <c r="AO41" s="36" t="e">
        <f t="shared" si="51"/>
        <v>#REF!</v>
      </c>
      <c r="AQ41" s="38"/>
      <c r="AR41" s="36" t="e">
        <f t="shared" si="52"/>
        <v>#REF!</v>
      </c>
      <c r="AS41" s="36" t="e">
        <f t="shared" si="53"/>
        <v>#REF!</v>
      </c>
      <c r="AT41" s="36" t="e">
        <f t="shared" si="54"/>
        <v>#REF!</v>
      </c>
      <c r="AU41" s="36" t="e">
        <f t="shared" si="55"/>
        <v>#REF!</v>
      </c>
      <c r="AV41" s="36" t="e">
        <f t="shared" si="56"/>
        <v>#REF!</v>
      </c>
      <c r="AW41" s="36" t="e">
        <f t="shared" si="57"/>
        <v>#REF!</v>
      </c>
      <c r="AX41" s="36" t="e">
        <f t="shared" si="58"/>
        <v>#REF!</v>
      </c>
      <c r="AY41" s="36" t="e">
        <f t="shared" si="59"/>
        <v>#REF!</v>
      </c>
      <c r="AZ41" s="36" t="e">
        <f t="shared" si="60"/>
        <v>#REF!</v>
      </c>
      <c r="BA41" s="36" t="e">
        <f t="shared" si="61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42"/>
        <v>#REF!</v>
      </c>
      <c r="AG42" s="36" t="e">
        <f t="shared" si="43"/>
        <v>#REF!</v>
      </c>
      <c r="AH42" s="36" t="e">
        <f t="shared" si="44"/>
        <v>#REF!</v>
      </c>
      <c r="AI42" s="36" t="e">
        <f t="shared" si="45"/>
        <v>#REF!</v>
      </c>
      <c r="AJ42" s="36" t="e">
        <f t="shared" si="46"/>
        <v>#REF!</v>
      </c>
      <c r="AK42" s="36" t="e">
        <f t="shared" si="47"/>
        <v>#REF!</v>
      </c>
      <c r="AL42" s="36" t="e">
        <f t="shared" si="48"/>
        <v>#REF!</v>
      </c>
      <c r="AM42" s="36" t="e">
        <f t="shared" si="49"/>
        <v>#REF!</v>
      </c>
      <c r="AN42" s="36" t="e">
        <f t="shared" si="50"/>
        <v>#REF!</v>
      </c>
      <c r="AO42" s="36" t="e">
        <f t="shared" si="51"/>
        <v>#REF!</v>
      </c>
      <c r="AQ42" s="38"/>
      <c r="AR42" s="36" t="e">
        <f t="shared" si="52"/>
        <v>#REF!</v>
      </c>
      <c r="AS42" s="36" t="e">
        <f t="shared" si="53"/>
        <v>#REF!</v>
      </c>
      <c r="AT42" s="36" t="e">
        <f t="shared" si="54"/>
        <v>#REF!</v>
      </c>
      <c r="AU42" s="36" t="e">
        <f t="shared" si="55"/>
        <v>#REF!</v>
      </c>
      <c r="AV42" s="36" t="e">
        <f t="shared" si="56"/>
        <v>#REF!</v>
      </c>
      <c r="AW42" s="36" t="e">
        <f t="shared" si="57"/>
        <v>#REF!</v>
      </c>
      <c r="AX42" s="36" t="e">
        <f t="shared" si="58"/>
        <v>#REF!</v>
      </c>
      <c r="AY42" s="36" t="e">
        <f t="shared" si="59"/>
        <v>#REF!</v>
      </c>
      <c r="AZ42" s="36" t="e">
        <f t="shared" si="60"/>
        <v>#REF!</v>
      </c>
      <c r="BA42" s="36" t="e">
        <f t="shared" si="61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42"/>
        <v>#REF!</v>
      </c>
      <c r="AG43" s="36" t="e">
        <f t="shared" si="43"/>
        <v>#REF!</v>
      </c>
      <c r="AH43" s="36" t="e">
        <f t="shared" si="44"/>
        <v>#REF!</v>
      </c>
      <c r="AI43" s="36" t="e">
        <f t="shared" si="45"/>
        <v>#REF!</v>
      </c>
      <c r="AJ43" s="36" t="e">
        <f t="shared" si="46"/>
        <v>#REF!</v>
      </c>
      <c r="AK43" s="36" t="e">
        <f t="shared" si="47"/>
        <v>#REF!</v>
      </c>
      <c r="AL43" s="36" t="e">
        <f t="shared" si="48"/>
        <v>#REF!</v>
      </c>
      <c r="AM43" s="36" t="e">
        <f t="shared" si="49"/>
        <v>#REF!</v>
      </c>
      <c r="AN43" s="36" t="e">
        <f t="shared" si="50"/>
        <v>#REF!</v>
      </c>
      <c r="AO43" s="36" t="e">
        <f t="shared" si="51"/>
        <v>#REF!</v>
      </c>
      <c r="AQ43" s="38"/>
      <c r="AR43" s="36" t="e">
        <f t="shared" si="52"/>
        <v>#REF!</v>
      </c>
      <c r="AS43" s="36" t="e">
        <f t="shared" si="53"/>
        <v>#REF!</v>
      </c>
      <c r="AT43" s="36" t="e">
        <f t="shared" si="54"/>
        <v>#REF!</v>
      </c>
      <c r="AU43" s="36" t="e">
        <f t="shared" si="55"/>
        <v>#REF!</v>
      </c>
      <c r="AV43" s="36" t="e">
        <f t="shared" si="56"/>
        <v>#REF!</v>
      </c>
      <c r="AW43" s="36" t="e">
        <f t="shared" si="57"/>
        <v>#REF!</v>
      </c>
      <c r="AX43" s="36" t="e">
        <f t="shared" si="58"/>
        <v>#REF!</v>
      </c>
      <c r="AY43" s="36" t="e">
        <f t="shared" si="59"/>
        <v>#REF!</v>
      </c>
      <c r="AZ43" s="36" t="e">
        <f t="shared" si="60"/>
        <v>#REF!</v>
      </c>
      <c r="BA43" s="36" t="e">
        <f t="shared" si="61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42"/>
        <v>#REF!</v>
      </c>
      <c r="AG44" s="36" t="e">
        <f t="shared" si="43"/>
        <v>#REF!</v>
      </c>
      <c r="AH44" s="36" t="e">
        <f t="shared" si="44"/>
        <v>#REF!</v>
      </c>
      <c r="AI44" s="36" t="e">
        <f t="shared" si="45"/>
        <v>#REF!</v>
      </c>
      <c r="AJ44" s="36" t="e">
        <f t="shared" si="46"/>
        <v>#REF!</v>
      </c>
      <c r="AK44" s="36" t="e">
        <f t="shared" si="47"/>
        <v>#REF!</v>
      </c>
      <c r="AL44" s="36" t="e">
        <f t="shared" si="48"/>
        <v>#REF!</v>
      </c>
      <c r="AM44" s="36" t="e">
        <f t="shared" si="49"/>
        <v>#REF!</v>
      </c>
      <c r="AN44" s="36" t="e">
        <f t="shared" si="50"/>
        <v>#REF!</v>
      </c>
      <c r="AO44" s="36" t="e">
        <f t="shared" si="51"/>
        <v>#REF!</v>
      </c>
      <c r="AQ44" s="38"/>
      <c r="AR44" s="36" t="e">
        <f t="shared" si="52"/>
        <v>#REF!</v>
      </c>
      <c r="AS44" s="36" t="e">
        <f t="shared" si="53"/>
        <v>#REF!</v>
      </c>
      <c r="AT44" s="36" t="e">
        <f t="shared" si="54"/>
        <v>#REF!</v>
      </c>
      <c r="AU44" s="36" t="e">
        <f t="shared" si="55"/>
        <v>#REF!</v>
      </c>
      <c r="AV44" s="36" t="e">
        <f t="shared" si="56"/>
        <v>#REF!</v>
      </c>
      <c r="AW44" s="36" t="e">
        <f t="shared" si="57"/>
        <v>#REF!</v>
      </c>
      <c r="AX44" s="36" t="e">
        <f t="shared" si="58"/>
        <v>#REF!</v>
      </c>
      <c r="AY44" s="36" t="e">
        <f t="shared" si="59"/>
        <v>#REF!</v>
      </c>
      <c r="AZ44" s="36" t="e">
        <f t="shared" si="60"/>
        <v>#REF!</v>
      </c>
      <c r="BA44" s="36" t="e">
        <f t="shared" si="61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Q45" s="38"/>
    </row>
    <row r="46" spans="1:53" hidden="1">
      <c r="AQ46" s="38"/>
    </row>
    <row r="47" spans="1:53" ht="63.75" hidden="1"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6" t="s">
        <v>43</v>
      </c>
      <c r="AB48" s="67"/>
      <c r="AC48" s="68"/>
      <c r="AD48" s="68"/>
      <c r="AE48" s="68"/>
      <c r="AG48" s="70"/>
      <c r="AQ48" s="38"/>
    </row>
    <row r="49" spans="27:53" hidden="1">
      <c r="AA49" s="69" t="s">
        <v>44</v>
      </c>
      <c r="AB49" s="35"/>
      <c r="AF49" s="70" t="e">
        <f t="shared" ref="AF49:AO49" si="62">AF14+AF16+AF17</f>
        <v>#REF!</v>
      </c>
      <c r="AG49" s="70" t="e">
        <f t="shared" si="62"/>
        <v>#REF!</v>
      </c>
      <c r="AH49" s="70" t="e">
        <f t="shared" si="62"/>
        <v>#REF!</v>
      </c>
      <c r="AI49" s="70" t="e">
        <f t="shared" si="62"/>
        <v>#REF!</v>
      </c>
      <c r="AJ49" s="70" t="e">
        <f t="shared" si="62"/>
        <v>#REF!</v>
      </c>
      <c r="AK49" s="70" t="e">
        <f t="shared" si="62"/>
        <v>#REF!</v>
      </c>
      <c r="AL49" s="70" t="e">
        <f t="shared" si="62"/>
        <v>#REF!</v>
      </c>
      <c r="AM49" s="70" t="e">
        <f t="shared" si="62"/>
        <v>#REF!</v>
      </c>
      <c r="AN49" s="70" t="e">
        <f t="shared" si="62"/>
        <v>#REF!</v>
      </c>
      <c r="AO49" s="70" t="e">
        <f t="shared" si="62"/>
        <v>#REF!</v>
      </c>
      <c r="AP49" s="70"/>
      <c r="AQ49" s="70"/>
      <c r="AR49" s="70" t="e">
        <f t="shared" ref="AR49:BA49" si="63">AR14+AR16+AR17</f>
        <v>#REF!</v>
      </c>
      <c r="AS49" s="70" t="e">
        <f t="shared" si="63"/>
        <v>#REF!</v>
      </c>
      <c r="AT49" s="70" t="e">
        <f t="shared" si="63"/>
        <v>#REF!</v>
      </c>
      <c r="AU49" s="70" t="e">
        <f t="shared" si="63"/>
        <v>#REF!</v>
      </c>
      <c r="AV49" s="70" t="e">
        <f t="shared" si="63"/>
        <v>#REF!</v>
      </c>
      <c r="AW49" s="70" t="e">
        <f t="shared" si="63"/>
        <v>#REF!</v>
      </c>
      <c r="AX49" s="70" t="e">
        <f t="shared" si="63"/>
        <v>#REF!</v>
      </c>
      <c r="AY49" s="70" t="e">
        <f t="shared" si="63"/>
        <v>#REF!</v>
      </c>
      <c r="AZ49" s="70" t="e">
        <f t="shared" si="63"/>
        <v>#REF!</v>
      </c>
      <c r="BA49" s="70" t="e">
        <f t="shared" si="63"/>
        <v>#REF!</v>
      </c>
    </row>
    <row r="50" spans="27:53" hidden="1">
      <c r="AA50" s="71" t="s">
        <v>29</v>
      </c>
      <c r="AB50" s="35"/>
      <c r="AF50" s="70" t="e">
        <f t="shared" ref="AF50:AO50" si="64">AF25+AF27+AF28</f>
        <v>#REF!</v>
      </c>
      <c r="AG50" s="70" t="e">
        <f t="shared" si="64"/>
        <v>#REF!</v>
      </c>
      <c r="AH50" s="70" t="e">
        <f t="shared" si="64"/>
        <v>#REF!</v>
      </c>
      <c r="AI50" s="70" t="e">
        <f t="shared" si="64"/>
        <v>#REF!</v>
      </c>
      <c r="AJ50" s="70" t="e">
        <f t="shared" si="64"/>
        <v>#REF!</v>
      </c>
      <c r="AK50" s="70" t="e">
        <f t="shared" si="64"/>
        <v>#REF!</v>
      </c>
      <c r="AL50" s="70" t="e">
        <f t="shared" si="64"/>
        <v>#REF!</v>
      </c>
      <c r="AM50" s="70" t="e">
        <f t="shared" si="64"/>
        <v>#REF!</v>
      </c>
      <c r="AN50" s="70" t="e">
        <f t="shared" si="64"/>
        <v>#REF!</v>
      </c>
      <c r="AO50" s="70" t="e">
        <f t="shared" si="64"/>
        <v>#REF!</v>
      </c>
      <c r="AP50" s="70"/>
      <c r="AQ50" s="70"/>
      <c r="AR50" s="70" t="e">
        <f t="shared" ref="AR50:BA50" si="65">AR25+AR27+AR28</f>
        <v>#REF!</v>
      </c>
      <c r="AS50" s="70" t="e">
        <f t="shared" si="65"/>
        <v>#REF!</v>
      </c>
      <c r="AT50" s="70" t="e">
        <f t="shared" si="65"/>
        <v>#REF!</v>
      </c>
      <c r="AU50" s="70" t="e">
        <f t="shared" si="65"/>
        <v>#REF!</v>
      </c>
      <c r="AV50" s="70" t="e">
        <f t="shared" si="65"/>
        <v>#REF!</v>
      </c>
      <c r="AW50" s="70" t="e">
        <f t="shared" si="65"/>
        <v>#REF!</v>
      </c>
      <c r="AX50" s="70" t="e">
        <f t="shared" si="65"/>
        <v>#REF!</v>
      </c>
      <c r="AY50" s="70" t="e">
        <f t="shared" si="65"/>
        <v>#REF!</v>
      </c>
      <c r="AZ50" s="70" t="e">
        <f t="shared" si="65"/>
        <v>#REF!</v>
      </c>
      <c r="BA50" s="70" t="e">
        <f t="shared" si="65"/>
        <v>#REF!</v>
      </c>
    </row>
    <row r="51" spans="27:53" hidden="1">
      <c r="AA51" s="71" t="s">
        <v>41</v>
      </c>
      <c r="AB51" s="35"/>
      <c r="AF51" s="70" t="e">
        <f t="shared" ref="AF51:AO51" si="66">AF36+AF38+AF39</f>
        <v>#REF!</v>
      </c>
      <c r="AG51" s="70" t="e">
        <f t="shared" si="66"/>
        <v>#REF!</v>
      </c>
      <c r="AH51" s="70" t="e">
        <f t="shared" si="66"/>
        <v>#REF!</v>
      </c>
      <c r="AI51" s="70" t="e">
        <f t="shared" si="66"/>
        <v>#REF!</v>
      </c>
      <c r="AJ51" s="70" t="e">
        <f t="shared" si="66"/>
        <v>#REF!</v>
      </c>
      <c r="AK51" s="70" t="e">
        <f t="shared" si="66"/>
        <v>#REF!</v>
      </c>
      <c r="AL51" s="70" t="e">
        <f t="shared" si="66"/>
        <v>#REF!</v>
      </c>
      <c r="AM51" s="70" t="e">
        <f t="shared" si="66"/>
        <v>#REF!</v>
      </c>
      <c r="AN51" s="70" t="e">
        <f t="shared" si="66"/>
        <v>#REF!</v>
      </c>
      <c r="AO51" s="70" t="e">
        <f t="shared" si="66"/>
        <v>#REF!</v>
      </c>
      <c r="AP51" s="70"/>
      <c r="AQ51" s="70"/>
      <c r="AR51" s="70" t="e">
        <f t="shared" ref="AR51:BA51" si="67">AR36+AR38+AR39</f>
        <v>#REF!</v>
      </c>
      <c r="AS51" s="70" t="e">
        <f t="shared" si="67"/>
        <v>#REF!</v>
      </c>
      <c r="AT51" s="70" t="e">
        <f t="shared" si="67"/>
        <v>#REF!</v>
      </c>
      <c r="AU51" s="70" t="e">
        <f t="shared" si="67"/>
        <v>#REF!</v>
      </c>
      <c r="AV51" s="70" t="e">
        <f t="shared" si="67"/>
        <v>#REF!</v>
      </c>
      <c r="AW51" s="70" t="e">
        <f t="shared" si="67"/>
        <v>#REF!</v>
      </c>
      <c r="AX51" s="70" t="e">
        <f t="shared" si="67"/>
        <v>#REF!</v>
      </c>
      <c r="AY51" s="70" t="e">
        <f t="shared" si="67"/>
        <v>#REF!</v>
      </c>
      <c r="AZ51" s="70" t="e">
        <f t="shared" si="67"/>
        <v>#REF!</v>
      </c>
      <c r="BA51" s="70" t="e">
        <f t="shared" si="67"/>
        <v>#REF!</v>
      </c>
    </row>
    <row r="52" spans="27:53" hidden="1">
      <c r="AA52" s="71" t="s">
        <v>42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69" t="s">
        <v>45</v>
      </c>
      <c r="AB53" s="35"/>
      <c r="AF53" s="70" t="e">
        <f t="shared" ref="AF53:AO53" si="68">AF14+AF16+AF18+AF20</f>
        <v>#REF!</v>
      </c>
      <c r="AG53" s="70" t="e">
        <f t="shared" si="68"/>
        <v>#REF!</v>
      </c>
      <c r="AH53" s="70" t="e">
        <f t="shared" si="68"/>
        <v>#REF!</v>
      </c>
      <c r="AI53" s="70" t="e">
        <f t="shared" si="68"/>
        <v>#REF!</v>
      </c>
      <c r="AJ53" s="70" t="e">
        <f t="shared" si="68"/>
        <v>#REF!</v>
      </c>
      <c r="AK53" s="70" t="e">
        <f t="shared" si="68"/>
        <v>#REF!</v>
      </c>
      <c r="AL53" s="70" t="e">
        <f t="shared" si="68"/>
        <v>#REF!</v>
      </c>
      <c r="AM53" s="70" t="e">
        <f t="shared" si="68"/>
        <v>#REF!</v>
      </c>
      <c r="AN53" s="70" t="e">
        <f t="shared" si="68"/>
        <v>#REF!</v>
      </c>
      <c r="AO53" s="70" t="e">
        <f t="shared" si="68"/>
        <v>#REF!</v>
      </c>
      <c r="AP53" s="70"/>
      <c r="AQ53" s="70"/>
      <c r="AR53" s="70" t="e">
        <f t="shared" ref="AR53:BA53" si="69">AR14+AR16+AR18+AR20</f>
        <v>#REF!</v>
      </c>
      <c r="AS53" s="70" t="e">
        <f t="shared" si="69"/>
        <v>#REF!</v>
      </c>
      <c r="AT53" s="70" t="e">
        <f t="shared" si="69"/>
        <v>#REF!</v>
      </c>
      <c r="AU53" s="70" t="e">
        <f t="shared" si="69"/>
        <v>#REF!</v>
      </c>
      <c r="AV53" s="70" t="e">
        <f t="shared" si="69"/>
        <v>#REF!</v>
      </c>
      <c r="AW53" s="70" t="e">
        <f t="shared" si="69"/>
        <v>#REF!</v>
      </c>
      <c r="AX53" s="70" t="e">
        <f t="shared" si="69"/>
        <v>#REF!</v>
      </c>
      <c r="AY53" s="70" t="e">
        <f t="shared" si="69"/>
        <v>#REF!</v>
      </c>
      <c r="AZ53" s="70" t="e">
        <f t="shared" si="69"/>
        <v>#REF!</v>
      </c>
      <c r="BA53" s="70" t="e">
        <f t="shared" si="69"/>
        <v>#REF!</v>
      </c>
    </row>
    <row r="54" spans="27:53" hidden="1">
      <c r="AA54" s="71" t="s">
        <v>29</v>
      </c>
      <c r="AB54" s="35"/>
      <c r="AF54" s="70" t="e">
        <f t="shared" ref="AF54:AO54" si="70">AF25+AF27+AF29+AF31</f>
        <v>#REF!</v>
      </c>
      <c r="AG54" s="70" t="e">
        <f t="shared" si="70"/>
        <v>#REF!</v>
      </c>
      <c r="AH54" s="70" t="e">
        <f t="shared" si="70"/>
        <v>#REF!</v>
      </c>
      <c r="AI54" s="70" t="e">
        <f t="shared" si="70"/>
        <v>#REF!</v>
      </c>
      <c r="AJ54" s="70" t="e">
        <f t="shared" si="70"/>
        <v>#REF!</v>
      </c>
      <c r="AK54" s="70" t="e">
        <f t="shared" si="70"/>
        <v>#REF!</v>
      </c>
      <c r="AL54" s="70" t="e">
        <f t="shared" si="70"/>
        <v>#REF!</v>
      </c>
      <c r="AM54" s="70" t="e">
        <f t="shared" si="70"/>
        <v>#REF!</v>
      </c>
      <c r="AN54" s="70" t="e">
        <f t="shared" si="70"/>
        <v>#REF!</v>
      </c>
      <c r="AO54" s="70" t="e">
        <f t="shared" si="70"/>
        <v>#REF!</v>
      </c>
      <c r="AP54" s="70"/>
      <c r="AQ54" s="70"/>
      <c r="AR54" s="70" t="e">
        <f t="shared" ref="AR54:BA54" si="71">AR25+AR27+AR29+AR31</f>
        <v>#REF!</v>
      </c>
      <c r="AS54" s="70" t="e">
        <f t="shared" si="71"/>
        <v>#REF!</v>
      </c>
      <c r="AT54" s="70" t="e">
        <f t="shared" si="71"/>
        <v>#REF!</v>
      </c>
      <c r="AU54" s="70" t="e">
        <f t="shared" si="71"/>
        <v>#REF!</v>
      </c>
      <c r="AV54" s="70" t="e">
        <f t="shared" si="71"/>
        <v>#REF!</v>
      </c>
      <c r="AW54" s="70" t="e">
        <f t="shared" si="71"/>
        <v>#REF!</v>
      </c>
      <c r="AX54" s="70" t="e">
        <f t="shared" si="71"/>
        <v>#REF!</v>
      </c>
      <c r="AY54" s="70" t="e">
        <f t="shared" si="71"/>
        <v>#REF!</v>
      </c>
      <c r="AZ54" s="70" t="e">
        <f t="shared" si="71"/>
        <v>#REF!</v>
      </c>
      <c r="BA54" s="70" t="e">
        <f t="shared" si="71"/>
        <v>#REF!</v>
      </c>
    </row>
    <row r="55" spans="27:53" hidden="1">
      <c r="AA55" s="71" t="s">
        <v>41</v>
      </c>
      <c r="AB55" s="35"/>
      <c r="AF55" s="70" t="e">
        <f t="shared" ref="AF55:AO55" si="72">AF36+AF38+AF40+AF42</f>
        <v>#REF!</v>
      </c>
      <c r="AG55" s="70" t="e">
        <f t="shared" si="72"/>
        <v>#REF!</v>
      </c>
      <c r="AH55" s="70" t="e">
        <f t="shared" si="72"/>
        <v>#REF!</v>
      </c>
      <c r="AI55" s="70" t="e">
        <f t="shared" si="72"/>
        <v>#REF!</v>
      </c>
      <c r="AJ55" s="70" t="e">
        <f t="shared" si="72"/>
        <v>#REF!</v>
      </c>
      <c r="AK55" s="70" t="e">
        <f t="shared" si="72"/>
        <v>#REF!</v>
      </c>
      <c r="AL55" s="70" t="e">
        <f t="shared" si="72"/>
        <v>#REF!</v>
      </c>
      <c r="AM55" s="70" t="e">
        <f t="shared" si="72"/>
        <v>#REF!</v>
      </c>
      <c r="AN55" s="70" t="e">
        <f t="shared" si="72"/>
        <v>#REF!</v>
      </c>
      <c r="AO55" s="70" t="e">
        <f t="shared" si="72"/>
        <v>#REF!</v>
      </c>
      <c r="AP55" s="70"/>
      <c r="AQ55" s="70"/>
      <c r="AR55" s="70" t="e">
        <f t="shared" ref="AR55:BA55" si="73">AR36+AR38+AR40+AR42</f>
        <v>#REF!</v>
      </c>
      <c r="AS55" s="70" t="e">
        <f t="shared" si="73"/>
        <v>#REF!</v>
      </c>
      <c r="AT55" s="70" t="e">
        <f t="shared" si="73"/>
        <v>#REF!</v>
      </c>
      <c r="AU55" s="70" t="e">
        <f t="shared" si="73"/>
        <v>#REF!</v>
      </c>
      <c r="AV55" s="70" t="e">
        <f t="shared" si="73"/>
        <v>#REF!</v>
      </c>
      <c r="AW55" s="70" t="e">
        <f t="shared" si="73"/>
        <v>#REF!</v>
      </c>
      <c r="AX55" s="70" t="e">
        <f t="shared" si="73"/>
        <v>#REF!</v>
      </c>
      <c r="AY55" s="70" t="e">
        <f t="shared" si="73"/>
        <v>#REF!</v>
      </c>
      <c r="AZ55" s="70" t="e">
        <f t="shared" si="73"/>
        <v>#REF!</v>
      </c>
      <c r="BA55" s="70" t="e">
        <f t="shared" si="73"/>
        <v>#REF!</v>
      </c>
    </row>
    <row r="56" spans="27:53" hidden="1">
      <c r="AA56" s="71" t="s">
        <v>42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69" t="s">
        <v>46</v>
      </c>
      <c r="AB57" s="35"/>
      <c r="AF57" s="70" t="e">
        <f t="shared" ref="AF57:AO57" si="74">AF14+AF16+AF18+AF19+AF21</f>
        <v>#REF!</v>
      </c>
      <c r="AG57" s="70" t="e">
        <f t="shared" si="74"/>
        <v>#REF!</v>
      </c>
      <c r="AH57" s="70" t="e">
        <f t="shared" si="74"/>
        <v>#REF!</v>
      </c>
      <c r="AI57" s="70" t="e">
        <f t="shared" si="74"/>
        <v>#REF!</v>
      </c>
      <c r="AJ57" s="70" t="e">
        <f t="shared" si="74"/>
        <v>#REF!</v>
      </c>
      <c r="AK57" s="70" t="e">
        <f t="shared" si="74"/>
        <v>#REF!</v>
      </c>
      <c r="AL57" s="70" t="e">
        <f t="shared" si="74"/>
        <v>#REF!</v>
      </c>
      <c r="AM57" s="70" t="e">
        <f t="shared" si="74"/>
        <v>#REF!</v>
      </c>
      <c r="AN57" s="70" t="e">
        <f t="shared" si="74"/>
        <v>#REF!</v>
      </c>
      <c r="AO57" s="70" t="e">
        <f t="shared" si="74"/>
        <v>#REF!</v>
      </c>
      <c r="AP57" s="70"/>
      <c r="AQ57" s="70"/>
      <c r="AR57" s="70" t="e">
        <f t="shared" ref="AR57:BA57" si="75">AR14+AR16+AR18+AR19+AR21</f>
        <v>#REF!</v>
      </c>
      <c r="AS57" s="70" t="e">
        <f t="shared" si="75"/>
        <v>#REF!</v>
      </c>
      <c r="AT57" s="70" t="e">
        <f t="shared" si="75"/>
        <v>#REF!</v>
      </c>
      <c r="AU57" s="70" t="e">
        <f t="shared" si="75"/>
        <v>#REF!</v>
      </c>
      <c r="AV57" s="70" t="e">
        <f t="shared" si="75"/>
        <v>#REF!</v>
      </c>
      <c r="AW57" s="70" t="e">
        <f t="shared" si="75"/>
        <v>#REF!</v>
      </c>
      <c r="AX57" s="70" t="e">
        <f t="shared" si="75"/>
        <v>#REF!</v>
      </c>
      <c r="AY57" s="70" t="e">
        <f t="shared" si="75"/>
        <v>#REF!</v>
      </c>
      <c r="AZ57" s="70" t="e">
        <f t="shared" si="75"/>
        <v>#REF!</v>
      </c>
      <c r="BA57" s="70" t="e">
        <f t="shared" si="75"/>
        <v>#REF!</v>
      </c>
    </row>
    <row r="58" spans="27:53" hidden="1">
      <c r="AA58" s="71" t="s">
        <v>29</v>
      </c>
      <c r="AB58" s="35"/>
      <c r="AF58" s="70" t="e">
        <f t="shared" ref="AF58:AO58" si="76">AF25+AF27+AF29+AF30+AF32</f>
        <v>#REF!</v>
      </c>
      <c r="AG58" s="70" t="e">
        <f t="shared" si="76"/>
        <v>#REF!</v>
      </c>
      <c r="AH58" s="70" t="e">
        <f t="shared" si="76"/>
        <v>#REF!</v>
      </c>
      <c r="AI58" s="70" t="e">
        <f t="shared" si="76"/>
        <v>#REF!</v>
      </c>
      <c r="AJ58" s="70" t="e">
        <f t="shared" si="76"/>
        <v>#REF!</v>
      </c>
      <c r="AK58" s="70" t="e">
        <f t="shared" si="76"/>
        <v>#REF!</v>
      </c>
      <c r="AL58" s="70" t="e">
        <f t="shared" si="76"/>
        <v>#REF!</v>
      </c>
      <c r="AM58" s="70" t="e">
        <f t="shared" si="76"/>
        <v>#REF!</v>
      </c>
      <c r="AN58" s="70" t="e">
        <f t="shared" si="76"/>
        <v>#REF!</v>
      </c>
      <c r="AO58" s="70" t="e">
        <f t="shared" si="76"/>
        <v>#REF!</v>
      </c>
      <c r="AP58" s="70"/>
      <c r="AQ58" s="70"/>
      <c r="AR58" s="70" t="e">
        <f t="shared" ref="AR58:BA58" si="77">AR25+AR27+AR29+AR30+AR32</f>
        <v>#REF!</v>
      </c>
      <c r="AS58" s="70" t="e">
        <f t="shared" si="77"/>
        <v>#REF!</v>
      </c>
      <c r="AT58" s="70" t="e">
        <f t="shared" si="77"/>
        <v>#REF!</v>
      </c>
      <c r="AU58" s="70" t="e">
        <f t="shared" si="77"/>
        <v>#REF!</v>
      </c>
      <c r="AV58" s="70" t="e">
        <f t="shared" si="77"/>
        <v>#REF!</v>
      </c>
      <c r="AW58" s="70" t="e">
        <f t="shared" si="77"/>
        <v>#REF!</v>
      </c>
      <c r="AX58" s="70" t="e">
        <f t="shared" si="77"/>
        <v>#REF!</v>
      </c>
      <c r="AY58" s="70" t="e">
        <f t="shared" si="77"/>
        <v>#REF!</v>
      </c>
      <c r="AZ58" s="70" t="e">
        <f t="shared" si="77"/>
        <v>#REF!</v>
      </c>
      <c r="BA58" s="70" t="e">
        <f t="shared" si="77"/>
        <v>#REF!</v>
      </c>
    </row>
    <row r="59" spans="27:53" hidden="1">
      <c r="AA59" s="71" t="s">
        <v>41</v>
      </c>
      <c r="AB59" s="35"/>
      <c r="AF59" s="70" t="e">
        <f t="shared" ref="AF59:AO59" si="78">AF36+AF38+AF40+AF41+AF43</f>
        <v>#REF!</v>
      </c>
      <c r="AG59" s="70" t="e">
        <f t="shared" si="78"/>
        <v>#REF!</v>
      </c>
      <c r="AH59" s="70" t="e">
        <f t="shared" si="78"/>
        <v>#REF!</v>
      </c>
      <c r="AI59" s="70" t="e">
        <f t="shared" si="78"/>
        <v>#REF!</v>
      </c>
      <c r="AJ59" s="70" t="e">
        <f t="shared" si="78"/>
        <v>#REF!</v>
      </c>
      <c r="AK59" s="70" t="e">
        <f t="shared" si="78"/>
        <v>#REF!</v>
      </c>
      <c r="AL59" s="70" t="e">
        <f t="shared" si="78"/>
        <v>#REF!</v>
      </c>
      <c r="AM59" s="70" t="e">
        <f t="shared" si="78"/>
        <v>#REF!</v>
      </c>
      <c r="AN59" s="70" t="e">
        <f t="shared" si="78"/>
        <v>#REF!</v>
      </c>
      <c r="AO59" s="70" t="e">
        <f t="shared" si="78"/>
        <v>#REF!</v>
      </c>
      <c r="AP59" s="70"/>
      <c r="AQ59" s="70"/>
      <c r="AR59" s="70" t="e">
        <f t="shared" ref="AR59:BA59" si="79">AR36+AR38+AR40+AR41+AR43</f>
        <v>#REF!</v>
      </c>
      <c r="AS59" s="70" t="e">
        <f t="shared" si="79"/>
        <v>#REF!</v>
      </c>
      <c r="AT59" s="70" t="e">
        <f t="shared" si="79"/>
        <v>#REF!</v>
      </c>
      <c r="AU59" s="70" t="e">
        <f t="shared" si="79"/>
        <v>#REF!</v>
      </c>
      <c r="AV59" s="70" t="e">
        <f t="shared" si="79"/>
        <v>#REF!</v>
      </c>
      <c r="AW59" s="70" t="e">
        <f t="shared" si="79"/>
        <v>#REF!</v>
      </c>
      <c r="AX59" s="70" t="e">
        <f t="shared" si="79"/>
        <v>#REF!</v>
      </c>
      <c r="AY59" s="70" t="e">
        <f t="shared" si="79"/>
        <v>#REF!</v>
      </c>
      <c r="AZ59" s="70" t="e">
        <f t="shared" si="79"/>
        <v>#REF!</v>
      </c>
      <c r="BA59" s="70" t="e">
        <f t="shared" si="79"/>
        <v>#REF!</v>
      </c>
    </row>
    <row r="60" spans="27:53" hidden="1">
      <c r="AA60" s="71" t="s">
        <v>42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69" t="s">
        <v>47</v>
      </c>
      <c r="AB61" s="35"/>
      <c r="AF61" s="70" t="e">
        <f t="shared" ref="AF61:AO61" si="80">AF14+AF16+AF18+AF19+AF22</f>
        <v>#REF!</v>
      </c>
      <c r="AG61" s="70" t="e">
        <f t="shared" si="80"/>
        <v>#REF!</v>
      </c>
      <c r="AH61" s="70" t="e">
        <f t="shared" si="80"/>
        <v>#REF!</v>
      </c>
      <c r="AI61" s="70" t="e">
        <f t="shared" si="80"/>
        <v>#REF!</v>
      </c>
      <c r="AJ61" s="70" t="e">
        <f t="shared" si="80"/>
        <v>#REF!</v>
      </c>
      <c r="AK61" s="70" t="e">
        <f t="shared" si="80"/>
        <v>#REF!</v>
      </c>
      <c r="AL61" s="70" t="e">
        <f t="shared" si="80"/>
        <v>#REF!</v>
      </c>
      <c r="AM61" s="70" t="e">
        <f t="shared" si="80"/>
        <v>#REF!</v>
      </c>
      <c r="AN61" s="70" t="e">
        <f t="shared" si="80"/>
        <v>#REF!</v>
      </c>
      <c r="AO61" s="70" t="e">
        <f t="shared" si="80"/>
        <v>#REF!</v>
      </c>
      <c r="AP61" s="70"/>
      <c r="AQ61" s="70"/>
      <c r="AR61" s="70" t="e">
        <f t="shared" ref="AR61:BA61" si="81">AR14+AR16+AR18+AR19+AR22</f>
        <v>#REF!</v>
      </c>
      <c r="AS61" s="70" t="e">
        <f t="shared" si="81"/>
        <v>#REF!</v>
      </c>
      <c r="AT61" s="70" t="e">
        <f t="shared" si="81"/>
        <v>#REF!</v>
      </c>
      <c r="AU61" s="70" t="e">
        <f t="shared" si="81"/>
        <v>#REF!</v>
      </c>
      <c r="AV61" s="70" t="e">
        <f t="shared" si="81"/>
        <v>#REF!</v>
      </c>
      <c r="AW61" s="70" t="e">
        <f t="shared" si="81"/>
        <v>#REF!</v>
      </c>
      <c r="AX61" s="70" t="e">
        <f t="shared" si="81"/>
        <v>#REF!</v>
      </c>
      <c r="AY61" s="70" t="e">
        <f t="shared" si="81"/>
        <v>#REF!</v>
      </c>
      <c r="AZ61" s="70" t="e">
        <f t="shared" si="81"/>
        <v>#REF!</v>
      </c>
      <c r="BA61" s="70" t="e">
        <f t="shared" si="81"/>
        <v>#REF!</v>
      </c>
    </row>
    <row r="62" spans="27:53" hidden="1">
      <c r="AA62" s="71" t="s">
        <v>29</v>
      </c>
      <c r="AB62" s="35"/>
      <c r="AF62" s="70" t="e">
        <f t="shared" ref="AF62:AO62" si="82">AF25+AF27+AF29+AF30+AF33</f>
        <v>#REF!</v>
      </c>
      <c r="AG62" s="70" t="e">
        <f t="shared" si="82"/>
        <v>#REF!</v>
      </c>
      <c r="AH62" s="70" t="e">
        <f t="shared" si="82"/>
        <v>#REF!</v>
      </c>
      <c r="AI62" s="70" t="e">
        <f t="shared" si="82"/>
        <v>#REF!</v>
      </c>
      <c r="AJ62" s="70" t="e">
        <f t="shared" si="82"/>
        <v>#REF!</v>
      </c>
      <c r="AK62" s="70" t="e">
        <f t="shared" si="82"/>
        <v>#REF!</v>
      </c>
      <c r="AL62" s="70" t="e">
        <f t="shared" si="82"/>
        <v>#REF!</v>
      </c>
      <c r="AM62" s="70" t="e">
        <f t="shared" si="82"/>
        <v>#REF!</v>
      </c>
      <c r="AN62" s="70" t="e">
        <f t="shared" si="82"/>
        <v>#REF!</v>
      </c>
      <c r="AO62" s="70" t="e">
        <f t="shared" si="82"/>
        <v>#REF!</v>
      </c>
      <c r="AP62" s="70"/>
      <c r="AQ62" s="70"/>
      <c r="AR62" s="70" t="e">
        <f t="shared" ref="AR62:BA62" si="83">AR25+AR27+AR29+AR30+AR33</f>
        <v>#REF!</v>
      </c>
      <c r="AS62" s="70" t="e">
        <f t="shared" si="83"/>
        <v>#REF!</v>
      </c>
      <c r="AT62" s="70" t="e">
        <f t="shared" si="83"/>
        <v>#REF!</v>
      </c>
      <c r="AU62" s="70" t="e">
        <f t="shared" si="83"/>
        <v>#REF!</v>
      </c>
      <c r="AV62" s="70" t="e">
        <f t="shared" si="83"/>
        <v>#REF!</v>
      </c>
      <c r="AW62" s="70" t="e">
        <f t="shared" si="83"/>
        <v>#REF!</v>
      </c>
      <c r="AX62" s="70" t="e">
        <f t="shared" si="83"/>
        <v>#REF!</v>
      </c>
      <c r="AY62" s="70" t="e">
        <f t="shared" si="83"/>
        <v>#REF!</v>
      </c>
      <c r="AZ62" s="70" t="e">
        <f t="shared" si="83"/>
        <v>#REF!</v>
      </c>
      <c r="BA62" s="70" t="e">
        <f t="shared" si="83"/>
        <v>#REF!</v>
      </c>
    </row>
    <row r="63" spans="27:53" hidden="1">
      <c r="AA63" s="71" t="s">
        <v>41</v>
      </c>
      <c r="AB63" s="35"/>
      <c r="AF63" s="70" t="e">
        <f t="shared" ref="AF63:AO63" si="84">AF36+AF38+AF40+AF41+AF44</f>
        <v>#REF!</v>
      </c>
      <c r="AG63" s="70" t="e">
        <f t="shared" si="84"/>
        <v>#REF!</v>
      </c>
      <c r="AH63" s="70" t="e">
        <f t="shared" si="84"/>
        <v>#REF!</v>
      </c>
      <c r="AI63" s="70" t="e">
        <f t="shared" si="84"/>
        <v>#REF!</v>
      </c>
      <c r="AJ63" s="70" t="e">
        <f t="shared" si="84"/>
        <v>#REF!</v>
      </c>
      <c r="AK63" s="70" t="e">
        <f t="shared" si="84"/>
        <v>#REF!</v>
      </c>
      <c r="AL63" s="70" t="e">
        <f t="shared" si="84"/>
        <v>#REF!</v>
      </c>
      <c r="AM63" s="70" t="e">
        <f t="shared" si="84"/>
        <v>#REF!</v>
      </c>
      <c r="AN63" s="70" t="e">
        <f t="shared" si="84"/>
        <v>#REF!</v>
      </c>
      <c r="AO63" s="70" t="e">
        <f t="shared" si="84"/>
        <v>#REF!</v>
      </c>
      <c r="AP63" s="70"/>
      <c r="AQ63" s="70"/>
      <c r="AR63" s="70" t="e">
        <f t="shared" ref="AR63:BA63" si="85">AR36+AR38+AR40+AR41+AR44</f>
        <v>#REF!</v>
      </c>
      <c r="AS63" s="70" t="e">
        <f t="shared" si="85"/>
        <v>#REF!</v>
      </c>
      <c r="AT63" s="70" t="e">
        <f t="shared" si="85"/>
        <v>#REF!</v>
      </c>
      <c r="AU63" s="70" t="e">
        <f t="shared" si="85"/>
        <v>#REF!</v>
      </c>
      <c r="AV63" s="70" t="e">
        <f t="shared" si="85"/>
        <v>#REF!</v>
      </c>
      <c r="AW63" s="70" t="e">
        <f t="shared" si="85"/>
        <v>#REF!</v>
      </c>
      <c r="AX63" s="70" t="e">
        <f t="shared" si="85"/>
        <v>#REF!</v>
      </c>
      <c r="AY63" s="70" t="e">
        <f t="shared" si="85"/>
        <v>#REF!</v>
      </c>
      <c r="AZ63" s="70" t="e">
        <f t="shared" si="85"/>
        <v>#REF!</v>
      </c>
      <c r="BA63" s="70" t="e">
        <f t="shared" si="85"/>
        <v>#REF!</v>
      </c>
    </row>
    <row r="64" spans="27:53" hidden="1">
      <c r="AA64" s="71" t="s">
        <v>42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69" t="s">
        <v>48</v>
      </c>
      <c r="AB65" s="35"/>
      <c r="AF65" s="70" t="e">
        <f t="shared" ref="AF65:AO65" si="86">AF14+AF15+AF20</f>
        <v>#REF!</v>
      </c>
      <c r="AG65" s="70" t="e">
        <f t="shared" si="86"/>
        <v>#REF!</v>
      </c>
      <c r="AH65" s="70" t="e">
        <f t="shared" si="86"/>
        <v>#REF!</v>
      </c>
      <c r="AI65" s="70" t="e">
        <f t="shared" si="86"/>
        <v>#REF!</v>
      </c>
      <c r="AJ65" s="70" t="e">
        <f t="shared" si="86"/>
        <v>#REF!</v>
      </c>
      <c r="AK65" s="70" t="e">
        <f t="shared" si="86"/>
        <v>#REF!</v>
      </c>
      <c r="AL65" s="70" t="e">
        <f t="shared" si="86"/>
        <v>#REF!</v>
      </c>
      <c r="AM65" s="70" t="e">
        <f t="shared" si="86"/>
        <v>#REF!</v>
      </c>
      <c r="AN65" s="70" t="e">
        <f t="shared" si="86"/>
        <v>#REF!</v>
      </c>
      <c r="AO65" s="70" t="e">
        <f t="shared" si="86"/>
        <v>#REF!</v>
      </c>
      <c r="AP65" s="70"/>
      <c r="AQ65" s="70"/>
      <c r="AR65" s="70" t="e">
        <f t="shared" ref="AR65:BA65" si="87">AR14+AR15+AR20</f>
        <v>#REF!</v>
      </c>
      <c r="AS65" s="70" t="e">
        <f t="shared" si="87"/>
        <v>#REF!</v>
      </c>
      <c r="AT65" s="70" t="e">
        <f t="shared" si="87"/>
        <v>#REF!</v>
      </c>
      <c r="AU65" s="70" t="e">
        <f t="shared" si="87"/>
        <v>#REF!</v>
      </c>
      <c r="AV65" s="70" t="e">
        <f t="shared" si="87"/>
        <v>#REF!</v>
      </c>
      <c r="AW65" s="70" t="e">
        <f t="shared" si="87"/>
        <v>#REF!</v>
      </c>
      <c r="AX65" s="70" t="e">
        <f t="shared" si="87"/>
        <v>#REF!</v>
      </c>
      <c r="AY65" s="70" t="e">
        <f t="shared" si="87"/>
        <v>#REF!</v>
      </c>
      <c r="AZ65" s="70" t="e">
        <f t="shared" si="87"/>
        <v>#REF!</v>
      </c>
      <c r="BA65" s="70" t="e">
        <f t="shared" si="87"/>
        <v>#REF!</v>
      </c>
    </row>
    <row r="66" spans="27:53" hidden="1">
      <c r="AA66" s="71" t="s">
        <v>29</v>
      </c>
      <c r="AB66" s="35"/>
      <c r="AF66" s="70" t="e">
        <f t="shared" ref="AF66:AO66" si="88">AF25+AF26+AF31</f>
        <v>#REF!</v>
      </c>
      <c r="AG66" s="70" t="e">
        <f t="shared" si="88"/>
        <v>#REF!</v>
      </c>
      <c r="AH66" s="70" t="e">
        <f t="shared" si="88"/>
        <v>#REF!</v>
      </c>
      <c r="AI66" s="70" t="e">
        <f t="shared" si="88"/>
        <v>#REF!</v>
      </c>
      <c r="AJ66" s="70" t="e">
        <f t="shared" si="88"/>
        <v>#REF!</v>
      </c>
      <c r="AK66" s="70" t="e">
        <f t="shared" si="88"/>
        <v>#REF!</v>
      </c>
      <c r="AL66" s="70" t="e">
        <f t="shared" si="88"/>
        <v>#REF!</v>
      </c>
      <c r="AM66" s="70" t="e">
        <f t="shared" si="88"/>
        <v>#REF!</v>
      </c>
      <c r="AN66" s="70" t="e">
        <f t="shared" si="88"/>
        <v>#REF!</v>
      </c>
      <c r="AO66" s="70" t="e">
        <f t="shared" si="88"/>
        <v>#REF!</v>
      </c>
      <c r="AP66" s="70"/>
      <c r="AQ66" s="70"/>
      <c r="AR66" s="70" t="e">
        <f t="shared" ref="AR66:BA66" si="89">AR25+AR26+AR31</f>
        <v>#REF!</v>
      </c>
      <c r="AS66" s="70" t="e">
        <f t="shared" si="89"/>
        <v>#REF!</v>
      </c>
      <c r="AT66" s="70" t="e">
        <f t="shared" si="89"/>
        <v>#REF!</v>
      </c>
      <c r="AU66" s="70" t="e">
        <f t="shared" si="89"/>
        <v>#REF!</v>
      </c>
      <c r="AV66" s="70" t="e">
        <f t="shared" si="89"/>
        <v>#REF!</v>
      </c>
      <c r="AW66" s="70" t="e">
        <f t="shared" si="89"/>
        <v>#REF!</v>
      </c>
      <c r="AX66" s="70" t="e">
        <f t="shared" si="89"/>
        <v>#REF!</v>
      </c>
      <c r="AY66" s="70" t="e">
        <f t="shared" si="89"/>
        <v>#REF!</v>
      </c>
      <c r="AZ66" s="70" t="e">
        <f t="shared" si="89"/>
        <v>#REF!</v>
      </c>
      <c r="BA66" s="70" t="e">
        <f t="shared" si="89"/>
        <v>#REF!</v>
      </c>
    </row>
    <row r="67" spans="27:53" hidden="1">
      <c r="AA67" s="71" t="s">
        <v>41</v>
      </c>
      <c r="AB67" s="35"/>
      <c r="AF67" s="70" t="e">
        <f t="shared" ref="AF67:AO67" si="90">AF36+AF37+AF42</f>
        <v>#REF!</v>
      </c>
      <c r="AG67" s="70" t="e">
        <f t="shared" si="90"/>
        <v>#REF!</v>
      </c>
      <c r="AH67" s="70" t="e">
        <f t="shared" si="90"/>
        <v>#REF!</v>
      </c>
      <c r="AI67" s="70" t="e">
        <f t="shared" si="90"/>
        <v>#REF!</v>
      </c>
      <c r="AJ67" s="70" t="e">
        <f t="shared" si="90"/>
        <v>#REF!</v>
      </c>
      <c r="AK67" s="70" t="e">
        <f t="shared" si="90"/>
        <v>#REF!</v>
      </c>
      <c r="AL67" s="70" t="e">
        <f t="shared" si="90"/>
        <v>#REF!</v>
      </c>
      <c r="AM67" s="70" t="e">
        <f t="shared" si="90"/>
        <v>#REF!</v>
      </c>
      <c r="AN67" s="70" t="e">
        <f t="shared" si="90"/>
        <v>#REF!</v>
      </c>
      <c r="AO67" s="70" t="e">
        <f t="shared" si="90"/>
        <v>#REF!</v>
      </c>
      <c r="AP67" s="70"/>
      <c r="AQ67" s="70"/>
      <c r="AR67" s="70" t="e">
        <f t="shared" ref="AR67:BA67" si="91">AR36+AR37+AR42</f>
        <v>#REF!</v>
      </c>
      <c r="AS67" s="70" t="e">
        <f t="shared" si="91"/>
        <v>#REF!</v>
      </c>
      <c r="AT67" s="70" t="e">
        <f t="shared" si="91"/>
        <v>#REF!</v>
      </c>
      <c r="AU67" s="70" t="e">
        <f t="shared" si="91"/>
        <v>#REF!</v>
      </c>
      <c r="AV67" s="70" t="e">
        <f t="shared" si="91"/>
        <v>#REF!</v>
      </c>
      <c r="AW67" s="70" t="e">
        <f t="shared" si="91"/>
        <v>#REF!</v>
      </c>
      <c r="AX67" s="70" t="e">
        <f t="shared" si="91"/>
        <v>#REF!</v>
      </c>
      <c r="AY67" s="70" t="e">
        <f t="shared" si="91"/>
        <v>#REF!</v>
      </c>
      <c r="AZ67" s="70" t="e">
        <f t="shared" si="91"/>
        <v>#REF!</v>
      </c>
      <c r="BA67" s="70" t="e">
        <f t="shared" si="91"/>
        <v>#REF!</v>
      </c>
    </row>
    <row r="68" spans="27:53" hidden="1">
      <c r="AA68" s="71" t="s">
        <v>42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2" t="s">
        <v>49</v>
      </c>
      <c r="AB69" s="35"/>
      <c r="AF69" s="70" t="e">
        <f t="shared" ref="AF69:AO69" si="92">AF14+AF15+AF19+AF21</f>
        <v>#REF!</v>
      </c>
      <c r="AG69" s="70" t="e">
        <f t="shared" si="92"/>
        <v>#REF!</v>
      </c>
      <c r="AH69" s="70" t="e">
        <f t="shared" si="92"/>
        <v>#REF!</v>
      </c>
      <c r="AI69" s="70" t="e">
        <f t="shared" si="92"/>
        <v>#REF!</v>
      </c>
      <c r="AJ69" s="70" t="e">
        <f t="shared" si="92"/>
        <v>#REF!</v>
      </c>
      <c r="AK69" s="70" t="e">
        <f t="shared" si="92"/>
        <v>#REF!</v>
      </c>
      <c r="AL69" s="70" t="e">
        <f t="shared" si="92"/>
        <v>#REF!</v>
      </c>
      <c r="AM69" s="70" t="e">
        <f t="shared" si="92"/>
        <v>#REF!</v>
      </c>
      <c r="AN69" s="70" t="e">
        <f t="shared" si="92"/>
        <v>#REF!</v>
      </c>
      <c r="AO69" s="70" t="e">
        <f t="shared" si="92"/>
        <v>#REF!</v>
      </c>
      <c r="AP69" s="70"/>
      <c r="AQ69" s="70"/>
      <c r="AR69" s="70" t="e">
        <f t="shared" ref="AR69:BA69" si="93">AR14+AR15+AR19+AR21</f>
        <v>#REF!</v>
      </c>
      <c r="AS69" s="70" t="e">
        <f t="shared" si="93"/>
        <v>#REF!</v>
      </c>
      <c r="AT69" s="70" t="e">
        <f t="shared" si="93"/>
        <v>#REF!</v>
      </c>
      <c r="AU69" s="70" t="e">
        <f t="shared" si="93"/>
        <v>#REF!</v>
      </c>
      <c r="AV69" s="70" t="e">
        <f t="shared" si="93"/>
        <v>#REF!</v>
      </c>
      <c r="AW69" s="70" t="e">
        <f t="shared" si="93"/>
        <v>#REF!</v>
      </c>
      <c r="AX69" s="70" t="e">
        <f t="shared" si="93"/>
        <v>#REF!</v>
      </c>
      <c r="AY69" s="70" t="e">
        <f t="shared" si="93"/>
        <v>#REF!</v>
      </c>
      <c r="AZ69" s="70" t="e">
        <f t="shared" si="93"/>
        <v>#REF!</v>
      </c>
      <c r="BA69" s="70" t="e">
        <f t="shared" si="93"/>
        <v>#REF!</v>
      </c>
    </row>
    <row r="70" spans="27:53" hidden="1">
      <c r="AA70" s="71" t="s">
        <v>29</v>
      </c>
      <c r="AB70" s="35"/>
      <c r="AF70" s="70" t="e">
        <f t="shared" ref="AF70:AO70" si="94">AF25+AF26+AF30+AF32</f>
        <v>#REF!</v>
      </c>
      <c r="AG70" s="70" t="e">
        <f t="shared" si="94"/>
        <v>#REF!</v>
      </c>
      <c r="AH70" s="70" t="e">
        <f t="shared" si="94"/>
        <v>#REF!</v>
      </c>
      <c r="AI70" s="70" t="e">
        <f t="shared" si="94"/>
        <v>#REF!</v>
      </c>
      <c r="AJ70" s="70" t="e">
        <f t="shared" si="94"/>
        <v>#REF!</v>
      </c>
      <c r="AK70" s="70" t="e">
        <f t="shared" si="94"/>
        <v>#REF!</v>
      </c>
      <c r="AL70" s="70" t="e">
        <f t="shared" si="94"/>
        <v>#REF!</v>
      </c>
      <c r="AM70" s="70" t="e">
        <f t="shared" si="94"/>
        <v>#REF!</v>
      </c>
      <c r="AN70" s="70" t="e">
        <f t="shared" si="94"/>
        <v>#REF!</v>
      </c>
      <c r="AO70" s="70" t="e">
        <f t="shared" si="94"/>
        <v>#REF!</v>
      </c>
      <c r="AP70" s="70"/>
      <c r="AQ70" s="70"/>
      <c r="AR70" s="70" t="e">
        <f t="shared" ref="AR70:BA70" si="95">AR25+AR26+AR30+AR32</f>
        <v>#REF!</v>
      </c>
      <c r="AS70" s="70" t="e">
        <f t="shared" si="95"/>
        <v>#REF!</v>
      </c>
      <c r="AT70" s="70" t="e">
        <f t="shared" si="95"/>
        <v>#REF!</v>
      </c>
      <c r="AU70" s="70" t="e">
        <f t="shared" si="95"/>
        <v>#REF!</v>
      </c>
      <c r="AV70" s="70" t="e">
        <f t="shared" si="95"/>
        <v>#REF!</v>
      </c>
      <c r="AW70" s="70" t="e">
        <f t="shared" si="95"/>
        <v>#REF!</v>
      </c>
      <c r="AX70" s="70" t="e">
        <f t="shared" si="95"/>
        <v>#REF!</v>
      </c>
      <c r="AY70" s="70" t="e">
        <f t="shared" si="95"/>
        <v>#REF!</v>
      </c>
      <c r="AZ70" s="70" t="e">
        <f t="shared" si="95"/>
        <v>#REF!</v>
      </c>
      <c r="BA70" s="70" t="e">
        <f t="shared" si="95"/>
        <v>#REF!</v>
      </c>
    </row>
    <row r="71" spans="27:53" hidden="1">
      <c r="AA71" s="71" t="s">
        <v>41</v>
      </c>
      <c r="AB71" s="35"/>
      <c r="AF71" s="70" t="e">
        <f t="shared" ref="AF71:AO71" si="96">AF36+AF37+AF41+AF43</f>
        <v>#REF!</v>
      </c>
      <c r="AG71" s="70" t="e">
        <f t="shared" si="96"/>
        <v>#REF!</v>
      </c>
      <c r="AH71" s="70" t="e">
        <f t="shared" si="96"/>
        <v>#REF!</v>
      </c>
      <c r="AI71" s="70" t="e">
        <f t="shared" si="96"/>
        <v>#REF!</v>
      </c>
      <c r="AJ71" s="70" t="e">
        <f t="shared" si="96"/>
        <v>#REF!</v>
      </c>
      <c r="AK71" s="70" t="e">
        <f t="shared" si="96"/>
        <v>#REF!</v>
      </c>
      <c r="AL71" s="70" t="e">
        <f t="shared" si="96"/>
        <v>#REF!</v>
      </c>
      <c r="AM71" s="70" t="e">
        <f t="shared" si="96"/>
        <v>#REF!</v>
      </c>
      <c r="AN71" s="70" t="e">
        <f t="shared" si="96"/>
        <v>#REF!</v>
      </c>
      <c r="AO71" s="70" t="e">
        <f t="shared" si="96"/>
        <v>#REF!</v>
      </c>
      <c r="AP71" s="70"/>
      <c r="AQ71" s="70"/>
      <c r="AR71" s="70" t="e">
        <f t="shared" ref="AR71:BA71" si="97">AR36+AR37+AR41+AR43</f>
        <v>#REF!</v>
      </c>
      <c r="AS71" s="70" t="e">
        <f t="shared" si="97"/>
        <v>#REF!</v>
      </c>
      <c r="AT71" s="70" t="e">
        <f t="shared" si="97"/>
        <v>#REF!</v>
      </c>
      <c r="AU71" s="70" t="e">
        <f t="shared" si="97"/>
        <v>#REF!</v>
      </c>
      <c r="AV71" s="70" t="e">
        <f t="shared" si="97"/>
        <v>#REF!</v>
      </c>
      <c r="AW71" s="70" t="e">
        <f t="shared" si="97"/>
        <v>#REF!</v>
      </c>
      <c r="AX71" s="70" t="e">
        <f t="shared" si="97"/>
        <v>#REF!</v>
      </c>
      <c r="AY71" s="70" t="e">
        <f t="shared" si="97"/>
        <v>#REF!</v>
      </c>
      <c r="AZ71" s="70" t="e">
        <f t="shared" si="97"/>
        <v>#REF!</v>
      </c>
      <c r="BA71" s="70" t="e">
        <f t="shared" si="97"/>
        <v>#REF!</v>
      </c>
    </row>
    <row r="72" spans="27:53" hidden="1">
      <c r="AA72" s="71" t="s">
        <v>42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69" t="s">
        <v>50</v>
      </c>
      <c r="AB73" s="35"/>
      <c r="AF73" s="70" t="e">
        <f t="shared" ref="AF73:AO73" si="98">AF14+AF15+AF19+AF22</f>
        <v>#REF!</v>
      </c>
      <c r="AG73" s="70" t="e">
        <f t="shared" si="98"/>
        <v>#REF!</v>
      </c>
      <c r="AH73" s="70" t="e">
        <f t="shared" si="98"/>
        <v>#REF!</v>
      </c>
      <c r="AI73" s="70" t="e">
        <f t="shared" si="98"/>
        <v>#REF!</v>
      </c>
      <c r="AJ73" s="70" t="e">
        <f t="shared" si="98"/>
        <v>#REF!</v>
      </c>
      <c r="AK73" s="70" t="e">
        <f t="shared" si="98"/>
        <v>#REF!</v>
      </c>
      <c r="AL73" s="70" t="e">
        <f t="shared" si="98"/>
        <v>#REF!</v>
      </c>
      <c r="AM73" s="70" t="e">
        <f t="shared" si="98"/>
        <v>#REF!</v>
      </c>
      <c r="AN73" s="70" t="e">
        <f t="shared" si="98"/>
        <v>#REF!</v>
      </c>
      <c r="AO73" s="70" t="e">
        <f t="shared" si="98"/>
        <v>#REF!</v>
      </c>
      <c r="AP73" s="70"/>
      <c r="AQ73" s="70"/>
      <c r="AR73" s="70" t="e">
        <f t="shared" ref="AR73:BA73" si="99">AR14+AR15+AR19+AR22</f>
        <v>#REF!</v>
      </c>
      <c r="AS73" s="70" t="e">
        <f t="shared" si="99"/>
        <v>#REF!</v>
      </c>
      <c r="AT73" s="70" t="e">
        <f t="shared" si="99"/>
        <v>#REF!</v>
      </c>
      <c r="AU73" s="70" t="e">
        <f t="shared" si="99"/>
        <v>#REF!</v>
      </c>
      <c r="AV73" s="70" t="e">
        <f t="shared" si="99"/>
        <v>#REF!</v>
      </c>
      <c r="AW73" s="70" t="e">
        <f t="shared" si="99"/>
        <v>#REF!</v>
      </c>
      <c r="AX73" s="70" t="e">
        <f t="shared" si="99"/>
        <v>#REF!</v>
      </c>
      <c r="AY73" s="70" t="e">
        <f t="shared" si="99"/>
        <v>#REF!</v>
      </c>
      <c r="AZ73" s="70" t="e">
        <f t="shared" si="99"/>
        <v>#REF!</v>
      </c>
      <c r="BA73" s="70" t="e">
        <f t="shared" si="99"/>
        <v>#REF!</v>
      </c>
    </row>
    <row r="74" spans="27:53" hidden="1">
      <c r="AA74" s="71" t="s">
        <v>29</v>
      </c>
      <c r="AB74" s="35"/>
      <c r="AF74" s="70" t="e">
        <f t="shared" ref="AF74:AO74" si="100">AF25+AF26+AF30+AF33</f>
        <v>#REF!</v>
      </c>
      <c r="AG74" s="70" t="e">
        <f t="shared" si="100"/>
        <v>#REF!</v>
      </c>
      <c r="AH74" s="70" t="e">
        <f t="shared" si="100"/>
        <v>#REF!</v>
      </c>
      <c r="AI74" s="70" t="e">
        <f t="shared" si="100"/>
        <v>#REF!</v>
      </c>
      <c r="AJ74" s="70" t="e">
        <f t="shared" si="100"/>
        <v>#REF!</v>
      </c>
      <c r="AK74" s="70" t="e">
        <f t="shared" si="100"/>
        <v>#REF!</v>
      </c>
      <c r="AL74" s="70" t="e">
        <f t="shared" si="100"/>
        <v>#REF!</v>
      </c>
      <c r="AM74" s="70" t="e">
        <f t="shared" si="100"/>
        <v>#REF!</v>
      </c>
      <c r="AN74" s="70" t="e">
        <f t="shared" si="100"/>
        <v>#REF!</v>
      </c>
      <c r="AO74" s="70" t="e">
        <f t="shared" si="100"/>
        <v>#REF!</v>
      </c>
      <c r="AP74" s="70"/>
      <c r="AQ74" s="70"/>
      <c r="AR74" s="70" t="e">
        <f t="shared" ref="AR74:BA74" si="101">AR25+AR26+AR30+AR33</f>
        <v>#REF!</v>
      </c>
      <c r="AS74" s="70" t="e">
        <f t="shared" si="101"/>
        <v>#REF!</v>
      </c>
      <c r="AT74" s="70" t="e">
        <f t="shared" si="101"/>
        <v>#REF!</v>
      </c>
      <c r="AU74" s="70" t="e">
        <f t="shared" si="101"/>
        <v>#REF!</v>
      </c>
      <c r="AV74" s="70" t="e">
        <f t="shared" si="101"/>
        <v>#REF!</v>
      </c>
      <c r="AW74" s="70" t="e">
        <f t="shared" si="101"/>
        <v>#REF!</v>
      </c>
      <c r="AX74" s="70" t="e">
        <f t="shared" si="101"/>
        <v>#REF!</v>
      </c>
      <c r="AY74" s="70" t="e">
        <f t="shared" si="101"/>
        <v>#REF!</v>
      </c>
      <c r="AZ74" s="70" t="e">
        <f t="shared" si="101"/>
        <v>#REF!</v>
      </c>
      <c r="BA74" s="70" t="e">
        <f t="shared" si="101"/>
        <v>#REF!</v>
      </c>
    </row>
    <row r="75" spans="27:53" hidden="1">
      <c r="AA75" s="71" t="s">
        <v>41</v>
      </c>
      <c r="AB75" s="35"/>
      <c r="AF75" s="70" t="e">
        <f t="shared" ref="AF75:AO75" si="102">AF36+AF37+AF41+AF44</f>
        <v>#REF!</v>
      </c>
      <c r="AG75" s="70" t="e">
        <f t="shared" si="102"/>
        <v>#REF!</v>
      </c>
      <c r="AH75" s="70" t="e">
        <f t="shared" si="102"/>
        <v>#REF!</v>
      </c>
      <c r="AI75" s="70" t="e">
        <f t="shared" si="102"/>
        <v>#REF!</v>
      </c>
      <c r="AJ75" s="70" t="e">
        <f t="shared" si="102"/>
        <v>#REF!</v>
      </c>
      <c r="AK75" s="70" t="e">
        <f t="shared" si="102"/>
        <v>#REF!</v>
      </c>
      <c r="AL75" s="70" t="e">
        <f t="shared" si="102"/>
        <v>#REF!</v>
      </c>
      <c r="AM75" s="70" t="e">
        <f t="shared" si="102"/>
        <v>#REF!</v>
      </c>
      <c r="AN75" s="70" t="e">
        <f t="shared" si="102"/>
        <v>#REF!</v>
      </c>
      <c r="AO75" s="70" t="e">
        <f t="shared" si="102"/>
        <v>#REF!</v>
      </c>
      <c r="AP75" s="70"/>
      <c r="AQ75" s="70"/>
      <c r="AR75" s="70" t="e">
        <f t="shared" ref="AR75:BA75" si="103">AR36+AR37+AR41+AR44</f>
        <v>#REF!</v>
      </c>
      <c r="AS75" s="70" t="e">
        <f t="shared" si="103"/>
        <v>#REF!</v>
      </c>
      <c r="AT75" s="70" t="e">
        <f t="shared" si="103"/>
        <v>#REF!</v>
      </c>
      <c r="AU75" s="70" t="e">
        <f t="shared" si="103"/>
        <v>#REF!</v>
      </c>
      <c r="AV75" s="70" t="e">
        <f t="shared" si="103"/>
        <v>#REF!</v>
      </c>
      <c r="AW75" s="70" t="e">
        <f t="shared" si="103"/>
        <v>#REF!</v>
      </c>
      <c r="AX75" s="70" t="e">
        <f t="shared" si="103"/>
        <v>#REF!</v>
      </c>
      <c r="AY75" s="70" t="e">
        <f t="shared" si="103"/>
        <v>#REF!</v>
      </c>
      <c r="AZ75" s="70" t="e">
        <f t="shared" si="103"/>
        <v>#REF!</v>
      </c>
      <c r="BA75" s="70" t="e">
        <f t="shared" si="103"/>
        <v>#REF!</v>
      </c>
    </row>
    <row r="76" spans="27:53" hidden="1">
      <c r="AA76" s="71" t="s">
        <v>42</v>
      </c>
      <c r="AB76" s="35"/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N86" s="38"/>
      <c r="AZ86" s="36"/>
    </row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545" t="s">
        <v>55</v>
      </c>
      <c r="G88" s="545" t="s">
        <v>73</v>
      </c>
      <c r="H88" s="545" t="s">
        <v>74</v>
      </c>
      <c r="I88" s="545" t="s">
        <v>58</v>
      </c>
      <c r="J88" s="545" t="s">
        <v>59</v>
      </c>
      <c r="K88" s="545" t="s">
        <v>60</v>
      </c>
      <c r="L88" s="544" t="s">
        <v>75</v>
      </c>
      <c r="M88" s="544" t="s">
        <v>76</v>
      </c>
      <c r="N88" s="544" t="s">
        <v>61</v>
      </c>
      <c r="O88" s="544" t="s">
        <v>62</v>
      </c>
      <c r="P88" s="544" t="s">
        <v>63</v>
      </c>
      <c r="AN88" s="38"/>
      <c r="AZ88" s="36"/>
    </row>
    <row r="89" spans="1:52" ht="25.5">
      <c r="A89" s="44" t="str">
        <f t="shared" ref="A89:C90" si="104">A4</f>
        <v>Substation General Construction</v>
      </c>
      <c r="B89" s="45" t="str">
        <f t="shared" si="104"/>
        <v>Light-Duty Truck, catalyst</v>
      </c>
      <c r="C89" s="46">
        <f t="shared" si="104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105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si="104"/>
        <v>Substation Wiring</v>
      </c>
      <c r="B90" s="45" t="str">
        <f t="shared" si="104"/>
        <v>Light-Duty Truck, catalyst</v>
      </c>
      <c r="C90" s="46">
        <f t="shared" si="104"/>
        <v>1</v>
      </c>
      <c r="D90" s="46">
        <v>35</v>
      </c>
      <c r="E90" s="46">
        <v>80</v>
      </c>
      <c r="F90" s="50">
        <f>C5*($E5*$F5+($G5))/453.59</f>
        <v>0.48571938588092006</v>
      </c>
      <c r="G90" s="50">
        <f>C5*($E5*$H5+($I5))/453.59</f>
        <v>4.367065729437801E-2</v>
      </c>
      <c r="H90" s="50">
        <f>C5*(($E5*$J5)+($K5)+($L5)+($E5*$N5)+(($M5+$O5)))/453.59</f>
        <v>5.0499980323953329E-2</v>
      </c>
      <c r="I90" s="50">
        <f>C5*($E5*$P5+($Q5))/453.59</f>
        <v>7.2679702716061593E-4</v>
      </c>
      <c r="J90" s="50">
        <f>C5*(($E5*($R5+$T5+$U5))+($S5))/453.59</f>
        <v>8.5240904552078972E-3</v>
      </c>
      <c r="K90" s="50">
        <f>$C5*(($E5*($V5+$X5+$Y5))+($W5))/453.59</f>
        <v>3.7120053242531417E-3</v>
      </c>
      <c r="L90" s="50">
        <f>$B$22*C5*(E5+6)</f>
        <v>8.4385825860718994E-3</v>
      </c>
      <c r="M90" s="50">
        <f t="shared" si="105"/>
        <v>3.4598188602894785E-3</v>
      </c>
      <c r="N90" s="50">
        <f>C5*($E5*$Z5+($AA5))/453.59</f>
        <v>55.423576726038895</v>
      </c>
      <c r="O90" s="50">
        <f>C5*($E5*$AB5+($AC5))/453.59</f>
        <v>3.1704753890302493E-3</v>
      </c>
      <c r="P90" s="50">
        <f>C5*($E5*$AD5+($AE5))/453.59</f>
        <v>5.7711199138433603E-3</v>
      </c>
      <c r="AN90" s="38"/>
      <c r="AZ90" s="36"/>
    </row>
    <row r="91" spans="1:52">
      <c r="A91" s="61" t="s">
        <v>389</v>
      </c>
      <c r="B91" s="40"/>
      <c r="C91" s="40"/>
      <c r="D91" s="40"/>
      <c r="E91" s="40"/>
      <c r="F91" s="81">
        <f t="shared" ref="F91:P91" si="106">SUM(F89:F90)</f>
        <v>1.9428775435236803</v>
      </c>
      <c r="G91" s="81">
        <f t="shared" si="106"/>
        <v>0.17468262917751204</v>
      </c>
      <c r="H91" s="81">
        <f t="shared" si="106"/>
        <v>0.20199992129581332</v>
      </c>
      <c r="I91" s="81">
        <f t="shared" si="106"/>
        <v>2.9071881086424637E-3</v>
      </c>
      <c r="J91" s="81">
        <f t="shared" si="106"/>
        <v>3.4096361820831589E-2</v>
      </c>
      <c r="K91" s="81">
        <f t="shared" si="106"/>
        <v>1.4848021297012567E-2</v>
      </c>
      <c r="L91" s="81">
        <f t="shared" si="106"/>
        <v>3.3754330344287597E-2</v>
      </c>
      <c r="M91" s="81">
        <f t="shared" si="106"/>
        <v>1.3839275441157914E-2</v>
      </c>
      <c r="N91" s="81">
        <f t="shared" si="106"/>
        <v>221.69430690415561</v>
      </c>
      <c r="O91" s="81">
        <f t="shared" si="106"/>
        <v>1.2681901556120997E-2</v>
      </c>
      <c r="P91" s="81">
        <f t="shared" si="106"/>
        <v>2.3084479655373441E-2</v>
      </c>
    </row>
  </sheetData>
  <mergeCells count="16">
    <mergeCell ref="AR11:BA11"/>
    <mergeCell ref="A87:A88"/>
    <mergeCell ref="B87:B88"/>
    <mergeCell ref="F87:P87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8"/>
  <sheetViews>
    <sheetView zoomScale="75" zoomScaleNormal="75" workbookViewId="0">
      <selection activeCell="A37" sqref="A37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534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64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314</v>
      </c>
      <c r="B7" s="571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8</v>
      </c>
      <c r="P8" s="88">
        <v>125</v>
      </c>
      <c r="Q8" s="34">
        <f t="shared" ref="Q8:Y10" si="2">(E8*$N8*$O8)</f>
        <v>0.49946184642775621</v>
      </c>
      <c r="R8" s="26">
        <f t="shared" si="2"/>
        <v>2.4431746031746027</v>
      </c>
      <c r="S8" s="26">
        <f t="shared" si="2"/>
        <v>3.1176888888888881</v>
      </c>
      <c r="T8" s="26">
        <f t="shared" si="2"/>
        <v>4.4060015200662857E-3</v>
      </c>
      <c r="U8" s="26">
        <f t="shared" si="2"/>
        <v>0.19809523809523807</v>
      </c>
      <c r="V8" s="26">
        <f t="shared" si="2"/>
        <v>0.17630476190476188</v>
      </c>
      <c r="W8" s="26">
        <f t="shared" si="2"/>
        <v>375.60183859341714</v>
      </c>
      <c r="X8" s="26">
        <f t="shared" si="2"/>
        <v>5.4697471816927752E-2</v>
      </c>
      <c r="Y8" s="26">
        <f t="shared" si="2"/>
        <v>0.29618044444444436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9</v>
      </c>
      <c r="P9" s="363">
        <v>125</v>
      </c>
      <c r="Q9" s="34">
        <f t="shared" si="2"/>
        <v>1.0612998664693185</v>
      </c>
      <c r="R9" s="26">
        <f t="shared" si="2"/>
        <v>3.2860974016937274</v>
      </c>
      <c r="S9" s="26">
        <f t="shared" si="2"/>
        <v>7.8103317854039886</v>
      </c>
      <c r="T9" s="26">
        <f t="shared" si="2"/>
        <v>1.6865295748293957E-2</v>
      </c>
      <c r="U9" s="26">
        <f t="shared" si="2"/>
        <v>0.26137541066030878</v>
      </c>
      <c r="V9" s="26">
        <f t="shared" si="2"/>
        <v>0.23262411548767484</v>
      </c>
      <c r="W9" s="26">
        <f t="shared" si="2"/>
        <v>1498.908740620727</v>
      </c>
      <c r="X9" s="26">
        <f t="shared" si="2"/>
        <v>9.5759396799267066E-2</v>
      </c>
      <c r="Y9" s="26">
        <f t="shared" si="2"/>
        <v>0.74198151961337888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3</v>
      </c>
      <c r="P10" s="363">
        <v>125</v>
      </c>
      <c r="Q10" s="34">
        <f t="shared" si="2"/>
        <v>3.9051121312432671E-2</v>
      </c>
      <c r="R10" s="26">
        <f t="shared" si="2"/>
        <v>0.1468253968253968</v>
      </c>
      <c r="S10" s="26">
        <f t="shared" si="2"/>
        <v>0.13018518518518515</v>
      </c>
      <c r="T10" s="26">
        <f t="shared" si="2"/>
        <v>4.7652059865273245E-4</v>
      </c>
      <c r="U10" s="26">
        <f t="shared" si="2"/>
        <v>1.4682539682539681E-2</v>
      </c>
      <c r="V10" s="26">
        <f t="shared" si="2"/>
        <v>1.3067460317460314E-2</v>
      </c>
      <c r="W10" s="26">
        <f t="shared" si="2"/>
        <v>30.622980859093083</v>
      </c>
      <c r="X10" s="26">
        <f t="shared" si="2"/>
        <v>3.8388136396804665E-3</v>
      </c>
      <c r="Y10" s="26">
        <f t="shared" si="2"/>
        <v>1.236759259259259E-2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1.5998128342095075</v>
      </c>
      <c r="R11" s="101">
        <f t="shared" ref="R11:Y11" si="3">SUM(R8:R10)</f>
        <v>5.8760974016937269</v>
      </c>
      <c r="S11" s="101">
        <f t="shared" si="3"/>
        <v>11.058205859478063</v>
      </c>
      <c r="T11" s="101">
        <f t="shared" si="3"/>
        <v>2.1747817867012974E-2</v>
      </c>
      <c r="U11" s="101">
        <f t="shared" si="3"/>
        <v>0.47415318843808657</v>
      </c>
      <c r="V11" s="101">
        <f t="shared" si="3"/>
        <v>0.42199633770989703</v>
      </c>
      <c r="W11" s="101">
        <f t="shared" si="3"/>
        <v>1905.1335600732373</v>
      </c>
      <c r="X11" s="101">
        <f t="shared" si="3"/>
        <v>0.15429568225587528</v>
      </c>
      <c r="Y11" s="101">
        <f t="shared" si="3"/>
        <v>1.0505295566504158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87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7" t="s">
        <v>281</v>
      </c>
      <c r="B13" s="90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30"/>
      <c r="O13" s="30"/>
      <c r="P13" s="30"/>
      <c r="Q13" s="20"/>
      <c r="R13" s="20"/>
      <c r="S13" s="27"/>
      <c r="T13" s="20"/>
      <c r="U13" s="20"/>
      <c r="V13" s="20"/>
      <c r="W13" s="21"/>
      <c r="X13" s="20"/>
      <c r="Y13" s="20"/>
    </row>
    <row r="14" spans="1:25" s="3" customFormat="1">
      <c r="A14" s="100" t="s">
        <v>120</v>
      </c>
      <c r="B14" s="29" t="s">
        <v>27</v>
      </c>
      <c r="C14" s="22">
        <v>358</v>
      </c>
      <c r="D14" s="22">
        <v>0.4</v>
      </c>
      <c r="E14" s="108">
        <v>0.27937428148624566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0.82081128747795418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1.2776243386243384</v>
      </c>
      <c r="H14" s="108">
        <v>2.5998088533883764E-3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4.735449735449735E-2</v>
      </c>
      <c r="J14" s="100">
        <f t="shared" ref="J14:J19" si="4">0.89*I14</f>
        <v>4.2145502645502646E-2</v>
      </c>
      <c r="K14" s="108">
        <v>264.8725636721183</v>
      </c>
      <c r="L14" s="108">
        <v>2.6451144743432839E-2</v>
      </c>
      <c r="M14" s="102">
        <f t="shared" ref="M14:M19" si="5">0.095*G14</f>
        <v>0.12137431216931216</v>
      </c>
      <c r="N14" s="98">
        <v>1</v>
      </c>
      <c r="O14" s="87">
        <v>8</v>
      </c>
      <c r="P14" s="363">
        <v>75</v>
      </c>
      <c r="Q14" s="34">
        <f t="shared" ref="Q14:Y19" si="6">(E14*$N14*$O14)</f>
        <v>2.2349942518899653</v>
      </c>
      <c r="R14" s="26">
        <f t="shared" si="6"/>
        <v>6.5664902998236334</v>
      </c>
      <c r="S14" s="26">
        <f t="shared" si="6"/>
        <v>10.220994708994708</v>
      </c>
      <c r="T14" s="26">
        <f t="shared" si="6"/>
        <v>2.0798470827107011E-2</v>
      </c>
      <c r="U14" s="26">
        <f t="shared" si="6"/>
        <v>0.3788359788359788</v>
      </c>
      <c r="V14" s="26">
        <f t="shared" si="6"/>
        <v>0.33716402116402117</v>
      </c>
      <c r="W14" s="26">
        <f t="shared" si="6"/>
        <v>2118.9805093769464</v>
      </c>
      <c r="X14" s="26">
        <f t="shared" si="6"/>
        <v>0.21160915794746271</v>
      </c>
      <c r="Y14" s="26">
        <f t="shared" si="6"/>
        <v>0.97099449735449728</v>
      </c>
    </row>
    <row r="15" spans="1:25" s="3" customFormat="1">
      <c r="A15" s="100" t="s">
        <v>121</v>
      </c>
      <c r="B15" s="29" t="s">
        <v>27</v>
      </c>
      <c r="C15" s="22">
        <v>162</v>
      </c>
      <c r="D15" s="22">
        <v>0.41</v>
      </c>
      <c r="E15" s="108">
        <v>0.12153885438656534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0.5417857142857142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0.60233392857142853</v>
      </c>
      <c r="H15" s="108">
        <v>1.3943296443626662E-3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3.2214285714285709E-2</v>
      </c>
      <c r="J15" s="100">
        <f t="shared" si="4"/>
        <v>2.8670714285714282E-2</v>
      </c>
      <c r="K15" s="365">
        <v>123.92149503712022</v>
      </c>
      <c r="L15" s="23">
        <v>1.1720218383966691E-2</v>
      </c>
      <c r="M15" s="102">
        <f t="shared" si="5"/>
        <v>5.7221723214285709E-2</v>
      </c>
      <c r="N15" s="98">
        <v>1</v>
      </c>
      <c r="O15" s="87">
        <v>8</v>
      </c>
      <c r="P15" s="363">
        <v>75</v>
      </c>
      <c r="Q15" s="34">
        <f t="shared" si="6"/>
        <v>0.9723108350925227</v>
      </c>
      <c r="R15" s="26">
        <f t="shared" si="6"/>
        <v>4.3342857142857136</v>
      </c>
      <c r="S15" s="26">
        <f t="shared" si="6"/>
        <v>4.8186714285714283</v>
      </c>
      <c r="T15" s="26">
        <f t="shared" si="6"/>
        <v>1.115463715490133E-2</v>
      </c>
      <c r="U15" s="26">
        <f t="shared" si="6"/>
        <v>0.25771428571428567</v>
      </c>
      <c r="V15" s="26">
        <f t="shared" si="6"/>
        <v>0.22936571428571426</v>
      </c>
      <c r="W15" s="26">
        <f t="shared" si="6"/>
        <v>991.37196029696179</v>
      </c>
      <c r="X15" s="26">
        <f t="shared" si="6"/>
        <v>9.3761747071733528E-2</v>
      </c>
      <c r="Y15" s="26">
        <f t="shared" si="6"/>
        <v>0.45777378571428567</v>
      </c>
    </row>
    <row r="16" spans="1:25" s="3" customFormat="1">
      <c r="A16" s="100" t="s">
        <v>122</v>
      </c>
      <c r="B16" s="29" t="s">
        <v>27</v>
      </c>
      <c r="C16" s="22">
        <v>356</v>
      </c>
      <c r="D16" s="22">
        <v>0.48</v>
      </c>
      <c r="E16" s="108">
        <v>0.27361983606105278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0.97947089947089949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1.5245841269841265</v>
      </c>
      <c r="H16" s="108">
        <v>3.1549250027299411E-3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5.65079365079365E-2</v>
      </c>
      <c r="J16" s="100">
        <f t="shared" si="4"/>
        <v>5.0292063492063485E-2</v>
      </c>
      <c r="K16" s="108">
        <v>321.42842594638495</v>
      </c>
      <c r="L16" s="108">
        <v>2.6010420981454316E-2</v>
      </c>
      <c r="M16" s="102">
        <f t="shared" si="5"/>
        <v>0.14483549206349203</v>
      </c>
      <c r="N16" s="98">
        <v>2</v>
      </c>
      <c r="O16" s="98">
        <v>8</v>
      </c>
      <c r="P16" s="99">
        <f>2*22</f>
        <v>44</v>
      </c>
      <c r="Q16" s="34">
        <f t="shared" si="6"/>
        <v>4.3779173769768445</v>
      </c>
      <c r="R16" s="26">
        <f t="shared" si="6"/>
        <v>15.671534391534392</v>
      </c>
      <c r="S16" s="26">
        <f t="shared" si="6"/>
        <v>24.393346031746024</v>
      </c>
      <c r="T16" s="26">
        <f t="shared" si="6"/>
        <v>5.0478800043679058E-2</v>
      </c>
      <c r="U16" s="26">
        <f t="shared" si="6"/>
        <v>0.904126984126984</v>
      </c>
      <c r="V16" s="26">
        <f t="shared" si="6"/>
        <v>0.80467301587301576</v>
      </c>
      <c r="W16" s="26">
        <f t="shared" si="6"/>
        <v>5142.8548151421592</v>
      </c>
      <c r="X16" s="26">
        <f t="shared" si="6"/>
        <v>0.41616673570326906</v>
      </c>
      <c r="Y16" s="26">
        <f t="shared" si="6"/>
        <v>2.3173678730158724</v>
      </c>
    </row>
    <row r="17" spans="1:25" s="3" customFormat="1">
      <c r="A17" s="100" t="s">
        <v>123</v>
      </c>
      <c r="B17" s="29" t="s">
        <v>27</v>
      </c>
      <c r="C17" s="22">
        <v>84</v>
      </c>
      <c r="D17" s="22">
        <v>0.38</v>
      </c>
      <c r="E17" s="102">
        <v>7.9534395197012789E-2</v>
      </c>
      <c r="F17" s="397">
        <f>IF($C17&lt;11,'Offroad Tiers EF (2)'!$AN$4*$C17*$D17,IF($C17&lt;25,'Offroad Tiers EF (2)'!$AN$5*$C17*$D17,IF($C17&lt;50,'Offroad Tiers EF (2)'!$AN$6*$C17*$D17,IF($C17&lt;75,'Offroad Tiers EF (2)'!$AN$7*$C17*$D17,IF($C17&lt;100,'Offroad Tiers EF (2)'!$AN$8*$C17*$D17,IF($C17&lt;175,'Offroad Tiers EF (2)'!$AN$9*$C17*$D17,IF($C17&lt;300,'Offroad Tiers EF (2)'!$AN$10*$C17*$D17,IF($C17&lt;600,'Offroad Tiers EF (2)'!$AN$11*$C17*$D17,"!"))))))))</f>
        <v>0.26037037037037036</v>
      </c>
      <c r="G17" s="397">
        <f>IF($C17&lt;11,'Offroad Tiers EF (2)'!$AM$4*$C17*$D17,IF($C17&lt;25,'Offroad Tiers EF (2)'!$AM$5*$C17*$D17,IF($C17&lt;50,'Offroad Tiers EF (2)'!$AM$6*$C17*$D17,IF($C17&lt;75,'Offroad Tiers EF (2)'!$AM$7*$C17*$D17,IF($C17&lt;100,'Offroad Tiers EF (2)'!$AM$8*$C17*$D17,IF($C17&lt;175,'Offroad Tiers EF (2)'!$AM$9*$C17*$D17,IF($C17&lt;300,'Offroad Tiers EF (2)'!$AM$10*$C17*$D17,IF($C17&lt;600,'Offroad Tiers EF (2)'!$AM$11*$C17*$D17,"!"))))))))</f>
        <v>0.33225370370370361</v>
      </c>
      <c r="H17" s="102">
        <v>6.9196834691909377E-4</v>
      </c>
      <c r="I17" s="397">
        <f>IF($C17&lt;11,'Offroad Tiers EF (2)'!$AO$4*$C17*$D17,IF($C17&lt;25,'Offroad Tiers EF (2)'!$AO$5*$C17*$D17,IF($C17&lt;50,'Offroad Tiers EF (2)'!$AO$6*$C17*$D17,IF($C17&lt;75,'Offroad Tiers EF (2)'!$AO$7*$C17*$D17,IF($C17&lt;100,'Offroad Tiers EF (2)'!$AO$8*$C17*$D17,IF($C17&lt;175,'Offroad Tiers EF (2)'!$AO$9*$C17*$D17,IF($C17&lt;300,'Offroad Tiers EF (2)'!$AO$10*$C17*$D17,IF($C17&lt;600,'Offroad Tiers EF (2)'!$AO$11*$C17*$D17,"!"))))))))</f>
        <v>2.1111111111111112E-2</v>
      </c>
      <c r="J17" s="100">
        <f t="shared" si="4"/>
        <v>1.878888888888889E-2</v>
      </c>
      <c r="K17" s="103">
        <v>58.988746640295226</v>
      </c>
      <c r="L17" s="102">
        <v>7.7311979659905822E-3</v>
      </c>
      <c r="M17" s="102">
        <f t="shared" si="5"/>
        <v>3.1564101851851843E-2</v>
      </c>
      <c r="N17" s="363">
        <v>1</v>
      </c>
      <c r="O17" s="87">
        <v>8</v>
      </c>
      <c r="P17" s="363">
        <v>75</v>
      </c>
      <c r="Q17" s="34">
        <f t="shared" si="6"/>
        <v>0.63627516157610231</v>
      </c>
      <c r="R17" s="26">
        <f t="shared" si="6"/>
        <v>2.0829629629629629</v>
      </c>
      <c r="S17" s="26">
        <f t="shared" si="6"/>
        <v>2.6580296296296289</v>
      </c>
      <c r="T17" s="26">
        <f t="shared" si="6"/>
        <v>5.5357467753527501E-3</v>
      </c>
      <c r="U17" s="26">
        <f t="shared" si="6"/>
        <v>0.16888888888888889</v>
      </c>
      <c r="V17" s="26">
        <f t="shared" si="6"/>
        <v>0.15031111111111112</v>
      </c>
      <c r="W17" s="26">
        <f t="shared" si="6"/>
        <v>471.90997312236181</v>
      </c>
      <c r="X17" s="26">
        <f t="shared" si="6"/>
        <v>6.1849583727924658E-2</v>
      </c>
      <c r="Y17" s="26">
        <f t="shared" si="6"/>
        <v>0.25251281481481475</v>
      </c>
    </row>
    <row r="18" spans="1:25" s="3" customFormat="1">
      <c r="A18" s="100" t="s">
        <v>282</v>
      </c>
      <c r="B18" s="29" t="s">
        <v>27</v>
      </c>
      <c r="C18" s="97">
        <v>37</v>
      </c>
      <c r="D18" s="22">
        <v>0.37</v>
      </c>
      <c r="E18" s="102">
        <v>3.2313389441625637E-2</v>
      </c>
      <c r="F18" s="397">
        <f>IF($C18&lt;11,'Offroad Tiers EF (2)'!$AN$4*$C18*$D18,IF($C18&lt;25,'Offroad Tiers EF (2)'!$AN$5*$C18*$D18,IF($C18&lt;50,'Offroad Tiers EF (2)'!$AN$6*$C18*$D18,IF($C18&lt;75,'Offroad Tiers EF (2)'!$AN$7*$C18*$D18,IF($C18&lt;100,'Offroad Tiers EF (2)'!$AN$8*$C18*$D18,IF($C18&lt;175,'Offroad Tiers EF (2)'!$AN$9*$C18*$D18,IF($C18&lt;300,'Offroad Tiers EF (2)'!$AN$10*$C18*$D18,IF($C18&lt;600,'Offroad Tiers EF (2)'!$AN$11*$C18*$D18,"!"))))))))</f>
        <v>0.12374118165784832</v>
      </c>
      <c r="G18" s="397">
        <f>IF($C18&lt;11,'Offroad Tiers EF (2)'!$AM$4*$C18*$D18,IF($C18&lt;25,'Offroad Tiers EF (2)'!$AM$5*$C18*$D18,IF($C18&lt;50,'Offroad Tiers EF (2)'!$AM$6*$C18*$D18,IF($C18&lt;75,'Offroad Tiers EF (2)'!$AM$7*$C18*$D18,IF($C18&lt;100,'Offroad Tiers EF (2)'!$AM$8*$C18*$D18,IF($C18&lt;175,'Offroad Tiers EF (2)'!$AM$9*$C18*$D18,IF($C18&lt;300,'Offroad Tiers EF (2)'!$AM$10*$C18*$D18,IF($C18&lt;600,'Offroad Tiers EF (2)'!$AM$11*$C18*$D18,"!"))))))))</f>
        <v>0.16056172839506169</v>
      </c>
      <c r="H18" s="102">
        <v>3.2989906092678058E-4</v>
      </c>
      <c r="I18" s="397">
        <f>IF($C18&lt;11,'Offroad Tiers EF (2)'!$AO$4*$C18*$D18,IF($C18&lt;25,'Offroad Tiers EF (2)'!$AO$5*$C18*$D18,IF($C18&lt;50,'Offroad Tiers EF (2)'!$AO$6*$C18*$D18,IF($C18&lt;75,'Offroad Tiers EF (2)'!$AO$7*$C18*$D18,IF($C18&lt;100,'Offroad Tiers EF (2)'!$AO$8*$C18*$D18,IF($C18&lt;175,'Offroad Tiers EF (2)'!$AO$9*$C18*$D18,IF($C18&lt;300,'Offroad Tiers EF (2)'!$AO$10*$C18*$D18,IF($C18&lt;600,'Offroad Tiers EF (2)'!$AO$11*$C18*$D18,"!"))))))))</f>
        <v>1.3581349206349205E-2</v>
      </c>
      <c r="J18" s="100">
        <f t="shared" si="4"/>
        <v>1.2087400793650793E-2</v>
      </c>
      <c r="K18" s="103">
        <v>25.519156990664225</v>
      </c>
      <c r="L18" s="102">
        <v>3.413848047070189E-3</v>
      </c>
      <c r="M18" s="104">
        <f t="shared" si="5"/>
        <v>1.5253364197530862E-2</v>
      </c>
      <c r="N18" s="87">
        <v>1</v>
      </c>
      <c r="O18" s="87">
        <v>8</v>
      </c>
      <c r="P18" s="363">
        <v>75</v>
      </c>
      <c r="Q18" s="34">
        <f t="shared" si="6"/>
        <v>0.25850711553300509</v>
      </c>
      <c r="R18" s="26">
        <f t="shared" si="6"/>
        <v>0.98992945326278659</v>
      </c>
      <c r="S18" s="26">
        <f t="shared" si="6"/>
        <v>1.2844938271604935</v>
      </c>
      <c r="T18" s="26">
        <f t="shared" si="6"/>
        <v>2.6391924874142447E-3</v>
      </c>
      <c r="U18" s="26">
        <f t="shared" si="6"/>
        <v>0.10865079365079364</v>
      </c>
      <c r="V18" s="26">
        <f t="shared" si="6"/>
        <v>9.669920634920634E-2</v>
      </c>
      <c r="W18" s="26">
        <f t="shared" si="6"/>
        <v>204.1532559253138</v>
      </c>
      <c r="X18" s="26">
        <f t="shared" si="6"/>
        <v>2.7310784376561512E-2</v>
      </c>
      <c r="Y18" s="26">
        <f t="shared" si="6"/>
        <v>0.12202691358024689</v>
      </c>
    </row>
    <row r="19" spans="1:25" s="3" customFormat="1">
      <c r="A19" s="100" t="s">
        <v>126</v>
      </c>
      <c r="B19" s="29" t="s">
        <v>27</v>
      </c>
      <c r="C19" s="22">
        <v>175</v>
      </c>
      <c r="D19" s="22"/>
      <c r="E19" s="102">
        <v>0.11792220738547983</v>
      </c>
      <c r="F19" s="102">
        <v>0.36512193352152528</v>
      </c>
      <c r="G19" s="102">
        <v>0.86781464282266541</v>
      </c>
      <c r="H19" s="102">
        <v>1.8739217498104396E-3</v>
      </c>
      <c r="I19" s="102">
        <v>2.9041712295589866E-2</v>
      </c>
      <c r="J19" s="100">
        <f t="shared" si="4"/>
        <v>2.5847123943074982E-2</v>
      </c>
      <c r="K19" s="103">
        <v>166.54541562452522</v>
      </c>
      <c r="L19" s="102">
        <v>1.063993297769634E-2</v>
      </c>
      <c r="M19" s="104">
        <f t="shared" si="5"/>
        <v>8.2442391068153209E-2</v>
      </c>
      <c r="N19" s="98">
        <v>2</v>
      </c>
      <c r="O19" s="87">
        <v>8</v>
      </c>
      <c r="P19" s="363">
        <v>75</v>
      </c>
      <c r="Q19" s="34">
        <f t="shared" si="6"/>
        <v>1.8867553181676773</v>
      </c>
      <c r="R19" s="26">
        <f t="shared" si="6"/>
        <v>5.8419509363444044</v>
      </c>
      <c r="S19" s="26">
        <f t="shared" si="6"/>
        <v>13.885034285162646</v>
      </c>
      <c r="T19" s="26">
        <f t="shared" si="6"/>
        <v>2.9982747996967034E-2</v>
      </c>
      <c r="U19" s="26">
        <f t="shared" si="6"/>
        <v>0.46466739672943785</v>
      </c>
      <c r="V19" s="26">
        <f t="shared" si="6"/>
        <v>0.41355398308919972</v>
      </c>
      <c r="W19" s="26">
        <f t="shared" si="6"/>
        <v>2664.7266499924035</v>
      </c>
      <c r="X19" s="26">
        <f t="shared" si="6"/>
        <v>0.17023892764314144</v>
      </c>
      <c r="Y19" s="26">
        <f t="shared" si="6"/>
        <v>1.3190782570904513</v>
      </c>
    </row>
    <row r="20" spans="1:25" s="3" customFormat="1">
      <c r="A20" s="11" t="s">
        <v>28</v>
      </c>
      <c r="B20" s="571"/>
      <c r="C20" s="18"/>
      <c r="D20" s="22"/>
      <c r="E20" s="19"/>
      <c r="F20" s="19"/>
      <c r="G20" s="19"/>
      <c r="H20" s="19"/>
      <c r="I20" s="19"/>
      <c r="J20" s="19"/>
      <c r="K20" s="19"/>
      <c r="L20" s="19"/>
      <c r="M20" s="19"/>
      <c r="N20" s="30"/>
      <c r="O20" s="30"/>
      <c r="P20" s="364"/>
      <c r="Q20" s="20">
        <f t="shared" ref="Q20:Y20" si="7">SUM(Q14:Q19)</f>
        <v>10.366760059236118</v>
      </c>
      <c r="R20" s="20">
        <f t="shared" si="7"/>
        <v>35.487153758213893</v>
      </c>
      <c r="S20" s="27">
        <f t="shared" si="7"/>
        <v>57.260569911264938</v>
      </c>
      <c r="T20" s="20">
        <f t="shared" si="7"/>
        <v>0.12058959528542143</v>
      </c>
      <c r="U20" s="20">
        <f t="shared" si="7"/>
        <v>2.2828843279463689</v>
      </c>
      <c r="V20" s="20">
        <f t="shared" si="7"/>
        <v>2.0317670518722681</v>
      </c>
      <c r="W20" s="20">
        <f t="shared" si="7"/>
        <v>11593.997163856147</v>
      </c>
      <c r="X20" s="20">
        <f t="shared" si="7"/>
        <v>0.98093693647009295</v>
      </c>
      <c r="Y20" s="20">
        <f t="shared" si="7"/>
        <v>5.4397541415701678</v>
      </c>
    </row>
    <row r="21" spans="1:25" s="3" customFormat="1">
      <c r="A21" s="11"/>
      <c r="B21" s="571"/>
      <c r="C21" s="18"/>
      <c r="D21" s="22"/>
      <c r="E21" s="19"/>
      <c r="F21" s="19"/>
      <c r="G21" s="19"/>
      <c r="H21" s="19"/>
      <c r="I21" s="19"/>
      <c r="J21" s="19"/>
      <c r="K21" s="19"/>
      <c r="L21" s="19"/>
      <c r="M21" s="19"/>
      <c r="N21" s="30"/>
      <c r="O21" s="375"/>
      <c r="P21" s="364"/>
      <c r="Q21" s="20"/>
      <c r="R21" s="20"/>
      <c r="S21" s="27"/>
      <c r="T21" s="20"/>
      <c r="U21" s="20"/>
      <c r="V21" s="20"/>
      <c r="W21" s="21"/>
      <c r="X21" s="20"/>
      <c r="Y21" s="20"/>
    </row>
    <row r="22" spans="1:25" s="3" customFormat="1">
      <c r="A22" s="11" t="s">
        <v>275</v>
      </c>
      <c r="B22" s="90"/>
      <c r="C22" s="18"/>
      <c r="D22" s="22"/>
      <c r="E22" s="19"/>
      <c r="F22" s="19"/>
      <c r="G22" s="19"/>
      <c r="H22" s="19"/>
      <c r="I22" s="19"/>
      <c r="J22" s="19"/>
      <c r="K22" s="19"/>
      <c r="L22" s="19"/>
      <c r="M22" s="19"/>
      <c r="N22" s="30"/>
      <c r="O22" s="87"/>
      <c r="P22" s="363"/>
      <c r="Q22" s="20"/>
      <c r="R22" s="20"/>
      <c r="S22" s="27"/>
      <c r="T22" s="20"/>
      <c r="U22" s="20"/>
      <c r="V22" s="20"/>
      <c r="W22" s="21"/>
      <c r="X22" s="20"/>
      <c r="Y22" s="20"/>
    </row>
    <row r="23" spans="1:25" s="3" customFormat="1">
      <c r="A23" s="100" t="s">
        <v>120</v>
      </c>
      <c r="B23" s="29" t="s">
        <v>27</v>
      </c>
      <c r="C23" s="22">
        <v>358</v>
      </c>
      <c r="D23" s="22">
        <v>0.4</v>
      </c>
      <c r="E23" s="108">
        <v>0.27937428148624566</v>
      </c>
      <c r="F23" s="397">
        <f>IF($C23&lt;11,'Offroad Tiers EF (2)'!$AN$4*$C23*$D23,IF($C23&lt;25,'Offroad Tiers EF (2)'!$AN$5*$C23*$D23,IF($C23&lt;50,'Offroad Tiers EF (2)'!$AN$6*$C23*$D23,IF($C23&lt;75,'Offroad Tiers EF (2)'!$AN$7*$C23*$D23,IF($C23&lt;100,'Offroad Tiers EF (2)'!$AN$8*$C23*$D23,IF($C23&lt;175,'Offroad Tiers EF (2)'!$AN$9*$C23*$D23,IF($C23&lt;300,'Offroad Tiers EF (2)'!$AN$10*$C23*$D23,IF($C23&lt;600,'Offroad Tiers EF (2)'!$AN$11*$C23*$D23,"!"))))))))</f>
        <v>0.82081128747795418</v>
      </c>
      <c r="G23" s="397">
        <f>IF($C23&lt;11,'Offroad Tiers EF (2)'!$AM$4*$C23*$D23,IF($C23&lt;25,'Offroad Tiers EF (2)'!$AM$5*$C23*$D23,IF($C23&lt;50,'Offroad Tiers EF (2)'!$AM$6*$C23*$D23,IF($C23&lt;75,'Offroad Tiers EF (2)'!$AM$7*$C23*$D23,IF($C23&lt;100,'Offroad Tiers EF (2)'!$AM$8*$C23*$D23,IF($C23&lt;175,'Offroad Tiers EF (2)'!$AM$9*$C23*$D23,IF($C23&lt;300,'Offroad Tiers EF (2)'!$AM$10*$C23*$D23,IF($C23&lt;600,'Offroad Tiers EF (2)'!$AM$11*$C23*$D23,"!"))))))))</f>
        <v>1.2776243386243384</v>
      </c>
      <c r="H23" s="108">
        <v>2.5998088533883764E-3</v>
      </c>
      <c r="I23" s="397">
        <f>IF($C23&lt;11,'Offroad Tiers EF (2)'!$AO$4*$C23*$D23,IF($C23&lt;25,'Offroad Tiers EF (2)'!$AO$5*$C23*$D23,IF($C23&lt;50,'Offroad Tiers EF (2)'!$AO$6*$C23*$D23,IF($C23&lt;75,'Offroad Tiers EF (2)'!$AO$7*$C23*$D23,IF($C23&lt;100,'Offroad Tiers EF (2)'!$AO$8*$C23*$D23,IF($C23&lt;175,'Offroad Tiers EF (2)'!$AO$9*$C23*$D23,IF($C23&lt;300,'Offroad Tiers EF (2)'!$AO$10*$C23*$D23,IF($C23&lt;600,'Offroad Tiers EF (2)'!$AO$11*$C23*$D23,"!"))))))))</f>
        <v>4.735449735449735E-2</v>
      </c>
      <c r="J23" s="100">
        <f t="shared" ref="J23:J26" si="8">0.89*I23</f>
        <v>4.2145502645502646E-2</v>
      </c>
      <c r="K23" s="108">
        <v>264.8725636721183</v>
      </c>
      <c r="L23" s="108">
        <v>2.6451144743432839E-2</v>
      </c>
      <c r="M23" s="102">
        <f t="shared" ref="M23:M26" si="9">0.095*G23</f>
        <v>0.12137431216931216</v>
      </c>
      <c r="N23" s="88">
        <v>1</v>
      </c>
      <c r="O23" s="88">
        <v>8</v>
      </c>
      <c r="P23" s="367">
        <v>30</v>
      </c>
      <c r="Q23" s="26">
        <f t="shared" ref="Q23:Y26" si="10">(E23*$N23*$O23)</f>
        <v>2.2349942518899653</v>
      </c>
      <c r="R23" s="26">
        <f t="shared" si="10"/>
        <v>6.5664902998236334</v>
      </c>
      <c r="S23" s="26">
        <f t="shared" si="10"/>
        <v>10.220994708994708</v>
      </c>
      <c r="T23" s="26">
        <f t="shared" si="10"/>
        <v>2.0798470827107011E-2</v>
      </c>
      <c r="U23" s="26">
        <f t="shared" si="10"/>
        <v>0.3788359788359788</v>
      </c>
      <c r="V23" s="26">
        <f t="shared" si="10"/>
        <v>0.33716402116402117</v>
      </c>
      <c r="W23" s="26">
        <f t="shared" si="10"/>
        <v>2118.9805093769464</v>
      </c>
      <c r="X23" s="26">
        <f t="shared" si="10"/>
        <v>0.21160915794746271</v>
      </c>
      <c r="Y23" s="26">
        <f t="shared" si="10"/>
        <v>0.97099449735449728</v>
      </c>
    </row>
    <row r="24" spans="1:25" s="3" customFormat="1">
      <c r="A24" s="100" t="s">
        <v>121</v>
      </c>
      <c r="B24" s="29" t="s">
        <v>27</v>
      </c>
      <c r="C24" s="22">
        <v>162</v>
      </c>
      <c r="D24" s="22">
        <v>0.41</v>
      </c>
      <c r="E24" s="108">
        <v>0.12153885438656534</v>
      </c>
      <c r="F24" s="397">
        <f>IF($C24&lt;11,'Offroad Tiers EF (2)'!$AN$4*$C24*$D24,IF($C24&lt;25,'Offroad Tiers EF (2)'!$AN$5*$C24*$D24,IF($C24&lt;50,'Offroad Tiers EF (2)'!$AN$6*$C24*$D24,IF($C24&lt;75,'Offroad Tiers EF (2)'!$AN$7*$C24*$D24,IF($C24&lt;100,'Offroad Tiers EF (2)'!$AN$8*$C24*$D24,IF($C24&lt;175,'Offroad Tiers EF (2)'!$AN$9*$C24*$D24,IF($C24&lt;300,'Offroad Tiers EF (2)'!$AN$10*$C24*$D24,IF($C24&lt;600,'Offroad Tiers EF (2)'!$AN$11*$C24*$D24,"!"))))))))</f>
        <v>0.5417857142857142</v>
      </c>
      <c r="G24" s="397">
        <f>IF($C24&lt;11,'Offroad Tiers EF (2)'!$AM$4*$C24*$D24,IF($C24&lt;25,'Offroad Tiers EF (2)'!$AM$5*$C24*$D24,IF($C24&lt;50,'Offroad Tiers EF (2)'!$AM$6*$C24*$D24,IF($C24&lt;75,'Offroad Tiers EF (2)'!$AM$7*$C24*$D24,IF($C24&lt;100,'Offroad Tiers EF (2)'!$AM$8*$C24*$D24,IF($C24&lt;175,'Offroad Tiers EF (2)'!$AM$9*$C24*$D24,IF($C24&lt;300,'Offroad Tiers EF (2)'!$AM$10*$C24*$D24,IF($C24&lt;600,'Offroad Tiers EF (2)'!$AM$11*$C24*$D24,"!"))))))))</f>
        <v>0.60233392857142853</v>
      </c>
      <c r="H24" s="108">
        <v>1.3943296443626662E-3</v>
      </c>
      <c r="I24" s="397">
        <f>IF($C24&lt;11,'Offroad Tiers EF (2)'!$AO$4*$C24*$D24,IF($C24&lt;25,'Offroad Tiers EF (2)'!$AO$5*$C24*$D24,IF($C24&lt;50,'Offroad Tiers EF (2)'!$AO$6*$C24*$D24,IF($C24&lt;75,'Offroad Tiers EF (2)'!$AO$7*$C24*$D24,IF($C24&lt;100,'Offroad Tiers EF (2)'!$AO$8*$C24*$D24,IF($C24&lt;175,'Offroad Tiers EF (2)'!$AO$9*$C24*$D24,IF($C24&lt;300,'Offroad Tiers EF (2)'!$AO$10*$C24*$D24,IF($C24&lt;600,'Offroad Tiers EF (2)'!$AO$11*$C24*$D24,"!"))))))))</f>
        <v>3.2214285714285709E-2</v>
      </c>
      <c r="J24" s="100">
        <f t="shared" si="8"/>
        <v>2.8670714285714282E-2</v>
      </c>
      <c r="K24" s="365">
        <v>123.92149503712022</v>
      </c>
      <c r="L24" s="23">
        <v>1.1720218383966691E-2</v>
      </c>
      <c r="M24" s="102">
        <f t="shared" si="9"/>
        <v>5.7221723214285709E-2</v>
      </c>
      <c r="N24" s="88">
        <v>1</v>
      </c>
      <c r="O24" s="88">
        <v>8</v>
      </c>
      <c r="P24" s="367">
        <v>30</v>
      </c>
      <c r="Q24" s="26">
        <f t="shared" si="10"/>
        <v>0.9723108350925227</v>
      </c>
      <c r="R24" s="26">
        <f t="shared" si="10"/>
        <v>4.3342857142857136</v>
      </c>
      <c r="S24" s="26">
        <f t="shared" si="10"/>
        <v>4.8186714285714283</v>
      </c>
      <c r="T24" s="26">
        <f t="shared" si="10"/>
        <v>1.115463715490133E-2</v>
      </c>
      <c r="U24" s="26">
        <f t="shared" si="10"/>
        <v>0.25771428571428567</v>
      </c>
      <c r="V24" s="26">
        <f t="shared" si="10"/>
        <v>0.22936571428571426</v>
      </c>
      <c r="W24" s="26">
        <f t="shared" si="10"/>
        <v>991.37196029696179</v>
      </c>
      <c r="X24" s="26">
        <f t="shared" si="10"/>
        <v>9.3761747071733528E-2</v>
      </c>
      <c r="Y24" s="26">
        <f t="shared" si="10"/>
        <v>0.45777378571428567</v>
      </c>
    </row>
    <row r="25" spans="1:25" s="3" customFormat="1">
      <c r="A25" s="100" t="s">
        <v>124</v>
      </c>
      <c r="B25" s="29" t="s">
        <v>27</v>
      </c>
      <c r="C25" s="97">
        <v>87</v>
      </c>
      <c r="D25" s="22">
        <v>0.37</v>
      </c>
      <c r="E25" s="102">
        <v>7.7253202863558038E-2</v>
      </c>
      <c r="F25" s="397">
        <f>IF($C25&lt;11,'Offroad Tiers EF (2)'!$AN$4*$C25*$D25,IF($C25&lt;25,'Offroad Tiers EF (2)'!$AN$5*$C25*$D25,IF($C25&lt;50,'Offroad Tiers EF (2)'!$AN$6*$C25*$D25,IF($C25&lt;75,'Offroad Tiers EF (2)'!$AN$7*$C25*$D25,IF($C25&lt;100,'Offroad Tiers EF (2)'!$AN$8*$C25*$D25,IF($C25&lt;175,'Offroad Tiers EF (2)'!$AN$9*$C25*$D25,IF($C25&lt;300,'Offroad Tiers EF (2)'!$AN$10*$C25*$D25,IF($C25&lt;600,'Offroad Tiers EF (2)'!$AN$11*$C25*$D25,"!"))))))))</f>
        <v>0.26257275132275132</v>
      </c>
      <c r="G25" s="397">
        <f>IF($C25&lt;11,'Offroad Tiers EF (2)'!$AM$4*$C25*$D25,IF($C25&lt;25,'Offroad Tiers EF (2)'!$AM$5*$C25*$D25,IF($C25&lt;50,'Offroad Tiers EF (2)'!$AM$6*$C25*$D25,IF($C25&lt;75,'Offroad Tiers EF (2)'!$AM$7*$C25*$D25,IF($C25&lt;100,'Offroad Tiers EF (2)'!$AM$8*$C25*$D25,IF($C25&lt;175,'Offroad Tiers EF (2)'!$AM$9*$C25*$D25,IF($C25&lt;300,'Offroad Tiers EF (2)'!$AM$10*$C25*$D25,IF($C25&lt;600,'Offroad Tiers EF (2)'!$AM$11*$C25*$D25,"!"))))))))</f>
        <v>0.33506412037037031</v>
      </c>
      <c r="H25" s="102">
        <v>6.910856115004858E-4</v>
      </c>
      <c r="I25" s="397">
        <f>IF($C25&lt;11,'Offroad Tiers EF (2)'!$AO$4*$C25*$D25,IF($C25&lt;25,'Offroad Tiers EF (2)'!$AO$5*$C25*$D25,IF($C25&lt;50,'Offroad Tiers EF (2)'!$AO$6*$C25*$D25,IF($C25&lt;75,'Offroad Tiers EF (2)'!$AO$7*$C25*$D25,IF($C25&lt;100,'Offroad Tiers EF (2)'!$AO$8*$C25*$D25,IF($C25&lt;175,'Offroad Tiers EF (2)'!$AO$9*$C25*$D25,IF($C25&lt;300,'Offroad Tiers EF (2)'!$AO$10*$C25*$D25,IF($C25&lt;600,'Offroad Tiers EF (2)'!$AO$11*$C25*$D25,"!"))))))))</f>
        <v>2.1289682539682539E-2</v>
      </c>
      <c r="J25" s="100">
        <f t="shared" si="8"/>
        <v>1.894781746031746E-2</v>
      </c>
      <c r="K25" s="103">
        <v>58.913505111712794</v>
      </c>
      <c r="L25" s="102">
        <v>7.5344751889799754E-3</v>
      </c>
      <c r="M25" s="102">
        <f t="shared" si="9"/>
        <v>3.1831091435185178E-2</v>
      </c>
      <c r="N25" s="88">
        <v>1</v>
      </c>
      <c r="O25" s="88">
        <v>8</v>
      </c>
      <c r="P25" s="367">
        <v>30</v>
      </c>
      <c r="Q25" s="26">
        <f t="shared" si="10"/>
        <v>0.6180256229084643</v>
      </c>
      <c r="R25" s="26">
        <f t="shared" si="10"/>
        <v>2.1005820105820106</v>
      </c>
      <c r="S25" s="26">
        <f t="shared" si="10"/>
        <v>2.6805129629629625</v>
      </c>
      <c r="T25" s="26">
        <f t="shared" si="10"/>
        <v>5.5286848920038864E-3</v>
      </c>
      <c r="U25" s="26">
        <f t="shared" si="10"/>
        <v>0.17031746031746031</v>
      </c>
      <c r="V25" s="26">
        <f t="shared" si="10"/>
        <v>0.15158253968253968</v>
      </c>
      <c r="W25" s="26">
        <f t="shared" si="10"/>
        <v>471.30804089370235</v>
      </c>
      <c r="X25" s="26">
        <f t="shared" si="10"/>
        <v>6.0275801511839804E-2</v>
      </c>
      <c r="Y25" s="26">
        <f t="shared" si="10"/>
        <v>0.25464873148148143</v>
      </c>
    </row>
    <row r="26" spans="1:25" s="3" customFormat="1">
      <c r="A26" s="100" t="s">
        <v>126</v>
      </c>
      <c r="B26" s="29" t="s">
        <v>27</v>
      </c>
      <c r="C26" s="22">
        <v>175</v>
      </c>
      <c r="D26" s="22"/>
      <c r="E26" s="102">
        <v>0.11792220738547983</v>
      </c>
      <c r="F26" s="102">
        <v>0.36512193352152528</v>
      </c>
      <c r="G26" s="102">
        <v>0.86781464282266541</v>
      </c>
      <c r="H26" s="102">
        <v>1.8739217498104396E-3</v>
      </c>
      <c r="I26" s="102">
        <v>2.9041712295589866E-2</v>
      </c>
      <c r="J26" s="100">
        <f t="shared" si="8"/>
        <v>2.5847123943074982E-2</v>
      </c>
      <c r="K26" s="103">
        <v>166.54541562452522</v>
      </c>
      <c r="L26" s="102">
        <v>1.063993297769634E-2</v>
      </c>
      <c r="M26" s="104">
        <f t="shared" si="9"/>
        <v>8.2442391068153209E-2</v>
      </c>
      <c r="N26" s="88">
        <v>1</v>
      </c>
      <c r="O26" s="88">
        <v>8</v>
      </c>
      <c r="P26" s="367">
        <v>30</v>
      </c>
      <c r="Q26" s="26">
        <f t="shared" si="10"/>
        <v>0.94337765908383864</v>
      </c>
      <c r="R26" s="26">
        <f t="shared" si="10"/>
        <v>2.9209754681722022</v>
      </c>
      <c r="S26" s="26">
        <f t="shared" si="10"/>
        <v>6.9425171425813232</v>
      </c>
      <c r="T26" s="26">
        <f t="shared" si="10"/>
        <v>1.4991373998483517E-2</v>
      </c>
      <c r="U26" s="26">
        <f t="shared" si="10"/>
        <v>0.23233369836471893</v>
      </c>
      <c r="V26" s="26">
        <f t="shared" si="10"/>
        <v>0.20677699154459986</v>
      </c>
      <c r="W26" s="26">
        <f t="shared" si="10"/>
        <v>1332.3633249962018</v>
      </c>
      <c r="X26" s="26">
        <f t="shared" si="10"/>
        <v>8.5119463821570721E-2</v>
      </c>
      <c r="Y26" s="26">
        <f t="shared" si="10"/>
        <v>0.65953912854522567</v>
      </c>
    </row>
    <row r="27" spans="1:25">
      <c r="A27" s="17" t="s">
        <v>28</v>
      </c>
      <c r="B27" s="29"/>
      <c r="C27" s="22"/>
      <c r="D27" s="22"/>
      <c r="E27" s="23"/>
      <c r="F27" s="23"/>
      <c r="G27" s="23"/>
      <c r="H27" s="23"/>
      <c r="I27" s="23"/>
      <c r="J27" s="100"/>
      <c r="K27" s="365"/>
      <c r="L27" s="23"/>
      <c r="M27" s="102"/>
      <c r="N27" s="30"/>
      <c r="O27" s="98"/>
      <c r="P27" s="363"/>
      <c r="Q27" s="101">
        <f t="shared" ref="Q27:Y27" si="11">SUM(Q22:Q26)</f>
        <v>4.7687083689747904</v>
      </c>
      <c r="R27" s="101">
        <f t="shared" si="11"/>
        <v>15.92233349286356</v>
      </c>
      <c r="S27" s="101">
        <f t="shared" si="11"/>
        <v>24.662696243110421</v>
      </c>
      <c r="T27" s="101">
        <f t="shared" si="11"/>
        <v>5.2473166872495744E-2</v>
      </c>
      <c r="U27" s="101">
        <f t="shared" si="11"/>
        <v>1.0392014232324438</v>
      </c>
      <c r="V27" s="101">
        <f t="shared" si="11"/>
        <v>0.92488926667687488</v>
      </c>
      <c r="W27" s="101">
        <f t="shared" si="11"/>
        <v>4914.0238355638121</v>
      </c>
      <c r="X27" s="101">
        <f t="shared" si="11"/>
        <v>0.45076617035260674</v>
      </c>
      <c r="Y27" s="101">
        <f t="shared" si="11"/>
        <v>2.3429561430954902</v>
      </c>
    </row>
    <row r="28" spans="1:25">
      <c r="A28" s="17" t="s">
        <v>365</v>
      </c>
      <c r="B28" s="571"/>
      <c r="C28" s="18"/>
      <c r="D28" s="22"/>
      <c r="E28" s="19"/>
      <c r="F28" s="19"/>
      <c r="G28" s="19"/>
      <c r="H28" s="19"/>
      <c r="I28" s="19"/>
      <c r="J28" s="19"/>
      <c r="K28" s="19"/>
      <c r="L28" s="19"/>
      <c r="M28" s="19"/>
      <c r="N28" s="30"/>
      <c r="O28" s="30"/>
      <c r="P28" s="364"/>
      <c r="Q28" s="20">
        <f t="shared" ref="Q28:Y28" si="12">Q11+Q20+Q27</f>
        <v>16.735281262420415</v>
      </c>
      <c r="R28" s="20">
        <f t="shared" si="12"/>
        <v>57.285584652771178</v>
      </c>
      <c r="S28" s="20">
        <f t="shared" si="12"/>
        <v>92.98147201385342</v>
      </c>
      <c r="T28" s="20">
        <f t="shared" si="12"/>
        <v>0.19481058002493012</v>
      </c>
      <c r="U28" s="20">
        <f t="shared" si="12"/>
        <v>3.7962389396168996</v>
      </c>
      <c r="V28" s="20">
        <f t="shared" si="12"/>
        <v>3.3786526562590398</v>
      </c>
      <c r="W28" s="20">
        <f t="shared" si="12"/>
        <v>18413.154559493196</v>
      </c>
      <c r="X28" s="20">
        <f t="shared" si="12"/>
        <v>1.5859987890785749</v>
      </c>
      <c r="Y28" s="20">
        <f t="shared" si="12"/>
        <v>8.8332398413160735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6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678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317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24" t="s">
        <v>311</v>
      </c>
      <c r="B14" s="29" t="s">
        <v>27</v>
      </c>
      <c r="C14" s="22">
        <v>175</v>
      </c>
      <c r="D14" s="22"/>
      <c r="E14" s="102">
        <v>0.11792220738547983</v>
      </c>
      <c r="F14" s="102">
        <v>0.36512193352152528</v>
      </c>
      <c r="G14" s="102">
        <v>0.86781464282266541</v>
      </c>
      <c r="H14" s="102">
        <v>1.8739217498104396E-3</v>
      </c>
      <c r="I14" s="102">
        <v>2.9041712295589866E-2</v>
      </c>
      <c r="J14" s="100">
        <f t="shared" ref="J14" si="4">0.89*I14</f>
        <v>2.5847123943074982E-2</v>
      </c>
      <c r="K14" s="103">
        <v>166.54541562452522</v>
      </c>
      <c r="L14" s="102">
        <v>1.063993297769634E-2</v>
      </c>
      <c r="M14" s="104">
        <f t="shared" ref="M14" si="5">0.095*G14</f>
        <v>8.2442391068153209E-2</v>
      </c>
      <c r="N14" s="98">
        <v>1</v>
      </c>
      <c r="O14" s="87">
        <v>2</v>
      </c>
      <c r="P14" s="363">
        <v>280</v>
      </c>
      <c r="Q14" s="34">
        <f t="shared" ref="Q14:Y14" si="6">(E14*$N14*$O14)</f>
        <v>0.23584441477095966</v>
      </c>
      <c r="R14" s="26">
        <f t="shared" si="6"/>
        <v>0.73024386704305055</v>
      </c>
      <c r="S14" s="26">
        <f t="shared" si="6"/>
        <v>1.7356292856453308</v>
      </c>
      <c r="T14" s="26">
        <f t="shared" si="6"/>
        <v>3.7478434996208792E-3</v>
      </c>
      <c r="U14" s="26">
        <f t="shared" si="6"/>
        <v>5.8083424591179732E-2</v>
      </c>
      <c r="V14" s="26">
        <f t="shared" si="6"/>
        <v>5.1694247886149965E-2</v>
      </c>
      <c r="W14" s="26">
        <f t="shared" si="6"/>
        <v>333.09083124905044</v>
      </c>
      <c r="X14" s="26">
        <f t="shared" si="6"/>
        <v>2.127986595539268E-2</v>
      </c>
      <c r="Y14" s="26">
        <f t="shared" si="6"/>
        <v>0.16488478213630642</v>
      </c>
    </row>
    <row r="15" spans="1:25" s="3" customFormat="1">
      <c r="A15" s="17" t="s">
        <v>28</v>
      </c>
      <c r="B15" s="97"/>
      <c r="C15" s="22"/>
      <c r="D15" s="22"/>
      <c r="E15" s="23"/>
      <c r="F15" s="23"/>
      <c r="G15" s="23"/>
      <c r="H15" s="23"/>
      <c r="I15" s="23"/>
      <c r="J15" s="24"/>
      <c r="K15" s="25"/>
      <c r="L15" s="23"/>
      <c r="M15" s="23"/>
      <c r="N15" s="88"/>
      <c r="O15" s="88"/>
      <c r="P15" s="88"/>
      <c r="Q15" s="27">
        <f t="shared" ref="Q15:Y15" si="7">SUM(Q14:Q14)</f>
        <v>0.23584441477095966</v>
      </c>
      <c r="R15" s="27">
        <f t="shared" si="7"/>
        <v>0.73024386704305055</v>
      </c>
      <c r="S15" s="27">
        <f t="shared" si="7"/>
        <v>1.7356292856453308</v>
      </c>
      <c r="T15" s="27">
        <f t="shared" si="7"/>
        <v>3.7478434996208792E-3</v>
      </c>
      <c r="U15" s="27">
        <f t="shared" si="7"/>
        <v>5.8083424591179732E-2</v>
      </c>
      <c r="V15" s="27">
        <f t="shared" si="7"/>
        <v>5.1694247886149965E-2</v>
      </c>
      <c r="W15" s="27">
        <f t="shared" si="7"/>
        <v>333.09083124905044</v>
      </c>
      <c r="X15" s="27">
        <f t="shared" si="7"/>
        <v>2.127986595539268E-2</v>
      </c>
      <c r="Y15" s="27">
        <f t="shared" si="7"/>
        <v>0.16488478213630642</v>
      </c>
    </row>
    <row r="16" spans="1:25">
      <c r="A16" s="17" t="s">
        <v>499</v>
      </c>
      <c r="B16" s="549"/>
      <c r="C16" s="18"/>
      <c r="D16" s="22"/>
      <c r="E16" s="19"/>
      <c r="F16" s="19"/>
      <c r="G16" s="19"/>
      <c r="H16" s="19"/>
      <c r="I16" s="19"/>
      <c r="J16" s="19"/>
      <c r="K16" s="19"/>
      <c r="L16" s="19"/>
      <c r="M16" s="19"/>
      <c r="N16" s="30"/>
      <c r="O16" s="30"/>
      <c r="P16" s="364"/>
      <c r="Q16" s="20">
        <f>Q11+Q15</f>
        <v>0.9504215378625569</v>
      </c>
      <c r="R16" s="20">
        <f t="shared" ref="R16:Y16" si="8">R11+R15</f>
        <v>3.6844030780014445</v>
      </c>
      <c r="S16" s="20">
        <f t="shared" si="8"/>
        <v>6.1566857317844876</v>
      </c>
      <c r="T16" s="20">
        <f t="shared" si="8"/>
        <v>1.207090973569876E-2</v>
      </c>
      <c r="U16" s="20">
        <f t="shared" si="8"/>
        <v>0.30389171690722716</v>
      </c>
      <c r="V16" s="20">
        <f t="shared" si="8"/>
        <v>0.27046362804743218</v>
      </c>
      <c r="W16" s="20">
        <f t="shared" si="8"/>
        <v>1029.5443237340787</v>
      </c>
      <c r="X16" s="20">
        <f t="shared" si="8"/>
        <v>9.3819672145962416E-2</v>
      </c>
      <c r="Y16" s="20">
        <f t="shared" si="8"/>
        <v>0.58488514451952633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0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679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C9*(F9)*$B$167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C10*(F10)*$B$167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335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311</v>
      </c>
      <c r="B14" s="76" t="s">
        <v>105</v>
      </c>
      <c r="C14" s="374">
        <v>1</v>
      </c>
      <c r="D14" s="77"/>
      <c r="E14" s="77">
        <v>35</v>
      </c>
      <c r="F14" s="77">
        <v>80</v>
      </c>
      <c r="G14" s="106">
        <v>1.08263976628415</v>
      </c>
      <c r="H14" s="106">
        <v>4.9712718909585103</v>
      </c>
      <c r="I14" s="106">
        <v>0.26248012575016899</v>
      </c>
      <c r="J14" s="106">
        <v>1.0711818E-2</v>
      </c>
      <c r="K14" s="106">
        <v>7.1679901072141505E-2</v>
      </c>
      <c r="L14" s="576">
        <v>3.59998119015979E-2</v>
      </c>
      <c r="M14" s="576">
        <v>6.1739677411240299E-2</v>
      </c>
      <c r="N14" s="106">
        <v>6.5945508986370194E-2</v>
      </c>
      <c r="O14" s="576">
        <v>2.9999843251331498E-3</v>
      </c>
      <c r="P14" s="576">
        <v>5.5859708133979398E-2</v>
      </c>
      <c r="Q14" s="106">
        <v>1710.7260798814</v>
      </c>
      <c r="R14" s="47">
        <v>1.5235246282551899E-2</v>
      </c>
      <c r="S14" s="80">
        <f>0.000025616*Q14</f>
        <v>4.3821959262241944E-2</v>
      </c>
      <c r="T14" s="50">
        <f>C14*($F14*$G14)/453.59</f>
        <v>0.19094596728925242</v>
      </c>
      <c r="U14" s="50">
        <f>C14*($F14*$H14)/453.59</f>
        <v>0.87678685878586582</v>
      </c>
      <c r="V14" s="50">
        <f>C14*(($F14*$I14))/453.59</f>
        <v>4.6293811724274173E-2</v>
      </c>
      <c r="W14" s="50">
        <f>C14*($F14*$J14)/453.59</f>
        <v>1.8892511739676801E-3</v>
      </c>
      <c r="X14" s="50">
        <f>C14*(($F14*($K14+$L14+$M14)))/453.59</f>
        <v>2.9880621774726907E-2</v>
      </c>
      <c r="Y14" s="50">
        <f>C14*(($F14*($N14+$O14+$P14)))/453.59</f>
        <v>2.2011984646131133E-2</v>
      </c>
      <c r="Z14" s="50">
        <f>C14*(F14)*$B$167</f>
        <v>0</v>
      </c>
      <c r="AA14" s="50">
        <f>Z14*0.21</f>
        <v>0</v>
      </c>
      <c r="AB14" s="50">
        <f>C14*(($F14*($Q14)))/453.59</f>
        <v>301.72200972356535</v>
      </c>
      <c r="AC14" s="50">
        <f>C14*(($F14*($R14)))/453.59</f>
        <v>2.6870515280410772E-3</v>
      </c>
      <c r="AD14" s="50">
        <f>C14*(($F14*($S14)))/453.59</f>
        <v>7.7289110010788503E-3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0.19094596728925242</v>
      </c>
      <c r="U15" s="81">
        <f t="shared" si="1"/>
        <v>0.87678685878586582</v>
      </c>
      <c r="V15" s="81">
        <f t="shared" si="1"/>
        <v>4.6293811724274173E-2</v>
      </c>
      <c r="W15" s="81">
        <f t="shared" si="1"/>
        <v>1.8892511739676801E-3</v>
      </c>
      <c r="X15" s="81">
        <f t="shared" si="1"/>
        <v>2.9880621774726907E-2</v>
      </c>
      <c r="Y15" s="81">
        <f t="shared" si="1"/>
        <v>2.2011984646131133E-2</v>
      </c>
      <c r="Z15" s="81">
        <f t="shared" si="1"/>
        <v>0</v>
      </c>
      <c r="AA15" s="81">
        <f t="shared" si="1"/>
        <v>0</v>
      </c>
      <c r="AB15" s="81">
        <f t="shared" si="1"/>
        <v>301.72200972356535</v>
      </c>
      <c r="AC15" s="81">
        <f t="shared" si="1"/>
        <v>2.6870515280410772E-3</v>
      </c>
      <c r="AD15" s="81">
        <f t="shared" si="1"/>
        <v>7.7289110010788503E-3</v>
      </c>
    </row>
    <row r="16" spans="1:30">
      <c r="A16" s="75" t="s">
        <v>388</v>
      </c>
      <c r="B16" s="74"/>
      <c r="C16" s="112"/>
      <c r="D16" s="112"/>
      <c r="E16" s="74"/>
      <c r="F16" s="74"/>
      <c r="G16" s="547"/>
      <c r="H16" s="41"/>
      <c r="I16" s="41"/>
      <c r="J16" s="41"/>
      <c r="K16" s="544"/>
      <c r="L16" s="544"/>
      <c r="M16" s="544"/>
      <c r="N16" s="544"/>
      <c r="O16" s="544"/>
      <c r="P16" s="544"/>
      <c r="Q16" s="41"/>
      <c r="R16" s="544"/>
      <c r="S16" s="544"/>
      <c r="T16" s="81">
        <f>T11+T15</f>
        <v>0.48178321011214986</v>
      </c>
      <c r="U16" s="81">
        <f t="shared" ref="U16:AD16" si="2">U11+U15</f>
        <v>1.9379830954014503</v>
      </c>
      <c r="V16" s="81">
        <f t="shared" si="2"/>
        <v>0.11511829621149469</v>
      </c>
      <c r="W16" s="81">
        <f t="shared" si="2"/>
        <v>5.1683636885428378E-3</v>
      </c>
      <c r="X16" s="81">
        <f t="shared" si="2"/>
        <v>9.6130708419604929E-2</v>
      </c>
      <c r="Y16" s="81">
        <f t="shared" si="2"/>
        <v>6.8190068275239671E-2</v>
      </c>
      <c r="Z16" s="81">
        <f t="shared" si="2"/>
        <v>0</v>
      </c>
      <c r="AA16" s="81">
        <f t="shared" si="2"/>
        <v>0</v>
      </c>
      <c r="AB16" s="81">
        <f t="shared" si="2"/>
        <v>700.25812503738734</v>
      </c>
      <c r="AC16" s="81">
        <f t="shared" si="2"/>
        <v>1.0906351491826187E-2</v>
      </c>
      <c r="AD16" s="81">
        <f t="shared" si="2"/>
        <v>1.7937812130957714E-2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368" spans="1:1" ht="25.5">
      <c r="A368" s="82" t="s">
        <v>109</v>
      </c>
    </row>
    <row r="370" spans="1:2">
      <c r="A370" s="36" t="s">
        <v>81</v>
      </c>
    </row>
    <row r="371" spans="1:2">
      <c r="A371" s="36" t="s">
        <v>82</v>
      </c>
    </row>
    <row r="372" spans="1:2">
      <c r="A372" s="36" t="s">
        <v>83</v>
      </c>
    </row>
    <row r="373" spans="1:2">
      <c r="A373" s="37" t="s">
        <v>96</v>
      </c>
    </row>
    <row r="374" spans="1:2">
      <c r="A374" s="36" t="s">
        <v>85</v>
      </c>
    </row>
    <row r="375" spans="1:2">
      <c r="A375" s="36" t="s">
        <v>86</v>
      </c>
    </row>
    <row r="376" spans="1:2">
      <c r="A376" s="36" t="s">
        <v>87</v>
      </c>
    </row>
    <row r="377" spans="1:2">
      <c r="A377" s="36" t="s">
        <v>0</v>
      </c>
    </row>
    <row r="378" spans="1:2">
      <c r="A378" s="37" t="s">
        <v>97</v>
      </c>
      <c r="B378" s="36">
        <f>(0.016*(0.03/2)^0.65*(2/3)^1.5)-0.00047</f>
        <v>9.8123053326417428E-5</v>
      </c>
    </row>
    <row r="379" spans="1:2">
      <c r="A379" s="37" t="s">
        <v>98</v>
      </c>
      <c r="B379" s="36">
        <f>(0.016*(0.03/2)^0.65*(13/3)^1.5)-0.00047</f>
        <v>8.9448292388582783E-3</v>
      </c>
    </row>
    <row r="380" spans="1:2">
      <c r="A380" s="37" t="s">
        <v>99</v>
      </c>
      <c r="B38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680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335</v>
      </c>
      <c r="B5" s="45" t="s">
        <v>102</v>
      </c>
      <c r="C5" s="46">
        <v>1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idden="1">
      <c r="A9" s="55" t="s">
        <v>78</v>
      </c>
      <c r="B9" s="37"/>
      <c r="C9" s="37"/>
      <c r="AA9" s="57"/>
      <c r="AB9" s="57"/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54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/>
      <c r="B13" s="37"/>
      <c r="C13" s="37"/>
      <c r="AQ13" s="38"/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F14" s="36" t="e">
        <f t="shared" ref="AF14:AF22" si="2">AF$9*$AC15</f>
        <v>#REF!</v>
      </c>
      <c r="AG14" s="36" t="e">
        <f t="shared" ref="AG14:AG22" si="3">AG$9*$AC15</f>
        <v>#REF!</v>
      </c>
      <c r="AH14" s="36" t="e">
        <f t="shared" ref="AH14:AH22" si="4">AH$9*$AC15</f>
        <v>#REF!</v>
      </c>
      <c r="AI14" s="36" t="e">
        <f t="shared" ref="AI14:AI22" si="5">AI$9*$AC15</f>
        <v>#REF!</v>
      </c>
      <c r="AJ14" s="36" t="e">
        <f t="shared" ref="AJ14:AJ22" si="6">AJ$9*$AC15</f>
        <v>#REF!</v>
      </c>
      <c r="AK14" s="36" t="e">
        <f t="shared" ref="AK14:AK22" si="7">AK$9*$AC15</f>
        <v>#REF!</v>
      </c>
      <c r="AL14" s="36" t="e">
        <f t="shared" ref="AL14:AL22" si="8">AL$9*$AC15</f>
        <v>#REF!</v>
      </c>
      <c r="AM14" s="36" t="e">
        <f t="shared" ref="AM14:AM22" si="9">AM$9*$AC15</f>
        <v>#REF!</v>
      </c>
      <c r="AN14" s="36" t="e">
        <f t="shared" ref="AN14:AN22" si="10">AN$9*$AC15</f>
        <v>#REF!</v>
      </c>
      <c r="AO14" s="36" t="e">
        <f t="shared" ref="AO14:AO22" si="11">AO$9*$AC15</f>
        <v>#REF!</v>
      </c>
      <c r="AQ14" s="38"/>
      <c r="AR14" s="36" t="e">
        <f t="shared" ref="AR14:AR22" si="12">AR$9*$AC15</f>
        <v>#REF!</v>
      </c>
      <c r="AS14" s="36" t="e">
        <f t="shared" ref="AS14:AS22" si="13">AS$9*$AC15</f>
        <v>#REF!</v>
      </c>
      <c r="AT14" s="36" t="e">
        <f t="shared" ref="AT14:AT22" si="14">AT$9*$AC15</f>
        <v>#REF!</v>
      </c>
      <c r="AU14" s="36" t="e">
        <f t="shared" ref="AU14:AU22" si="15">AU$9*$AC15</f>
        <v>#REF!</v>
      </c>
      <c r="AV14" s="36" t="e">
        <f t="shared" ref="AV14:AV22" si="16">AV$9*$AC15</f>
        <v>#REF!</v>
      </c>
      <c r="AW14" s="36" t="e">
        <f t="shared" ref="AW14:AW22" si="17">AW$9*$AC15</f>
        <v>#REF!</v>
      </c>
      <c r="AX14" s="36" t="e">
        <f t="shared" ref="AX14:AX22" si="18">AX$9*$AC15</f>
        <v>#REF!</v>
      </c>
      <c r="AY14" s="36" t="e">
        <f t="shared" ref="AY14:AY22" si="19">AY$9*$AC15</f>
        <v>#REF!</v>
      </c>
      <c r="AZ14" s="36" t="e">
        <f t="shared" ref="AZ14:AZ22" si="20">AZ$9*$AC15</f>
        <v>#REF!</v>
      </c>
      <c r="BA14" s="36" t="e">
        <f t="shared" ref="BA14:BA22" si="21">BA$9*$AC15</f>
        <v>#REF!</v>
      </c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 t="shared" si="2"/>
        <v>#REF!</v>
      </c>
      <c r="AG15" s="36" t="e">
        <f t="shared" si="3"/>
        <v>#REF!</v>
      </c>
      <c r="AH15" s="36" t="e">
        <f t="shared" si="4"/>
        <v>#REF!</v>
      </c>
      <c r="AI15" s="36" t="e">
        <f t="shared" si="5"/>
        <v>#REF!</v>
      </c>
      <c r="AJ15" s="36" t="e">
        <f t="shared" si="6"/>
        <v>#REF!</v>
      </c>
      <c r="AK15" s="36" t="e">
        <f t="shared" si="7"/>
        <v>#REF!</v>
      </c>
      <c r="AL15" s="36" t="e">
        <f t="shared" si="8"/>
        <v>#REF!</v>
      </c>
      <c r="AM15" s="36" t="e">
        <f t="shared" si="9"/>
        <v>#REF!</v>
      </c>
      <c r="AN15" s="36" t="e">
        <f t="shared" si="10"/>
        <v>#REF!</v>
      </c>
      <c r="AO15" s="36" t="e">
        <f t="shared" si="11"/>
        <v>#REF!</v>
      </c>
      <c r="AQ15" s="38"/>
      <c r="AR15" s="36" t="e">
        <f t="shared" si="12"/>
        <v>#REF!</v>
      </c>
      <c r="AS15" s="36" t="e">
        <f t="shared" si="13"/>
        <v>#REF!</v>
      </c>
      <c r="AT15" s="36" t="e">
        <f t="shared" si="14"/>
        <v>#REF!</v>
      </c>
      <c r="AU15" s="36" t="e">
        <f t="shared" si="15"/>
        <v>#REF!</v>
      </c>
      <c r="AV15" s="36" t="e">
        <f t="shared" si="16"/>
        <v>#REF!</v>
      </c>
      <c r="AW15" s="36" t="e">
        <f t="shared" si="17"/>
        <v>#REF!</v>
      </c>
      <c r="AX15" s="36" t="e">
        <f t="shared" si="18"/>
        <v>#REF!</v>
      </c>
      <c r="AY15" s="36" t="e">
        <f t="shared" si="19"/>
        <v>#REF!</v>
      </c>
      <c r="AZ15" s="36" t="e">
        <f t="shared" si="20"/>
        <v>#REF!</v>
      </c>
      <c r="BA15" s="36" t="e">
        <f t="shared" si="21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si="2"/>
        <v>#REF!</v>
      </c>
      <c r="AG16" s="36" t="e">
        <f t="shared" si="3"/>
        <v>#REF!</v>
      </c>
      <c r="AH16" s="36" t="e">
        <f t="shared" si="4"/>
        <v>#REF!</v>
      </c>
      <c r="AI16" s="36" t="e">
        <f t="shared" si="5"/>
        <v>#REF!</v>
      </c>
      <c r="AJ16" s="36" t="e">
        <f t="shared" si="6"/>
        <v>#REF!</v>
      </c>
      <c r="AK16" s="36" t="e">
        <f t="shared" si="7"/>
        <v>#REF!</v>
      </c>
      <c r="AL16" s="36" t="e">
        <f t="shared" si="8"/>
        <v>#REF!</v>
      </c>
      <c r="AM16" s="36" t="e">
        <f t="shared" si="9"/>
        <v>#REF!</v>
      </c>
      <c r="AN16" s="36" t="e">
        <f t="shared" si="10"/>
        <v>#REF!</v>
      </c>
      <c r="AO16" s="36" t="e">
        <f t="shared" si="11"/>
        <v>#REF!</v>
      </c>
      <c r="AQ16" s="38"/>
      <c r="AR16" s="36" t="e">
        <f t="shared" si="12"/>
        <v>#REF!</v>
      </c>
      <c r="AS16" s="36" t="e">
        <f t="shared" si="13"/>
        <v>#REF!</v>
      </c>
      <c r="AT16" s="36" t="e">
        <f t="shared" si="14"/>
        <v>#REF!</v>
      </c>
      <c r="AU16" s="36" t="e">
        <f t="shared" si="15"/>
        <v>#REF!</v>
      </c>
      <c r="AV16" s="36" t="e">
        <f t="shared" si="16"/>
        <v>#REF!</v>
      </c>
      <c r="AW16" s="36" t="e">
        <f t="shared" si="17"/>
        <v>#REF!</v>
      </c>
      <c r="AX16" s="36" t="e">
        <f t="shared" si="18"/>
        <v>#REF!</v>
      </c>
      <c r="AY16" s="36" t="e">
        <f t="shared" si="19"/>
        <v>#REF!</v>
      </c>
      <c r="AZ16" s="36" t="e">
        <f t="shared" si="20"/>
        <v>#REF!</v>
      </c>
      <c r="BA16" s="36" t="e">
        <f t="shared" si="21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2"/>
        <v>#REF!</v>
      </c>
      <c r="AG17" s="36" t="e">
        <f t="shared" si="3"/>
        <v>#REF!</v>
      </c>
      <c r="AH17" s="36" t="e">
        <f t="shared" si="4"/>
        <v>#REF!</v>
      </c>
      <c r="AI17" s="36" t="e">
        <f t="shared" si="5"/>
        <v>#REF!</v>
      </c>
      <c r="AJ17" s="36" t="e">
        <f t="shared" si="6"/>
        <v>#REF!</v>
      </c>
      <c r="AK17" s="36" t="e">
        <f t="shared" si="7"/>
        <v>#REF!</v>
      </c>
      <c r="AL17" s="36" t="e">
        <f t="shared" si="8"/>
        <v>#REF!</v>
      </c>
      <c r="AM17" s="36" t="e">
        <f t="shared" si="9"/>
        <v>#REF!</v>
      </c>
      <c r="AN17" s="36" t="e">
        <f t="shared" si="10"/>
        <v>#REF!</v>
      </c>
      <c r="AO17" s="36" t="e">
        <f t="shared" si="11"/>
        <v>#REF!</v>
      </c>
      <c r="AQ17" s="38"/>
      <c r="AR17" s="36" t="e">
        <f t="shared" si="12"/>
        <v>#REF!</v>
      </c>
      <c r="AS17" s="36" t="e">
        <f t="shared" si="13"/>
        <v>#REF!</v>
      </c>
      <c r="AT17" s="36" t="e">
        <f t="shared" si="14"/>
        <v>#REF!</v>
      </c>
      <c r="AU17" s="36" t="e">
        <f t="shared" si="15"/>
        <v>#REF!</v>
      </c>
      <c r="AV17" s="36" t="e">
        <f t="shared" si="16"/>
        <v>#REF!</v>
      </c>
      <c r="AW17" s="36" t="e">
        <f t="shared" si="17"/>
        <v>#REF!</v>
      </c>
      <c r="AX17" s="36" t="e">
        <f t="shared" si="18"/>
        <v>#REF!</v>
      </c>
      <c r="AY17" s="36" t="e">
        <f t="shared" si="19"/>
        <v>#REF!</v>
      </c>
      <c r="AZ17" s="36" t="e">
        <f t="shared" si="20"/>
        <v>#REF!</v>
      </c>
      <c r="BA17" s="36" t="e">
        <f t="shared" si="21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2"/>
        <v>#REF!</v>
      </c>
      <c r="AG18" s="36" t="e">
        <f t="shared" si="3"/>
        <v>#REF!</v>
      </c>
      <c r="AH18" s="36" t="e">
        <f t="shared" si="4"/>
        <v>#REF!</v>
      </c>
      <c r="AI18" s="36" t="e">
        <f t="shared" si="5"/>
        <v>#REF!</v>
      </c>
      <c r="AJ18" s="36" t="e">
        <f t="shared" si="6"/>
        <v>#REF!</v>
      </c>
      <c r="AK18" s="36" t="e">
        <f t="shared" si="7"/>
        <v>#REF!</v>
      </c>
      <c r="AL18" s="36" t="e">
        <f t="shared" si="8"/>
        <v>#REF!</v>
      </c>
      <c r="AM18" s="36" t="e">
        <f t="shared" si="9"/>
        <v>#REF!</v>
      </c>
      <c r="AN18" s="36" t="e">
        <f t="shared" si="10"/>
        <v>#REF!</v>
      </c>
      <c r="AO18" s="36" t="e">
        <f t="shared" si="11"/>
        <v>#REF!</v>
      </c>
      <c r="AQ18" s="38"/>
      <c r="AR18" s="36" t="e">
        <f t="shared" si="12"/>
        <v>#REF!</v>
      </c>
      <c r="AS18" s="36" t="e">
        <f t="shared" si="13"/>
        <v>#REF!</v>
      </c>
      <c r="AT18" s="36" t="e">
        <f t="shared" si="14"/>
        <v>#REF!</v>
      </c>
      <c r="AU18" s="36" t="e">
        <f t="shared" si="15"/>
        <v>#REF!</v>
      </c>
      <c r="AV18" s="36" t="e">
        <f t="shared" si="16"/>
        <v>#REF!</v>
      </c>
      <c r="AW18" s="36" t="e">
        <f t="shared" si="17"/>
        <v>#REF!</v>
      </c>
      <c r="AX18" s="36" t="e">
        <f t="shared" si="18"/>
        <v>#REF!</v>
      </c>
      <c r="AY18" s="36" t="e">
        <f t="shared" si="19"/>
        <v>#REF!</v>
      </c>
      <c r="AZ18" s="36" t="e">
        <f t="shared" si="20"/>
        <v>#REF!</v>
      </c>
      <c r="BA18" s="36" t="e">
        <f t="shared" si="21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2"/>
        <v>#REF!</v>
      </c>
      <c r="AG19" s="36" t="e">
        <f t="shared" si="3"/>
        <v>#REF!</v>
      </c>
      <c r="AH19" s="36" t="e">
        <f t="shared" si="4"/>
        <v>#REF!</v>
      </c>
      <c r="AI19" s="36" t="e">
        <f t="shared" si="5"/>
        <v>#REF!</v>
      </c>
      <c r="AJ19" s="36" t="e">
        <f t="shared" si="6"/>
        <v>#REF!</v>
      </c>
      <c r="AK19" s="36" t="e">
        <f t="shared" si="7"/>
        <v>#REF!</v>
      </c>
      <c r="AL19" s="36" t="e">
        <f t="shared" si="8"/>
        <v>#REF!</v>
      </c>
      <c r="AM19" s="36" t="e">
        <f t="shared" si="9"/>
        <v>#REF!</v>
      </c>
      <c r="AN19" s="36" t="e">
        <f t="shared" si="10"/>
        <v>#REF!</v>
      </c>
      <c r="AO19" s="36" t="e">
        <f t="shared" si="11"/>
        <v>#REF!</v>
      </c>
      <c r="AQ19" s="38"/>
      <c r="AR19" s="36" t="e">
        <f t="shared" si="12"/>
        <v>#REF!</v>
      </c>
      <c r="AS19" s="36" t="e">
        <f t="shared" si="13"/>
        <v>#REF!</v>
      </c>
      <c r="AT19" s="36" t="e">
        <f t="shared" si="14"/>
        <v>#REF!</v>
      </c>
      <c r="AU19" s="36" t="e">
        <f t="shared" si="15"/>
        <v>#REF!</v>
      </c>
      <c r="AV19" s="36" t="e">
        <f t="shared" si="16"/>
        <v>#REF!</v>
      </c>
      <c r="AW19" s="36" t="e">
        <f t="shared" si="17"/>
        <v>#REF!</v>
      </c>
      <c r="AX19" s="36" t="e">
        <f t="shared" si="18"/>
        <v>#REF!</v>
      </c>
      <c r="AY19" s="36" t="e">
        <f t="shared" si="19"/>
        <v>#REF!</v>
      </c>
      <c r="AZ19" s="36" t="e">
        <f t="shared" si="20"/>
        <v>#REF!</v>
      </c>
      <c r="BA19" s="36" t="e">
        <f t="shared" si="21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2"/>
        <v>#REF!</v>
      </c>
      <c r="AG20" s="36" t="e">
        <f t="shared" si="3"/>
        <v>#REF!</v>
      </c>
      <c r="AH20" s="36" t="e">
        <f t="shared" si="4"/>
        <v>#REF!</v>
      </c>
      <c r="AI20" s="36" t="e">
        <f t="shared" si="5"/>
        <v>#REF!</v>
      </c>
      <c r="AJ20" s="36" t="e">
        <f t="shared" si="6"/>
        <v>#REF!</v>
      </c>
      <c r="AK20" s="36" t="e">
        <f t="shared" si="7"/>
        <v>#REF!</v>
      </c>
      <c r="AL20" s="36" t="e">
        <f t="shared" si="8"/>
        <v>#REF!</v>
      </c>
      <c r="AM20" s="36" t="e">
        <f t="shared" si="9"/>
        <v>#REF!</v>
      </c>
      <c r="AN20" s="36" t="e">
        <f t="shared" si="10"/>
        <v>#REF!</v>
      </c>
      <c r="AO20" s="36" t="e">
        <f t="shared" si="11"/>
        <v>#REF!</v>
      </c>
      <c r="AQ20" s="38"/>
      <c r="AR20" s="36" t="e">
        <f t="shared" si="12"/>
        <v>#REF!</v>
      </c>
      <c r="AS20" s="36" t="e">
        <f t="shared" si="13"/>
        <v>#REF!</v>
      </c>
      <c r="AT20" s="36" t="e">
        <f t="shared" si="14"/>
        <v>#REF!</v>
      </c>
      <c r="AU20" s="36" t="e">
        <f t="shared" si="15"/>
        <v>#REF!</v>
      </c>
      <c r="AV20" s="36" t="e">
        <f t="shared" si="16"/>
        <v>#REF!</v>
      </c>
      <c r="AW20" s="36" t="e">
        <f t="shared" si="17"/>
        <v>#REF!</v>
      </c>
      <c r="AX20" s="36" t="e">
        <f t="shared" si="18"/>
        <v>#REF!</v>
      </c>
      <c r="AY20" s="36" t="e">
        <f t="shared" si="19"/>
        <v>#REF!</v>
      </c>
      <c r="AZ20" s="36" t="e">
        <f t="shared" si="20"/>
        <v>#REF!</v>
      </c>
      <c r="BA20" s="36" t="e">
        <f t="shared" si="21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2"/>
        <v>#REF!</v>
      </c>
      <c r="AG21" s="36" t="e">
        <f t="shared" si="3"/>
        <v>#REF!</v>
      </c>
      <c r="AH21" s="36" t="e">
        <f t="shared" si="4"/>
        <v>#REF!</v>
      </c>
      <c r="AI21" s="36" t="e">
        <f t="shared" si="5"/>
        <v>#REF!</v>
      </c>
      <c r="AJ21" s="36" t="e">
        <f t="shared" si="6"/>
        <v>#REF!</v>
      </c>
      <c r="AK21" s="36" t="e">
        <f t="shared" si="7"/>
        <v>#REF!</v>
      </c>
      <c r="AL21" s="36" t="e">
        <f t="shared" si="8"/>
        <v>#REF!</v>
      </c>
      <c r="AM21" s="36" t="e">
        <f t="shared" si="9"/>
        <v>#REF!</v>
      </c>
      <c r="AN21" s="36" t="e">
        <f t="shared" si="10"/>
        <v>#REF!</v>
      </c>
      <c r="AO21" s="36" t="e">
        <f t="shared" si="11"/>
        <v>#REF!</v>
      </c>
      <c r="AQ21" s="38"/>
      <c r="AR21" s="36" t="e">
        <f t="shared" si="12"/>
        <v>#REF!</v>
      </c>
      <c r="AS21" s="36" t="e">
        <f t="shared" si="13"/>
        <v>#REF!</v>
      </c>
      <c r="AT21" s="36" t="e">
        <f t="shared" si="14"/>
        <v>#REF!</v>
      </c>
      <c r="AU21" s="36" t="e">
        <f t="shared" si="15"/>
        <v>#REF!</v>
      </c>
      <c r="AV21" s="36" t="e">
        <f t="shared" si="16"/>
        <v>#REF!</v>
      </c>
      <c r="AW21" s="36" t="e">
        <f t="shared" si="17"/>
        <v>#REF!</v>
      </c>
      <c r="AX21" s="36" t="e">
        <f t="shared" si="18"/>
        <v>#REF!</v>
      </c>
      <c r="AY21" s="36" t="e">
        <f t="shared" si="19"/>
        <v>#REF!</v>
      </c>
      <c r="AZ21" s="36" t="e">
        <f t="shared" si="20"/>
        <v>#REF!</v>
      </c>
      <c r="BA21" s="36" t="e">
        <f t="shared" si="21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2"/>
        <v>#REF!</v>
      </c>
      <c r="AG22" s="36" t="e">
        <f t="shared" si="3"/>
        <v>#REF!</v>
      </c>
      <c r="AH22" s="36" t="e">
        <f t="shared" si="4"/>
        <v>#REF!</v>
      </c>
      <c r="AI22" s="36" t="e">
        <f t="shared" si="5"/>
        <v>#REF!</v>
      </c>
      <c r="AJ22" s="36" t="e">
        <f t="shared" si="6"/>
        <v>#REF!</v>
      </c>
      <c r="AK22" s="36" t="e">
        <f t="shared" si="7"/>
        <v>#REF!</v>
      </c>
      <c r="AL22" s="36" t="e">
        <f t="shared" si="8"/>
        <v>#REF!</v>
      </c>
      <c r="AM22" s="36" t="e">
        <f t="shared" si="9"/>
        <v>#REF!</v>
      </c>
      <c r="AN22" s="36" t="e">
        <f t="shared" si="10"/>
        <v>#REF!</v>
      </c>
      <c r="AO22" s="36" t="e">
        <f t="shared" si="11"/>
        <v>#REF!</v>
      </c>
      <c r="AQ22" s="38"/>
      <c r="AR22" s="36" t="e">
        <f t="shared" si="12"/>
        <v>#REF!</v>
      </c>
      <c r="AS22" s="36" t="e">
        <f t="shared" si="13"/>
        <v>#REF!</v>
      </c>
      <c r="AT22" s="36" t="e">
        <f t="shared" si="14"/>
        <v>#REF!</v>
      </c>
      <c r="AU22" s="36" t="e">
        <f t="shared" si="15"/>
        <v>#REF!</v>
      </c>
      <c r="AV22" s="36" t="e">
        <f t="shared" si="16"/>
        <v>#REF!</v>
      </c>
      <c r="AW22" s="36" t="e">
        <f t="shared" si="17"/>
        <v>#REF!</v>
      </c>
      <c r="AX22" s="36" t="e">
        <f t="shared" si="18"/>
        <v>#REF!</v>
      </c>
      <c r="AY22" s="36" t="e">
        <f t="shared" si="19"/>
        <v>#REF!</v>
      </c>
      <c r="AZ22" s="36" t="e">
        <f t="shared" si="20"/>
        <v>#REF!</v>
      </c>
      <c r="BA22" s="36" t="e">
        <f t="shared" si="21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Q23" s="38"/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F25" s="36" t="e">
        <f t="shared" ref="AF25:AF33" si="22">AF$9*$AC26</f>
        <v>#REF!</v>
      </c>
      <c r="AG25" s="36" t="e">
        <f t="shared" ref="AG25:AG33" si="23">AG$9*$AC26</f>
        <v>#REF!</v>
      </c>
      <c r="AH25" s="36" t="e">
        <f t="shared" ref="AH25:AH33" si="24">AH$9*$AC26</f>
        <v>#REF!</v>
      </c>
      <c r="AI25" s="36" t="e">
        <f t="shared" ref="AI25:AI33" si="25">AI$9*$AC26</f>
        <v>#REF!</v>
      </c>
      <c r="AJ25" s="36" t="e">
        <f t="shared" ref="AJ25:AJ33" si="26">AJ$9*$AC26</f>
        <v>#REF!</v>
      </c>
      <c r="AK25" s="36" t="e">
        <f t="shared" ref="AK25:AK33" si="27">AK$9*$AC26</f>
        <v>#REF!</v>
      </c>
      <c r="AL25" s="36" t="e">
        <f t="shared" ref="AL25:AL33" si="28">AL$9*$AC26</f>
        <v>#REF!</v>
      </c>
      <c r="AM25" s="36" t="e">
        <f t="shared" ref="AM25:AM33" si="29">AM$9*$AC26</f>
        <v>#REF!</v>
      </c>
      <c r="AN25" s="36" t="e">
        <f t="shared" ref="AN25:AN33" si="30">AN$9*$AC26</f>
        <v>#REF!</v>
      </c>
      <c r="AO25" s="36" t="e">
        <f t="shared" ref="AO25:AO33" si="31">AO$9*$AC26</f>
        <v>#REF!</v>
      </c>
      <c r="AQ25" s="38"/>
      <c r="AR25" s="36" t="e">
        <f t="shared" ref="AR25:AR33" si="32">AR$9*$AC26</f>
        <v>#REF!</v>
      </c>
      <c r="AS25" s="36" t="e">
        <f t="shared" ref="AS25:AS33" si="33">AS$9*$AC26</f>
        <v>#REF!</v>
      </c>
      <c r="AT25" s="36" t="e">
        <f t="shared" ref="AT25:AT33" si="34">AT$9*$AC26</f>
        <v>#REF!</v>
      </c>
      <c r="AU25" s="36" t="e">
        <f t="shared" ref="AU25:AU33" si="35">AU$9*$AC26</f>
        <v>#REF!</v>
      </c>
      <c r="AV25" s="36" t="e">
        <f t="shared" ref="AV25:AV33" si="36">AV$9*$AC26</f>
        <v>#REF!</v>
      </c>
      <c r="AW25" s="36" t="e">
        <f t="shared" ref="AW25:AW33" si="37">AW$9*$AC26</f>
        <v>#REF!</v>
      </c>
      <c r="AX25" s="36" t="e">
        <f t="shared" ref="AX25:AX33" si="38">AX$9*$AC26</f>
        <v>#REF!</v>
      </c>
      <c r="AY25" s="36" t="e">
        <f t="shared" ref="AY25:AY33" si="39">AY$9*$AC26</f>
        <v>#REF!</v>
      </c>
      <c r="AZ25" s="36" t="e">
        <f t="shared" ref="AZ25:AZ33" si="40">AZ$9*$AC26</f>
        <v>#REF!</v>
      </c>
      <c r="BA25" s="36" t="e">
        <f t="shared" ref="BA25:BA33" si="41">BA$9*$AC26</f>
        <v>#REF!</v>
      </c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si="22"/>
        <v>#REF!</v>
      </c>
      <c r="AG26" s="36" t="e">
        <f t="shared" si="23"/>
        <v>#REF!</v>
      </c>
      <c r="AH26" s="36" t="e">
        <f t="shared" si="24"/>
        <v>#REF!</v>
      </c>
      <c r="AI26" s="36" t="e">
        <f t="shared" si="25"/>
        <v>#REF!</v>
      </c>
      <c r="AJ26" s="36" t="e">
        <f t="shared" si="26"/>
        <v>#REF!</v>
      </c>
      <c r="AK26" s="36" t="e">
        <f t="shared" si="27"/>
        <v>#REF!</v>
      </c>
      <c r="AL26" s="36" t="e">
        <f t="shared" si="28"/>
        <v>#REF!</v>
      </c>
      <c r="AM26" s="36" t="e">
        <f t="shared" si="29"/>
        <v>#REF!</v>
      </c>
      <c r="AN26" s="36" t="e">
        <f t="shared" si="30"/>
        <v>#REF!</v>
      </c>
      <c r="AO26" s="36" t="e">
        <f t="shared" si="31"/>
        <v>#REF!</v>
      </c>
      <c r="AQ26" s="38"/>
      <c r="AR26" s="36" t="e">
        <f t="shared" si="32"/>
        <v>#REF!</v>
      </c>
      <c r="AS26" s="36" t="e">
        <f t="shared" si="33"/>
        <v>#REF!</v>
      </c>
      <c r="AT26" s="36" t="e">
        <f t="shared" si="34"/>
        <v>#REF!</v>
      </c>
      <c r="AU26" s="36" t="e">
        <f t="shared" si="35"/>
        <v>#REF!</v>
      </c>
      <c r="AV26" s="36" t="e">
        <f t="shared" si="36"/>
        <v>#REF!</v>
      </c>
      <c r="AW26" s="36" t="e">
        <f t="shared" si="37"/>
        <v>#REF!</v>
      </c>
      <c r="AX26" s="36" t="e">
        <f t="shared" si="38"/>
        <v>#REF!</v>
      </c>
      <c r="AY26" s="36" t="e">
        <f t="shared" si="39"/>
        <v>#REF!</v>
      </c>
      <c r="AZ26" s="36" t="e">
        <f t="shared" si="40"/>
        <v>#REF!</v>
      </c>
      <c r="BA26" s="36" t="e">
        <f t="shared" si="41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22"/>
        <v>#REF!</v>
      </c>
      <c r="AG27" s="36" t="e">
        <f t="shared" si="23"/>
        <v>#REF!</v>
      </c>
      <c r="AH27" s="36" t="e">
        <f t="shared" si="24"/>
        <v>#REF!</v>
      </c>
      <c r="AI27" s="36" t="e">
        <f t="shared" si="25"/>
        <v>#REF!</v>
      </c>
      <c r="AJ27" s="36" t="e">
        <f t="shared" si="26"/>
        <v>#REF!</v>
      </c>
      <c r="AK27" s="36" t="e">
        <f t="shared" si="27"/>
        <v>#REF!</v>
      </c>
      <c r="AL27" s="36" t="e">
        <f t="shared" si="28"/>
        <v>#REF!</v>
      </c>
      <c r="AM27" s="36" t="e">
        <f t="shared" si="29"/>
        <v>#REF!</v>
      </c>
      <c r="AN27" s="36" t="e">
        <f t="shared" si="30"/>
        <v>#REF!</v>
      </c>
      <c r="AO27" s="36" t="e">
        <f t="shared" si="31"/>
        <v>#REF!</v>
      </c>
      <c r="AQ27" s="38"/>
      <c r="AR27" s="36" t="e">
        <f t="shared" si="32"/>
        <v>#REF!</v>
      </c>
      <c r="AS27" s="36" t="e">
        <f t="shared" si="33"/>
        <v>#REF!</v>
      </c>
      <c r="AT27" s="36" t="e">
        <f t="shared" si="34"/>
        <v>#REF!</v>
      </c>
      <c r="AU27" s="36" t="e">
        <f t="shared" si="35"/>
        <v>#REF!</v>
      </c>
      <c r="AV27" s="36" t="e">
        <f t="shared" si="36"/>
        <v>#REF!</v>
      </c>
      <c r="AW27" s="36" t="e">
        <f t="shared" si="37"/>
        <v>#REF!</v>
      </c>
      <c r="AX27" s="36" t="e">
        <f t="shared" si="38"/>
        <v>#REF!</v>
      </c>
      <c r="AY27" s="36" t="e">
        <f t="shared" si="39"/>
        <v>#REF!</v>
      </c>
      <c r="AZ27" s="36" t="e">
        <f t="shared" si="40"/>
        <v>#REF!</v>
      </c>
      <c r="BA27" s="36" t="e">
        <f t="shared" si="41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22"/>
        <v>#REF!</v>
      </c>
      <c r="AG28" s="36" t="e">
        <f t="shared" si="23"/>
        <v>#REF!</v>
      </c>
      <c r="AH28" s="36" t="e">
        <f t="shared" si="24"/>
        <v>#REF!</v>
      </c>
      <c r="AI28" s="36" t="e">
        <f t="shared" si="25"/>
        <v>#REF!</v>
      </c>
      <c r="AJ28" s="36" t="e">
        <f t="shared" si="26"/>
        <v>#REF!</v>
      </c>
      <c r="AK28" s="36" t="e">
        <f t="shared" si="27"/>
        <v>#REF!</v>
      </c>
      <c r="AL28" s="36" t="e">
        <f t="shared" si="28"/>
        <v>#REF!</v>
      </c>
      <c r="AM28" s="36" t="e">
        <f t="shared" si="29"/>
        <v>#REF!</v>
      </c>
      <c r="AN28" s="36" t="e">
        <f t="shared" si="30"/>
        <v>#REF!</v>
      </c>
      <c r="AO28" s="36" t="e">
        <f t="shared" si="31"/>
        <v>#REF!</v>
      </c>
      <c r="AQ28" s="38"/>
      <c r="AR28" s="36" t="e">
        <f t="shared" si="32"/>
        <v>#REF!</v>
      </c>
      <c r="AS28" s="36" t="e">
        <f t="shared" si="33"/>
        <v>#REF!</v>
      </c>
      <c r="AT28" s="36" t="e">
        <f t="shared" si="34"/>
        <v>#REF!</v>
      </c>
      <c r="AU28" s="36" t="e">
        <f t="shared" si="35"/>
        <v>#REF!</v>
      </c>
      <c r="AV28" s="36" t="e">
        <f t="shared" si="36"/>
        <v>#REF!</v>
      </c>
      <c r="AW28" s="36" t="e">
        <f t="shared" si="37"/>
        <v>#REF!</v>
      </c>
      <c r="AX28" s="36" t="e">
        <f t="shared" si="38"/>
        <v>#REF!</v>
      </c>
      <c r="AY28" s="36" t="e">
        <f t="shared" si="39"/>
        <v>#REF!</v>
      </c>
      <c r="AZ28" s="36" t="e">
        <f t="shared" si="40"/>
        <v>#REF!</v>
      </c>
      <c r="BA28" s="36" t="e">
        <f t="shared" si="41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22"/>
        <v>#REF!</v>
      </c>
      <c r="AG29" s="36" t="e">
        <f t="shared" si="23"/>
        <v>#REF!</v>
      </c>
      <c r="AH29" s="36" t="e">
        <f t="shared" si="24"/>
        <v>#REF!</v>
      </c>
      <c r="AI29" s="36" t="e">
        <f t="shared" si="25"/>
        <v>#REF!</v>
      </c>
      <c r="AJ29" s="36" t="e">
        <f t="shared" si="26"/>
        <v>#REF!</v>
      </c>
      <c r="AK29" s="36" t="e">
        <f t="shared" si="27"/>
        <v>#REF!</v>
      </c>
      <c r="AL29" s="36" t="e">
        <f t="shared" si="28"/>
        <v>#REF!</v>
      </c>
      <c r="AM29" s="36" t="e">
        <f t="shared" si="29"/>
        <v>#REF!</v>
      </c>
      <c r="AN29" s="36" t="e">
        <f t="shared" si="30"/>
        <v>#REF!</v>
      </c>
      <c r="AO29" s="36" t="e">
        <f t="shared" si="31"/>
        <v>#REF!</v>
      </c>
      <c r="AQ29" s="38"/>
      <c r="AR29" s="36" t="e">
        <f t="shared" si="32"/>
        <v>#REF!</v>
      </c>
      <c r="AS29" s="36" t="e">
        <f t="shared" si="33"/>
        <v>#REF!</v>
      </c>
      <c r="AT29" s="36" t="e">
        <f t="shared" si="34"/>
        <v>#REF!</v>
      </c>
      <c r="AU29" s="36" t="e">
        <f t="shared" si="35"/>
        <v>#REF!</v>
      </c>
      <c r="AV29" s="36" t="e">
        <f t="shared" si="36"/>
        <v>#REF!</v>
      </c>
      <c r="AW29" s="36" t="e">
        <f t="shared" si="37"/>
        <v>#REF!</v>
      </c>
      <c r="AX29" s="36" t="e">
        <f t="shared" si="38"/>
        <v>#REF!</v>
      </c>
      <c r="AY29" s="36" t="e">
        <f t="shared" si="39"/>
        <v>#REF!</v>
      </c>
      <c r="AZ29" s="36" t="e">
        <f t="shared" si="40"/>
        <v>#REF!</v>
      </c>
      <c r="BA29" s="36" t="e">
        <f t="shared" si="41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22"/>
        <v>#REF!</v>
      </c>
      <c r="AG30" s="36" t="e">
        <f t="shared" si="23"/>
        <v>#REF!</v>
      </c>
      <c r="AH30" s="36" t="e">
        <f t="shared" si="24"/>
        <v>#REF!</v>
      </c>
      <c r="AI30" s="36" t="e">
        <f t="shared" si="25"/>
        <v>#REF!</v>
      </c>
      <c r="AJ30" s="36" t="e">
        <f t="shared" si="26"/>
        <v>#REF!</v>
      </c>
      <c r="AK30" s="36" t="e">
        <f t="shared" si="27"/>
        <v>#REF!</v>
      </c>
      <c r="AL30" s="36" t="e">
        <f t="shared" si="28"/>
        <v>#REF!</v>
      </c>
      <c r="AM30" s="36" t="e">
        <f t="shared" si="29"/>
        <v>#REF!</v>
      </c>
      <c r="AN30" s="36" t="e">
        <f t="shared" si="30"/>
        <v>#REF!</v>
      </c>
      <c r="AO30" s="36" t="e">
        <f t="shared" si="31"/>
        <v>#REF!</v>
      </c>
      <c r="AQ30" s="38"/>
      <c r="AR30" s="36" t="e">
        <f t="shared" si="32"/>
        <v>#REF!</v>
      </c>
      <c r="AS30" s="36" t="e">
        <f t="shared" si="33"/>
        <v>#REF!</v>
      </c>
      <c r="AT30" s="36" t="e">
        <f t="shared" si="34"/>
        <v>#REF!</v>
      </c>
      <c r="AU30" s="36" t="e">
        <f t="shared" si="35"/>
        <v>#REF!</v>
      </c>
      <c r="AV30" s="36" t="e">
        <f t="shared" si="36"/>
        <v>#REF!</v>
      </c>
      <c r="AW30" s="36" t="e">
        <f t="shared" si="37"/>
        <v>#REF!</v>
      </c>
      <c r="AX30" s="36" t="e">
        <f t="shared" si="38"/>
        <v>#REF!</v>
      </c>
      <c r="AY30" s="36" t="e">
        <f t="shared" si="39"/>
        <v>#REF!</v>
      </c>
      <c r="AZ30" s="36" t="e">
        <f t="shared" si="40"/>
        <v>#REF!</v>
      </c>
      <c r="BA30" s="36" t="e">
        <f t="shared" si="41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22"/>
        <v>#REF!</v>
      </c>
      <c r="AG31" s="36" t="e">
        <f t="shared" si="23"/>
        <v>#REF!</v>
      </c>
      <c r="AH31" s="36" t="e">
        <f t="shared" si="24"/>
        <v>#REF!</v>
      </c>
      <c r="AI31" s="36" t="e">
        <f t="shared" si="25"/>
        <v>#REF!</v>
      </c>
      <c r="AJ31" s="36" t="e">
        <f t="shared" si="26"/>
        <v>#REF!</v>
      </c>
      <c r="AK31" s="36" t="e">
        <f t="shared" si="27"/>
        <v>#REF!</v>
      </c>
      <c r="AL31" s="36" t="e">
        <f t="shared" si="28"/>
        <v>#REF!</v>
      </c>
      <c r="AM31" s="36" t="e">
        <f t="shared" si="29"/>
        <v>#REF!</v>
      </c>
      <c r="AN31" s="36" t="e">
        <f t="shared" si="30"/>
        <v>#REF!</v>
      </c>
      <c r="AO31" s="36" t="e">
        <f t="shared" si="31"/>
        <v>#REF!</v>
      </c>
      <c r="AQ31" s="38"/>
      <c r="AR31" s="36" t="e">
        <f t="shared" si="32"/>
        <v>#REF!</v>
      </c>
      <c r="AS31" s="36" t="e">
        <f t="shared" si="33"/>
        <v>#REF!</v>
      </c>
      <c r="AT31" s="36" t="e">
        <f t="shared" si="34"/>
        <v>#REF!</v>
      </c>
      <c r="AU31" s="36" t="e">
        <f t="shared" si="35"/>
        <v>#REF!</v>
      </c>
      <c r="AV31" s="36" t="e">
        <f t="shared" si="36"/>
        <v>#REF!</v>
      </c>
      <c r="AW31" s="36" t="e">
        <f t="shared" si="37"/>
        <v>#REF!</v>
      </c>
      <c r="AX31" s="36" t="e">
        <f t="shared" si="38"/>
        <v>#REF!</v>
      </c>
      <c r="AY31" s="36" t="e">
        <f t="shared" si="39"/>
        <v>#REF!</v>
      </c>
      <c r="AZ31" s="36" t="e">
        <f t="shared" si="40"/>
        <v>#REF!</v>
      </c>
      <c r="BA31" s="36" t="e">
        <f t="shared" si="41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22"/>
        <v>#REF!</v>
      </c>
      <c r="AG32" s="36" t="e">
        <f t="shared" si="23"/>
        <v>#REF!</v>
      </c>
      <c r="AH32" s="36" t="e">
        <f t="shared" si="24"/>
        <v>#REF!</v>
      </c>
      <c r="AI32" s="36" t="e">
        <f t="shared" si="25"/>
        <v>#REF!</v>
      </c>
      <c r="AJ32" s="36" t="e">
        <f t="shared" si="26"/>
        <v>#REF!</v>
      </c>
      <c r="AK32" s="36" t="e">
        <f t="shared" si="27"/>
        <v>#REF!</v>
      </c>
      <c r="AL32" s="36" t="e">
        <f t="shared" si="28"/>
        <v>#REF!</v>
      </c>
      <c r="AM32" s="36" t="e">
        <f t="shared" si="29"/>
        <v>#REF!</v>
      </c>
      <c r="AN32" s="36" t="e">
        <f t="shared" si="30"/>
        <v>#REF!</v>
      </c>
      <c r="AO32" s="36" t="e">
        <f t="shared" si="31"/>
        <v>#REF!</v>
      </c>
      <c r="AQ32" s="38"/>
      <c r="AR32" s="36" t="e">
        <f t="shared" si="32"/>
        <v>#REF!</v>
      </c>
      <c r="AS32" s="36" t="e">
        <f t="shared" si="33"/>
        <v>#REF!</v>
      </c>
      <c r="AT32" s="36" t="e">
        <f t="shared" si="34"/>
        <v>#REF!</v>
      </c>
      <c r="AU32" s="36" t="e">
        <f t="shared" si="35"/>
        <v>#REF!</v>
      </c>
      <c r="AV32" s="36" t="e">
        <f t="shared" si="36"/>
        <v>#REF!</v>
      </c>
      <c r="AW32" s="36" t="e">
        <f t="shared" si="37"/>
        <v>#REF!</v>
      </c>
      <c r="AX32" s="36" t="e">
        <f t="shared" si="38"/>
        <v>#REF!</v>
      </c>
      <c r="AY32" s="36" t="e">
        <f t="shared" si="39"/>
        <v>#REF!</v>
      </c>
      <c r="AZ32" s="36" t="e">
        <f t="shared" si="40"/>
        <v>#REF!</v>
      </c>
      <c r="BA32" s="36" t="e">
        <f t="shared" si="41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22"/>
        <v>#REF!</v>
      </c>
      <c r="AG33" s="36" t="e">
        <f t="shared" si="23"/>
        <v>#REF!</v>
      </c>
      <c r="AH33" s="36" t="e">
        <f t="shared" si="24"/>
        <v>#REF!</v>
      </c>
      <c r="AI33" s="36" t="e">
        <f t="shared" si="25"/>
        <v>#REF!</v>
      </c>
      <c r="AJ33" s="36" t="e">
        <f t="shared" si="26"/>
        <v>#REF!</v>
      </c>
      <c r="AK33" s="36" t="e">
        <f t="shared" si="27"/>
        <v>#REF!</v>
      </c>
      <c r="AL33" s="36" t="e">
        <f t="shared" si="28"/>
        <v>#REF!</v>
      </c>
      <c r="AM33" s="36" t="e">
        <f t="shared" si="29"/>
        <v>#REF!</v>
      </c>
      <c r="AN33" s="36" t="e">
        <f t="shared" si="30"/>
        <v>#REF!</v>
      </c>
      <c r="AO33" s="36" t="e">
        <f t="shared" si="31"/>
        <v>#REF!</v>
      </c>
      <c r="AQ33" s="38"/>
      <c r="AR33" s="36" t="e">
        <f t="shared" si="32"/>
        <v>#REF!</v>
      </c>
      <c r="AS33" s="36" t="e">
        <f t="shared" si="33"/>
        <v>#REF!</v>
      </c>
      <c r="AT33" s="36" t="e">
        <f t="shared" si="34"/>
        <v>#REF!</v>
      </c>
      <c r="AU33" s="36" t="e">
        <f t="shared" si="35"/>
        <v>#REF!</v>
      </c>
      <c r="AV33" s="36" t="e">
        <f t="shared" si="36"/>
        <v>#REF!</v>
      </c>
      <c r="AW33" s="36" t="e">
        <f t="shared" si="37"/>
        <v>#REF!</v>
      </c>
      <c r="AX33" s="36" t="e">
        <f t="shared" si="38"/>
        <v>#REF!</v>
      </c>
      <c r="AY33" s="36" t="e">
        <f t="shared" si="39"/>
        <v>#REF!</v>
      </c>
      <c r="AZ33" s="36" t="e">
        <f t="shared" si="40"/>
        <v>#REF!</v>
      </c>
      <c r="BA33" s="36" t="e">
        <f t="shared" si="41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Q34" s="38"/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F36" s="36" t="e">
        <f t="shared" ref="AF36:AF44" si="42">AF$9*$AC37</f>
        <v>#REF!</v>
      </c>
      <c r="AG36" s="36" t="e">
        <f t="shared" ref="AG36:AG44" si="43">AG$9*$AC37</f>
        <v>#REF!</v>
      </c>
      <c r="AH36" s="36" t="e">
        <f t="shared" ref="AH36:AH44" si="44">AH$9*$AC37</f>
        <v>#REF!</v>
      </c>
      <c r="AI36" s="36" t="e">
        <f t="shared" ref="AI36:AI44" si="45">AI$9*$AC37</f>
        <v>#REF!</v>
      </c>
      <c r="AJ36" s="36" t="e">
        <f t="shared" ref="AJ36:AJ44" si="46">AJ$9*$AC37</f>
        <v>#REF!</v>
      </c>
      <c r="AK36" s="36" t="e">
        <f t="shared" ref="AK36:AK44" si="47">AK$9*$AC37</f>
        <v>#REF!</v>
      </c>
      <c r="AL36" s="36" t="e">
        <f t="shared" ref="AL36:AL44" si="48">AL$9*$AC37</f>
        <v>#REF!</v>
      </c>
      <c r="AM36" s="36" t="e">
        <f t="shared" ref="AM36:AM44" si="49">AM$9*$AC37</f>
        <v>#REF!</v>
      </c>
      <c r="AN36" s="36" t="e">
        <f t="shared" ref="AN36:AN44" si="50">AN$9*$AC37</f>
        <v>#REF!</v>
      </c>
      <c r="AO36" s="36" t="e">
        <f t="shared" ref="AO36:AO44" si="51">AO$9*$AC37</f>
        <v>#REF!</v>
      </c>
      <c r="AQ36" s="38"/>
      <c r="AR36" s="36" t="e">
        <f t="shared" ref="AR36:AR44" si="52">AR$9*$AC37</f>
        <v>#REF!</v>
      </c>
      <c r="AS36" s="36" t="e">
        <f t="shared" ref="AS36:AS44" si="53">AS$9*$AC37</f>
        <v>#REF!</v>
      </c>
      <c r="AT36" s="36" t="e">
        <f t="shared" ref="AT36:AT44" si="54">AT$9*$AC37</f>
        <v>#REF!</v>
      </c>
      <c r="AU36" s="36" t="e">
        <f t="shared" ref="AU36:AU44" si="55">AU$9*$AC37</f>
        <v>#REF!</v>
      </c>
      <c r="AV36" s="36" t="e">
        <f t="shared" ref="AV36:AV44" si="56">AV$9*$AC37</f>
        <v>#REF!</v>
      </c>
      <c r="AW36" s="36" t="e">
        <f t="shared" ref="AW36:AW44" si="57">AW$9*$AC37</f>
        <v>#REF!</v>
      </c>
      <c r="AX36" s="36" t="e">
        <f t="shared" ref="AX36:AX44" si="58">AX$9*$AC37</f>
        <v>#REF!</v>
      </c>
      <c r="AY36" s="36" t="e">
        <f t="shared" ref="AY36:AY44" si="59">AY$9*$AC37</f>
        <v>#REF!</v>
      </c>
      <c r="AZ36" s="36" t="e">
        <f t="shared" ref="AZ36:AZ44" si="60">AZ$9*$AC37</f>
        <v>#REF!</v>
      </c>
      <c r="BA36" s="36" t="e">
        <f t="shared" ref="BA36:BA44" si="61">BA$9*$AC37</f>
        <v>#REF!</v>
      </c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si="42"/>
        <v>#REF!</v>
      </c>
      <c r="AG37" s="36" t="e">
        <f t="shared" si="43"/>
        <v>#REF!</v>
      </c>
      <c r="AH37" s="36" t="e">
        <f t="shared" si="44"/>
        <v>#REF!</v>
      </c>
      <c r="AI37" s="36" t="e">
        <f t="shared" si="45"/>
        <v>#REF!</v>
      </c>
      <c r="AJ37" s="36" t="e">
        <f t="shared" si="46"/>
        <v>#REF!</v>
      </c>
      <c r="AK37" s="36" t="e">
        <f t="shared" si="47"/>
        <v>#REF!</v>
      </c>
      <c r="AL37" s="36" t="e">
        <f t="shared" si="48"/>
        <v>#REF!</v>
      </c>
      <c r="AM37" s="36" t="e">
        <f t="shared" si="49"/>
        <v>#REF!</v>
      </c>
      <c r="AN37" s="36" t="e">
        <f t="shared" si="50"/>
        <v>#REF!</v>
      </c>
      <c r="AO37" s="36" t="e">
        <f t="shared" si="51"/>
        <v>#REF!</v>
      </c>
      <c r="AQ37" s="38"/>
      <c r="AR37" s="36" t="e">
        <f t="shared" si="52"/>
        <v>#REF!</v>
      </c>
      <c r="AS37" s="36" t="e">
        <f t="shared" si="53"/>
        <v>#REF!</v>
      </c>
      <c r="AT37" s="36" t="e">
        <f t="shared" si="54"/>
        <v>#REF!</v>
      </c>
      <c r="AU37" s="36" t="e">
        <f t="shared" si="55"/>
        <v>#REF!</v>
      </c>
      <c r="AV37" s="36" t="e">
        <f t="shared" si="56"/>
        <v>#REF!</v>
      </c>
      <c r="AW37" s="36" t="e">
        <f t="shared" si="57"/>
        <v>#REF!</v>
      </c>
      <c r="AX37" s="36" t="e">
        <f t="shared" si="58"/>
        <v>#REF!</v>
      </c>
      <c r="AY37" s="36" t="e">
        <f t="shared" si="59"/>
        <v>#REF!</v>
      </c>
      <c r="AZ37" s="36" t="e">
        <f t="shared" si="60"/>
        <v>#REF!</v>
      </c>
      <c r="BA37" s="36" t="e">
        <f t="shared" si="61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42"/>
        <v>#REF!</v>
      </c>
      <c r="AG38" s="36" t="e">
        <f t="shared" si="43"/>
        <v>#REF!</v>
      </c>
      <c r="AH38" s="36" t="e">
        <f t="shared" si="44"/>
        <v>#REF!</v>
      </c>
      <c r="AI38" s="36" t="e">
        <f t="shared" si="45"/>
        <v>#REF!</v>
      </c>
      <c r="AJ38" s="36" t="e">
        <f t="shared" si="46"/>
        <v>#REF!</v>
      </c>
      <c r="AK38" s="36" t="e">
        <f t="shared" si="47"/>
        <v>#REF!</v>
      </c>
      <c r="AL38" s="36" t="e">
        <f t="shared" si="48"/>
        <v>#REF!</v>
      </c>
      <c r="AM38" s="36" t="e">
        <f t="shared" si="49"/>
        <v>#REF!</v>
      </c>
      <c r="AN38" s="36" t="e">
        <f t="shared" si="50"/>
        <v>#REF!</v>
      </c>
      <c r="AO38" s="36" t="e">
        <f t="shared" si="51"/>
        <v>#REF!</v>
      </c>
      <c r="AQ38" s="38"/>
      <c r="AR38" s="36" t="e">
        <f t="shared" si="52"/>
        <v>#REF!</v>
      </c>
      <c r="AS38" s="36" t="e">
        <f t="shared" si="53"/>
        <v>#REF!</v>
      </c>
      <c r="AT38" s="36" t="e">
        <f t="shared" si="54"/>
        <v>#REF!</v>
      </c>
      <c r="AU38" s="36" t="e">
        <f t="shared" si="55"/>
        <v>#REF!</v>
      </c>
      <c r="AV38" s="36" t="e">
        <f t="shared" si="56"/>
        <v>#REF!</v>
      </c>
      <c r="AW38" s="36" t="e">
        <f t="shared" si="57"/>
        <v>#REF!</v>
      </c>
      <c r="AX38" s="36" t="e">
        <f t="shared" si="58"/>
        <v>#REF!</v>
      </c>
      <c r="AY38" s="36" t="e">
        <f t="shared" si="59"/>
        <v>#REF!</v>
      </c>
      <c r="AZ38" s="36" t="e">
        <f t="shared" si="60"/>
        <v>#REF!</v>
      </c>
      <c r="BA38" s="36" t="e">
        <f t="shared" si="61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42"/>
        <v>#REF!</v>
      </c>
      <c r="AG39" s="36" t="e">
        <f t="shared" si="43"/>
        <v>#REF!</v>
      </c>
      <c r="AH39" s="36" t="e">
        <f t="shared" si="44"/>
        <v>#REF!</v>
      </c>
      <c r="AI39" s="36" t="e">
        <f t="shared" si="45"/>
        <v>#REF!</v>
      </c>
      <c r="AJ39" s="36" t="e">
        <f t="shared" si="46"/>
        <v>#REF!</v>
      </c>
      <c r="AK39" s="36" t="e">
        <f t="shared" si="47"/>
        <v>#REF!</v>
      </c>
      <c r="AL39" s="36" t="e">
        <f t="shared" si="48"/>
        <v>#REF!</v>
      </c>
      <c r="AM39" s="36" t="e">
        <f t="shared" si="49"/>
        <v>#REF!</v>
      </c>
      <c r="AN39" s="36" t="e">
        <f t="shared" si="50"/>
        <v>#REF!</v>
      </c>
      <c r="AO39" s="36" t="e">
        <f t="shared" si="51"/>
        <v>#REF!</v>
      </c>
      <c r="AQ39" s="38"/>
      <c r="AR39" s="36" t="e">
        <f t="shared" si="52"/>
        <v>#REF!</v>
      </c>
      <c r="AS39" s="36" t="e">
        <f t="shared" si="53"/>
        <v>#REF!</v>
      </c>
      <c r="AT39" s="36" t="e">
        <f t="shared" si="54"/>
        <v>#REF!</v>
      </c>
      <c r="AU39" s="36" t="e">
        <f t="shared" si="55"/>
        <v>#REF!</v>
      </c>
      <c r="AV39" s="36" t="e">
        <f t="shared" si="56"/>
        <v>#REF!</v>
      </c>
      <c r="AW39" s="36" t="e">
        <f t="shared" si="57"/>
        <v>#REF!</v>
      </c>
      <c r="AX39" s="36" t="e">
        <f t="shared" si="58"/>
        <v>#REF!</v>
      </c>
      <c r="AY39" s="36" t="e">
        <f t="shared" si="59"/>
        <v>#REF!</v>
      </c>
      <c r="AZ39" s="36" t="e">
        <f t="shared" si="60"/>
        <v>#REF!</v>
      </c>
      <c r="BA39" s="36" t="e">
        <f t="shared" si="61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42"/>
        <v>#REF!</v>
      </c>
      <c r="AG40" s="36" t="e">
        <f t="shared" si="43"/>
        <v>#REF!</v>
      </c>
      <c r="AH40" s="36" t="e">
        <f t="shared" si="44"/>
        <v>#REF!</v>
      </c>
      <c r="AI40" s="36" t="e">
        <f t="shared" si="45"/>
        <v>#REF!</v>
      </c>
      <c r="AJ40" s="36" t="e">
        <f t="shared" si="46"/>
        <v>#REF!</v>
      </c>
      <c r="AK40" s="36" t="e">
        <f t="shared" si="47"/>
        <v>#REF!</v>
      </c>
      <c r="AL40" s="36" t="e">
        <f t="shared" si="48"/>
        <v>#REF!</v>
      </c>
      <c r="AM40" s="36" t="e">
        <f t="shared" si="49"/>
        <v>#REF!</v>
      </c>
      <c r="AN40" s="36" t="e">
        <f t="shared" si="50"/>
        <v>#REF!</v>
      </c>
      <c r="AO40" s="36" t="e">
        <f t="shared" si="51"/>
        <v>#REF!</v>
      </c>
      <c r="AQ40" s="38"/>
      <c r="AR40" s="36" t="e">
        <f t="shared" si="52"/>
        <v>#REF!</v>
      </c>
      <c r="AS40" s="36" t="e">
        <f t="shared" si="53"/>
        <v>#REF!</v>
      </c>
      <c r="AT40" s="36" t="e">
        <f t="shared" si="54"/>
        <v>#REF!</v>
      </c>
      <c r="AU40" s="36" t="e">
        <f t="shared" si="55"/>
        <v>#REF!</v>
      </c>
      <c r="AV40" s="36" t="e">
        <f t="shared" si="56"/>
        <v>#REF!</v>
      </c>
      <c r="AW40" s="36" t="e">
        <f t="shared" si="57"/>
        <v>#REF!</v>
      </c>
      <c r="AX40" s="36" t="e">
        <f t="shared" si="58"/>
        <v>#REF!</v>
      </c>
      <c r="AY40" s="36" t="e">
        <f t="shared" si="59"/>
        <v>#REF!</v>
      </c>
      <c r="AZ40" s="36" t="e">
        <f t="shared" si="60"/>
        <v>#REF!</v>
      </c>
      <c r="BA40" s="36" t="e">
        <f t="shared" si="61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42"/>
        <v>#REF!</v>
      </c>
      <c r="AG41" s="36" t="e">
        <f t="shared" si="43"/>
        <v>#REF!</v>
      </c>
      <c r="AH41" s="36" t="e">
        <f t="shared" si="44"/>
        <v>#REF!</v>
      </c>
      <c r="AI41" s="36" t="e">
        <f t="shared" si="45"/>
        <v>#REF!</v>
      </c>
      <c r="AJ41" s="36" t="e">
        <f t="shared" si="46"/>
        <v>#REF!</v>
      </c>
      <c r="AK41" s="36" t="e">
        <f t="shared" si="47"/>
        <v>#REF!</v>
      </c>
      <c r="AL41" s="36" t="e">
        <f t="shared" si="48"/>
        <v>#REF!</v>
      </c>
      <c r="AM41" s="36" t="e">
        <f t="shared" si="49"/>
        <v>#REF!</v>
      </c>
      <c r="AN41" s="36" t="e">
        <f t="shared" si="50"/>
        <v>#REF!</v>
      </c>
      <c r="AO41" s="36" t="e">
        <f t="shared" si="51"/>
        <v>#REF!</v>
      </c>
      <c r="AQ41" s="38"/>
      <c r="AR41" s="36" t="e">
        <f t="shared" si="52"/>
        <v>#REF!</v>
      </c>
      <c r="AS41" s="36" t="e">
        <f t="shared" si="53"/>
        <v>#REF!</v>
      </c>
      <c r="AT41" s="36" t="e">
        <f t="shared" si="54"/>
        <v>#REF!</v>
      </c>
      <c r="AU41" s="36" t="e">
        <f t="shared" si="55"/>
        <v>#REF!</v>
      </c>
      <c r="AV41" s="36" t="e">
        <f t="shared" si="56"/>
        <v>#REF!</v>
      </c>
      <c r="AW41" s="36" t="e">
        <f t="shared" si="57"/>
        <v>#REF!</v>
      </c>
      <c r="AX41" s="36" t="e">
        <f t="shared" si="58"/>
        <v>#REF!</v>
      </c>
      <c r="AY41" s="36" t="e">
        <f t="shared" si="59"/>
        <v>#REF!</v>
      </c>
      <c r="AZ41" s="36" t="e">
        <f t="shared" si="60"/>
        <v>#REF!</v>
      </c>
      <c r="BA41" s="36" t="e">
        <f t="shared" si="61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42"/>
        <v>#REF!</v>
      </c>
      <c r="AG42" s="36" t="e">
        <f t="shared" si="43"/>
        <v>#REF!</v>
      </c>
      <c r="AH42" s="36" t="e">
        <f t="shared" si="44"/>
        <v>#REF!</v>
      </c>
      <c r="AI42" s="36" t="e">
        <f t="shared" si="45"/>
        <v>#REF!</v>
      </c>
      <c r="AJ42" s="36" t="e">
        <f t="shared" si="46"/>
        <v>#REF!</v>
      </c>
      <c r="AK42" s="36" t="e">
        <f t="shared" si="47"/>
        <v>#REF!</v>
      </c>
      <c r="AL42" s="36" t="e">
        <f t="shared" si="48"/>
        <v>#REF!</v>
      </c>
      <c r="AM42" s="36" t="e">
        <f t="shared" si="49"/>
        <v>#REF!</v>
      </c>
      <c r="AN42" s="36" t="e">
        <f t="shared" si="50"/>
        <v>#REF!</v>
      </c>
      <c r="AO42" s="36" t="e">
        <f t="shared" si="51"/>
        <v>#REF!</v>
      </c>
      <c r="AQ42" s="38"/>
      <c r="AR42" s="36" t="e">
        <f t="shared" si="52"/>
        <v>#REF!</v>
      </c>
      <c r="AS42" s="36" t="e">
        <f t="shared" si="53"/>
        <v>#REF!</v>
      </c>
      <c r="AT42" s="36" t="e">
        <f t="shared" si="54"/>
        <v>#REF!</v>
      </c>
      <c r="AU42" s="36" t="e">
        <f t="shared" si="55"/>
        <v>#REF!</v>
      </c>
      <c r="AV42" s="36" t="e">
        <f t="shared" si="56"/>
        <v>#REF!</v>
      </c>
      <c r="AW42" s="36" t="e">
        <f t="shared" si="57"/>
        <v>#REF!</v>
      </c>
      <c r="AX42" s="36" t="e">
        <f t="shared" si="58"/>
        <v>#REF!</v>
      </c>
      <c r="AY42" s="36" t="e">
        <f t="shared" si="59"/>
        <v>#REF!</v>
      </c>
      <c r="AZ42" s="36" t="e">
        <f t="shared" si="60"/>
        <v>#REF!</v>
      </c>
      <c r="BA42" s="36" t="e">
        <f t="shared" si="61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42"/>
        <v>#REF!</v>
      </c>
      <c r="AG43" s="36" t="e">
        <f t="shared" si="43"/>
        <v>#REF!</v>
      </c>
      <c r="AH43" s="36" t="e">
        <f t="shared" si="44"/>
        <v>#REF!</v>
      </c>
      <c r="AI43" s="36" t="e">
        <f t="shared" si="45"/>
        <v>#REF!</v>
      </c>
      <c r="AJ43" s="36" t="e">
        <f t="shared" si="46"/>
        <v>#REF!</v>
      </c>
      <c r="AK43" s="36" t="e">
        <f t="shared" si="47"/>
        <v>#REF!</v>
      </c>
      <c r="AL43" s="36" t="e">
        <f t="shared" si="48"/>
        <v>#REF!</v>
      </c>
      <c r="AM43" s="36" t="e">
        <f t="shared" si="49"/>
        <v>#REF!</v>
      </c>
      <c r="AN43" s="36" t="e">
        <f t="shared" si="50"/>
        <v>#REF!</v>
      </c>
      <c r="AO43" s="36" t="e">
        <f t="shared" si="51"/>
        <v>#REF!</v>
      </c>
      <c r="AQ43" s="38"/>
      <c r="AR43" s="36" t="e">
        <f t="shared" si="52"/>
        <v>#REF!</v>
      </c>
      <c r="AS43" s="36" t="e">
        <f t="shared" si="53"/>
        <v>#REF!</v>
      </c>
      <c r="AT43" s="36" t="e">
        <f t="shared" si="54"/>
        <v>#REF!</v>
      </c>
      <c r="AU43" s="36" t="e">
        <f t="shared" si="55"/>
        <v>#REF!</v>
      </c>
      <c r="AV43" s="36" t="e">
        <f t="shared" si="56"/>
        <v>#REF!</v>
      </c>
      <c r="AW43" s="36" t="e">
        <f t="shared" si="57"/>
        <v>#REF!</v>
      </c>
      <c r="AX43" s="36" t="e">
        <f t="shared" si="58"/>
        <v>#REF!</v>
      </c>
      <c r="AY43" s="36" t="e">
        <f t="shared" si="59"/>
        <v>#REF!</v>
      </c>
      <c r="AZ43" s="36" t="e">
        <f t="shared" si="60"/>
        <v>#REF!</v>
      </c>
      <c r="BA43" s="36" t="e">
        <f t="shared" si="61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42"/>
        <v>#REF!</v>
      </c>
      <c r="AG44" s="36" t="e">
        <f t="shared" si="43"/>
        <v>#REF!</v>
      </c>
      <c r="AH44" s="36" t="e">
        <f t="shared" si="44"/>
        <v>#REF!</v>
      </c>
      <c r="AI44" s="36" t="e">
        <f t="shared" si="45"/>
        <v>#REF!</v>
      </c>
      <c r="AJ44" s="36" t="e">
        <f t="shared" si="46"/>
        <v>#REF!</v>
      </c>
      <c r="AK44" s="36" t="e">
        <f t="shared" si="47"/>
        <v>#REF!</v>
      </c>
      <c r="AL44" s="36" t="e">
        <f t="shared" si="48"/>
        <v>#REF!</v>
      </c>
      <c r="AM44" s="36" t="e">
        <f t="shared" si="49"/>
        <v>#REF!</v>
      </c>
      <c r="AN44" s="36" t="e">
        <f t="shared" si="50"/>
        <v>#REF!</v>
      </c>
      <c r="AO44" s="36" t="e">
        <f t="shared" si="51"/>
        <v>#REF!</v>
      </c>
      <c r="AQ44" s="38"/>
      <c r="AR44" s="36" t="e">
        <f t="shared" si="52"/>
        <v>#REF!</v>
      </c>
      <c r="AS44" s="36" t="e">
        <f t="shared" si="53"/>
        <v>#REF!</v>
      </c>
      <c r="AT44" s="36" t="e">
        <f t="shared" si="54"/>
        <v>#REF!</v>
      </c>
      <c r="AU44" s="36" t="e">
        <f t="shared" si="55"/>
        <v>#REF!</v>
      </c>
      <c r="AV44" s="36" t="e">
        <f t="shared" si="56"/>
        <v>#REF!</v>
      </c>
      <c r="AW44" s="36" t="e">
        <f t="shared" si="57"/>
        <v>#REF!</v>
      </c>
      <c r="AX44" s="36" t="e">
        <f t="shared" si="58"/>
        <v>#REF!</v>
      </c>
      <c r="AY44" s="36" t="e">
        <f t="shared" si="59"/>
        <v>#REF!</v>
      </c>
      <c r="AZ44" s="36" t="e">
        <f t="shared" si="60"/>
        <v>#REF!</v>
      </c>
      <c r="BA44" s="36" t="e">
        <f t="shared" si="61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Q45" s="38"/>
    </row>
    <row r="46" spans="1:53" hidden="1">
      <c r="AQ46" s="38"/>
    </row>
    <row r="47" spans="1:53" ht="63.75" hidden="1"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6" t="s">
        <v>43</v>
      </c>
      <c r="AB48" s="67"/>
      <c r="AC48" s="68"/>
      <c r="AD48" s="68"/>
      <c r="AE48" s="68"/>
      <c r="AG48" s="70"/>
      <c r="AQ48" s="38"/>
    </row>
    <row r="49" spans="27:53" hidden="1">
      <c r="AA49" s="69" t="s">
        <v>44</v>
      </c>
      <c r="AB49" s="35"/>
      <c r="AF49" s="70" t="e">
        <f t="shared" ref="AF49:AO49" si="62">AF14+AF16+AF17</f>
        <v>#REF!</v>
      </c>
      <c r="AG49" s="70" t="e">
        <f t="shared" si="62"/>
        <v>#REF!</v>
      </c>
      <c r="AH49" s="70" t="e">
        <f t="shared" si="62"/>
        <v>#REF!</v>
      </c>
      <c r="AI49" s="70" t="e">
        <f t="shared" si="62"/>
        <v>#REF!</v>
      </c>
      <c r="AJ49" s="70" t="e">
        <f t="shared" si="62"/>
        <v>#REF!</v>
      </c>
      <c r="AK49" s="70" t="e">
        <f t="shared" si="62"/>
        <v>#REF!</v>
      </c>
      <c r="AL49" s="70" t="e">
        <f t="shared" si="62"/>
        <v>#REF!</v>
      </c>
      <c r="AM49" s="70" t="e">
        <f t="shared" si="62"/>
        <v>#REF!</v>
      </c>
      <c r="AN49" s="70" t="e">
        <f t="shared" si="62"/>
        <v>#REF!</v>
      </c>
      <c r="AO49" s="70" t="e">
        <f t="shared" si="62"/>
        <v>#REF!</v>
      </c>
      <c r="AP49" s="70"/>
      <c r="AQ49" s="70"/>
      <c r="AR49" s="70" t="e">
        <f t="shared" ref="AR49:BA49" si="63">AR14+AR16+AR17</f>
        <v>#REF!</v>
      </c>
      <c r="AS49" s="70" t="e">
        <f t="shared" si="63"/>
        <v>#REF!</v>
      </c>
      <c r="AT49" s="70" t="e">
        <f t="shared" si="63"/>
        <v>#REF!</v>
      </c>
      <c r="AU49" s="70" t="e">
        <f t="shared" si="63"/>
        <v>#REF!</v>
      </c>
      <c r="AV49" s="70" t="e">
        <f t="shared" si="63"/>
        <v>#REF!</v>
      </c>
      <c r="AW49" s="70" t="e">
        <f t="shared" si="63"/>
        <v>#REF!</v>
      </c>
      <c r="AX49" s="70" t="e">
        <f t="shared" si="63"/>
        <v>#REF!</v>
      </c>
      <c r="AY49" s="70" t="e">
        <f t="shared" si="63"/>
        <v>#REF!</v>
      </c>
      <c r="AZ49" s="70" t="e">
        <f t="shared" si="63"/>
        <v>#REF!</v>
      </c>
      <c r="BA49" s="70" t="e">
        <f t="shared" si="63"/>
        <v>#REF!</v>
      </c>
    </row>
    <row r="50" spans="27:53" hidden="1">
      <c r="AA50" s="71" t="s">
        <v>29</v>
      </c>
      <c r="AB50" s="35"/>
      <c r="AF50" s="70" t="e">
        <f t="shared" ref="AF50:AO50" si="64">AF25+AF27+AF28</f>
        <v>#REF!</v>
      </c>
      <c r="AG50" s="70" t="e">
        <f t="shared" si="64"/>
        <v>#REF!</v>
      </c>
      <c r="AH50" s="70" t="e">
        <f t="shared" si="64"/>
        <v>#REF!</v>
      </c>
      <c r="AI50" s="70" t="e">
        <f t="shared" si="64"/>
        <v>#REF!</v>
      </c>
      <c r="AJ50" s="70" t="e">
        <f t="shared" si="64"/>
        <v>#REF!</v>
      </c>
      <c r="AK50" s="70" t="e">
        <f t="shared" si="64"/>
        <v>#REF!</v>
      </c>
      <c r="AL50" s="70" t="e">
        <f t="shared" si="64"/>
        <v>#REF!</v>
      </c>
      <c r="AM50" s="70" t="e">
        <f t="shared" si="64"/>
        <v>#REF!</v>
      </c>
      <c r="AN50" s="70" t="e">
        <f t="shared" si="64"/>
        <v>#REF!</v>
      </c>
      <c r="AO50" s="70" t="e">
        <f t="shared" si="64"/>
        <v>#REF!</v>
      </c>
      <c r="AP50" s="70"/>
      <c r="AQ50" s="70"/>
      <c r="AR50" s="70" t="e">
        <f t="shared" ref="AR50:BA50" si="65">AR25+AR27+AR28</f>
        <v>#REF!</v>
      </c>
      <c r="AS50" s="70" t="e">
        <f t="shared" si="65"/>
        <v>#REF!</v>
      </c>
      <c r="AT50" s="70" t="e">
        <f t="shared" si="65"/>
        <v>#REF!</v>
      </c>
      <c r="AU50" s="70" t="e">
        <f t="shared" si="65"/>
        <v>#REF!</v>
      </c>
      <c r="AV50" s="70" t="e">
        <f t="shared" si="65"/>
        <v>#REF!</v>
      </c>
      <c r="AW50" s="70" t="e">
        <f t="shared" si="65"/>
        <v>#REF!</v>
      </c>
      <c r="AX50" s="70" t="e">
        <f t="shared" si="65"/>
        <v>#REF!</v>
      </c>
      <c r="AY50" s="70" t="e">
        <f t="shared" si="65"/>
        <v>#REF!</v>
      </c>
      <c r="AZ50" s="70" t="e">
        <f t="shared" si="65"/>
        <v>#REF!</v>
      </c>
      <c r="BA50" s="70" t="e">
        <f t="shared" si="65"/>
        <v>#REF!</v>
      </c>
    </row>
    <row r="51" spans="27:53" hidden="1">
      <c r="AA51" s="71" t="s">
        <v>41</v>
      </c>
      <c r="AB51" s="35"/>
      <c r="AF51" s="70" t="e">
        <f t="shared" ref="AF51:AO51" si="66">AF36+AF38+AF39</f>
        <v>#REF!</v>
      </c>
      <c r="AG51" s="70" t="e">
        <f t="shared" si="66"/>
        <v>#REF!</v>
      </c>
      <c r="AH51" s="70" t="e">
        <f t="shared" si="66"/>
        <v>#REF!</v>
      </c>
      <c r="AI51" s="70" t="e">
        <f t="shared" si="66"/>
        <v>#REF!</v>
      </c>
      <c r="AJ51" s="70" t="e">
        <f t="shared" si="66"/>
        <v>#REF!</v>
      </c>
      <c r="AK51" s="70" t="e">
        <f t="shared" si="66"/>
        <v>#REF!</v>
      </c>
      <c r="AL51" s="70" t="e">
        <f t="shared" si="66"/>
        <v>#REF!</v>
      </c>
      <c r="AM51" s="70" t="e">
        <f t="shared" si="66"/>
        <v>#REF!</v>
      </c>
      <c r="AN51" s="70" t="e">
        <f t="shared" si="66"/>
        <v>#REF!</v>
      </c>
      <c r="AO51" s="70" t="e">
        <f t="shared" si="66"/>
        <v>#REF!</v>
      </c>
      <c r="AP51" s="70"/>
      <c r="AQ51" s="70"/>
      <c r="AR51" s="70" t="e">
        <f t="shared" ref="AR51:BA51" si="67">AR36+AR38+AR39</f>
        <v>#REF!</v>
      </c>
      <c r="AS51" s="70" t="e">
        <f t="shared" si="67"/>
        <v>#REF!</v>
      </c>
      <c r="AT51" s="70" t="e">
        <f t="shared" si="67"/>
        <v>#REF!</v>
      </c>
      <c r="AU51" s="70" t="e">
        <f t="shared" si="67"/>
        <v>#REF!</v>
      </c>
      <c r="AV51" s="70" t="e">
        <f t="shared" si="67"/>
        <v>#REF!</v>
      </c>
      <c r="AW51" s="70" t="e">
        <f t="shared" si="67"/>
        <v>#REF!</v>
      </c>
      <c r="AX51" s="70" t="e">
        <f t="shared" si="67"/>
        <v>#REF!</v>
      </c>
      <c r="AY51" s="70" t="e">
        <f t="shared" si="67"/>
        <v>#REF!</v>
      </c>
      <c r="AZ51" s="70" t="e">
        <f t="shared" si="67"/>
        <v>#REF!</v>
      </c>
      <c r="BA51" s="70" t="e">
        <f t="shared" si="67"/>
        <v>#REF!</v>
      </c>
    </row>
    <row r="52" spans="27:53" hidden="1">
      <c r="AA52" s="71" t="s">
        <v>42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69" t="s">
        <v>45</v>
      </c>
      <c r="AB53" s="35"/>
      <c r="AF53" s="70" t="e">
        <f t="shared" ref="AF53:AO53" si="68">AF14+AF16+AF18+AF20</f>
        <v>#REF!</v>
      </c>
      <c r="AG53" s="70" t="e">
        <f t="shared" si="68"/>
        <v>#REF!</v>
      </c>
      <c r="AH53" s="70" t="e">
        <f t="shared" si="68"/>
        <v>#REF!</v>
      </c>
      <c r="AI53" s="70" t="e">
        <f t="shared" si="68"/>
        <v>#REF!</v>
      </c>
      <c r="AJ53" s="70" t="e">
        <f t="shared" si="68"/>
        <v>#REF!</v>
      </c>
      <c r="AK53" s="70" t="e">
        <f t="shared" si="68"/>
        <v>#REF!</v>
      </c>
      <c r="AL53" s="70" t="e">
        <f t="shared" si="68"/>
        <v>#REF!</v>
      </c>
      <c r="AM53" s="70" t="e">
        <f t="shared" si="68"/>
        <v>#REF!</v>
      </c>
      <c r="AN53" s="70" t="e">
        <f t="shared" si="68"/>
        <v>#REF!</v>
      </c>
      <c r="AO53" s="70" t="e">
        <f t="shared" si="68"/>
        <v>#REF!</v>
      </c>
      <c r="AP53" s="70"/>
      <c r="AQ53" s="70"/>
      <c r="AR53" s="70" t="e">
        <f t="shared" ref="AR53:BA53" si="69">AR14+AR16+AR18+AR20</f>
        <v>#REF!</v>
      </c>
      <c r="AS53" s="70" t="e">
        <f t="shared" si="69"/>
        <v>#REF!</v>
      </c>
      <c r="AT53" s="70" t="e">
        <f t="shared" si="69"/>
        <v>#REF!</v>
      </c>
      <c r="AU53" s="70" t="e">
        <f t="shared" si="69"/>
        <v>#REF!</v>
      </c>
      <c r="AV53" s="70" t="e">
        <f t="shared" si="69"/>
        <v>#REF!</v>
      </c>
      <c r="AW53" s="70" t="e">
        <f t="shared" si="69"/>
        <v>#REF!</v>
      </c>
      <c r="AX53" s="70" t="e">
        <f t="shared" si="69"/>
        <v>#REF!</v>
      </c>
      <c r="AY53" s="70" t="e">
        <f t="shared" si="69"/>
        <v>#REF!</v>
      </c>
      <c r="AZ53" s="70" t="e">
        <f t="shared" si="69"/>
        <v>#REF!</v>
      </c>
      <c r="BA53" s="70" t="e">
        <f t="shared" si="69"/>
        <v>#REF!</v>
      </c>
    </row>
    <row r="54" spans="27:53" hidden="1">
      <c r="AA54" s="71" t="s">
        <v>29</v>
      </c>
      <c r="AB54" s="35"/>
      <c r="AF54" s="70" t="e">
        <f t="shared" ref="AF54:AO54" si="70">AF25+AF27+AF29+AF31</f>
        <v>#REF!</v>
      </c>
      <c r="AG54" s="70" t="e">
        <f t="shared" si="70"/>
        <v>#REF!</v>
      </c>
      <c r="AH54" s="70" t="e">
        <f t="shared" si="70"/>
        <v>#REF!</v>
      </c>
      <c r="AI54" s="70" t="e">
        <f t="shared" si="70"/>
        <v>#REF!</v>
      </c>
      <c r="AJ54" s="70" t="e">
        <f t="shared" si="70"/>
        <v>#REF!</v>
      </c>
      <c r="AK54" s="70" t="e">
        <f t="shared" si="70"/>
        <v>#REF!</v>
      </c>
      <c r="AL54" s="70" t="e">
        <f t="shared" si="70"/>
        <v>#REF!</v>
      </c>
      <c r="AM54" s="70" t="e">
        <f t="shared" si="70"/>
        <v>#REF!</v>
      </c>
      <c r="AN54" s="70" t="e">
        <f t="shared" si="70"/>
        <v>#REF!</v>
      </c>
      <c r="AO54" s="70" t="e">
        <f t="shared" si="70"/>
        <v>#REF!</v>
      </c>
      <c r="AP54" s="70"/>
      <c r="AQ54" s="70"/>
      <c r="AR54" s="70" t="e">
        <f t="shared" ref="AR54:BA54" si="71">AR25+AR27+AR29+AR31</f>
        <v>#REF!</v>
      </c>
      <c r="AS54" s="70" t="e">
        <f t="shared" si="71"/>
        <v>#REF!</v>
      </c>
      <c r="AT54" s="70" t="e">
        <f t="shared" si="71"/>
        <v>#REF!</v>
      </c>
      <c r="AU54" s="70" t="e">
        <f t="shared" si="71"/>
        <v>#REF!</v>
      </c>
      <c r="AV54" s="70" t="e">
        <f t="shared" si="71"/>
        <v>#REF!</v>
      </c>
      <c r="AW54" s="70" t="e">
        <f t="shared" si="71"/>
        <v>#REF!</v>
      </c>
      <c r="AX54" s="70" t="e">
        <f t="shared" si="71"/>
        <v>#REF!</v>
      </c>
      <c r="AY54" s="70" t="e">
        <f t="shared" si="71"/>
        <v>#REF!</v>
      </c>
      <c r="AZ54" s="70" t="e">
        <f t="shared" si="71"/>
        <v>#REF!</v>
      </c>
      <c r="BA54" s="70" t="e">
        <f t="shared" si="71"/>
        <v>#REF!</v>
      </c>
    </row>
    <row r="55" spans="27:53" hidden="1">
      <c r="AA55" s="71" t="s">
        <v>41</v>
      </c>
      <c r="AB55" s="35"/>
      <c r="AF55" s="70" t="e">
        <f t="shared" ref="AF55:AO55" si="72">AF36+AF38+AF40+AF42</f>
        <v>#REF!</v>
      </c>
      <c r="AG55" s="70" t="e">
        <f t="shared" si="72"/>
        <v>#REF!</v>
      </c>
      <c r="AH55" s="70" t="e">
        <f t="shared" si="72"/>
        <v>#REF!</v>
      </c>
      <c r="AI55" s="70" t="e">
        <f t="shared" si="72"/>
        <v>#REF!</v>
      </c>
      <c r="AJ55" s="70" t="e">
        <f t="shared" si="72"/>
        <v>#REF!</v>
      </c>
      <c r="AK55" s="70" t="e">
        <f t="shared" si="72"/>
        <v>#REF!</v>
      </c>
      <c r="AL55" s="70" t="e">
        <f t="shared" si="72"/>
        <v>#REF!</v>
      </c>
      <c r="AM55" s="70" t="e">
        <f t="shared" si="72"/>
        <v>#REF!</v>
      </c>
      <c r="AN55" s="70" t="e">
        <f t="shared" si="72"/>
        <v>#REF!</v>
      </c>
      <c r="AO55" s="70" t="e">
        <f t="shared" si="72"/>
        <v>#REF!</v>
      </c>
      <c r="AP55" s="70"/>
      <c r="AQ55" s="70"/>
      <c r="AR55" s="70" t="e">
        <f t="shared" ref="AR55:BA55" si="73">AR36+AR38+AR40+AR42</f>
        <v>#REF!</v>
      </c>
      <c r="AS55" s="70" t="e">
        <f t="shared" si="73"/>
        <v>#REF!</v>
      </c>
      <c r="AT55" s="70" t="e">
        <f t="shared" si="73"/>
        <v>#REF!</v>
      </c>
      <c r="AU55" s="70" t="e">
        <f t="shared" si="73"/>
        <v>#REF!</v>
      </c>
      <c r="AV55" s="70" t="e">
        <f t="shared" si="73"/>
        <v>#REF!</v>
      </c>
      <c r="AW55" s="70" t="e">
        <f t="shared" si="73"/>
        <v>#REF!</v>
      </c>
      <c r="AX55" s="70" t="e">
        <f t="shared" si="73"/>
        <v>#REF!</v>
      </c>
      <c r="AY55" s="70" t="e">
        <f t="shared" si="73"/>
        <v>#REF!</v>
      </c>
      <c r="AZ55" s="70" t="e">
        <f t="shared" si="73"/>
        <v>#REF!</v>
      </c>
      <c r="BA55" s="70" t="e">
        <f t="shared" si="73"/>
        <v>#REF!</v>
      </c>
    </row>
    <row r="56" spans="27:53" hidden="1">
      <c r="AA56" s="71" t="s">
        <v>42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69" t="s">
        <v>46</v>
      </c>
      <c r="AB57" s="35"/>
      <c r="AF57" s="70" t="e">
        <f t="shared" ref="AF57:AO57" si="74">AF14+AF16+AF18+AF19+AF21</f>
        <v>#REF!</v>
      </c>
      <c r="AG57" s="70" t="e">
        <f t="shared" si="74"/>
        <v>#REF!</v>
      </c>
      <c r="AH57" s="70" t="e">
        <f t="shared" si="74"/>
        <v>#REF!</v>
      </c>
      <c r="AI57" s="70" t="e">
        <f t="shared" si="74"/>
        <v>#REF!</v>
      </c>
      <c r="AJ57" s="70" t="e">
        <f t="shared" si="74"/>
        <v>#REF!</v>
      </c>
      <c r="AK57" s="70" t="e">
        <f t="shared" si="74"/>
        <v>#REF!</v>
      </c>
      <c r="AL57" s="70" t="e">
        <f t="shared" si="74"/>
        <v>#REF!</v>
      </c>
      <c r="AM57" s="70" t="e">
        <f t="shared" si="74"/>
        <v>#REF!</v>
      </c>
      <c r="AN57" s="70" t="e">
        <f t="shared" si="74"/>
        <v>#REF!</v>
      </c>
      <c r="AO57" s="70" t="e">
        <f t="shared" si="74"/>
        <v>#REF!</v>
      </c>
      <c r="AP57" s="70"/>
      <c r="AQ57" s="70"/>
      <c r="AR57" s="70" t="e">
        <f t="shared" ref="AR57:BA57" si="75">AR14+AR16+AR18+AR19+AR21</f>
        <v>#REF!</v>
      </c>
      <c r="AS57" s="70" t="e">
        <f t="shared" si="75"/>
        <v>#REF!</v>
      </c>
      <c r="AT57" s="70" t="e">
        <f t="shared" si="75"/>
        <v>#REF!</v>
      </c>
      <c r="AU57" s="70" t="e">
        <f t="shared" si="75"/>
        <v>#REF!</v>
      </c>
      <c r="AV57" s="70" t="e">
        <f t="shared" si="75"/>
        <v>#REF!</v>
      </c>
      <c r="AW57" s="70" t="e">
        <f t="shared" si="75"/>
        <v>#REF!</v>
      </c>
      <c r="AX57" s="70" t="e">
        <f t="shared" si="75"/>
        <v>#REF!</v>
      </c>
      <c r="AY57" s="70" t="e">
        <f t="shared" si="75"/>
        <v>#REF!</v>
      </c>
      <c r="AZ57" s="70" t="e">
        <f t="shared" si="75"/>
        <v>#REF!</v>
      </c>
      <c r="BA57" s="70" t="e">
        <f t="shared" si="75"/>
        <v>#REF!</v>
      </c>
    </row>
    <row r="58" spans="27:53" hidden="1">
      <c r="AA58" s="71" t="s">
        <v>29</v>
      </c>
      <c r="AB58" s="35"/>
      <c r="AF58" s="70" t="e">
        <f t="shared" ref="AF58:AO58" si="76">AF25+AF27+AF29+AF30+AF32</f>
        <v>#REF!</v>
      </c>
      <c r="AG58" s="70" t="e">
        <f t="shared" si="76"/>
        <v>#REF!</v>
      </c>
      <c r="AH58" s="70" t="e">
        <f t="shared" si="76"/>
        <v>#REF!</v>
      </c>
      <c r="AI58" s="70" t="e">
        <f t="shared" si="76"/>
        <v>#REF!</v>
      </c>
      <c r="AJ58" s="70" t="e">
        <f t="shared" si="76"/>
        <v>#REF!</v>
      </c>
      <c r="AK58" s="70" t="e">
        <f t="shared" si="76"/>
        <v>#REF!</v>
      </c>
      <c r="AL58" s="70" t="e">
        <f t="shared" si="76"/>
        <v>#REF!</v>
      </c>
      <c r="AM58" s="70" t="e">
        <f t="shared" si="76"/>
        <v>#REF!</v>
      </c>
      <c r="AN58" s="70" t="e">
        <f t="shared" si="76"/>
        <v>#REF!</v>
      </c>
      <c r="AO58" s="70" t="e">
        <f t="shared" si="76"/>
        <v>#REF!</v>
      </c>
      <c r="AP58" s="70"/>
      <c r="AQ58" s="70"/>
      <c r="AR58" s="70" t="e">
        <f t="shared" ref="AR58:BA58" si="77">AR25+AR27+AR29+AR30+AR32</f>
        <v>#REF!</v>
      </c>
      <c r="AS58" s="70" t="e">
        <f t="shared" si="77"/>
        <v>#REF!</v>
      </c>
      <c r="AT58" s="70" t="e">
        <f t="shared" si="77"/>
        <v>#REF!</v>
      </c>
      <c r="AU58" s="70" t="e">
        <f t="shared" si="77"/>
        <v>#REF!</v>
      </c>
      <c r="AV58" s="70" t="e">
        <f t="shared" si="77"/>
        <v>#REF!</v>
      </c>
      <c r="AW58" s="70" t="e">
        <f t="shared" si="77"/>
        <v>#REF!</v>
      </c>
      <c r="AX58" s="70" t="e">
        <f t="shared" si="77"/>
        <v>#REF!</v>
      </c>
      <c r="AY58" s="70" t="e">
        <f t="shared" si="77"/>
        <v>#REF!</v>
      </c>
      <c r="AZ58" s="70" t="e">
        <f t="shared" si="77"/>
        <v>#REF!</v>
      </c>
      <c r="BA58" s="70" t="e">
        <f t="shared" si="77"/>
        <v>#REF!</v>
      </c>
    </row>
    <row r="59" spans="27:53" hidden="1">
      <c r="AA59" s="71" t="s">
        <v>41</v>
      </c>
      <c r="AB59" s="35"/>
      <c r="AF59" s="70" t="e">
        <f t="shared" ref="AF59:AO59" si="78">AF36+AF38+AF40+AF41+AF43</f>
        <v>#REF!</v>
      </c>
      <c r="AG59" s="70" t="e">
        <f t="shared" si="78"/>
        <v>#REF!</v>
      </c>
      <c r="AH59" s="70" t="e">
        <f t="shared" si="78"/>
        <v>#REF!</v>
      </c>
      <c r="AI59" s="70" t="e">
        <f t="shared" si="78"/>
        <v>#REF!</v>
      </c>
      <c r="AJ59" s="70" t="e">
        <f t="shared" si="78"/>
        <v>#REF!</v>
      </c>
      <c r="AK59" s="70" t="e">
        <f t="shared" si="78"/>
        <v>#REF!</v>
      </c>
      <c r="AL59" s="70" t="e">
        <f t="shared" si="78"/>
        <v>#REF!</v>
      </c>
      <c r="AM59" s="70" t="e">
        <f t="shared" si="78"/>
        <v>#REF!</v>
      </c>
      <c r="AN59" s="70" t="e">
        <f t="shared" si="78"/>
        <v>#REF!</v>
      </c>
      <c r="AO59" s="70" t="e">
        <f t="shared" si="78"/>
        <v>#REF!</v>
      </c>
      <c r="AP59" s="70"/>
      <c r="AQ59" s="70"/>
      <c r="AR59" s="70" t="e">
        <f t="shared" ref="AR59:BA59" si="79">AR36+AR38+AR40+AR41+AR43</f>
        <v>#REF!</v>
      </c>
      <c r="AS59" s="70" t="e">
        <f t="shared" si="79"/>
        <v>#REF!</v>
      </c>
      <c r="AT59" s="70" t="e">
        <f t="shared" si="79"/>
        <v>#REF!</v>
      </c>
      <c r="AU59" s="70" t="e">
        <f t="shared" si="79"/>
        <v>#REF!</v>
      </c>
      <c r="AV59" s="70" t="e">
        <f t="shared" si="79"/>
        <v>#REF!</v>
      </c>
      <c r="AW59" s="70" t="e">
        <f t="shared" si="79"/>
        <v>#REF!</v>
      </c>
      <c r="AX59" s="70" t="e">
        <f t="shared" si="79"/>
        <v>#REF!</v>
      </c>
      <c r="AY59" s="70" t="e">
        <f t="shared" si="79"/>
        <v>#REF!</v>
      </c>
      <c r="AZ59" s="70" t="e">
        <f t="shared" si="79"/>
        <v>#REF!</v>
      </c>
      <c r="BA59" s="70" t="e">
        <f t="shared" si="79"/>
        <v>#REF!</v>
      </c>
    </row>
    <row r="60" spans="27:53" hidden="1">
      <c r="AA60" s="71" t="s">
        <v>42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69" t="s">
        <v>47</v>
      </c>
      <c r="AB61" s="35"/>
      <c r="AF61" s="70" t="e">
        <f t="shared" ref="AF61:AO61" si="80">AF14+AF16+AF18+AF19+AF22</f>
        <v>#REF!</v>
      </c>
      <c r="AG61" s="70" t="e">
        <f t="shared" si="80"/>
        <v>#REF!</v>
      </c>
      <c r="AH61" s="70" t="e">
        <f t="shared" si="80"/>
        <v>#REF!</v>
      </c>
      <c r="AI61" s="70" t="e">
        <f t="shared" si="80"/>
        <v>#REF!</v>
      </c>
      <c r="AJ61" s="70" t="e">
        <f t="shared" si="80"/>
        <v>#REF!</v>
      </c>
      <c r="AK61" s="70" t="e">
        <f t="shared" si="80"/>
        <v>#REF!</v>
      </c>
      <c r="AL61" s="70" t="e">
        <f t="shared" si="80"/>
        <v>#REF!</v>
      </c>
      <c r="AM61" s="70" t="e">
        <f t="shared" si="80"/>
        <v>#REF!</v>
      </c>
      <c r="AN61" s="70" t="e">
        <f t="shared" si="80"/>
        <v>#REF!</v>
      </c>
      <c r="AO61" s="70" t="e">
        <f t="shared" si="80"/>
        <v>#REF!</v>
      </c>
      <c r="AP61" s="70"/>
      <c r="AQ61" s="70"/>
      <c r="AR61" s="70" t="e">
        <f t="shared" ref="AR61:BA61" si="81">AR14+AR16+AR18+AR19+AR22</f>
        <v>#REF!</v>
      </c>
      <c r="AS61" s="70" t="e">
        <f t="shared" si="81"/>
        <v>#REF!</v>
      </c>
      <c r="AT61" s="70" t="e">
        <f t="shared" si="81"/>
        <v>#REF!</v>
      </c>
      <c r="AU61" s="70" t="e">
        <f t="shared" si="81"/>
        <v>#REF!</v>
      </c>
      <c r="AV61" s="70" t="e">
        <f t="shared" si="81"/>
        <v>#REF!</v>
      </c>
      <c r="AW61" s="70" t="e">
        <f t="shared" si="81"/>
        <v>#REF!</v>
      </c>
      <c r="AX61" s="70" t="e">
        <f t="shared" si="81"/>
        <v>#REF!</v>
      </c>
      <c r="AY61" s="70" t="e">
        <f t="shared" si="81"/>
        <v>#REF!</v>
      </c>
      <c r="AZ61" s="70" t="e">
        <f t="shared" si="81"/>
        <v>#REF!</v>
      </c>
      <c r="BA61" s="70" t="e">
        <f t="shared" si="81"/>
        <v>#REF!</v>
      </c>
    </row>
    <row r="62" spans="27:53" hidden="1">
      <c r="AA62" s="71" t="s">
        <v>29</v>
      </c>
      <c r="AB62" s="35"/>
      <c r="AF62" s="70" t="e">
        <f t="shared" ref="AF62:AO62" si="82">AF25+AF27+AF29+AF30+AF33</f>
        <v>#REF!</v>
      </c>
      <c r="AG62" s="70" t="e">
        <f t="shared" si="82"/>
        <v>#REF!</v>
      </c>
      <c r="AH62" s="70" t="e">
        <f t="shared" si="82"/>
        <v>#REF!</v>
      </c>
      <c r="AI62" s="70" t="e">
        <f t="shared" si="82"/>
        <v>#REF!</v>
      </c>
      <c r="AJ62" s="70" t="e">
        <f t="shared" si="82"/>
        <v>#REF!</v>
      </c>
      <c r="AK62" s="70" t="e">
        <f t="shared" si="82"/>
        <v>#REF!</v>
      </c>
      <c r="AL62" s="70" t="e">
        <f t="shared" si="82"/>
        <v>#REF!</v>
      </c>
      <c r="AM62" s="70" t="e">
        <f t="shared" si="82"/>
        <v>#REF!</v>
      </c>
      <c r="AN62" s="70" t="e">
        <f t="shared" si="82"/>
        <v>#REF!</v>
      </c>
      <c r="AO62" s="70" t="e">
        <f t="shared" si="82"/>
        <v>#REF!</v>
      </c>
      <c r="AP62" s="70"/>
      <c r="AQ62" s="70"/>
      <c r="AR62" s="70" t="e">
        <f t="shared" ref="AR62:BA62" si="83">AR25+AR27+AR29+AR30+AR33</f>
        <v>#REF!</v>
      </c>
      <c r="AS62" s="70" t="e">
        <f t="shared" si="83"/>
        <v>#REF!</v>
      </c>
      <c r="AT62" s="70" t="e">
        <f t="shared" si="83"/>
        <v>#REF!</v>
      </c>
      <c r="AU62" s="70" t="e">
        <f t="shared" si="83"/>
        <v>#REF!</v>
      </c>
      <c r="AV62" s="70" t="e">
        <f t="shared" si="83"/>
        <v>#REF!</v>
      </c>
      <c r="AW62" s="70" t="e">
        <f t="shared" si="83"/>
        <v>#REF!</v>
      </c>
      <c r="AX62" s="70" t="e">
        <f t="shared" si="83"/>
        <v>#REF!</v>
      </c>
      <c r="AY62" s="70" t="e">
        <f t="shared" si="83"/>
        <v>#REF!</v>
      </c>
      <c r="AZ62" s="70" t="e">
        <f t="shared" si="83"/>
        <v>#REF!</v>
      </c>
      <c r="BA62" s="70" t="e">
        <f t="shared" si="83"/>
        <v>#REF!</v>
      </c>
    </row>
    <row r="63" spans="27:53" hidden="1">
      <c r="AA63" s="71" t="s">
        <v>41</v>
      </c>
      <c r="AB63" s="35"/>
      <c r="AF63" s="70" t="e">
        <f t="shared" ref="AF63:AO63" si="84">AF36+AF38+AF40+AF41+AF44</f>
        <v>#REF!</v>
      </c>
      <c r="AG63" s="70" t="e">
        <f t="shared" si="84"/>
        <v>#REF!</v>
      </c>
      <c r="AH63" s="70" t="e">
        <f t="shared" si="84"/>
        <v>#REF!</v>
      </c>
      <c r="AI63" s="70" t="e">
        <f t="shared" si="84"/>
        <v>#REF!</v>
      </c>
      <c r="AJ63" s="70" t="e">
        <f t="shared" si="84"/>
        <v>#REF!</v>
      </c>
      <c r="AK63" s="70" t="e">
        <f t="shared" si="84"/>
        <v>#REF!</v>
      </c>
      <c r="AL63" s="70" t="e">
        <f t="shared" si="84"/>
        <v>#REF!</v>
      </c>
      <c r="AM63" s="70" t="e">
        <f t="shared" si="84"/>
        <v>#REF!</v>
      </c>
      <c r="AN63" s="70" t="e">
        <f t="shared" si="84"/>
        <v>#REF!</v>
      </c>
      <c r="AO63" s="70" t="e">
        <f t="shared" si="84"/>
        <v>#REF!</v>
      </c>
      <c r="AP63" s="70"/>
      <c r="AQ63" s="70"/>
      <c r="AR63" s="70" t="e">
        <f t="shared" ref="AR63:BA63" si="85">AR36+AR38+AR40+AR41+AR44</f>
        <v>#REF!</v>
      </c>
      <c r="AS63" s="70" t="e">
        <f t="shared" si="85"/>
        <v>#REF!</v>
      </c>
      <c r="AT63" s="70" t="e">
        <f t="shared" si="85"/>
        <v>#REF!</v>
      </c>
      <c r="AU63" s="70" t="e">
        <f t="shared" si="85"/>
        <v>#REF!</v>
      </c>
      <c r="AV63" s="70" t="e">
        <f t="shared" si="85"/>
        <v>#REF!</v>
      </c>
      <c r="AW63" s="70" t="e">
        <f t="shared" si="85"/>
        <v>#REF!</v>
      </c>
      <c r="AX63" s="70" t="e">
        <f t="shared" si="85"/>
        <v>#REF!</v>
      </c>
      <c r="AY63" s="70" t="e">
        <f t="shared" si="85"/>
        <v>#REF!</v>
      </c>
      <c r="AZ63" s="70" t="e">
        <f t="shared" si="85"/>
        <v>#REF!</v>
      </c>
      <c r="BA63" s="70" t="e">
        <f t="shared" si="85"/>
        <v>#REF!</v>
      </c>
    </row>
    <row r="64" spans="27:53" hidden="1">
      <c r="AA64" s="71" t="s">
        <v>42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69" t="s">
        <v>48</v>
      </c>
      <c r="AB65" s="35"/>
      <c r="AF65" s="70" t="e">
        <f t="shared" ref="AF65:AO65" si="86">AF14+AF15+AF20</f>
        <v>#REF!</v>
      </c>
      <c r="AG65" s="70" t="e">
        <f t="shared" si="86"/>
        <v>#REF!</v>
      </c>
      <c r="AH65" s="70" t="e">
        <f t="shared" si="86"/>
        <v>#REF!</v>
      </c>
      <c r="AI65" s="70" t="e">
        <f t="shared" si="86"/>
        <v>#REF!</v>
      </c>
      <c r="AJ65" s="70" t="e">
        <f t="shared" si="86"/>
        <v>#REF!</v>
      </c>
      <c r="AK65" s="70" t="e">
        <f t="shared" si="86"/>
        <v>#REF!</v>
      </c>
      <c r="AL65" s="70" t="e">
        <f t="shared" si="86"/>
        <v>#REF!</v>
      </c>
      <c r="AM65" s="70" t="e">
        <f t="shared" si="86"/>
        <v>#REF!</v>
      </c>
      <c r="AN65" s="70" t="e">
        <f t="shared" si="86"/>
        <v>#REF!</v>
      </c>
      <c r="AO65" s="70" t="e">
        <f t="shared" si="86"/>
        <v>#REF!</v>
      </c>
      <c r="AP65" s="70"/>
      <c r="AQ65" s="70"/>
      <c r="AR65" s="70" t="e">
        <f t="shared" ref="AR65:BA65" si="87">AR14+AR15+AR20</f>
        <v>#REF!</v>
      </c>
      <c r="AS65" s="70" t="e">
        <f t="shared" si="87"/>
        <v>#REF!</v>
      </c>
      <c r="AT65" s="70" t="e">
        <f t="shared" si="87"/>
        <v>#REF!</v>
      </c>
      <c r="AU65" s="70" t="e">
        <f t="shared" si="87"/>
        <v>#REF!</v>
      </c>
      <c r="AV65" s="70" t="e">
        <f t="shared" si="87"/>
        <v>#REF!</v>
      </c>
      <c r="AW65" s="70" t="e">
        <f t="shared" si="87"/>
        <v>#REF!</v>
      </c>
      <c r="AX65" s="70" t="e">
        <f t="shared" si="87"/>
        <v>#REF!</v>
      </c>
      <c r="AY65" s="70" t="e">
        <f t="shared" si="87"/>
        <v>#REF!</v>
      </c>
      <c r="AZ65" s="70" t="e">
        <f t="shared" si="87"/>
        <v>#REF!</v>
      </c>
      <c r="BA65" s="70" t="e">
        <f t="shared" si="87"/>
        <v>#REF!</v>
      </c>
    </row>
    <row r="66" spans="27:53" hidden="1">
      <c r="AA66" s="71" t="s">
        <v>29</v>
      </c>
      <c r="AB66" s="35"/>
      <c r="AF66" s="70" t="e">
        <f t="shared" ref="AF66:AO66" si="88">AF25+AF26+AF31</f>
        <v>#REF!</v>
      </c>
      <c r="AG66" s="70" t="e">
        <f t="shared" si="88"/>
        <v>#REF!</v>
      </c>
      <c r="AH66" s="70" t="e">
        <f t="shared" si="88"/>
        <v>#REF!</v>
      </c>
      <c r="AI66" s="70" t="e">
        <f t="shared" si="88"/>
        <v>#REF!</v>
      </c>
      <c r="AJ66" s="70" t="e">
        <f t="shared" si="88"/>
        <v>#REF!</v>
      </c>
      <c r="AK66" s="70" t="e">
        <f t="shared" si="88"/>
        <v>#REF!</v>
      </c>
      <c r="AL66" s="70" t="e">
        <f t="shared" si="88"/>
        <v>#REF!</v>
      </c>
      <c r="AM66" s="70" t="e">
        <f t="shared" si="88"/>
        <v>#REF!</v>
      </c>
      <c r="AN66" s="70" t="e">
        <f t="shared" si="88"/>
        <v>#REF!</v>
      </c>
      <c r="AO66" s="70" t="e">
        <f t="shared" si="88"/>
        <v>#REF!</v>
      </c>
      <c r="AP66" s="70"/>
      <c r="AQ66" s="70"/>
      <c r="AR66" s="70" t="e">
        <f t="shared" ref="AR66:BA66" si="89">AR25+AR26+AR31</f>
        <v>#REF!</v>
      </c>
      <c r="AS66" s="70" t="e">
        <f t="shared" si="89"/>
        <v>#REF!</v>
      </c>
      <c r="AT66" s="70" t="e">
        <f t="shared" si="89"/>
        <v>#REF!</v>
      </c>
      <c r="AU66" s="70" t="e">
        <f t="shared" si="89"/>
        <v>#REF!</v>
      </c>
      <c r="AV66" s="70" t="e">
        <f t="shared" si="89"/>
        <v>#REF!</v>
      </c>
      <c r="AW66" s="70" t="e">
        <f t="shared" si="89"/>
        <v>#REF!</v>
      </c>
      <c r="AX66" s="70" t="e">
        <f t="shared" si="89"/>
        <v>#REF!</v>
      </c>
      <c r="AY66" s="70" t="e">
        <f t="shared" si="89"/>
        <v>#REF!</v>
      </c>
      <c r="AZ66" s="70" t="e">
        <f t="shared" si="89"/>
        <v>#REF!</v>
      </c>
      <c r="BA66" s="70" t="e">
        <f t="shared" si="89"/>
        <v>#REF!</v>
      </c>
    </row>
    <row r="67" spans="27:53" hidden="1">
      <c r="AA67" s="71" t="s">
        <v>41</v>
      </c>
      <c r="AB67" s="35"/>
      <c r="AF67" s="70" t="e">
        <f t="shared" ref="AF67:AO67" si="90">AF36+AF37+AF42</f>
        <v>#REF!</v>
      </c>
      <c r="AG67" s="70" t="e">
        <f t="shared" si="90"/>
        <v>#REF!</v>
      </c>
      <c r="AH67" s="70" t="e">
        <f t="shared" si="90"/>
        <v>#REF!</v>
      </c>
      <c r="AI67" s="70" t="e">
        <f t="shared" si="90"/>
        <v>#REF!</v>
      </c>
      <c r="AJ67" s="70" t="e">
        <f t="shared" si="90"/>
        <v>#REF!</v>
      </c>
      <c r="AK67" s="70" t="e">
        <f t="shared" si="90"/>
        <v>#REF!</v>
      </c>
      <c r="AL67" s="70" t="e">
        <f t="shared" si="90"/>
        <v>#REF!</v>
      </c>
      <c r="AM67" s="70" t="e">
        <f t="shared" si="90"/>
        <v>#REF!</v>
      </c>
      <c r="AN67" s="70" t="e">
        <f t="shared" si="90"/>
        <v>#REF!</v>
      </c>
      <c r="AO67" s="70" t="e">
        <f t="shared" si="90"/>
        <v>#REF!</v>
      </c>
      <c r="AP67" s="70"/>
      <c r="AQ67" s="70"/>
      <c r="AR67" s="70" t="e">
        <f t="shared" ref="AR67:BA67" si="91">AR36+AR37+AR42</f>
        <v>#REF!</v>
      </c>
      <c r="AS67" s="70" t="e">
        <f t="shared" si="91"/>
        <v>#REF!</v>
      </c>
      <c r="AT67" s="70" t="e">
        <f t="shared" si="91"/>
        <v>#REF!</v>
      </c>
      <c r="AU67" s="70" t="e">
        <f t="shared" si="91"/>
        <v>#REF!</v>
      </c>
      <c r="AV67" s="70" t="e">
        <f t="shared" si="91"/>
        <v>#REF!</v>
      </c>
      <c r="AW67" s="70" t="e">
        <f t="shared" si="91"/>
        <v>#REF!</v>
      </c>
      <c r="AX67" s="70" t="e">
        <f t="shared" si="91"/>
        <v>#REF!</v>
      </c>
      <c r="AY67" s="70" t="e">
        <f t="shared" si="91"/>
        <v>#REF!</v>
      </c>
      <c r="AZ67" s="70" t="e">
        <f t="shared" si="91"/>
        <v>#REF!</v>
      </c>
      <c r="BA67" s="70" t="e">
        <f t="shared" si="91"/>
        <v>#REF!</v>
      </c>
    </row>
    <row r="68" spans="27:53" hidden="1">
      <c r="AA68" s="71" t="s">
        <v>42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2" t="s">
        <v>49</v>
      </c>
      <c r="AB69" s="35"/>
      <c r="AF69" s="70" t="e">
        <f t="shared" ref="AF69:AO69" si="92">AF14+AF15+AF19+AF21</f>
        <v>#REF!</v>
      </c>
      <c r="AG69" s="70" t="e">
        <f t="shared" si="92"/>
        <v>#REF!</v>
      </c>
      <c r="AH69" s="70" t="e">
        <f t="shared" si="92"/>
        <v>#REF!</v>
      </c>
      <c r="AI69" s="70" t="e">
        <f t="shared" si="92"/>
        <v>#REF!</v>
      </c>
      <c r="AJ69" s="70" t="e">
        <f t="shared" si="92"/>
        <v>#REF!</v>
      </c>
      <c r="AK69" s="70" t="e">
        <f t="shared" si="92"/>
        <v>#REF!</v>
      </c>
      <c r="AL69" s="70" t="e">
        <f t="shared" si="92"/>
        <v>#REF!</v>
      </c>
      <c r="AM69" s="70" t="e">
        <f t="shared" si="92"/>
        <v>#REF!</v>
      </c>
      <c r="AN69" s="70" t="e">
        <f t="shared" si="92"/>
        <v>#REF!</v>
      </c>
      <c r="AO69" s="70" t="e">
        <f t="shared" si="92"/>
        <v>#REF!</v>
      </c>
      <c r="AP69" s="70"/>
      <c r="AQ69" s="70"/>
      <c r="AR69" s="70" t="e">
        <f t="shared" ref="AR69:BA69" si="93">AR14+AR15+AR19+AR21</f>
        <v>#REF!</v>
      </c>
      <c r="AS69" s="70" t="e">
        <f t="shared" si="93"/>
        <v>#REF!</v>
      </c>
      <c r="AT69" s="70" t="e">
        <f t="shared" si="93"/>
        <v>#REF!</v>
      </c>
      <c r="AU69" s="70" t="e">
        <f t="shared" si="93"/>
        <v>#REF!</v>
      </c>
      <c r="AV69" s="70" t="e">
        <f t="shared" si="93"/>
        <v>#REF!</v>
      </c>
      <c r="AW69" s="70" t="e">
        <f t="shared" si="93"/>
        <v>#REF!</v>
      </c>
      <c r="AX69" s="70" t="e">
        <f t="shared" si="93"/>
        <v>#REF!</v>
      </c>
      <c r="AY69" s="70" t="e">
        <f t="shared" si="93"/>
        <v>#REF!</v>
      </c>
      <c r="AZ69" s="70" t="e">
        <f t="shared" si="93"/>
        <v>#REF!</v>
      </c>
      <c r="BA69" s="70" t="e">
        <f t="shared" si="93"/>
        <v>#REF!</v>
      </c>
    </row>
    <row r="70" spans="27:53" hidden="1">
      <c r="AA70" s="71" t="s">
        <v>29</v>
      </c>
      <c r="AB70" s="35"/>
      <c r="AF70" s="70" t="e">
        <f t="shared" ref="AF70:AO70" si="94">AF25+AF26+AF30+AF32</f>
        <v>#REF!</v>
      </c>
      <c r="AG70" s="70" t="e">
        <f t="shared" si="94"/>
        <v>#REF!</v>
      </c>
      <c r="AH70" s="70" t="e">
        <f t="shared" si="94"/>
        <v>#REF!</v>
      </c>
      <c r="AI70" s="70" t="e">
        <f t="shared" si="94"/>
        <v>#REF!</v>
      </c>
      <c r="AJ70" s="70" t="e">
        <f t="shared" si="94"/>
        <v>#REF!</v>
      </c>
      <c r="AK70" s="70" t="e">
        <f t="shared" si="94"/>
        <v>#REF!</v>
      </c>
      <c r="AL70" s="70" t="e">
        <f t="shared" si="94"/>
        <v>#REF!</v>
      </c>
      <c r="AM70" s="70" t="e">
        <f t="shared" si="94"/>
        <v>#REF!</v>
      </c>
      <c r="AN70" s="70" t="e">
        <f t="shared" si="94"/>
        <v>#REF!</v>
      </c>
      <c r="AO70" s="70" t="e">
        <f t="shared" si="94"/>
        <v>#REF!</v>
      </c>
      <c r="AP70" s="70"/>
      <c r="AQ70" s="70"/>
      <c r="AR70" s="70" t="e">
        <f t="shared" ref="AR70:BA70" si="95">AR25+AR26+AR30+AR32</f>
        <v>#REF!</v>
      </c>
      <c r="AS70" s="70" t="e">
        <f t="shared" si="95"/>
        <v>#REF!</v>
      </c>
      <c r="AT70" s="70" t="e">
        <f t="shared" si="95"/>
        <v>#REF!</v>
      </c>
      <c r="AU70" s="70" t="e">
        <f t="shared" si="95"/>
        <v>#REF!</v>
      </c>
      <c r="AV70" s="70" t="e">
        <f t="shared" si="95"/>
        <v>#REF!</v>
      </c>
      <c r="AW70" s="70" t="e">
        <f t="shared" si="95"/>
        <v>#REF!</v>
      </c>
      <c r="AX70" s="70" t="e">
        <f t="shared" si="95"/>
        <v>#REF!</v>
      </c>
      <c r="AY70" s="70" t="e">
        <f t="shared" si="95"/>
        <v>#REF!</v>
      </c>
      <c r="AZ70" s="70" t="e">
        <f t="shared" si="95"/>
        <v>#REF!</v>
      </c>
      <c r="BA70" s="70" t="e">
        <f t="shared" si="95"/>
        <v>#REF!</v>
      </c>
    </row>
    <row r="71" spans="27:53" hidden="1">
      <c r="AA71" s="71" t="s">
        <v>41</v>
      </c>
      <c r="AB71" s="35"/>
      <c r="AF71" s="70" t="e">
        <f t="shared" ref="AF71:AO71" si="96">AF36+AF37+AF41+AF43</f>
        <v>#REF!</v>
      </c>
      <c r="AG71" s="70" t="e">
        <f t="shared" si="96"/>
        <v>#REF!</v>
      </c>
      <c r="AH71" s="70" t="e">
        <f t="shared" si="96"/>
        <v>#REF!</v>
      </c>
      <c r="AI71" s="70" t="e">
        <f t="shared" si="96"/>
        <v>#REF!</v>
      </c>
      <c r="AJ71" s="70" t="e">
        <f t="shared" si="96"/>
        <v>#REF!</v>
      </c>
      <c r="AK71" s="70" t="e">
        <f t="shared" si="96"/>
        <v>#REF!</v>
      </c>
      <c r="AL71" s="70" t="e">
        <f t="shared" si="96"/>
        <v>#REF!</v>
      </c>
      <c r="AM71" s="70" t="e">
        <f t="shared" si="96"/>
        <v>#REF!</v>
      </c>
      <c r="AN71" s="70" t="e">
        <f t="shared" si="96"/>
        <v>#REF!</v>
      </c>
      <c r="AO71" s="70" t="e">
        <f t="shared" si="96"/>
        <v>#REF!</v>
      </c>
      <c r="AP71" s="70"/>
      <c r="AQ71" s="70"/>
      <c r="AR71" s="70" t="e">
        <f t="shared" ref="AR71:BA71" si="97">AR36+AR37+AR41+AR43</f>
        <v>#REF!</v>
      </c>
      <c r="AS71" s="70" t="e">
        <f t="shared" si="97"/>
        <v>#REF!</v>
      </c>
      <c r="AT71" s="70" t="e">
        <f t="shared" si="97"/>
        <v>#REF!</v>
      </c>
      <c r="AU71" s="70" t="e">
        <f t="shared" si="97"/>
        <v>#REF!</v>
      </c>
      <c r="AV71" s="70" t="e">
        <f t="shared" si="97"/>
        <v>#REF!</v>
      </c>
      <c r="AW71" s="70" t="e">
        <f t="shared" si="97"/>
        <v>#REF!</v>
      </c>
      <c r="AX71" s="70" t="e">
        <f t="shared" si="97"/>
        <v>#REF!</v>
      </c>
      <c r="AY71" s="70" t="e">
        <f t="shared" si="97"/>
        <v>#REF!</v>
      </c>
      <c r="AZ71" s="70" t="e">
        <f t="shared" si="97"/>
        <v>#REF!</v>
      </c>
      <c r="BA71" s="70" t="e">
        <f t="shared" si="97"/>
        <v>#REF!</v>
      </c>
    </row>
    <row r="72" spans="27:53" hidden="1">
      <c r="AA72" s="71" t="s">
        <v>42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69" t="s">
        <v>50</v>
      </c>
      <c r="AB73" s="35"/>
      <c r="AF73" s="70" t="e">
        <f t="shared" ref="AF73:AO73" si="98">AF14+AF15+AF19+AF22</f>
        <v>#REF!</v>
      </c>
      <c r="AG73" s="70" t="e">
        <f t="shared" si="98"/>
        <v>#REF!</v>
      </c>
      <c r="AH73" s="70" t="e">
        <f t="shared" si="98"/>
        <v>#REF!</v>
      </c>
      <c r="AI73" s="70" t="e">
        <f t="shared" si="98"/>
        <v>#REF!</v>
      </c>
      <c r="AJ73" s="70" t="e">
        <f t="shared" si="98"/>
        <v>#REF!</v>
      </c>
      <c r="AK73" s="70" t="e">
        <f t="shared" si="98"/>
        <v>#REF!</v>
      </c>
      <c r="AL73" s="70" t="e">
        <f t="shared" si="98"/>
        <v>#REF!</v>
      </c>
      <c r="AM73" s="70" t="e">
        <f t="shared" si="98"/>
        <v>#REF!</v>
      </c>
      <c r="AN73" s="70" t="e">
        <f t="shared" si="98"/>
        <v>#REF!</v>
      </c>
      <c r="AO73" s="70" t="e">
        <f t="shared" si="98"/>
        <v>#REF!</v>
      </c>
      <c r="AP73" s="70"/>
      <c r="AQ73" s="70"/>
      <c r="AR73" s="70" t="e">
        <f t="shared" ref="AR73:BA73" si="99">AR14+AR15+AR19+AR22</f>
        <v>#REF!</v>
      </c>
      <c r="AS73" s="70" t="e">
        <f t="shared" si="99"/>
        <v>#REF!</v>
      </c>
      <c r="AT73" s="70" t="e">
        <f t="shared" si="99"/>
        <v>#REF!</v>
      </c>
      <c r="AU73" s="70" t="e">
        <f t="shared" si="99"/>
        <v>#REF!</v>
      </c>
      <c r="AV73" s="70" t="e">
        <f t="shared" si="99"/>
        <v>#REF!</v>
      </c>
      <c r="AW73" s="70" t="e">
        <f t="shared" si="99"/>
        <v>#REF!</v>
      </c>
      <c r="AX73" s="70" t="e">
        <f t="shared" si="99"/>
        <v>#REF!</v>
      </c>
      <c r="AY73" s="70" t="e">
        <f t="shared" si="99"/>
        <v>#REF!</v>
      </c>
      <c r="AZ73" s="70" t="e">
        <f t="shared" si="99"/>
        <v>#REF!</v>
      </c>
      <c r="BA73" s="70" t="e">
        <f t="shared" si="99"/>
        <v>#REF!</v>
      </c>
    </row>
    <row r="74" spans="27:53" hidden="1">
      <c r="AA74" s="71" t="s">
        <v>29</v>
      </c>
      <c r="AB74" s="35"/>
      <c r="AF74" s="70" t="e">
        <f t="shared" ref="AF74:AO74" si="100">AF25+AF26+AF30+AF33</f>
        <v>#REF!</v>
      </c>
      <c r="AG74" s="70" t="e">
        <f t="shared" si="100"/>
        <v>#REF!</v>
      </c>
      <c r="AH74" s="70" t="e">
        <f t="shared" si="100"/>
        <v>#REF!</v>
      </c>
      <c r="AI74" s="70" t="e">
        <f t="shared" si="100"/>
        <v>#REF!</v>
      </c>
      <c r="AJ74" s="70" t="e">
        <f t="shared" si="100"/>
        <v>#REF!</v>
      </c>
      <c r="AK74" s="70" t="e">
        <f t="shared" si="100"/>
        <v>#REF!</v>
      </c>
      <c r="AL74" s="70" t="e">
        <f t="shared" si="100"/>
        <v>#REF!</v>
      </c>
      <c r="AM74" s="70" t="e">
        <f t="shared" si="100"/>
        <v>#REF!</v>
      </c>
      <c r="AN74" s="70" t="e">
        <f t="shared" si="100"/>
        <v>#REF!</v>
      </c>
      <c r="AO74" s="70" t="e">
        <f t="shared" si="100"/>
        <v>#REF!</v>
      </c>
      <c r="AP74" s="70"/>
      <c r="AQ74" s="70"/>
      <c r="AR74" s="70" t="e">
        <f t="shared" ref="AR74:BA74" si="101">AR25+AR26+AR30+AR33</f>
        <v>#REF!</v>
      </c>
      <c r="AS74" s="70" t="e">
        <f t="shared" si="101"/>
        <v>#REF!</v>
      </c>
      <c r="AT74" s="70" t="e">
        <f t="shared" si="101"/>
        <v>#REF!</v>
      </c>
      <c r="AU74" s="70" t="e">
        <f t="shared" si="101"/>
        <v>#REF!</v>
      </c>
      <c r="AV74" s="70" t="e">
        <f t="shared" si="101"/>
        <v>#REF!</v>
      </c>
      <c r="AW74" s="70" t="e">
        <f t="shared" si="101"/>
        <v>#REF!</v>
      </c>
      <c r="AX74" s="70" t="e">
        <f t="shared" si="101"/>
        <v>#REF!</v>
      </c>
      <c r="AY74" s="70" t="e">
        <f t="shared" si="101"/>
        <v>#REF!</v>
      </c>
      <c r="AZ74" s="70" t="e">
        <f t="shared" si="101"/>
        <v>#REF!</v>
      </c>
      <c r="BA74" s="70" t="e">
        <f t="shared" si="101"/>
        <v>#REF!</v>
      </c>
    </row>
    <row r="75" spans="27:53" hidden="1">
      <c r="AA75" s="71" t="s">
        <v>41</v>
      </c>
      <c r="AB75" s="35"/>
      <c r="AF75" s="70" t="e">
        <f t="shared" ref="AF75:AO75" si="102">AF36+AF37+AF41+AF44</f>
        <v>#REF!</v>
      </c>
      <c r="AG75" s="70" t="e">
        <f t="shared" si="102"/>
        <v>#REF!</v>
      </c>
      <c r="AH75" s="70" t="e">
        <f t="shared" si="102"/>
        <v>#REF!</v>
      </c>
      <c r="AI75" s="70" t="e">
        <f t="shared" si="102"/>
        <v>#REF!</v>
      </c>
      <c r="AJ75" s="70" t="e">
        <f t="shared" si="102"/>
        <v>#REF!</v>
      </c>
      <c r="AK75" s="70" t="e">
        <f t="shared" si="102"/>
        <v>#REF!</v>
      </c>
      <c r="AL75" s="70" t="e">
        <f t="shared" si="102"/>
        <v>#REF!</v>
      </c>
      <c r="AM75" s="70" t="e">
        <f t="shared" si="102"/>
        <v>#REF!</v>
      </c>
      <c r="AN75" s="70" t="e">
        <f t="shared" si="102"/>
        <v>#REF!</v>
      </c>
      <c r="AO75" s="70" t="e">
        <f t="shared" si="102"/>
        <v>#REF!</v>
      </c>
      <c r="AP75" s="70"/>
      <c r="AQ75" s="70"/>
      <c r="AR75" s="70" t="e">
        <f t="shared" ref="AR75:BA75" si="103">AR36+AR37+AR41+AR44</f>
        <v>#REF!</v>
      </c>
      <c r="AS75" s="70" t="e">
        <f t="shared" si="103"/>
        <v>#REF!</v>
      </c>
      <c r="AT75" s="70" t="e">
        <f t="shared" si="103"/>
        <v>#REF!</v>
      </c>
      <c r="AU75" s="70" t="e">
        <f t="shared" si="103"/>
        <v>#REF!</v>
      </c>
      <c r="AV75" s="70" t="e">
        <f t="shared" si="103"/>
        <v>#REF!</v>
      </c>
      <c r="AW75" s="70" t="e">
        <f t="shared" si="103"/>
        <v>#REF!</v>
      </c>
      <c r="AX75" s="70" t="e">
        <f t="shared" si="103"/>
        <v>#REF!</v>
      </c>
      <c r="AY75" s="70" t="e">
        <f t="shared" si="103"/>
        <v>#REF!</v>
      </c>
      <c r="AZ75" s="70" t="e">
        <f t="shared" si="103"/>
        <v>#REF!</v>
      </c>
      <c r="BA75" s="70" t="e">
        <f t="shared" si="103"/>
        <v>#REF!</v>
      </c>
    </row>
    <row r="76" spans="27:53" hidden="1">
      <c r="AA76" s="71" t="s">
        <v>42</v>
      </c>
      <c r="AB76" s="35"/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N86" s="38"/>
      <c r="AZ86" s="36"/>
    </row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545" t="s">
        <v>55</v>
      </c>
      <c r="G88" s="545" t="s">
        <v>73</v>
      </c>
      <c r="H88" s="545" t="s">
        <v>74</v>
      </c>
      <c r="I88" s="545" t="s">
        <v>58</v>
      </c>
      <c r="J88" s="545" t="s">
        <v>59</v>
      </c>
      <c r="K88" s="545" t="s">
        <v>60</v>
      </c>
      <c r="L88" s="544" t="s">
        <v>75</v>
      </c>
      <c r="M88" s="544" t="s">
        <v>76</v>
      </c>
      <c r="N88" s="544" t="s">
        <v>61</v>
      </c>
      <c r="O88" s="544" t="s">
        <v>62</v>
      </c>
      <c r="P88" s="544" t="s">
        <v>63</v>
      </c>
      <c r="AN88" s="38"/>
      <c r="AZ88" s="36"/>
    </row>
    <row r="89" spans="1:52" ht="25.5">
      <c r="A89" s="44" t="str">
        <f t="shared" ref="A89:C90" si="104">A4</f>
        <v>Substation General Construction</v>
      </c>
      <c r="B89" s="45" t="str">
        <f t="shared" si="104"/>
        <v>Light-Duty Truck, catalyst</v>
      </c>
      <c r="C89" s="46">
        <f t="shared" si="104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105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si="104"/>
        <v>Substation Wiring</v>
      </c>
      <c r="B90" s="45" t="str">
        <f t="shared" si="104"/>
        <v>Light-Duty Truck, catalyst</v>
      </c>
      <c r="C90" s="46">
        <f t="shared" si="104"/>
        <v>1</v>
      </c>
      <c r="D90" s="46">
        <v>35</v>
      </c>
      <c r="E90" s="46">
        <v>80</v>
      </c>
      <c r="F90" s="50">
        <f>C5*($E5*$F5+($G5))/453.59</f>
        <v>0.48571938588092006</v>
      </c>
      <c r="G90" s="50">
        <f>C5*($E5*$H5+($I5))/453.59</f>
        <v>4.367065729437801E-2</v>
      </c>
      <c r="H90" s="50">
        <f>C5*(($E5*$J5)+($K5)+($L5)+($E5*$N5)+(($M5+$O5)))/453.59</f>
        <v>5.0499980323953329E-2</v>
      </c>
      <c r="I90" s="50">
        <f>C5*($E5*$P5+($Q5))/453.59</f>
        <v>7.2679702716061593E-4</v>
      </c>
      <c r="J90" s="50">
        <f>C5*(($E5*($R5+$T5+$U5))+($S5))/453.59</f>
        <v>8.5240904552078972E-3</v>
      </c>
      <c r="K90" s="50">
        <f>$C5*(($E5*($V5+$X5+$Y5))+($W5))/453.59</f>
        <v>3.7120053242531417E-3</v>
      </c>
      <c r="L90" s="50">
        <f>$B$22*C5*(E5+6)</f>
        <v>8.4385825860718994E-3</v>
      </c>
      <c r="M90" s="50">
        <f t="shared" si="105"/>
        <v>3.4598188602894785E-3</v>
      </c>
      <c r="N90" s="50">
        <f>C5*($E5*$Z5+($AA5))/453.59</f>
        <v>55.423576726038895</v>
      </c>
      <c r="O90" s="50">
        <f>C5*($E5*$AB5+($AC5))/453.59</f>
        <v>3.1704753890302493E-3</v>
      </c>
      <c r="P90" s="50">
        <f>C5*($E5*$AD5+($AE5))/453.59</f>
        <v>5.7711199138433603E-3</v>
      </c>
      <c r="AN90" s="38"/>
      <c r="AZ90" s="36"/>
    </row>
    <row r="91" spans="1:52">
      <c r="A91" s="61" t="s">
        <v>389</v>
      </c>
      <c r="B91" s="40"/>
      <c r="C91" s="40"/>
      <c r="D91" s="40"/>
      <c r="E91" s="40"/>
      <c r="F91" s="81">
        <f t="shared" ref="F91:P91" si="106">SUM(F89:F90)</f>
        <v>1.9428775435236803</v>
      </c>
      <c r="G91" s="81">
        <f t="shared" si="106"/>
        <v>0.17468262917751204</v>
      </c>
      <c r="H91" s="81">
        <f t="shared" si="106"/>
        <v>0.20199992129581332</v>
      </c>
      <c r="I91" s="81">
        <f t="shared" si="106"/>
        <v>2.9071881086424637E-3</v>
      </c>
      <c r="J91" s="81">
        <f t="shared" si="106"/>
        <v>3.4096361820831589E-2</v>
      </c>
      <c r="K91" s="81">
        <f t="shared" si="106"/>
        <v>1.4848021297012567E-2</v>
      </c>
      <c r="L91" s="81">
        <f t="shared" si="106"/>
        <v>3.3754330344287597E-2</v>
      </c>
      <c r="M91" s="81">
        <f t="shared" si="106"/>
        <v>1.3839275441157914E-2</v>
      </c>
      <c r="N91" s="81">
        <f t="shared" si="106"/>
        <v>221.69430690415561</v>
      </c>
      <c r="O91" s="81">
        <f t="shared" si="106"/>
        <v>1.2681901556120997E-2</v>
      </c>
      <c r="P91" s="81">
        <f t="shared" si="106"/>
        <v>2.3084479655373441E-2</v>
      </c>
    </row>
  </sheetData>
  <mergeCells count="16">
    <mergeCell ref="AR11:BA11"/>
    <mergeCell ref="A87:A88"/>
    <mergeCell ref="B87:B88"/>
    <mergeCell ref="F87:P87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6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681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317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24" t="s">
        <v>311</v>
      </c>
      <c r="B14" s="29" t="s">
        <v>27</v>
      </c>
      <c r="C14" s="22">
        <v>175</v>
      </c>
      <c r="D14" s="22"/>
      <c r="E14" s="102">
        <v>0.11792220738547983</v>
      </c>
      <c r="F14" s="102">
        <v>0.36512193352152528</v>
      </c>
      <c r="G14" s="102">
        <v>0.86781464282266541</v>
      </c>
      <c r="H14" s="102">
        <v>1.8739217498104396E-3</v>
      </c>
      <c r="I14" s="102">
        <v>2.9041712295589866E-2</v>
      </c>
      <c r="J14" s="100">
        <f t="shared" ref="J14" si="4">0.89*I14</f>
        <v>2.5847123943074982E-2</v>
      </c>
      <c r="K14" s="103">
        <v>166.54541562452522</v>
      </c>
      <c r="L14" s="102">
        <v>1.063993297769634E-2</v>
      </c>
      <c r="M14" s="104">
        <f t="shared" ref="M14" si="5">0.095*G14</f>
        <v>8.2442391068153209E-2</v>
      </c>
      <c r="N14" s="98">
        <v>1</v>
      </c>
      <c r="O14" s="87">
        <v>2</v>
      </c>
      <c r="P14" s="363">
        <v>280</v>
      </c>
      <c r="Q14" s="34">
        <f t="shared" ref="Q14:Y14" si="6">(E14*$N14*$O14)</f>
        <v>0.23584441477095966</v>
      </c>
      <c r="R14" s="26">
        <f t="shared" si="6"/>
        <v>0.73024386704305055</v>
      </c>
      <c r="S14" s="26">
        <f t="shared" si="6"/>
        <v>1.7356292856453308</v>
      </c>
      <c r="T14" s="26">
        <f t="shared" si="6"/>
        <v>3.7478434996208792E-3</v>
      </c>
      <c r="U14" s="26">
        <f t="shared" si="6"/>
        <v>5.8083424591179732E-2</v>
      </c>
      <c r="V14" s="26">
        <f t="shared" si="6"/>
        <v>5.1694247886149965E-2</v>
      </c>
      <c r="W14" s="26">
        <f t="shared" si="6"/>
        <v>333.09083124905044</v>
      </c>
      <c r="X14" s="26">
        <f t="shared" si="6"/>
        <v>2.127986595539268E-2</v>
      </c>
      <c r="Y14" s="26">
        <f t="shared" si="6"/>
        <v>0.16488478213630642</v>
      </c>
    </row>
    <row r="15" spans="1:25" s="3" customFormat="1">
      <c r="A15" s="17" t="s">
        <v>28</v>
      </c>
      <c r="B15" s="97"/>
      <c r="C15" s="22"/>
      <c r="D15" s="22"/>
      <c r="E15" s="23"/>
      <c r="F15" s="23"/>
      <c r="G15" s="23"/>
      <c r="H15" s="23"/>
      <c r="I15" s="23"/>
      <c r="J15" s="24"/>
      <c r="K15" s="25"/>
      <c r="L15" s="23"/>
      <c r="M15" s="23"/>
      <c r="N15" s="88"/>
      <c r="O15" s="88"/>
      <c r="P15" s="88"/>
      <c r="Q15" s="27">
        <f t="shared" ref="Q15:Y15" si="7">SUM(Q14:Q14)</f>
        <v>0.23584441477095966</v>
      </c>
      <c r="R15" s="27">
        <f t="shared" si="7"/>
        <v>0.73024386704305055</v>
      </c>
      <c r="S15" s="27">
        <f t="shared" si="7"/>
        <v>1.7356292856453308</v>
      </c>
      <c r="T15" s="27">
        <f t="shared" si="7"/>
        <v>3.7478434996208792E-3</v>
      </c>
      <c r="U15" s="27">
        <f t="shared" si="7"/>
        <v>5.8083424591179732E-2</v>
      </c>
      <c r="V15" s="27">
        <f t="shared" si="7"/>
        <v>5.1694247886149965E-2</v>
      </c>
      <c r="W15" s="27">
        <f t="shared" si="7"/>
        <v>333.09083124905044</v>
      </c>
      <c r="X15" s="27">
        <f t="shared" si="7"/>
        <v>2.127986595539268E-2</v>
      </c>
      <c r="Y15" s="27">
        <f t="shared" si="7"/>
        <v>0.16488478213630642</v>
      </c>
    </row>
    <row r="16" spans="1:25">
      <c r="A16" s="17" t="s">
        <v>499</v>
      </c>
      <c r="B16" s="549"/>
      <c r="C16" s="18"/>
      <c r="D16" s="22"/>
      <c r="E16" s="19"/>
      <c r="F16" s="19"/>
      <c r="G16" s="19"/>
      <c r="H16" s="19"/>
      <c r="I16" s="19"/>
      <c r="J16" s="19"/>
      <c r="K16" s="19"/>
      <c r="L16" s="19"/>
      <c r="M16" s="19"/>
      <c r="N16" s="30"/>
      <c r="O16" s="30"/>
      <c r="P16" s="364"/>
      <c r="Q16" s="20">
        <f>Q11+Q15</f>
        <v>0.9504215378625569</v>
      </c>
      <c r="R16" s="20">
        <f t="shared" ref="R16:Y16" si="8">R11+R15</f>
        <v>3.6844030780014445</v>
      </c>
      <c r="S16" s="20">
        <f t="shared" si="8"/>
        <v>6.1566857317844876</v>
      </c>
      <c r="T16" s="20">
        <f t="shared" si="8"/>
        <v>1.207090973569876E-2</v>
      </c>
      <c r="U16" s="20">
        <f t="shared" si="8"/>
        <v>0.30389171690722716</v>
      </c>
      <c r="V16" s="20">
        <f t="shared" si="8"/>
        <v>0.27046362804743218</v>
      </c>
      <c r="W16" s="20">
        <f t="shared" si="8"/>
        <v>1029.5443237340787</v>
      </c>
      <c r="X16" s="20">
        <f t="shared" si="8"/>
        <v>9.3819672145962416E-2</v>
      </c>
      <c r="Y16" s="20">
        <f t="shared" si="8"/>
        <v>0.58488514451952633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0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682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C9*(F9)*$B$159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C10*(F10)*$B$159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335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311</v>
      </c>
      <c r="B14" s="76" t="s">
        <v>105</v>
      </c>
      <c r="C14" s="374">
        <v>1</v>
      </c>
      <c r="D14" s="77"/>
      <c r="E14" s="77">
        <v>35</v>
      </c>
      <c r="F14" s="77">
        <v>80</v>
      </c>
      <c r="G14" s="106">
        <v>1.08263976628415</v>
      </c>
      <c r="H14" s="106">
        <v>4.9712718909585103</v>
      </c>
      <c r="I14" s="106">
        <v>0.26248012575016899</v>
      </c>
      <c r="J14" s="106">
        <v>1.0711818E-2</v>
      </c>
      <c r="K14" s="106">
        <v>7.1679901072141505E-2</v>
      </c>
      <c r="L14" s="576">
        <v>3.59998119015979E-2</v>
      </c>
      <c r="M14" s="576">
        <v>6.1739677411240299E-2</v>
      </c>
      <c r="N14" s="106">
        <v>6.5945508986370194E-2</v>
      </c>
      <c r="O14" s="576">
        <v>2.9999843251331498E-3</v>
      </c>
      <c r="P14" s="576">
        <v>5.5859708133979398E-2</v>
      </c>
      <c r="Q14" s="106">
        <v>1710.7260798814</v>
      </c>
      <c r="R14" s="47">
        <v>1.5235246282551899E-2</v>
      </c>
      <c r="S14" s="80">
        <f>0.000025616*Q14</f>
        <v>4.3821959262241944E-2</v>
      </c>
      <c r="T14" s="50">
        <f>C14*($F14*$G14)/453.59</f>
        <v>0.19094596728925242</v>
      </c>
      <c r="U14" s="50">
        <f>C14*($F14*$H14)/453.59</f>
        <v>0.87678685878586582</v>
      </c>
      <c r="V14" s="50">
        <f>C14*(($F14*$I14))/453.59</f>
        <v>4.6293811724274173E-2</v>
      </c>
      <c r="W14" s="50">
        <f>C14*($F14*$J14)/453.59</f>
        <v>1.8892511739676801E-3</v>
      </c>
      <c r="X14" s="50">
        <f>C14*(($F14*($K14+$L14+$M14)))/453.59</f>
        <v>2.9880621774726907E-2</v>
      </c>
      <c r="Y14" s="50">
        <f>C14*(($F14*($N14+$O14+$P14)))/453.59</f>
        <v>2.2011984646131133E-2</v>
      </c>
      <c r="Z14" s="50">
        <f>C14*(F14)*$B$159</f>
        <v>0</v>
      </c>
      <c r="AA14" s="50">
        <f>Z14*0.21</f>
        <v>0</v>
      </c>
      <c r="AB14" s="50">
        <f>C14*(($F14*($Q14)))/453.59</f>
        <v>301.72200972356535</v>
      </c>
      <c r="AC14" s="50">
        <f>C14*(($F14*($R14)))/453.59</f>
        <v>2.6870515280410772E-3</v>
      </c>
      <c r="AD14" s="50">
        <f>C14*(($F14*($S14)))/453.59</f>
        <v>7.7289110010788503E-3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0.19094596728925242</v>
      </c>
      <c r="U15" s="81">
        <f t="shared" si="1"/>
        <v>0.87678685878586582</v>
      </c>
      <c r="V15" s="81">
        <f t="shared" si="1"/>
        <v>4.6293811724274173E-2</v>
      </c>
      <c r="W15" s="81">
        <f t="shared" si="1"/>
        <v>1.8892511739676801E-3</v>
      </c>
      <c r="X15" s="81">
        <f t="shared" si="1"/>
        <v>2.9880621774726907E-2</v>
      </c>
      <c r="Y15" s="81">
        <f t="shared" si="1"/>
        <v>2.2011984646131133E-2</v>
      </c>
      <c r="Z15" s="81">
        <f t="shared" si="1"/>
        <v>0</v>
      </c>
      <c r="AA15" s="81">
        <f t="shared" si="1"/>
        <v>0</v>
      </c>
      <c r="AB15" s="81">
        <f t="shared" si="1"/>
        <v>301.72200972356535</v>
      </c>
      <c r="AC15" s="81">
        <f t="shared" si="1"/>
        <v>2.6870515280410772E-3</v>
      </c>
      <c r="AD15" s="81">
        <f t="shared" si="1"/>
        <v>7.7289110010788503E-3</v>
      </c>
    </row>
    <row r="16" spans="1:30">
      <c r="A16" s="75" t="s">
        <v>388</v>
      </c>
      <c r="B16" s="74"/>
      <c r="C16" s="112"/>
      <c r="D16" s="112"/>
      <c r="E16" s="74"/>
      <c r="F16" s="74"/>
      <c r="G16" s="547"/>
      <c r="H16" s="41"/>
      <c r="I16" s="41"/>
      <c r="J16" s="41"/>
      <c r="K16" s="544"/>
      <c r="L16" s="544"/>
      <c r="M16" s="544"/>
      <c r="N16" s="544"/>
      <c r="O16" s="544"/>
      <c r="P16" s="544"/>
      <c r="Q16" s="41"/>
      <c r="R16" s="544"/>
      <c r="S16" s="544"/>
      <c r="T16" s="81">
        <f>T11+T15</f>
        <v>0.48178321011214986</v>
      </c>
      <c r="U16" s="81">
        <f t="shared" ref="U16:AD16" si="2">U11+U15</f>
        <v>1.9379830954014503</v>
      </c>
      <c r="V16" s="81">
        <f t="shared" si="2"/>
        <v>0.11511829621149469</v>
      </c>
      <c r="W16" s="81">
        <f t="shared" si="2"/>
        <v>5.1683636885428378E-3</v>
      </c>
      <c r="X16" s="81">
        <f t="shared" si="2"/>
        <v>9.6130708419604929E-2</v>
      </c>
      <c r="Y16" s="81">
        <f t="shared" si="2"/>
        <v>6.8190068275239671E-2</v>
      </c>
      <c r="Z16" s="81">
        <f t="shared" si="2"/>
        <v>0</v>
      </c>
      <c r="AA16" s="81">
        <f t="shared" si="2"/>
        <v>0</v>
      </c>
      <c r="AB16" s="81">
        <f t="shared" si="2"/>
        <v>700.25812503738734</v>
      </c>
      <c r="AC16" s="81">
        <f t="shared" si="2"/>
        <v>1.0906351491826187E-2</v>
      </c>
      <c r="AD16" s="81">
        <f t="shared" si="2"/>
        <v>1.7937812130957714E-2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368" spans="1:1" ht="25.5">
      <c r="A368" s="82" t="s">
        <v>109</v>
      </c>
    </row>
    <row r="370" spans="1:2">
      <c r="A370" s="36" t="s">
        <v>81</v>
      </c>
    </row>
    <row r="371" spans="1:2">
      <c r="A371" s="36" t="s">
        <v>82</v>
      </c>
    </row>
    <row r="372" spans="1:2">
      <c r="A372" s="36" t="s">
        <v>83</v>
      </c>
    </row>
    <row r="373" spans="1:2">
      <c r="A373" s="37" t="s">
        <v>96</v>
      </c>
    </row>
    <row r="374" spans="1:2">
      <c r="A374" s="36" t="s">
        <v>85</v>
      </c>
    </row>
    <row r="375" spans="1:2">
      <c r="A375" s="36" t="s">
        <v>86</v>
      </c>
    </row>
    <row r="376" spans="1:2">
      <c r="A376" s="36" t="s">
        <v>87</v>
      </c>
    </row>
    <row r="377" spans="1:2">
      <c r="A377" s="36" t="s">
        <v>0</v>
      </c>
    </row>
    <row r="378" spans="1:2">
      <c r="A378" s="37" t="s">
        <v>97</v>
      </c>
      <c r="B378" s="36">
        <f>(0.016*(0.03/2)^0.65*(2/3)^1.5)-0.00047</f>
        <v>9.8123053326417428E-5</v>
      </c>
    </row>
    <row r="379" spans="1:2">
      <c r="A379" s="37" t="s">
        <v>98</v>
      </c>
      <c r="B379" s="36">
        <f>(0.016*(0.03/2)^0.65*(13/3)^1.5)-0.00047</f>
        <v>8.9448292388582783E-3</v>
      </c>
    </row>
    <row r="380" spans="1:2">
      <c r="A380" s="37" t="s">
        <v>99</v>
      </c>
      <c r="B38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683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335</v>
      </c>
      <c r="B5" s="45" t="s">
        <v>102</v>
      </c>
      <c r="C5" s="46">
        <v>1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idden="1">
      <c r="A9" s="55" t="s">
        <v>78</v>
      </c>
      <c r="B9" s="37"/>
      <c r="C9" s="37"/>
      <c r="AA9" s="57"/>
      <c r="AB9" s="57"/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54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/>
      <c r="B13" s="37"/>
      <c r="C13" s="37"/>
      <c r="AQ13" s="38"/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F14" s="36" t="e">
        <f t="shared" ref="AF14:AF22" si="2">AF$9*$AC15</f>
        <v>#REF!</v>
      </c>
      <c r="AG14" s="36" t="e">
        <f t="shared" ref="AG14:AG22" si="3">AG$9*$AC15</f>
        <v>#REF!</v>
      </c>
      <c r="AH14" s="36" t="e">
        <f t="shared" ref="AH14:AH22" si="4">AH$9*$AC15</f>
        <v>#REF!</v>
      </c>
      <c r="AI14" s="36" t="e">
        <f t="shared" ref="AI14:AI22" si="5">AI$9*$AC15</f>
        <v>#REF!</v>
      </c>
      <c r="AJ14" s="36" t="e">
        <f t="shared" ref="AJ14:AJ22" si="6">AJ$9*$AC15</f>
        <v>#REF!</v>
      </c>
      <c r="AK14" s="36" t="e">
        <f t="shared" ref="AK14:AK22" si="7">AK$9*$AC15</f>
        <v>#REF!</v>
      </c>
      <c r="AL14" s="36" t="e">
        <f t="shared" ref="AL14:AL22" si="8">AL$9*$AC15</f>
        <v>#REF!</v>
      </c>
      <c r="AM14" s="36" t="e">
        <f t="shared" ref="AM14:AM22" si="9">AM$9*$AC15</f>
        <v>#REF!</v>
      </c>
      <c r="AN14" s="36" t="e">
        <f t="shared" ref="AN14:AN22" si="10">AN$9*$AC15</f>
        <v>#REF!</v>
      </c>
      <c r="AO14" s="36" t="e">
        <f t="shared" ref="AO14:AO22" si="11">AO$9*$AC15</f>
        <v>#REF!</v>
      </c>
      <c r="AQ14" s="38"/>
      <c r="AR14" s="36" t="e">
        <f t="shared" ref="AR14:AR22" si="12">AR$9*$AC15</f>
        <v>#REF!</v>
      </c>
      <c r="AS14" s="36" t="e">
        <f t="shared" ref="AS14:AS22" si="13">AS$9*$AC15</f>
        <v>#REF!</v>
      </c>
      <c r="AT14" s="36" t="e">
        <f t="shared" ref="AT14:AT22" si="14">AT$9*$AC15</f>
        <v>#REF!</v>
      </c>
      <c r="AU14" s="36" t="e">
        <f t="shared" ref="AU14:AU22" si="15">AU$9*$AC15</f>
        <v>#REF!</v>
      </c>
      <c r="AV14" s="36" t="e">
        <f t="shared" ref="AV14:AV22" si="16">AV$9*$AC15</f>
        <v>#REF!</v>
      </c>
      <c r="AW14" s="36" t="e">
        <f t="shared" ref="AW14:AW22" si="17">AW$9*$AC15</f>
        <v>#REF!</v>
      </c>
      <c r="AX14" s="36" t="e">
        <f t="shared" ref="AX14:AX22" si="18">AX$9*$AC15</f>
        <v>#REF!</v>
      </c>
      <c r="AY14" s="36" t="e">
        <f t="shared" ref="AY14:AY22" si="19">AY$9*$AC15</f>
        <v>#REF!</v>
      </c>
      <c r="AZ14" s="36" t="e">
        <f t="shared" ref="AZ14:AZ22" si="20">AZ$9*$AC15</f>
        <v>#REF!</v>
      </c>
      <c r="BA14" s="36" t="e">
        <f t="shared" ref="BA14:BA22" si="21">BA$9*$AC15</f>
        <v>#REF!</v>
      </c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 t="shared" si="2"/>
        <v>#REF!</v>
      </c>
      <c r="AG15" s="36" t="e">
        <f t="shared" si="3"/>
        <v>#REF!</v>
      </c>
      <c r="AH15" s="36" t="e">
        <f t="shared" si="4"/>
        <v>#REF!</v>
      </c>
      <c r="AI15" s="36" t="e">
        <f t="shared" si="5"/>
        <v>#REF!</v>
      </c>
      <c r="AJ15" s="36" t="e">
        <f t="shared" si="6"/>
        <v>#REF!</v>
      </c>
      <c r="AK15" s="36" t="e">
        <f t="shared" si="7"/>
        <v>#REF!</v>
      </c>
      <c r="AL15" s="36" t="e">
        <f t="shared" si="8"/>
        <v>#REF!</v>
      </c>
      <c r="AM15" s="36" t="e">
        <f t="shared" si="9"/>
        <v>#REF!</v>
      </c>
      <c r="AN15" s="36" t="e">
        <f t="shared" si="10"/>
        <v>#REF!</v>
      </c>
      <c r="AO15" s="36" t="e">
        <f t="shared" si="11"/>
        <v>#REF!</v>
      </c>
      <c r="AQ15" s="38"/>
      <c r="AR15" s="36" t="e">
        <f t="shared" si="12"/>
        <v>#REF!</v>
      </c>
      <c r="AS15" s="36" t="e">
        <f t="shared" si="13"/>
        <v>#REF!</v>
      </c>
      <c r="AT15" s="36" t="e">
        <f t="shared" si="14"/>
        <v>#REF!</v>
      </c>
      <c r="AU15" s="36" t="e">
        <f t="shared" si="15"/>
        <v>#REF!</v>
      </c>
      <c r="AV15" s="36" t="e">
        <f t="shared" si="16"/>
        <v>#REF!</v>
      </c>
      <c r="AW15" s="36" t="e">
        <f t="shared" si="17"/>
        <v>#REF!</v>
      </c>
      <c r="AX15" s="36" t="e">
        <f t="shared" si="18"/>
        <v>#REF!</v>
      </c>
      <c r="AY15" s="36" t="e">
        <f t="shared" si="19"/>
        <v>#REF!</v>
      </c>
      <c r="AZ15" s="36" t="e">
        <f t="shared" si="20"/>
        <v>#REF!</v>
      </c>
      <c r="BA15" s="36" t="e">
        <f t="shared" si="21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si="2"/>
        <v>#REF!</v>
      </c>
      <c r="AG16" s="36" t="e">
        <f t="shared" si="3"/>
        <v>#REF!</v>
      </c>
      <c r="AH16" s="36" t="e">
        <f t="shared" si="4"/>
        <v>#REF!</v>
      </c>
      <c r="AI16" s="36" t="e">
        <f t="shared" si="5"/>
        <v>#REF!</v>
      </c>
      <c r="AJ16" s="36" t="e">
        <f t="shared" si="6"/>
        <v>#REF!</v>
      </c>
      <c r="AK16" s="36" t="e">
        <f t="shared" si="7"/>
        <v>#REF!</v>
      </c>
      <c r="AL16" s="36" t="e">
        <f t="shared" si="8"/>
        <v>#REF!</v>
      </c>
      <c r="AM16" s="36" t="e">
        <f t="shared" si="9"/>
        <v>#REF!</v>
      </c>
      <c r="AN16" s="36" t="e">
        <f t="shared" si="10"/>
        <v>#REF!</v>
      </c>
      <c r="AO16" s="36" t="e">
        <f t="shared" si="11"/>
        <v>#REF!</v>
      </c>
      <c r="AQ16" s="38"/>
      <c r="AR16" s="36" t="e">
        <f t="shared" si="12"/>
        <v>#REF!</v>
      </c>
      <c r="AS16" s="36" t="e">
        <f t="shared" si="13"/>
        <v>#REF!</v>
      </c>
      <c r="AT16" s="36" t="e">
        <f t="shared" si="14"/>
        <v>#REF!</v>
      </c>
      <c r="AU16" s="36" t="e">
        <f t="shared" si="15"/>
        <v>#REF!</v>
      </c>
      <c r="AV16" s="36" t="e">
        <f t="shared" si="16"/>
        <v>#REF!</v>
      </c>
      <c r="AW16" s="36" t="e">
        <f t="shared" si="17"/>
        <v>#REF!</v>
      </c>
      <c r="AX16" s="36" t="e">
        <f t="shared" si="18"/>
        <v>#REF!</v>
      </c>
      <c r="AY16" s="36" t="e">
        <f t="shared" si="19"/>
        <v>#REF!</v>
      </c>
      <c r="AZ16" s="36" t="e">
        <f t="shared" si="20"/>
        <v>#REF!</v>
      </c>
      <c r="BA16" s="36" t="e">
        <f t="shared" si="21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2"/>
        <v>#REF!</v>
      </c>
      <c r="AG17" s="36" t="e">
        <f t="shared" si="3"/>
        <v>#REF!</v>
      </c>
      <c r="AH17" s="36" t="e">
        <f t="shared" si="4"/>
        <v>#REF!</v>
      </c>
      <c r="AI17" s="36" t="e">
        <f t="shared" si="5"/>
        <v>#REF!</v>
      </c>
      <c r="AJ17" s="36" t="e">
        <f t="shared" si="6"/>
        <v>#REF!</v>
      </c>
      <c r="AK17" s="36" t="e">
        <f t="shared" si="7"/>
        <v>#REF!</v>
      </c>
      <c r="AL17" s="36" t="e">
        <f t="shared" si="8"/>
        <v>#REF!</v>
      </c>
      <c r="AM17" s="36" t="e">
        <f t="shared" si="9"/>
        <v>#REF!</v>
      </c>
      <c r="AN17" s="36" t="e">
        <f t="shared" si="10"/>
        <v>#REF!</v>
      </c>
      <c r="AO17" s="36" t="e">
        <f t="shared" si="11"/>
        <v>#REF!</v>
      </c>
      <c r="AQ17" s="38"/>
      <c r="AR17" s="36" t="e">
        <f t="shared" si="12"/>
        <v>#REF!</v>
      </c>
      <c r="AS17" s="36" t="e">
        <f t="shared" si="13"/>
        <v>#REF!</v>
      </c>
      <c r="AT17" s="36" t="e">
        <f t="shared" si="14"/>
        <v>#REF!</v>
      </c>
      <c r="AU17" s="36" t="e">
        <f t="shared" si="15"/>
        <v>#REF!</v>
      </c>
      <c r="AV17" s="36" t="e">
        <f t="shared" si="16"/>
        <v>#REF!</v>
      </c>
      <c r="AW17" s="36" t="e">
        <f t="shared" si="17"/>
        <v>#REF!</v>
      </c>
      <c r="AX17" s="36" t="e">
        <f t="shared" si="18"/>
        <v>#REF!</v>
      </c>
      <c r="AY17" s="36" t="e">
        <f t="shared" si="19"/>
        <v>#REF!</v>
      </c>
      <c r="AZ17" s="36" t="e">
        <f t="shared" si="20"/>
        <v>#REF!</v>
      </c>
      <c r="BA17" s="36" t="e">
        <f t="shared" si="21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2"/>
        <v>#REF!</v>
      </c>
      <c r="AG18" s="36" t="e">
        <f t="shared" si="3"/>
        <v>#REF!</v>
      </c>
      <c r="AH18" s="36" t="e">
        <f t="shared" si="4"/>
        <v>#REF!</v>
      </c>
      <c r="AI18" s="36" t="e">
        <f t="shared" si="5"/>
        <v>#REF!</v>
      </c>
      <c r="AJ18" s="36" t="e">
        <f t="shared" si="6"/>
        <v>#REF!</v>
      </c>
      <c r="AK18" s="36" t="e">
        <f t="shared" si="7"/>
        <v>#REF!</v>
      </c>
      <c r="AL18" s="36" t="e">
        <f t="shared" si="8"/>
        <v>#REF!</v>
      </c>
      <c r="AM18" s="36" t="e">
        <f t="shared" si="9"/>
        <v>#REF!</v>
      </c>
      <c r="AN18" s="36" t="e">
        <f t="shared" si="10"/>
        <v>#REF!</v>
      </c>
      <c r="AO18" s="36" t="e">
        <f t="shared" si="11"/>
        <v>#REF!</v>
      </c>
      <c r="AQ18" s="38"/>
      <c r="AR18" s="36" t="e">
        <f t="shared" si="12"/>
        <v>#REF!</v>
      </c>
      <c r="AS18" s="36" t="e">
        <f t="shared" si="13"/>
        <v>#REF!</v>
      </c>
      <c r="AT18" s="36" t="e">
        <f t="shared" si="14"/>
        <v>#REF!</v>
      </c>
      <c r="AU18" s="36" t="e">
        <f t="shared" si="15"/>
        <v>#REF!</v>
      </c>
      <c r="AV18" s="36" t="e">
        <f t="shared" si="16"/>
        <v>#REF!</v>
      </c>
      <c r="AW18" s="36" t="e">
        <f t="shared" si="17"/>
        <v>#REF!</v>
      </c>
      <c r="AX18" s="36" t="e">
        <f t="shared" si="18"/>
        <v>#REF!</v>
      </c>
      <c r="AY18" s="36" t="e">
        <f t="shared" si="19"/>
        <v>#REF!</v>
      </c>
      <c r="AZ18" s="36" t="e">
        <f t="shared" si="20"/>
        <v>#REF!</v>
      </c>
      <c r="BA18" s="36" t="e">
        <f t="shared" si="21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2"/>
        <v>#REF!</v>
      </c>
      <c r="AG19" s="36" t="e">
        <f t="shared" si="3"/>
        <v>#REF!</v>
      </c>
      <c r="AH19" s="36" t="e">
        <f t="shared" si="4"/>
        <v>#REF!</v>
      </c>
      <c r="AI19" s="36" t="e">
        <f t="shared" si="5"/>
        <v>#REF!</v>
      </c>
      <c r="AJ19" s="36" t="e">
        <f t="shared" si="6"/>
        <v>#REF!</v>
      </c>
      <c r="AK19" s="36" t="e">
        <f t="shared" si="7"/>
        <v>#REF!</v>
      </c>
      <c r="AL19" s="36" t="e">
        <f t="shared" si="8"/>
        <v>#REF!</v>
      </c>
      <c r="AM19" s="36" t="e">
        <f t="shared" si="9"/>
        <v>#REF!</v>
      </c>
      <c r="AN19" s="36" t="e">
        <f t="shared" si="10"/>
        <v>#REF!</v>
      </c>
      <c r="AO19" s="36" t="e">
        <f t="shared" si="11"/>
        <v>#REF!</v>
      </c>
      <c r="AQ19" s="38"/>
      <c r="AR19" s="36" t="e">
        <f t="shared" si="12"/>
        <v>#REF!</v>
      </c>
      <c r="AS19" s="36" t="e">
        <f t="shared" si="13"/>
        <v>#REF!</v>
      </c>
      <c r="AT19" s="36" t="e">
        <f t="shared" si="14"/>
        <v>#REF!</v>
      </c>
      <c r="AU19" s="36" t="e">
        <f t="shared" si="15"/>
        <v>#REF!</v>
      </c>
      <c r="AV19" s="36" t="e">
        <f t="shared" si="16"/>
        <v>#REF!</v>
      </c>
      <c r="AW19" s="36" t="e">
        <f t="shared" si="17"/>
        <v>#REF!</v>
      </c>
      <c r="AX19" s="36" t="e">
        <f t="shared" si="18"/>
        <v>#REF!</v>
      </c>
      <c r="AY19" s="36" t="e">
        <f t="shared" si="19"/>
        <v>#REF!</v>
      </c>
      <c r="AZ19" s="36" t="e">
        <f t="shared" si="20"/>
        <v>#REF!</v>
      </c>
      <c r="BA19" s="36" t="e">
        <f t="shared" si="21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2"/>
        <v>#REF!</v>
      </c>
      <c r="AG20" s="36" t="e">
        <f t="shared" si="3"/>
        <v>#REF!</v>
      </c>
      <c r="AH20" s="36" t="e">
        <f t="shared" si="4"/>
        <v>#REF!</v>
      </c>
      <c r="AI20" s="36" t="e">
        <f t="shared" si="5"/>
        <v>#REF!</v>
      </c>
      <c r="AJ20" s="36" t="e">
        <f t="shared" si="6"/>
        <v>#REF!</v>
      </c>
      <c r="AK20" s="36" t="e">
        <f t="shared" si="7"/>
        <v>#REF!</v>
      </c>
      <c r="AL20" s="36" t="e">
        <f t="shared" si="8"/>
        <v>#REF!</v>
      </c>
      <c r="AM20" s="36" t="e">
        <f t="shared" si="9"/>
        <v>#REF!</v>
      </c>
      <c r="AN20" s="36" t="e">
        <f t="shared" si="10"/>
        <v>#REF!</v>
      </c>
      <c r="AO20" s="36" t="e">
        <f t="shared" si="11"/>
        <v>#REF!</v>
      </c>
      <c r="AQ20" s="38"/>
      <c r="AR20" s="36" t="e">
        <f t="shared" si="12"/>
        <v>#REF!</v>
      </c>
      <c r="AS20" s="36" t="e">
        <f t="shared" si="13"/>
        <v>#REF!</v>
      </c>
      <c r="AT20" s="36" t="e">
        <f t="shared" si="14"/>
        <v>#REF!</v>
      </c>
      <c r="AU20" s="36" t="e">
        <f t="shared" si="15"/>
        <v>#REF!</v>
      </c>
      <c r="AV20" s="36" t="e">
        <f t="shared" si="16"/>
        <v>#REF!</v>
      </c>
      <c r="AW20" s="36" t="e">
        <f t="shared" si="17"/>
        <v>#REF!</v>
      </c>
      <c r="AX20" s="36" t="e">
        <f t="shared" si="18"/>
        <v>#REF!</v>
      </c>
      <c r="AY20" s="36" t="e">
        <f t="shared" si="19"/>
        <v>#REF!</v>
      </c>
      <c r="AZ20" s="36" t="e">
        <f t="shared" si="20"/>
        <v>#REF!</v>
      </c>
      <c r="BA20" s="36" t="e">
        <f t="shared" si="21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2"/>
        <v>#REF!</v>
      </c>
      <c r="AG21" s="36" t="e">
        <f t="shared" si="3"/>
        <v>#REF!</v>
      </c>
      <c r="AH21" s="36" t="e">
        <f t="shared" si="4"/>
        <v>#REF!</v>
      </c>
      <c r="AI21" s="36" t="e">
        <f t="shared" si="5"/>
        <v>#REF!</v>
      </c>
      <c r="AJ21" s="36" t="e">
        <f t="shared" si="6"/>
        <v>#REF!</v>
      </c>
      <c r="AK21" s="36" t="e">
        <f t="shared" si="7"/>
        <v>#REF!</v>
      </c>
      <c r="AL21" s="36" t="e">
        <f t="shared" si="8"/>
        <v>#REF!</v>
      </c>
      <c r="AM21" s="36" t="e">
        <f t="shared" si="9"/>
        <v>#REF!</v>
      </c>
      <c r="AN21" s="36" t="e">
        <f t="shared" si="10"/>
        <v>#REF!</v>
      </c>
      <c r="AO21" s="36" t="e">
        <f t="shared" si="11"/>
        <v>#REF!</v>
      </c>
      <c r="AQ21" s="38"/>
      <c r="AR21" s="36" t="e">
        <f t="shared" si="12"/>
        <v>#REF!</v>
      </c>
      <c r="AS21" s="36" t="e">
        <f t="shared" si="13"/>
        <v>#REF!</v>
      </c>
      <c r="AT21" s="36" t="e">
        <f t="shared" si="14"/>
        <v>#REF!</v>
      </c>
      <c r="AU21" s="36" t="e">
        <f t="shared" si="15"/>
        <v>#REF!</v>
      </c>
      <c r="AV21" s="36" t="e">
        <f t="shared" si="16"/>
        <v>#REF!</v>
      </c>
      <c r="AW21" s="36" t="e">
        <f t="shared" si="17"/>
        <v>#REF!</v>
      </c>
      <c r="AX21" s="36" t="e">
        <f t="shared" si="18"/>
        <v>#REF!</v>
      </c>
      <c r="AY21" s="36" t="e">
        <f t="shared" si="19"/>
        <v>#REF!</v>
      </c>
      <c r="AZ21" s="36" t="e">
        <f t="shared" si="20"/>
        <v>#REF!</v>
      </c>
      <c r="BA21" s="36" t="e">
        <f t="shared" si="21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2"/>
        <v>#REF!</v>
      </c>
      <c r="AG22" s="36" t="e">
        <f t="shared" si="3"/>
        <v>#REF!</v>
      </c>
      <c r="AH22" s="36" t="e">
        <f t="shared" si="4"/>
        <v>#REF!</v>
      </c>
      <c r="AI22" s="36" t="e">
        <f t="shared" si="5"/>
        <v>#REF!</v>
      </c>
      <c r="AJ22" s="36" t="e">
        <f t="shared" si="6"/>
        <v>#REF!</v>
      </c>
      <c r="AK22" s="36" t="e">
        <f t="shared" si="7"/>
        <v>#REF!</v>
      </c>
      <c r="AL22" s="36" t="e">
        <f t="shared" si="8"/>
        <v>#REF!</v>
      </c>
      <c r="AM22" s="36" t="e">
        <f t="shared" si="9"/>
        <v>#REF!</v>
      </c>
      <c r="AN22" s="36" t="e">
        <f t="shared" si="10"/>
        <v>#REF!</v>
      </c>
      <c r="AO22" s="36" t="e">
        <f t="shared" si="11"/>
        <v>#REF!</v>
      </c>
      <c r="AQ22" s="38"/>
      <c r="AR22" s="36" t="e">
        <f t="shared" si="12"/>
        <v>#REF!</v>
      </c>
      <c r="AS22" s="36" t="e">
        <f t="shared" si="13"/>
        <v>#REF!</v>
      </c>
      <c r="AT22" s="36" t="e">
        <f t="shared" si="14"/>
        <v>#REF!</v>
      </c>
      <c r="AU22" s="36" t="e">
        <f t="shared" si="15"/>
        <v>#REF!</v>
      </c>
      <c r="AV22" s="36" t="e">
        <f t="shared" si="16"/>
        <v>#REF!</v>
      </c>
      <c r="AW22" s="36" t="e">
        <f t="shared" si="17"/>
        <v>#REF!</v>
      </c>
      <c r="AX22" s="36" t="e">
        <f t="shared" si="18"/>
        <v>#REF!</v>
      </c>
      <c r="AY22" s="36" t="e">
        <f t="shared" si="19"/>
        <v>#REF!</v>
      </c>
      <c r="AZ22" s="36" t="e">
        <f t="shared" si="20"/>
        <v>#REF!</v>
      </c>
      <c r="BA22" s="36" t="e">
        <f t="shared" si="21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Q23" s="38"/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F25" s="36" t="e">
        <f t="shared" ref="AF25:AF33" si="22">AF$9*$AC26</f>
        <v>#REF!</v>
      </c>
      <c r="AG25" s="36" t="e">
        <f t="shared" ref="AG25:AG33" si="23">AG$9*$AC26</f>
        <v>#REF!</v>
      </c>
      <c r="AH25" s="36" t="e">
        <f t="shared" ref="AH25:AH33" si="24">AH$9*$AC26</f>
        <v>#REF!</v>
      </c>
      <c r="AI25" s="36" t="e">
        <f t="shared" ref="AI25:AI33" si="25">AI$9*$AC26</f>
        <v>#REF!</v>
      </c>
      <c r="AJ25" s="36" t="e">
        <f t="shared" ref="AJ25:AJ33" si="26">AJ$9*$AC26</f>
        <v>#REF!</v>
      </c>
      <c r="AK25" s="36" t="e">
        <f t="shared" ref="AK25:AK33" si="27">AK$9*$AC26</f>
        <v>#REF!</v>
      </c>
      <c r="AL25" s="36" t="e">
        <f t="shared" ref="AL25:AL33" si="28">AL$9*$AC26</f>
        <v>#REF!</v>
      </c>
      <c r="AM25" s="36" t="e">
        <f t="shared" ref="AM25:AM33" si="29">AM$9*$AC26</f>
        <v>#REF!</v>
      </c>
      <c r="AN25" s="36" t="e">
        <f t="shared" ref="AN25:AN33" si="30">AN$9*$AC26</f>
        <v>#REF!</v>
      </c>
      <c r="AO25" s="36" t="e">
        <f t="shared" ref="AO25:AO33" si="31">AO$9*$AC26</f>
        <v>#REF!</v>
      </c>
      <c r="AQ25" s="38"/>
      <c r="AR25" s="36" t="e">
        <f t="shared" ref="AR25:AR33" si="32">AR$9*$AC26</f>
        <v>#REF!</v>
      </c>
      <c r="AS25" s="36" t="e">
        <f t="shared" ref="AS25:AS33" si="33">AS$9*$AC26</f>
        <v>#REF!</v>
      </c>
      <c r="AT25" s="36" t="e">
        <f t="shared" ref="AT25:AT33" si="34">AT$9*$AC26</f>
        <v>#REF!</v>
      </c>
      <c r="AU25" s="36" t="e">
        <f t="shared" ref="AU25:AU33" si="35">AU$9*$AC26</f>
        <v>#REF!</v>
      </c>
      <c r="AV25" s="36" t="e">
        <f t="shared" ref="AV25:AV33" si="36">AV$9*$AC26</f>
        <v>#REF!</v>
      </c>
      <c r="AW25" s="36" t="e">
        <f t="shared" ref="AW25:AW33" si="37">AW$9*$AC26</f>
        <v>#REF!</v>
      </c>
      <c r="AX25" s="36" t="e">
        <f t="shared" ref="AX25:AX33" si="38">AX$9*$AC26</f>
        <v>#REF!</v>
      </c>
      <c r="AY25" s="36" t="e">
        <f t="shared" ref="AY25:AY33" si="39">AY$9*$AC26</f>
        <v>#REF!</v>
      </c>
      <c r="AZ25" s="36" t="e">
        <f t="shared" ref="AZ25:AZ33" si="40">AZ$9*$AC26</f>
        <v>#REF!</v>
      </c>
      <c r="BA25" s="36" t="e">
        <f t="shared" ref="BA25:BA33" si="41">BA$9*$AC26</f>
        <v>#REF!</v>
      </c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si="22"/>
        <v>#REF!</v>
      </c>
      <c r="AG26" s="36" t="e">
        <f t="shared" si="23"/>
        <v>#REF!</v>
      </c>
      <c r="AH26" s="36" t="e">
        <f t="shared" si="24"/>
        <v>#REF!</v>
      </c>
      <c r="AI26" s="36" t="e">
        <f t="shared" si="25"/>
        <v>#REF!</v>
      </c>
      <c r="AJ26" s="36" t="e">
        <f t="shared" si="26"/>
        <v>#REF!</v>
      </c>
      <c r="AK26" s="36" t="e">
        <f t="shared" si="27"/>
        <v>#REF!</v>
      </c>
      <c r="AL26" s="36" t="e">
        <f t="shared" si="28"/>
        <v>#REF!</v>
      </c>
      <c r="AM26" s="36" t="e">
        <f t="shared" si="29"/>
        <v>#REF!</v>
      </c>
      <c r="AN26" s="36" t="e">
        <f t="shared" si="30"/>
        <v>#REF!</v>
      </c>
      <c r="AO26" s="36" t="e">
        <f t="shared" si="31"/>
        <v>#REF!</v>
      </c>
      <c r="AQ26" s="38"/>
      <c r="AR26" s="36" t="e">
        <f t="shared" si="32"/>
        <v>#REF!</v>
      </c>
      <c r="AS26" s="36" t="e">
        <f t="shared" si="33"/>
        <v>#REF!</v>
      </c>
      <c r="AT26" s="36" t="e">
        <f t="shared" si="34"/>
        <v>#REF!</v>
      </c>
      <c r="AU26" s="36" t="e">
        <f t="shared" si="35"/>
        <v>#REF!</v>
      </c>
      <c r="AV26" s="36" t="e">
        <f t="shared" si="36"/>
        <v>#REF!</v>
      </c>
      <c r="AW26" s="36" t="e">
        <f t="shared" si="37"/>
        <v>#REF!</v>
      </c>
      <c r="AX26" s="36" t="e">
        <f t="shared" si="38"/>
        <v>#REF!</v>
      </c>
      <c r="AY26" s="36" t="e">
        <f t="shared" si="39"/>
        <v>#REF!</v>
      </c>
      <c r="AZ26" s="36" t="e">
        <f t="shared" si="40"/>
        <v>#REF!</v>
      </c>
      <c r="BA26" s="36" t="e">
        <f t="shared" si="41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22"/>
        <v>#REF!</v>
      </c>
      <c r="AG27" s="36" t="e">
        <f t="shared" si="23"/>
        <v>#REF!</v>
      </c>
      <c r="AH27" s="36" t="e">
        <f t="shared" si="24"/>
        <v>#REF!</v>
      </c>
      <c r="AI27" s="36" t="e">
        <f t="shared" si="25"/>
        <v>#REF!</v>
      </c>
      <c r="AJ27" s="36" t="e">
        <f t="shared" si="26"/>
        <v>#REF!</v>
      </c>
      <c r="AK27" s="36" t="e">
        <f t="shared" si="27"/>
        <v>#REF!</v>
      </c>
      <c r="AL27" s="36" t="e">
        <f t="shared" si="28"/>
        <v>#REF!</v>
      </c>
      <c r="AM27" s="36" t="e">
        <f t="shared" si="29"/>
        <v>#REF!</v>
      </c>
      <c r="AN27" s="36" t="e">
        <f t="shared" si="30"/>
        <v>#REF!</v>
      </c>
      <c r="AO27" s="36" t="e">
        <f t="shared" si="31"/>
        <v>#REF!</v>
      </c>
      <c r="AQ27" s="38"/>
      <c r="AR27" s="36" t="e">
        <f t="shared" si="32"/>
        <v>#REF!</v>
      </c>
      <c r="AS27" s="36" t="e">
        <f t="shared" si="33"/>
        <v>#REF!</v>
      </c>
      <c r="AT27" s="36" t="e">
        <f t="shared" si="34"/>
        <v>#REF!</v>
      </c>
      <c r="AU27" s="36" t="e">
        <f t="shared" si="35"/>
        <v>#REF!</v>
      </c>
      <c r="AV27" s="36" t="e">
        <f t="shared" si="36"/>
        <v>#REF!</v>
      </c>
      <c r="AW27" s="36" t="e">
        <f t="shared" si="37"/>
        <v>#REF!</v>
      </c>
      <c r="AX27" s="36" t="e">
        <f t="shared" si="38"/>
        <v>#REF!</v>
      </c>
      <c r="AY27" s="36" t="e">
        <f t="shared" si="39"/>
        <v>#REF!</v>
      </c>
      <c r="AZ27" s="36" t="e">
        <f t="shared" si="40"/>
        <v>#REF!</v>
      </c>
      <c r="BA27" s="36" t="e">
        <f t="shared" si="41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22"/>
        <v>#REF!</v>
      </c>
      <c r="AG28" s="36" t="e">
        <f t="shared" si="23"/>
        <v>#REF!</v>
      </c>
      <c r="AH28" s="36" t="e">
        <f t="shared" si="24"/>
        <v>#REF!</v>
      </c>
      <c r="AI28" s="36" t="e">
        <f t="shared" si="25"/>
        <v>#REF!</v>
      </c>
      <c r="AJ28" s="36" t="e">
        <f t="shared" si="26"/>
        <v>#REF!</v>
      </c>
      <c r="AK28" s="36" t="e">
        <f t="shared" si="27"/>
        <v>#REF!</v>
      </c>
      <c r="AL28" s="36" t="e">
        <f t="shared" si="28"/>
        <v>#REF!</v>
      </c>
      <c r="AM28" s="36" t="e">
        <f t="shared" si="29"/>
        <v>#REF!</v>
      </c>
      <c r="AN28" s="36" t="e">
        <f t="shared" si="30"/>
        <v>#REF!</v>
      </c>
      <c r="AO28" s="36" t="e">
        <f t="shared" si="31"/>
        <v>#REF!</v>
      </c>
      <c r="AQ28" s="38"/>
      <c r="AR28" s="36" t="e">
        <f t="shared" si="32"/>
        <v>#REF!</v>
      </c>
      <c r="AS28" s="36" t="e">
        <f t="shared" si="33"/>
        <v>#REF!</v>
      </c>
      <c r="AT28" s="36" t="e">
        <f t="shared" si="34"/>
        <v>#REF!</v>
      </c>
      <c r="AU28" s="36" t="e">
        <f t="shared" si="35"/>
        <v>#REF!</v>
      </c>
      <c r="AV28" s="36" t="e">
        <f t="shared" si="36"/>
        <v>#REF!</v>
      </c>
      <c r="AW28" s="36" t="e">
        <f t="shared" si="37"/>
        <v>#REF!</v>
      </c>
      <c r="AX28" s="36" t="e">
        <f t="shared" si="38"/>
        <v>#REF!</v>
      </c>
      <c r="AY28" s="36" t="e">
        <f t="shared" si="39"/>
        <v>#REF!</v>
      </c>
      <c r="AZ28" s="36" t="e">
        <f t="shared" si="40"/>
        <v>#REF!</v>
      </c>
      <c r="BA28" s="36" t="e">
        <f t="shared" si="41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22"/>
        <v>#REF!</v>
      </c>
      <c r="AG29" s="36" t="e">
        <f t="shared" si="23"/>
        <v>#REF!</v>
      </c>
      <c r="AH29" s="36" t="e">
        <f t="shared" si="24"/>
        <v>#REF!</v>
      </c>
      <c r="AI29" s="36" t="e">
        <f t="shared" si="25"/>
        <v>#REF!</v>
      </c>
      <c r="AJ29" s="36" t="e">
        <f t="shared" si="26"/>
        <v>#REF!</v>
      </c>
      <c r="AK29" s="36" t="e">
        <f t="shared" si="27"/>
        <v>#REF!</v>
      </c>
      <c r="AL29" s="36" t="e">
        <f t="shared" si="28"/>
        <v>#REF!</v>
      </c>
      <c r="AM29" s="36" t="e">
        <f t="shared" si="29"/>
        <v>#REF!</v>
      </c>
      <c r="AN29" s="36" t="e">
        <f t="shared" si="30"/>
        <v>#REF!</v>
      </c>
      <c r="AO29" s="36" t="e">
        <f t="shared" si="31"/>
        <v>#REF!</v>
      </c>
      <c r="AQ29" s="38"/>
      <c r="AR29" s="36" t="e">
        <f t="shared" si="32"/>
        <v>#REF!</v>
      </c>
      <c r="AS29" s="36" t="e">
        <f t="shared" si="33"/>
        <v>#REF!</v>
      </c>
      <c r="AT29" s="36" t="e">
        <f t="shared" si="34"/>
        <v>#REF!</v>
      </c>
      <c r="AU29" s="36" t="e">
        <f t="shared" si="35"/>
        <v>#REF!</v>
      </c>
      <c r="AV29" s="36" t="e">
        <f t="shared" si="36"/>
        <v>#REF!</v>
      </c>
      <c r="AW29" s="36" t="e">
        <f t="shared" si="37"/>
        <v>#REF!</v>
      </c>
      <c r="AX29" s="36" t="e">
        <f t="shared" si="38"/>
        <v>#REF!</v>
      </c>
      <c r="AY29" s="36" t="e">
        <f t="shared" si="39"/>
        <v>#REF!</v>
      </c>
      <c r="AZ29" s="36" t="e">
        <f t="shared" si="40"/>
        <v>#REF!</v>
      </c>
      <c r="BA29" s="36" t="e">
        <f t="shared" si="41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22"/>
        <v>#REF!</v>
      </c>
      <c r="AG30" s="36" t="e">
        <f t="shared" si="23"/>
        <v>#REF!</v>
      </c>
      <c r="AH30" s="36" t="e">
        <f t="shared" si="24"/>
        <v>#REF!</v>
      </c>
      <c r="AI30" s="36" t="e">
        <f t="shared" si="25"/>
        <v>#REF!</v>
      </c>
      <c r="AJ30" s="36" t="e">
        <f t="shared" si="26"/>
        <v>#REF!</v>
      </c>
      <c r="AK30" s="36" t="e">
        <f t="shared" si="27"/>
        <v>#REF!</v>
      </c>
      <c r="AL30" s="36" t="e">
        <f t="shared" si="28"/>
        <v>#REF!</v>
      </c>
      <c r="AM30" s="36" t="e">
        <f t="shared" si="29"/>
        <v>#REF!</v>
      </c>
      <c r="AN30" s="36" t="e">
        <f t="shared" si="30"/>
        <v>#REF!</v>
      </c>
      <c r="AO30" s="36" t="e">
        <f t="shared" si="31"/>
        <v>#REF!</v>
      </c>
      <c r="AQ30" s="38"/>
      <c r="AR30" s="36" t="e">
        <f t="shared" si="32"/>
        <v>#REF!</v>
      </c>
      <c r="AS30" s="36" t="e">
        <f t="shared" si="33"/>
        <v>#REF!</v>
      </c>
      <c r="AT30" s="36" t="e">
        <f t="shared" si="34"/>
        <v>#REF!</v>
      </c>
      <c r="AU30" s="36" t="e">
        <f t="shared" si="35"/>
        <v>#REF!</v>
      </c>
      <c r="AV30" s="36" t="e">
        <f t="shared" si="36"/>
        <v>#REF!</v>
      </c>
      <c r="AW30" s="36" t="e">
        <f t="shared" si="37"/>
        <v>#REF!</v>
      </c>
      <c r="AX30" s="36" t="e">
        <f t="shared" si="38"/>
        <v>#REF!</v>
      </c>
      <c r="AY30" s="36" t="e">
        <f t="shared" si="39"/>
        <v>#REF!</v>
      </c>
      <c r="AZ30" s="36" t="e">
        <f t="shared" si="40"/>
        <v>#REF!</v>
      </c>
      <c r="BA30" s="36" t="e">
        <f t="shared" si="41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22"/>
        <v>#REF!</v>
      </c>
      <c r="AG31" s="36" t="e">
        <f t="shared" si="23"/>
        <v>#REF!</v>
      </c>
      <c r="AH31" s="36" t="e">
        <f t="shared" si="24"/>
        <v>#REF!</v>
      </c>
      <c r="AI31" s="36" t="e">
        <f t="shared" si="25"/>
        <v>#REF!</v>
      </c>
      <c r="AJ31" s="36" t="e">
        <f t="shared" si="26"/>
        <v>#REF!</v>
      </c>
      <c r="AK31" s="36" t="e">
        <f t="shared" si="27"/>
        <v>#REF!</v>
      </c>
      <c r="AL31" s="36" t="e">
        <f t="shared" si="28"/>
        <v>#REF!</v>
      </c>
      <c r="AM31" s="36" t="e">
        <f t="shared" si="29"/>
        <v>#REF!</v>
      </c>
      <c r="AN31" s="36" t="e">
        <f t="shared" si="30"/>
        <v>#REF!</v>
      </c>
      <c r="AO31" s="36" t="e">
        <f t="shared" si="31"/>
        <v>#REF!</v>
      </c>
      <c r="AQ31" s="38"/>
      <c r="AR31" s="36" t="e">
        <f t="shared" si="32"/>
        <v>#REF!</v>
      </c>
      <c r="AS31" s="36" t="e">
        <f t="shared" si="33"/>
        <v>#REF!</v>
      </c>
      <c r="AT31" s="36" t="e">
        <f t="shared" si="34"/>
        <v>#REF!</v>
      </c>
      <c r="AU31" s="36" t="e">
        <f t="shared" si="35"/>
        <v>#REF!</v>
      </c>
      <c r="AV31" s="36" t="e">
        <f t="shared" si="36"/>
        <v>#REF!</v>
      </c>
      <c r="AW31" s="36" t="e">
        <f t="shared" si="37"/>
        <v>#REF!</v>
      </c>
      <c r="AX31" s="36" t="e">
        <f t="shared" si="38"/>
        <v>#REF!</v>
      </c>
      <c r="AY31" s="36" t="e">
        <f t="shared" si="39"/>
        <v>#REF!</v>
      </c>
      <c r="AZ31" s="36" t="e">
        <f t="shared" si="40"/>
        <v>#REF!</v>
      </c>
      <c r="BA31" s="36" t="e">
        <f t="shared" si="41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22"/>
        <v>#REF!</v>
      </c>
      <c r="AG32" s="36" t="e">
        <f t="shared" si="23"/>
        <v>#REF!</v>
      </c>
      <c r="AH32" s="36" t="e">
        <f t="shared" si="24"/>
        <v>#REF!</v>
      </c>
      <c r="AI32" s="36" t="e">
        <f t="shared" si="25"/>
        <v>#REF!</v>
      </c>
      <c r="AJ32" s="36" t="e">
        <f t="shared" si="26"/>
        <v>#REF!</v>
      </c>
      <c r="AK32" s="36" t="e">
        <f t="shared" si="27"/>
        <v>#REF!</v>
      </c>
      <c r="AL32" s="36" t="e">
        <f t="shared" si="28"/>
        <v>#REF!</v>
      </c>
      <c r="AM32" s="36" t="e">
        <f t="shared" si="29"/>
        <v>#REF!</v>
      </c>
      <c r="AN32" s="36" t="e">
        <f t="shared" si="30"/>
        <v>#REF!</v>
      </c>
      <c r="AO32" s="36" t="e">
        <f t="shared" si="31"/>
        <v>#REF!</v>
      </c>
      <c r="AQ32" s="38"/>
      <c r="AR32" s="36" t="e">
        <f t="shared" si="32"/>
        <v>#REF!</v>
      </c>
      <c r="AS32" s="36" t="e">
        <f t="shared" si="33"/>
        <v>#REF!</v>
      </c>
      <c r="AT32" s="36" t="e">
        <f t="shared" si="34"/>
        <v>#REF!</v>
      </c>
      <c r="AU32" s="36" t="e">
        <f t="shared" si="35"/>
        <v>#REF!</v>
      </c>
      <c r="AV32" s="36" t="e">
        <f t="shared" si="36"/>
        <v>#REF!</v>
      </c>
      <c r="AW32" s="36" t="e">
        <f t="shared" si="37"/>
        <v>#REF!</v>
      </c>
      <c r="AX32" s="36" t="e">
        <f t="shared" si="38"/>
        <v>#REF!</v>
      </c>
      <c r="AY32" s="36" t="e">
        <f t="shared" si="39"/>
        <v>#REF!</v>
      </c>
      <c r="AZ32" s="36" t="e">
        <f t="shared" si="40"/>
        <v>#REF!</v>
      </c>
      <c r="BA32" s="36" t="e">
        <f t="shared" si="41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22"/>
        <v>#REF!</v>
      </c>
      <c r="AG33" s="36" t="e">
        <f t="shared" si="23"/>
        <v>#REF!</v>
      </c>
      <c r="AH33" s="36" t="e">
        <f t="shared" si="24"/>
        <v>#REF!</v>
      </c>
      <c r="AI33" s="36" t="e">
        <f t="shared" si="25"/>
        <v>#REF!</v>
      </c>
      <c r="AJ33" s="36" t="e">
        <f t="shared" si="26"/>
        <v>#REF!</v>
      </c>
      <c r="AK33" s="36" t="e">
        <f t="shared" si="27"/>
        <v>#REF!</v>
      </c>
      <c r="AL33" s="36" t="e">
        <f t="shared" si="28"/>
        <v>#REF!</v>
      </c>
      <c r="AM33" s="36" t="e">
        <f t="shared" si="29"/>
        <v>#REF!</v>
      </c>
      <c r="AN33" s="36" t="e">
        <f t="shared" si="30"/>
        <v>#REF!</v>
      </c>
      <c r="AO33" s="36" t="e">
        <f t="shared" si="31"/>
        <v>#REF!</v>
      </c>
      <c r="AQ33" s="38"/>
      <c r="AR33" s="36" t="e">
        <f t="shared" si="32"/>
        <v>#REF!</v>
      </c>
      <c r="AS33" s="36" t="e">
        <f t="shared" si="33"/>
        <v>#REF!</v>
      </c>
      <c r="AT33" s="36" t="e">
        <f t="shared" si="34"/>
        <v>#REF!</v>
      </c>
      <c r="AU33" s="36" t="e">
        <f t="shared" si="35"/>
        <v>#REF!</v>
      </c>
      <c r="AV33" s="36" t="e">
        <f t="shared" si="36"/>
        <v>#REF!</v>
      </c>
      <c r="AW33" s="36" t="e">
        <f t="shared" si="37"/>
        <v>#REF!</v>
      </c>
      <c r="AX33" s="36" t="e">
        <f t="shared" si="38"/>
        <v>#REF!</v>
      </c>
      <c r="AY33" s="36" t="e">
        <f t="shared" si="39"/>
        <v>#REF!</v>
      </c>
      <c r="AZ33" s="36" t="e">
        <f t="shared" si="40"/>
        <v>#REF!</v>
      </c>
      <c r="BA33" s="36" t="e">
        <f t="shared" si="41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Q34" s="38"/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F36" s="36" t="e">
        <f t="shared" ref="AF36:AF44" si="42">AF$9*$AC37</f>
        <v>#REF!</v>
      </c>
      <c r="AG36" s="36" t="e">
        <f t="shared" ref="AG36:AG44" si="43">AG$9*$AC37</f>
        <v>#REF!</v>
      </c>
      <c r="AH36" s="36" t="e">
        <f t="shared" ref="AH36:AH44" si="44">AH$9*$AC37</f>
        <v>#REF!</v>
      </c>
      <c r="AI36" s="36" t="e">
        <f t="shared" ref="AI36:AI44" si="45">AI$9*$AC37</f>
        <v>#REF!</v>
      </c>
      <c r="AJ36" s="36" t="e">
        <f t="shared" ref="AJ36:AJ44" si="46">AJ$9*$AC37</f>
        <v>#REF!</v>
      </c>
      <c r="AK36" s="36" t="e">
        <f t="shared" ref="AK36:AK44" si="47">AK$9*$AC37</f>
        <v>#REF!</v>
      </c>
      <c r="AL36" s="36" t="e">
        <f t="shared" ref="AL36:AL44" si="48">AL$9*$AC37</f>
        <v>#REF!</v>
      </c>
      <c r="AM36" s="36" t="e">
        <f t="shared" ref="AM36:AM44" si="49">AM$9*$AC37</f>
        <v>#REF!</v>
      </c>
      <c r="AN36" s="36" t="e">
        <f t="shared" ref="AN36:AN44" si="50">AN$9*$AC37</f>
        <v>#REF!</v>
      </c>
      <c r="AO36" s="36" t="e">
        <f t="shared" ref="AO36:AO44" si="51">AO$9*$AC37</f>
        <v>#REF!</v>
      </c>
      <c r="AQ36" s="38"/>
      <c r="AR36" s="36" t="e">
        <f t="shared" ref="AR36:AR44" si="52">AR$9*$AC37</f>
        <v>#REF!</v>
      </c>
      <c r="AS36" s="36" t="e">
        <f t="shared" ref="AS36:AS44" si="53">AS$9*$AC37</f>
        <v>#REF!</v>
      </c>
      <c r="AT36" s="36" t="e">
        <f t="shared" ref="AT36:AT44" si="54">AT$9*$AC37</f>
        <v>#REF!</v>
      </c>
      <c r="AU36" s="36" t="e">
        <f t="shared" ref="AU36:AU44" si="55">AU$9*$AC37</f>
        <v>#REF!</v>
      </c>
      <c r="AV36" s="36" t="e">
        <f t="shared" ref="AV36:AV44" si="56">AV$9*$AC37</f>
        <v>#REF!</v>
      </c>
      <c r="AW36" s="36" t="e">
        <f t="shared" ref="AW36:AW44" si="57">AW$9*$AC37</f>
        <v>#REF!</v>
      </c>
      <c r="AX36" s="36" t="e">
        <f t="shared" ref="AX36:AX44" si="58">AX$9*$AC37</f>
        <v>#REF!</v>
      </c>
      <c r="AY36" s="36" t="e">
        <f t="shared" ref="AY36:AY44" si="59">AY$9*$AC37</f>
        <v>#REF!</v>
      </c>
      <c r="AZ36" s="36" t="e">
        <f t="shared" ref="AZ36:AZ44" si="60">AZ$9*$AC37</f>
        <v>#REF!</v>
      </c>
      <c r="BA36" s="36" t="e">
        <f t="shared" ref="BA36:BA44" si="61">BA$9*$AC37</f>
        <v>#REF!</v>
      </c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si="42"/>
        <v>#REF!</v>
      </c>
      <c r="AG37" s="36" t="e">
        <f t="shared" si="43"/>
        <v>#REF!</v>
      </c>
      <c r="AH37" s="36" t="e">
        <f t="shared" si="44"/>
        <v>#REF!</v>
      </c>
      <c r="AI37" s="36" t="e">
        <f t="shared" si="45"/>
        <v>#REF!</v>
      </c>
      <c r="AJ37" s="36" t="e">
        <f t="shared" si="46"/>
        <v>#REF!</v>
      </c>
      <c r="AK37" s="36" t="e">
        <f t="shared" si="47"/>
        <v>#REF!</v>
      </c>
      <c r="AL37" s="36" t="e">
        <f t="shared" si="48"/>
        <v>#REF!</v>
      </c>
      <c r="AM37" s="36" t="e">
        <f t="shared" si="49"/>
        <v>#REF!</v>
      </c>
      <c r="AN37" s="36" t="e">
        <f t="shared" si="50"/>
        <v>#REF!</v>
      </c>
      <c r="AO37" s="36" t="e">
        <f t="shared" si="51"/>
        <v>#REF!</v>
      </c>
      <c r="AQ37" s="38"/>
      <c r="AR37" s="36" t="e">
        <f t="shared" si="52"/>
        <v>#REF!</v>
      </c>
      <c r="AS37" s="36" t="e">
        <f t="shared" si="53"/>
        <v>#REF!</v>
      </c>
      <c r="AT37" s="36" t="e">
        <f t="shared" si="54"/>
        <v>#REF!</v>
      </c>
      <c r="AU37" s="36" t="e">
        <f t="shared" si="55"/>
        <v>#REF!</v>
      </c>
      <c r="AV37" s="36" t="e">
        <f t="shared" si="56"/>
        <v>#REF!</v>
      </c>
      <c r="AW37" s="36" t="e">
        <f t="shared" si="57"/>
        <v>#REF!</v>
      </c>
      <c r="AX37" s="36" t="e">
        <f t="shared" si="58"/>
        <v>#REF!</v>
      </c>
      <c r="AY37" s="36" t="e">
        <f t="shared" si="59"/>
        <v>#REF!</v>
      </c>
      <c r="AZ37" s="36" t="e">
        <f t="shared" si="60"/>
        <v>#REF!</v>
      </c>
      <c r="BA37" s="36" t="e">
        <f t="shared" si="61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42"/>
        <v>#REF!</v>
      </c>
      <c r="AG38" s="36" t="e">
        <f t="shared" si="43"/>
        <v>#REF!</v>
      </c>
      <c r="AH38" s="36" t="e">
        <f t="shared" si="44"/>
        <v>#REF!</v>
      </c>
      <c r="AI38" s="36" t="e">
        <f t="shared" si="45"/>
        <v>#REF!</v>
      </c>
      <c r="AJ38" s="36" t="e">
        <f t="shared" si="46"/>
        <v>#REF!</v>
      </c>
      <c r="AK38" s="36" t="e">
        <f t="shared" si="47"/>
        <v>#REF!</v>
      </c>
      <c r="AL38" s="36" t="e">
        <f t="shared" si="48"/>
        <v>#REF!</v>
      </c>
      <c r="AM38" s="36" t="e">
        <f t="shared" si="49"/>
        <v>#REF!</v>
      </c>
      <c r="AN38" s="36" t="e">
        <f t="shared" si="50"/>
        <v>#REF!</v>
      </c>
      <c r="AO38" s="36" t="e">
        <f t="shared" si="51"/>
        <v>#REF!</v>
      </c>
      <c r="AQ38" s="38"/>
      <c r="AR38" s="36" t="e">
        <f t="shared" si="52"/>
        <v>#REF!</v>
      </c>
      <c r="AS38" s="36" t="e">
        <f t="shared" si="53"/>
        <v>#REF!</v>
      </c>
      <c r="AT38" s="36" t="e">
        <f t="shared" si="54"/>
        <v>#REF!</v>
      </c>
      <c r="AU38" s="36" t="e">
        <f t="shared" si="55"/>
        <v>#REF!</v>
      </c>
      <c r="AV38" s="36" t="e">
        <f t="shared" si="56"/>
        <v>#REF!</v>
      </c>
      <c r="AW38" s="36" t="e">
        <f t="shared" si="57"/>
        <v>#REF!</v>
      </c>
      <c r="AX38" s="36" t="e">
        <f t="shared" si="58"/>
        <v>#REF!</v>
      </c>
      <c r="AY38" s="36" t="e">
        <f t="shared" si="59"/>
        <v>#REF!</v>
      </c>
      <c r="AZ38" s="36" t="e">
        <f t="shared" si="60"/>
        <v>#REF!</v>
      </c>
      <c r="BA38" s="36" t="e">
        <f t="shared" si="61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42"/>
        <v>#REF!</v>
      </c>
      <c r="AG39" s="36" t="e">
        <f t="shared" si="43"/>
        <v>#REF!</v>
      </c>
      <c r="AH39" s="36" t="e">
        <f t="shared" si="44"/>
        <v>#REF!</v>
      </c>
      <c r="AI39" s="36" t="e">
        <f t="shared" si="45"/>
        <v>#REF!</v>
      </c>
      <c r="AJ39" s="36" t="e">
        <f t="shared" si="46"/>
        <v>#REF!</v>
      </c>
      <c r="AK39" s="36" t="e">
        <f t="shared" si="47"/>
        <v>#REF!</v>
      </c>
      <c r="AL39" s="36" t="e">
        <f t="shared" si="48"/>
        <v>#REF!</v>
      </c>
      <c r="AM39" s="36" t="e">
        <f t="shared" si="49"/>
        <v>#REF!</v>
      </c>
      <c r="AN39" s="36" t="e">
        <f t="shared" si="50"/>
        <v>#REF!</v>
      </c>
      <c r="AO39" s="36" t="e">
        <f t="shared" si="51"/>
        <v>#REF!</v>
      </c>
      <c r="AQ39" s="38"/>
      <c r="AR39" s="36" t="e">
        <f t="shared" si="52"/>
        <v>#REF!</v>
      </c>
      <c r="AS39" s="36" t="e">
        <f t="shared" si="53"/>
        <v>#REF!</v>
      </c>
      <c r="AT39" s="36" t="e">
        <f t="shared" si="54"/>
        <v>#REF!</v>
      </c>
      <c r="AU39" s="36" t="e">
        <f t="shared" si="55"/>
        <v>#REF!</v>
      </c>
      <c r="AV39" s="36" t="e">
        <f t="shared" si="56"/>
        <v>#REF!</v>
      </c>
      <c r="AW39" s="36" t="e">
        <f t="shared" si="57"/>
        <v>#REF!</v>
      </c>
      <c r="AX39" s="36" t="e">
        <f t="shared" si="58"/>
        <v>#REF!</v>
      </c>
      <c r="AY39" s="36" t="e">
        <f t="shared" si="59"/>
        <v>#REF!</v>
      </c>
      <c r="AZ39" s="36" t="e">
        <f t="shared" si="60"/>
        <v>#REF!</v>
      </c>
      <c r="BA39" s="36" t="e">
        <f t="shared" si="61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42"/>
        <v>#REF!</v>
      </c>
      <c r="AG40" s="36" t="e">
        <f t="shared" si="43"/>
        <v>#REF!</v>
      </c>
      <c r="AH40" s="36" t="e">
        <f t="shared" si="44"/>
        <v>#REF!</v>
      </c>
      <c r="AI40" s="36" t="e">
        <f t="shared" si="45"/>
        <v>#REF!</v>
      </c>
      <c r="AJ40" s="36" t="e">
        <f t="shared" si="46"/>
        <v>#REF!</v>
      </c>
      <c r="AK40" s="36" t="e">
        <f t="shared" si="47"/>
        <v>#REF!</v>
      </c>
      <c r="AL40" s="36" t="e">
        <f t="shared" si="48"/>
        <v>#REF!</v>
      </c>
      <c r="AM40" s="36" t="e">
        <f t="shared" si="49"/>
        <v>#REF!</v>
      </c>
      <c r="AN40" s="36" t="e">
        <f t="shared" si="50"/>
        <v>#REF!</v>
      </c>
      <c r="AO40" s="36" t="e">
        <f t="shared" si="51"/>
        <v>#REF!</v>
      </c>
      <c r="AQ40" s="38"/>
      <c r="AR40" s="36" t="e">
        <f t="shared" si="52"/>
        <v>#REF!</v>
      </c>
      <c r="AS40" s="36" t="e">
        <f t="shared" si="53"/>
        <v>#REF!</v>
      </c>
      <c r="AT40" s="36" t="e">
        <f t="shared" si="54"/>
        <v>#REF!</v>
      </c>
      <c r="AU40" s="36" t="e">
        <f t="shared" si="55"/>
        <v>#REF!</v>
      </c>
      <c r="AV40" s="36" t="e">
        <f t="shared" si="56"/>
        <v>#REF!</v>
      </c>
      <c r="AW40" s="36" t="e">
        <f t="shared" si="57"/>
        <v>#REF!</v>
      </c>
      <c r="AX40" s="36" t="e">
        <f t="shared" si="58"/>
        <v>#REF!</v>
      </c>
      <c r="AY40" s="36" t="e">
        <f t="shared" si="59"/>
        <v>#REF!</v>
      </c>
      <c r="AZ40" s="36" t="e">
        <f t="shared" si="60"/>
        <v>#REF!</v>
      </c>
      <c r="BA40" s="36" t="e">
        <f t="shared" si="61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42"/>
        <v>#REF!</v>
      </c>
      <c r="AG41" s="36" t="e">
        <f t="shared" si="43"/>
        <v>#REF!</v>
      </c>
      <c r="AH41" s="36" t="e">
        <f t="shared" si="44"/>
        <v>#REF!</v>
      </c>
      <c r="AI41" s="36" t="e">
        <f t="shared" si="45"/>
        <v>#REF!</v>
      </c>
      <c r="AJ41" s="36" t="e">
        <f t="shared" si="46"/>
        <v>#REF!</v>
      </c>
      <c r="AK41" s="36" t="e">
        <f t="shared" si="47"/>
        <v>#REF!</v>
      </c>
      <c r="AL41" s="36" t="e">
        <f t="shared" si="48"/>
        <v>#REF!</v>
      </c>
      <c r="AM41" s="36" t="e">
        <f t="shared" si="49"/>
        <v>#REF!</v>
      </c>
      <c r="AN41" s="36" t="e">
        <f t="shared" si="50"/>
        <v>#REF!</v>
      </c>
      <c r="AO41" s="36" t="e">
        <f t="shared" si="51"/>
        <v>#REF!</v>
      </c>
      <c r="AQ41" s="38"/>
      <c r="AR41" s="36" t="e">
        <f t="shared" si="52"/>
        <v>#REF!</v>
      </c>
      <c r="AS41" s="36" t="e">
        <f t="shared" si="53"/>
        <v>#REF!</v>
      </c>
      <c r="AT41" s="36" t="e">
        <f t="shared" si="54"/>
        <v>#REF!</v>
      </c>
      <c r="AU41" s="36" t="e">
        <f t="shared" si="55"/>
        <v>#REF!</v>
      </c>
      <c r="AV41" s="36" t="e">
        <f t="shared" si="56"/>
        <v>#REF!</v>
      </c>
      <c r="AW41" s="36" t="e">
        <f t="shared" si="57"/>
        <v>#REF!</v>
      </c>
      <c r="AX41" s="36" t="e">
        <f t="shared" si="58"/>
        <v>#REF!</v>
      </c>
      <c r="AY41" s="36" t="e">
        <f t="shared" si="59"/>
        <v>#REF!</v>
      </c>
      <c r="AZ41" s="36" t="e">
        <f t="shared" si="60"/>
        <v>#REF!</v>
      </c>
      <c r="BA41" s="36" t="e">
        <f t="shared" si="61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42"/>
        <v>#REF!</v>
      </c>
      <c r="AG42" s="36" t="e">
        <f t="shared" si="43"/>
        <v>#REF!</v>
      </c>
      <c r="AH42" s="36" t="e">
        <f t="shared" si="44"/>
        <v>#REF!</v>
      </c>
      <c r="AI42" s="36" t="e">
        <f t="shared" si="45"/>
        <v>#REF!</v>
      </c>
      <c r="AJ42" s="36" t="e">
        <f t="shared" si="46"/>
        <v>#REF!</v>
      </c>
      <c r="AK42" s="36" t="e">
        <f t="shared" si="47"/>
        <v>#REF!</v>
      </c>
      <c r="AL42" s="36" t="e">
        <f t="shared" si="48"/>
        <v>#REF!</v>
      </c>
      <c r="AM42" s="36" t="e">
        <f t="shared" si="49"/>
        <v>#REF!</v>
      </c>
      <c r="AN42" s="36" t="e">
        <f t="shared" si="50"/>
        <v>#REF!</v>
      </c>
      <c r="AO42" s="36" t="e">
        <f t="shared" si="51"/>
        <v>#REF!</v>
      </c>
      <c r="AQ42" s="38"/>
      <c r="AR42" s="36" t="e">
        <f t="shared" si="52"/>
        <v>#REF!</v>
      </c>
      <c r="AS42" s="36" t="e">
        <f t="shared" si="53"/>
        <v>#REF!</v>
      </c>
      <c r="AT42" s="36" t="e">
        <f t="shared" si="54"/>
        <v>#REF!</v>
      </c>
      <c r="AU42" s="36" t="e">
        <f t="shared" si="55"/>
        <v>#REF!</v>
      </c>
      <c r="AV42" s="36" t="e">
        <f t="shared" si="56"/>
        <v>#REF!</v>
      </c>
      <c r="AW42" s="36" t="e">
        <f t="shared" si="57"/>
        <v>#REF!</v>
      </c>
      <c r="AX42" s="36" t="e">
        <f t="shared" si="58"/>
        <v>#REF!</v>
      </c>
      <c r="AY42" s="36" t="e">
        <f t="shared" si="59"/>
        <v>#REF!</v>
      </c>
      <c r="AZ42" s="36" t="e">
        <f t="shared" si="60"/>
        <v>#REF!</v>
      </c>
      <c r="BA42" s="36" t="e">
        <f t="shared" si="61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42"/>
        <v>#REF!</v>
      </c>
      <c r="AG43" s="36" t="e">
        <f t="shared" si="43"/>
        <v>#REF!</v>
      </c>
      <c r="AH43" s="36" t="e">
        <f t="shared" si="44"/>
        <v>#REF!</v>
      </c>
      <c r="AI43" s="36" t="e">
        <f t="shared" si="45"/>
        <v>#REF!</v>
      </c>
      <c r="AJ43" s="36" t="e">
        <f t="shared" si="46"/>
        <v>#REF!</v>
      </c>
      <c r="AK43" s="36" t="e">
        <f t="shared" si="47"/>
        <v>#REF!</v>
      </c>
      <c r="AL43" s="36" t="e">
        <f t="shared" si="48"/>
        <v>#REF!</v>
      </c>
      <c r="AM43" s="36" t="e">
        <f t="shared" si="49"/>
        <v>#REF!</v>
      </c>
      <c r="AN43" s="36" t="e">
        <f t="shared" si="50"/>
        <v>#REF!</v>
      </c>
      <c r="AO43" s="36" t="e">
        <f t="shared" si="51"/>
        <v>#REF!</v>
      </c>
      <c r="AQ43" s="38"/>
      <c r="AR43" s="36" t="e">
        <f t="shared" si="52"/>
        <v>#REF!</v>
      </c>
      <c r="AS43" s="36" t="e">
        <f t="shared" si="53"/>
        <v>#REF!</v>
      </c>
      <c r="AT43" s="36" t="e">
        <f t="shared" si="54"/>
        <v>#REF!</v>
      </c>
      <c r="AU43" s="36" t="e">
        <f t="shared" si="55"/>
        <v>#REF!</v>
      </c>
      <c r="AV43" s="36" t="e">
        <f t="shared" si="56"/>
        <v>#REF!</v>
      </c>
      <c r="AW43" s="36" t="e">
        <f t="shared" si="57"/>
        <v>#REF!</v>
      </c>
      <c r="AX43" s="36" t="e">
        <f t="shared" si="58"/>
        <v>#REF!</v>
      </c>
      <c r="AY43" s="36" t="e">
        <f t="shared" si="59"/>
        <v>#REF!</v>
      </c>
      <c r="AZ43" s="36" t="e">
        <f t="shared" si="60"/>
        <v>#REF!</v>
      </c>
      <c r="BA43" s="36" t="e">
        <f t="shared" si="61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42"/>
        <v>#REF!</v>
      </c>
      <c r="AG44" s="36" t="e">
        <f t="shared" si="43"/>
        <v>#REF!</v>
      </c>
      <c r="AH44" s="36" t="e">
        <f t="shared" si="44"/>
        <v>#REF!</v>
      </c>
      <c r="AI44" s="36" t="e">
        <f t="shared" si="45"/>
        <v>#REF!</v>
      </c>
      <c r="AJ44" s="36" t="e">
        <f t="shared" si="46"/>
        <v>#REF!</v>
      </c>
      <c r="AK44" s="36" t="e">
        <f t="shared" si="47"/>
        <v>#REF!</v>
      </c>
      <c r="AL44" s="36" t="e">
        <f t="shared" si="48"/>
        <v>#REF!</v>
      </c>
      <c r="AM44" s="36" t="e">
        <f t="shared" si="49"/>
        <v>#REF!</v>
      </c>
      <c r="AN44" s="36" t="e">
        <f t="shared" si="50"/>
        <v>#REF!</v>
      </c>
      <c r="AO44" s="36" t="e">
        <f t="shared" si="51"/>
        <v>#REF!</v>
      </c>
      <c r="AQ44" s="38"/>
      <c r="AR44" s="36" t="e">
        <f t="shared" si="52"/>
        <v>#REF!</v>
      </c>
      <c r="AS44" s="36" t="e">
        <f t="shared" si="53"/>
        <v>#REF!</v>
      </c>
      <c r="AT44" s="36" t="e">
        <f t="shared" si="54"/>
        <v>#REF!</v>
      </c>
      <c r="AU44" s="36" t="e">
        <f t="shared" si="55"/>
        <v>#REF!</v>
      </c>
      <c r="AV44" s="36" t="e">
        <f t="shared" si="56"/>
        <v>#REF!</v>
      </c>
      <c r="AW44" s="36" t="e">
        <f t="shared" si="57"/>
        <v>#REF!</v>
      </c>
      <c r="AX44" s="36" t="e">
        <f t="shared" si="58"/>
        <v>#REF!</v>
      </c>
      <c r="AY44" s="36" t="e">
        <f t="shared" si="59"/>
        <v>#REF!</v>
      </c>
      <c r="AZ44" s="36" t="e">
        <f t="shared" si="60"/>
        <v>#REF!</v>
      </c>
      <c r="BA44" s="36" t="e">
        <f t="shared" si="61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Q45" s="38"/>
    </row>
    <row r="46" spans="1:53" hidden="1">
      <c r="AQ46" s="38"/>
    </row>
    <row r="47" spans="1:53" ht="63.75" hidden="1"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6" t="s">
        <v>43</v>
      </c>
      <c r="AB48" s="67"/>
      <c r="AC48" s="68"/>
      <c r="AD48" s="68"/>
      <c r="AE48" s="68"/>
      <c r="AG48" s="70"/>
      <c r="AQ48" s="38"/>
    </row>
    <row r="49" spans="27:53" hidden="1">
      <c r="AA49" s="69" t="s">
        <v>44</v>
      </c>
      <c r="AB49" s="35"/>
      <c r="AF49" s="70" t="e">
        <f t="shared" ref="AF49:AO49" si="62">AF14+AF16+AF17</f>
        <v>#REF!</v>
      </c>
      <c r="AG49" s="70" t="e">
        <f t="shared" si="62"/>
        <v>#REF!</v>
      </c>
      <c r="AH49" s="70" t="e">
        <f t="shared" si="62"/>
        <v>#REF!</v>
      </c>
      <c r="AI49" s="70" t="e">
        <f t="shared" si="62"/>
        <v>#REF!</v>
      </c>
      <c r="AJ49" s="70" t="e">
        <f t="shared" si="62"/>
        <v>#REF!</v>
      </c>
      <c r="AK49" s="70" t="e">
        <f t="shared" si="62"/>
        <v>#REF!</v>
      </c>
      <c r="AL49" s="70" t="e">
        <f t="shared" si="62"/>
        <v>#REF!</v>
      </c>
      <c r="AM49" s="70" t="e">
        <f t="shared" si="62"/>
        <v>#REF!</v>
      </c>
      <c r="AN49" s="70" t="e">
        <f t="shared" si="62"/>
        <v>#REF!</v>
      </c>
      <c r="AO49" s="70" t="e">
        <f t="shared" si="62"/>
        <v>#REF!</v>
      </c>
      <c r="AP49" s="70"/>
      <c r="AQ49" s="70"/>
      <c r="AR49" s="70" t="e">
        <f t="shared" ref="AR49:BA49" si="63">AR14+AR16+AR17</f>
        <v>#REF!</v>
      </c>
      <c r="AS49" s="70" t="e">
        <f t="shared" si="63"/>
        <v>#REF!</v>
      </c>
      <c r="AT49" s="70" t="e">
        <f t="shared" si="63"/>
        <v>#REF!</v>
      </c>
      <c r="AU49" s="70" t="e">
        <f t="shared" si="63"/>
        <v>#REF!</v>
      </c>
      <c r="AV49" s="70" t="e">
        <f t="shared" si="63"/>
        <v>#REF!</v>
      </c>
      <c r="AW49" s="70" t="e">
        <f t="shared" si="63"/>
        <v>#REF!</v>
      </c>
      <c r="AX49" s="70" t="e">
        <f t="shared" si="63"/>
        <v>#REF!</v>
      </c>
      <c r="AY49" s="70" t="e">
        <f t="shared" si="63"/>
        <v>#REF!</v>
      </c>
      <c r="AZ49" s="70" t="e">
        <f t="shared" si="63"/>
        <v>#REF!</v>
      </c>
      <c r="BA49" s="70" t="e">
        <f t="shared" si="63"/>
        <v>#REF!</v>
      </c>
    </row>
    <row r="50" spans="27:53" hidden="1">
      <c r="AA50" s="71" t="s">
        <v>29</v>
      </c>
      <c r="AB50" s="35"/>
      <c r="AF50" s="70" t="e">
        <f t="shared" ref="AF50:AO50" si="64">AF25+AF27+AF28</f>
        <v>#REF!</v>
      </c>
      <c r="AG50" s="70" t="e">
        <f t="shared" si="64"/>
        <v>#REF!</v>
      </c>
      <c r="AH50" s="70" t="e">
        <f t="shared" si="64"/>
        <v>#REF!</v>
      </c>
      <c r="AI50" s="70" t="e">
        <f t="shared" si="64"/>
        <v>#REF!</v>
      </c>
      <c r="AJ50" s="70" t="e">
        <f t="shared" si="64"/>
        <v>#REF!</v>
      </c>
      <c r="AK50" s="70" t="e">
        <f t="shared" si="64"/>
        <v>#REF!</v>
      </c>
      <c r="AL50" s="70" t="e">
        <f t="shared" si="64"/>
        <v>#REF!</v>
      </c>
      <c r="AM50" s="70" t="e">
        <f t="shared" si="64"/>
        <v>#REF!</v>
      </c>
      <c r="AN50" s="70" t="e">
        <f t="shared" si="64"/>
        <v>#REF!</v>
      </c>
      <c r="AO50" s="70" t="e">
        <f t="shared" si="64"/>
        <v>#REF!</v>
      </c>
      <c r="AP50" s="70"/>
      <c r="AQ50" s="70"/>
      <c r="AR50" s="70" t="e">
        <f t="shared" ref="AR50:BA50" si="65">AR25+AR27+AR28</f>
        <v>#REF!</v>
      </c>
      <c r="AS50" s="70" t="e">
        <f t="shared" si="65"/>
        <v>#REF!</v>
      </c>
      <c r="AT50" s="70" t="e">
        <f t="shared" si="65"/>
        <v>#REF!</v>
      </c>
      <c r="AU50" s="70" t="e">
        <f t="shared" si="65"/>
        <v>#REF!</v>
      </c>
      <c r="AV50" s="70" t="e">
        <f t="shared" si="65"/>
        <v>#REF!</v>
      </c>
      <c r="AW50" s="70" t="e">
        <f t="shared" si="65"/>
        <v>#REF!</v>
      </c>
      <c r="AX50" s="70" t="e">
        <f t="shared" si="65"/>
        <v>#REF!</v>
      </c>
      <c r="AY50" s="70" t="e">
        <f t="shared" si="65"/>
        <v>#REF!</v>
      </c>
      <c r="AZ50" s="70" t="e">
        <f t="shared" si="65"/>
        <v>#REF!</v>
      </c>
      <c r="BA50" s="70" t="e">
        <f t="shared" si="65"/>
        <v>#REF!</v>
      </c>
    </row>
    <row r="51" spans="27:53" hidden="1">
      <c r="AA51" s="71" t="s">
        <v>41</v>
      </c>
      <c r="AB51" s="35"/>
      <c r="AF51" s="70" t="e">
        <f t="shared" ref="AF51:AO51" si="66">AF36+AF38+AF39</f>
        <v>#REF!</v>
      </c>
      <c r="AG51" s="70" t="e">
        <f t="shared" si="66"/>
        <v>#REF!</v>
      </c>
      <c r="AH51" s="70" t="e">
        <f t="shared" si="66"/>
        <v>#REF!</v>
      </c>
      <c r="AI51" s="70" t="e">
        <f t="shared" si="66"/>
        <v>#REF!</v>
      </c>
      <c r="AJ51" s="70" t="e">
        <f t="shared" si="66"/>
        <v>#REF!</v>
      </c>
      <c r="AK51" s="70" t="e">
        <f t="shared" si="66"/>
        <v>#REF!</v>
      </c>
      <c r="AL51" s="70" t="e">
        <f t="shared" si="66"/>
        <v>#REF!</v>
      </c>
      <c r="AM51" s="70" t="e">
        <f t="shared" si="66"/>
        <v>#REF!</v>
      </c>
      <c r="AN51" s="70" t="e">
        <f t="shared" si="66"/>
        <v>#REF!</v>
      </c>
      <c r="AO51" s="70" t="e">
        <f t="shared" si="66"/>
        <v>#REF!</v>
      </c>
      <c r="AP51" s="70"/>
      <c r="AQ51" s="70"/>
      <c r="AR51" s="70" t="e">
        <f t="shared" ref="AR51:BA51" si="67">AR36+AR38+AR39</f>
        <v>#REF!</v>
      </c>
      <c r="AS51" s="70" t="e">
        <f t="shared" si="67"/>
        <v>#REF!</v>
      </c>
      <c r="AT51" s="70" t="e">
        <f t="shared" si="67"/>
        <v>#REF!</v>
      </c>
      <c r="AU51" s="70" t="e">
        <f t="shared" si="67"/>
        <v>#REF!</v>
      </c>
      <c r="AV51" s="70" t="e">
        <f t="shared" si="67"/>
        <v>#REF!</v>
      </c>
      <c r="AW51" s="70" t="e">
        <f t="shared" si="67"/>
        <v>#REF!</v>
      </c>
      <c r="AX51" s="70" t="e">
        <f t="shared" si="67"/>
        <v>#REF!</v>
      </c>
      <c r="AY51" s="70" t="e">
        <f t="shared" si="67"/>
        <v>#REF!</v>
      </c>
      <c r="AZ51" s="70" t="e">
        <f t="shared" si="67"/>
        <v>#REF!</v>
      </c>
      <c r="BA51" s="70" t="e">
        <f t="shared" si="67"/>
        <v>#REF!</v>
      </c>
    </row>
    <row r="52" spans="27:53" hidden="1">
      <c r="AA52" s="71" t="s">
        <v>42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69" t="s">
        <v>45</v>
      </c>
      <c r="AB53" s="35"/>
      <c r="AF53" s="70" t="e">
        <f t="shared" ref="AF53:AO53" si="68">AF14+AF16+AF18+AF20</f>
        <v>#REF!</v>
      </c>
      <c r="AG53" s="70" t="e">
        <f t="shared" si="68"/>
        <v>#REF!</v>
      </c>
      <c r="AH53" s="70" t="e">
        <f t="shared" si="68"/>
        <v>#REF!</v>
      </c>
      <c r="AI53" s="70" t="e">
        <f t="shared" si="68"/>
        <v>#REF!</v>
      </c>
      <c r="AJ53" s="70" t="e">
        <f t="shared" si="68"/>
        <v>#REF!</v>
      </c>
      <c r="AK53" s="70" t="e">
        <f t="shared" si="68"/>
        <v>#REF!</v>
      </c>
      <c r="AL53" s="70" t="e">
        <f t="shared" si="68"/>
        <v>#REF!</v>
      </c>
      <c r="AM53" s="70" t="e">
        <f t="shared" si="68"/>
        <v>#REF!</v>
      </c>
      <c r="AN53" s="70" t="e">
        <f t="shared" si="68"/>
        <v>#REF!</v>
      </c>
      <c r="AO53" s="70" t="e">
        <f t="shared" si="68"/>
        <v>#REF!</v>
      </c>
      <c r="AP53" s="70"/>
      <c r="AQ53" s="70"/>
      <c r="AR53" s="70" t="e">
        <f t="shared" ref="AR53:BA53" si="69">AR14+AR16+AR18+AR20</f>
        <v>#REF!</v>
      </c>
      <c r="AS53" s="70" t="e">
        <f t="shared" si="69"/>
        <v>#REF!</v>
      </c>
      <c r="AT53" s="70" t="e">
        <f t="shared" si="69"/>
        <v>#REF!</v>
      </c>
      <c r="AU53" s="70" t="e">
        <f t="shared" si="69"/>
        <v>#REF!</v>
      </c>
      <c r="AV53" s="70" t="e">
        <f t="shared" si="69"/>
        <v>#REF!</v>
      </c>
      <c r="AW53" s="70" t="e">
        <f t="shared" si="69"/>
        <v>#REF!</v>
      </c>
      <c r="AX53" s="70" t="e">
        <f t="shared" si="69"/>
        <v>#REF!</v>
      </c>
      <c r="AY53" s="70" t="e">
        <f t="shared" si="69"/>
        <v>#REF!</v>
      </c>
      <c r="AZ53" s="70" t="e">
        <f t="shared" si="69"/>
        <v>#REF!</v>
      </c>
      <c r="BA53" s="70" t="e">
        <f t="shared" si="69"/>
        <v>#REF!</v>
      </c>
    </row>
    <row r="54" spans="27:53" hidden="1">
      <c r="AA54" s="71" t="s">
        <v>29</v>
      </c>
      <c r="AB54" s="35"/>
      <c r="AF54" s="70" t="e">
        <f t="shared" ref="AF54:AO54" si="70">AF25+AF27+AF29+AF31</f>
        <v>#REF!</v>
      </c>
      <c r="AG54" s="70" t="e">
        <f t="shared" si="70"/>
        <v>#REF!</v>
      </c>
      <c r="AH54" s="70" t="e">
        <f t="shared" si="70"/>
        <v>#REF!</v>
      </c>
      <c r="AI54" s="70" t="e">
        <f t="shared" si="70"/>
        <v>#REF!</v>
      </c>
      <c r="AJ54" s="70" t="e">
        <f t="shared" si="70"/>
        <v>#REF!</v>
      </c>
      <c r="AK54" s="70" t="e">
        <f t="shared" si="70"/>
        <v>#REF!</v>
      </c>
      <c r="AL54" s="70" t="e">
        <f t="shared" si="70"/>
        <v>#REF!</v>
      </c>
      <c r="AM54" s="70" t="e">
        <f t="shared" si="70"/>
        <v>#REF!</v>
      </c>
      <c r="AN54" s="70" t="e">
        <f t="shared" si="70"/>
        <v>#REF!</v>
      </c>
      <c r="AO54" s="70" t="e">
        <f t="shared" si="70"/>
        <v>#REF!</v>
      </c>
      <c r="AP54" s="70"/>
      <c r="AQ54" s="70"/>
      <c r="AR54" s="70" t="e">
        <f t="shared" ref="AR54:BA54" si="71">AR25+AR27+AR29+AR31</f>
        <v>#REF!</v>
      </c>
      <c r="AS54" s="70" t="e">
        <f t="shared" si="71"/>
        <v>#REF!</v>
      </c>
      <c r="AT54" s="70" t="e">
        <f t="shared" si="71"/>
        <v>#REF!</v>
      </c>
      <c r="AU54" s="70" t="e">
        <f t="shared" si="71"/>
        <v>#REF!</v>
      </c>
      <c r="AV54" s="70" t="e">
        <f t="shared" si="71"/>
        <v>#REF!</v>
      </c>
      <c r="AW54" s="70" t="e">
        <f t="shared" si="71"/>
        <v>#REF!</v>
      </c>
      <c r="AX54" s="70" t="e">
        <f t="shared" si="71"/>
        <v>#REF!</v>
      </c>
      <c r="AY54" s="70" t="e">
        <f t="shared" si="71"/>
        <v>#REF!</v>
      </c>
      <c r="AZ54" s="70" t="e">
        <f t="shared" si="71"/>
        <v>#REF!</v>
      </c>
      <c r="BA54" s="70" t="e">
        <f t="shared" si="71"/>
        <v>#REF!</v>
      </c>
    </row>
    <row r="55" spans="27:53" hidden="1">
      <c r="AA55" s="71" t="s">
        <v>41</v>
      </c>
      <c r="AB55" s="35"/>
      <c r="AF55" s="70" t="e">
        <f t="shared" ref="AF55:AO55" si="72">AF36+AF38+AF40+AF42</f>
        <v>#REF!</v>
      </c>
      <c r="AG55" s="70" t="e">
        <f t="shared" si="72"/>
        <v>#REF!</v>
      </c>
      <c r="AH55" s="70" t="e">
        <f t="shared" si="72"/>
        <v>#REF!</v>
      </c>
      <c r="AI55" s="70" t="e">
        <f t="shared" si="72"/>
        <v>#REF!</v>
      </c>
      <c r="AJ55" s="70" t="e">
        <f t="shared" si="72"/>
        <v>#REF!</v>
      </c>
      <c r="AK55" s="70" t="e">
        <f t="shared" si="72"/>
        <v>#REF!</v>
      </c>
      <c r="AL55" s="70" t="e">
        <f t="shared" si="72"/>
        <v>#REF!</v>
      </c>
      <c r="AM55" s="70" t="e">
        <f t="shared" si="72"/>
        <v>#REF!</v>
      </c>
      <c r="AN55" s="70" t="e">
        <f t="shared" si="72"/>
        <v>#REF!</v>
      </c>
      <c r="AO55" s="70" t="e">
        <f t="shared" si="72"/>
        <v>#REF!</v>
      </c>
      <c r="AP55" s="70"/>
      <c r="AQ55" s="70"/>
      <c r="AR55" s="70" t="e">
        <f t="shared" ref="AR55:BA55" si="73">AR36+AR38+AR40+AR42</f>
        <v>#REF!</v>
      </c>
      <c r="AS55" s="70" t="e">
        <f t="shared" si="73"/>
        <v>#REF!</v>
      </c>
      <c r="AT55" s="70" t="e">
        <f t="shared" si="73"/>
        <v>#REF!</v>
      </c>
      <c r="AU55" s="70" t="e">
        <f t="shared" si="73"/>
        <v>#REF!</v>
      </c>
      <c r="AV55" s="70" t="e">
        <f t="shared" si="73"/>
        <v>#REF!</v>
      </c>
      <c r="AW55" s="70" t="e">
        <f t="shared" si="73"/>
        <v>#REF!</v>
      </c>
      <c r="AX55" s="70" t="e">
        <f t="shared" si="73"/>
        <v>#REF!</v>
      </c>
      <c r="AY55" s="70" t="e">
        <f t="shared" si="73"/>
        <v>#REF!</v>
      </c>
      <c r="AZ55" s="70" t="e">
        <f t="shared" si="73"/>
        <v>#REF!</v>
      </c>
      <c r="BA55" s="70" t="e">
        <f t="shared" si="73"/>
        <v>#REF!</v>
      </c>
    </row>
    <row r="56" spans="27:53" hidden="1">
      <c r="AA56" s="71" t="s">
        <v>42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69" t="s">
        <v>46</v>
      </c>
      <c r="AB57" s="35"/>
      <c r="AF57" s="70" t="e">
        <f t="shared" ref="AF57:AO57" si="74">AF14+AF16+AF18+AF19+AF21</f>
        <v>#REF!</v>
      </c>
      <c r="AG57" s="70" t="e">
        <f t="shared" si="74"/>
        <v>#REF!</v>
      </c>
      <c r="AH57" s="70" t="e">
        <f t="shared" si="74"/>
        <v>#REF!</v>
      </c>
      <c r="AI57" s="70" t="e">
        <f t="shared" si="74"/>
        <v>#REF!</v>
      </c>
      <c r="AJ57" s="70" t="e">
        <f t="shared" si="74"/>
        <v>#REF!</v>
      </c>
      <c r="AK57" s="70" t="e">
        <f t="shared" si="74"/>
        <v>#REF!</v>
      </c>
      <c r="AL57" s="70" t="e">
        <f t="shared" si="74"/>
        <v>#REF!</v>
      </c>
      <c r="AM57" s="70" t="e">
        <f t="shared" si="74"/>
        <v>#REF!</v>
      </c>
      <c r="AN57" s="70" t="e">
        <f t="shared" si="74"/>
        <v>#REF!</v>
      </c>
      <c r="AO57" s="70" t="e">
        <f t="shared" si="74"/>
        <v>#REF!</v>
      </c>
      <c r="AP57" s="70"/>
      <c r="AQ57" s="70"/>
      <c r="AR57" s="70" t="e">
        <f t="shared" ref="AR57:BA57" si="75">AR14+AR16+AR18+AR19+AR21</f>
        <v>#REF!</v>
      </c>
      <c r="AS57" s="70" t="e">
        <f t="shared" si="75"/>
        <v>#REF!</v>
      </c>
      <c r="AT57" s="70" t="e">
        <f t="shared" si="75"/>
        <v>#REF!</v>
      </c>
      <c r="AU57" s="70" t="e">
        <f t="shared" si="75"/>
        <v>#REF!</v>
      </c>
      <c r="AV57" s="70" t="e">
        <f t="shared" si="75"/>
        <v>#REF!</v>
      </c>
      <c r="AW57" s="70" t="e">
        <f t="shared" si="75"/>
        <v>#REF!</v>
      </c>
      <c r="AX57" s="70" t="e">
        <f t="shared" si="75"/>
        <v>#REF!</v>
      </c>
      <c r="AY57" s="70" t="e">
        <f t="shared" si="75"/>
        <v>#REF!</v>
      </c>
      <c r="AZ57" s="70" t="e">
        <f t="shared" si="75"/>
        <v>#REF!</v>
      </c>
      <c r="BA57" s="70" t="e">
        <f t="shared" si="75"/>
        <v>#REF!</v>
      </c>
    </row>
    <row r="58" spans="27:53" hidden="1">
      <c r="AA58" s="71" t="s">
        <v>29</v>
      </c>
      <c r="AB58" s="35"/>
      <c r="AF58" s="70" t="e">
        <f t="shared" ref="AF58:AO58" si="76">AF25+AF27+AF29+AF30+AF32</f>
        <v>#REF!</v>
      </c>
      <c r="AG58" s="70" t="e">
        <f t="shared" si="76"/>
        <v>#REF!</v>
      </c>
      <c r="AH58" s="70" t="e">
        <f t="shared" si="76"/>
        <v>#REF!</v>
      </c>
      <c r="AI58" s="70" t="e">
        <f t="shared" si="76"/>
        <v>#REF!</v>
      </c>
      <c r="AJ58" s="70" t="e">
        <f t="shared" si="76"/>
        <v>#REF!</v>
      </c>
      <c r="AK58" s="70" t="e">
        <f t="shared" si="76"/>
        <v>#REF!</v>
      </c>
      <c r="AL58" s="70" t="e">
        <f t="shared" si="76"/>
        <v>#REF!</v>
      </c>
      <c r="AM58" s="70" t="e">
        <f t="shared" si="76"/>
        <v>#REF!</v>
      </c>
      <c r="AN58" s="70" t="e">
        <f t="shared" si="76"/>
        <v>#REF!</v>
      </c>
      <c r="AO58" s="70" t="e">
        <f t="shared" si="76"/>
        <v>#REF!</v>
      </c>
      <c r="AP58" s="70"/>
      <c r="AQ58" s="70"/>
      <c r="AR58" s="70" t="e">
        <f t="shared" ref="AR58:BA58" si="77">AR25+AR27+AR29+AR30+AR32</f>
        <v>#REF!</v>
      </c>
      <c r="AS58" s="70" t="e">
        <f t="shared" si="77"/>
        <v>#REF!</v>
      </c>
      <c r="AT58" s="70" t="e">
        <f t="shared" si="77"/>
        <v>#REF!</v>
      </c>
      <c r="AU58" s="70" t="e">
        <f t="shared" si="77"/>
        <v>#REF!</v>
      </c>
      <c r="AV58" s="70" t="e">
        <f t="shared" si="77"/>
        <v>#REF!</v>
      </c>
      <c r="AW58" s="70" t="e">
        <f t="shared" si="77"/>
        <v>#REF!</v>
      </c>
      <c r="AX58" s="70" t="e">
        <f t="shared" si="77"/>
        <v>#REF!</v>
      </c>
      <c r="AY58" s="70" t="e">
        <f t="shared" si="77"/>
        <v>#REF!</v>
      </c>
      <c r="AZ58" s="70" t="e">
        <f t="shared" si="77"/>
        <v>#REF!</v>
      </c>
      <c r="BA58" s="70" t="e">
        <f t="shared" si="77"/>
        <v>#REF!</v>
      </c>
    </row>
    <row r="59" spans="27:53" hidden="1">
      <c r="AA59" s="71" t="s">
        <v>41</v>
      </c>
      <c r="AB59" s="35"/>
      <c r="AF59" s="70" t="e">
        <f t="shared" ref="AF59:AO59" si="78">AF36+AF38+AF40+AF41+AF43</f>
        <v>#REF!</v>
      </c>
      <c r="AG59" s="70" t="e">
        <f t="shared" si="78"/>
        <v>#REF!</v>
      </c>
      <c r="AH59" s="70" t="e">
        <f t="shared" si="78"/>
        <v>#REF!</v>
      </c>
      <c r="AI59" s="70" t="e">
        <f t="shared" si="78"/>
        <v>#REF!</v>
      </c>
      <c r="AJ59" s="70" t="e">
        <f t="shared" si="78"/>
        <v>#REF!</v>
      </c>
      <c r="AK59" s="70" t="e">
        <f t="shared" si="78"/>
        <v>#REF!</v>
      </c>
      <c r="AL59" s="70" t="e">
        <f t="shared" si="78"/>
        <v>#REF!</v>
      </c>
      <c r="AM59" s="70" t="e">
        <f t="shared" si="78"/>
        <v>#REF!</v>
      </c>
      <c r="AN59" s="70" t="e">
        <f t="shared" si="78"/>
        <v>#REF!</v>
      </c>
      <c r="AO59" s="70" t="e">
        <f t="shared" si="78"/>
        <v>#REF!</v>
      </c>
      <c r="AP59" s="70"/>
      <c r="AQ59" s="70"/>
      <c r="AR59" s="70" t="e">
        <f t="shared" ref="AR59:BA59" si="79">AR36+AR38+AR40+AR41+AR43</f>
        <v>#REF!</v>
      </c>
      <c r="AS59" s="70" t="e">
        <f t="shared" si="79"/>
        <v>#REF!</v>
      </c>
      <c r="AT59" s="70" t="e">
        <f t="shared" si="79"/>
        <v>#REF!</v>
      </c>
      <c r="AU59" s="70" t="e">
        <f t="shared" si="79"/>
        <v>#REF!</v>
      </c>
      <c r="AV59" s="70" t="e">
        <f t="shared" si="79"/>
        <v>#REF!</v>
      </c>
      <c r="AW59" s="70" t="e">
        <f t="shared" si="79"/>
        <v>#REF!</v>
      </c>
      <c r="AX59" s="70" t="e">
        <f t="shared" si="79"/>
        <v>#REF!</v>
      </c>
      <c r="AY59" s="70" t="e">
        <f t="shared" si="79"/>
        <v>#REF!</v>
      </c>
      <c r="AZ59" s="70" t="e">
        <f t="shared" si="79"/>
        <v>#REF!</v>
      </c>
      <c r="BA59" s="70" t="e">
        <f t="shared" si="79"/>
        <v>#REF!</v>
      </c>
    </row>
    <row r="60" spans="27:53" hidden="1">
      <c r="AA60" s="71" t="s">
        <v>42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69" t="s">
        <v>47</v>
      </c>
      <c r="AB61" s="35"/>
      <c r="AF61" s="70" t="e">
        <f t="shared" ref="AF61:AO61" si="80">AF14+AF16+AF18+AF19+AF22</f>
        <v>#REF!</v>
      </c>
      <c r="AG61" s="70" t="e">
        <f t="shared" si="80"/>
        <v>#REF!</v>
      </c>
      <c r="AH61" s="70" t="e">
        <f t="shared" si="80"/>
        <v>#REF!</v>
      </c>
      <c r="AI61" s="70" t="e">
        <f t="shared" si="80"/>
        <v>#REF!</v>
      </c>
      <c r="AJ61" s="70" t="e">
        <f t="shared" si="80"/>
        <v>#REF!</v>
      </c>
      <c r="AK61" s="70" t="e">
        <f t="shared" si="80"/>
        <v>#REF!</v>
      </c>
      <c r="AL61" s="70" t="e">
        <f t="shared" si="80"/>
        <v>#REF!</v>
      </c>
      <c r="AM61" s="70" t="e">
        <f t="shared" si="80"/>
        <v>#REF!</v>
      </c>
      <c r="AN61" s="70" t="e">
        <f t="shared" si="80"/>
        <v>#REF!</v>
      </c>
      <c r="AO61" s="70" t="e">
        <f t="shared" si="80"/>
        <v>#REF!</v>
      </c>
      <c r="AP61" s="70"/>
      <c r="AQ61" s="70"/>
      <c r="AR61" s="70" t="e">
        <f t="shared" ref="AR61:BA61" si="81">AR14+AR16+AR18+AR19+AR22</f>
        <v>#REF!</v>
      </c>
      <c r="AS61" s="70" t="e">
        <f t="shared" si="81"/>
        <v>#REF!</v>
      </c>
      <c r="AT61" s="70" t="e">
        <f t="shared" si="81"/>
        <v>#REF!</v>
      </c>
      <c r="AU61" s="70" t="e">
        <f t="shared" si="81"/>
        <v>#REF!</v>
      </c>
      <c r="AV61" s="70" t="e">
        <f t="shared" si="81"/>
        <v>#REF!</v>
      </c>
      <c r="AW61" s="70" t="e">
        <f t="shared" si="81"/>
        <v>#REF!</v>
      </c>
      <c r="AX61" s="70" t="e">
        <f t="shared" si="81"/>
        <v>#REF!</v>
      </c>
      <c r="AY61" s="70" t="e">
        <f t="shared" si="81"/>
        <v>#REF!</v>
      </c>
      <c r="AZ61" s="70" t="e">
        <f t="shared" si="81"/>
        <v>#REF!</v>
      </c>
      <c r="BA61" s="70" t="e">
        <f t="shared" si="81"/>
        <v>#REF!</v>
      </c>
    </row>
    <row r="62" spans="27:53" hidden="1">
      <c r="AA62" s="71" t="s">
        <v>29</v>
      </c>
      <c r="AB62" s="35"/>
      <c r="AF62" s="70" t="e">
        <f t="shared" ref="AF62:AO62" si="82">AF25+AF27+AF29+AF30+AF33</f>
        <v>#REF!</v>
      </c>
      <c r="AG62" s="70" t="e">
        <f t="shared" si="82"/>
        <v>#REF!</v>
      </c>
      <c r="AH62" s="70" t="e">
        <f t="shared" si="82"/>
        <v>#REF!</v>
      </c>
      <c r="AI62" s="70" t="e">
        <f t="shared" si="82"/>
        <v>#REF!</v>
      </c>
      <c r="AJ62" s="70" t="e">
        <f t="shared" si="82"/>
        <v>#REF!</v>
      </c>
      <c r="AK62" s="70" t="e">
        <f t="shared" si="82"/>
        <v>#REF!</v>
      </c>
      <c r="AL62" s="70" t="e">
        <f t="shared" si="82"/>
        <v>#REF!</v>
      </c>
      <c r="AM62" s="70" t="e">
        <f t="shared" si="82"/>
        <v>#REF!</v>
      </c>
      <c r="AN62" s="70" t="e">
        <f t="shared" si="82"/>
        <v>#REF!</v>
      </c>
      <c r="AO62" s="70" t="e">
        <f t="shared" si="82"/>
        <v>#REF!</v>
      </c>
      <c r="AP62" s="70"/>
      <c r="AQ62" s="70"/>
      <c r="AR62" s="70" t="e">
        <f t="shared" ref="AR62:BA62" si="83">AR25+AR27+AR29+AR30+AR33</f>
        <v>#REF!</v>
      </c>
      <c r="AS62" s="70" t="e">
        <f t="shared" si="83"/>
        <v>#REF!</v>
      </c>
      <c r="AT62" s="70" t="e">
        <f t="shared" si="83"/>
        <v>#REF!</v>
      </c>
      <c r="AU62" s="70" t="e">
        <f t="shared" si="83"/>
        <v>#REF!</v>
      </c>
      <c r="AV62" s="70" t="e">
        <f t="shared" si="83"/>
        <v>#REF!</v>
      </c>
      <c r="AW62" s="70" t="e">
        <f t="shared" si="83"/>
        <v>#REF!</v>
      </c>
      <c r="AX62" s="70" t="e">
        <f t="shared" si="83"/>
        <v>#REF!</v>
      </c>
      <c r="AY62" s="70" t="e">
        <f t="shared" si="83"/>
        <v>#REF!</v>
      </c>
      <c r="AZ62" s="70" t="e">
        <f t="shared" si="83"/>
        <v>#REF!</v>
      </c>
      <c r="BA62" s="70" t="e">
        <f t="shared" si="83"/>
        <v>#REF!</v>
      </c>
    </row>
    <row r="63" spans="27:53" hidden="1">
      <c r="AA63" s="71" t="s">
        <v>41</v>
      </c>
      <c r="AB63" s="35"/>
      <c r="AF63" s="70" t="e">
        <f t="shared" ref="AF63:AO63" si="84">AF36+AF38+AF40+AF41+AF44</f>
        <v>#REF!</v>
      </c>
      <c r="AG63" s="70" t="e">
        <f t="shared" si="84"/>
        <v>#REF!</v>
      </c>
      <c r="AH63" s="70" t="e">
        <f t="shared" si="84"/>
        <v>#REF!</v>
      </c>
      <c r="AI63" s="70" t="e">
        <f t="shared" si="84"/>
        <v>#REF!</v>
      </c>
      <c r="AJ63" s="70" t="e">
        <f t="shared" si="84"/>
        <v>#REF!</v>
      </c>
      <c r="AK63" s="70" t="e">
        <f t="shared" si="84"/>
        <v>#REF!</v>
      </c>
      <c r="AL63" s="70" t="e">
        <f t="shared" si="84"/>
        <v>#REF!</v>
      </c>
      <c r="AM63" s="70" t="e">
        <f t="shared" si="84"/>
        <v>#REF!</v>
      </c>
      <c r="AN63" s="70" t="e">
        <f t="shared" si="84"/>
        <v>#REF!</v>
      </c>
      <c r="AO63" s="70" t="e">
        <f t="shared" si="84"/>
        <v>#REF!</v>
      </c>
      <c r="AP63" s="70"/>
      <c r="AQ63" s="70"/>
      <c r="AR63" s="70" t="e">
        <f t="shared" ref="AR63:BA63" si="85">AR36+AR38+AR40+AR41+AR44</f>
        <v>#REF!</v>
      </c>
      <c r="AS63" s="70" t="e">
        <f t="shared" si="85"/>
        <v>#REF!</v>
      </c>
      <c r="AT63" s="70" t="e">
        <f t="shared" si="85"/>
        <v>#REF!</v>
      </c>
      <c r="AU63" s="70" t="e">
        <f t="shared" si="85"/>
        <v>#REF!</v>
      </c>
      <c r="AV63" s="70" t="e">
        <f t="shared" si="85"/>
        <v>#REF!</v>
      </c>
      <c r="AW63" s="70" t="e">
        <f t="shared" si="85"/>
        <v>#REF!</v>
      </c>
      <c r="AX63" s="70" t="e">
        <f t="shared" si="85"/>
        <v>#REF!</v>
      </c>
      <c r="AY63" s="70" t="e">
        <f t="shared" si="85"/>
        <v>#REF!</v>
      </c>
      <c r="AZ63" s="70" t="e">
        <f t="shared" si="85"/>
        <v>#REF!</v>
      </c>
      <c r="BA63" s="70" t="e">
        <f t="shared" si="85"/>
        <v>#REF!</v>
      </c>
    </row>
    <row r="64" spans="27:53" hidden="1">
      <c r="AA64" s="71" t="s">
        <v>42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69" t="s">
        <v>48</v>
      </c>
      <c r="AB65" s="35"/>
      <c r="AF65" s="70" t="e">
        <f t="shared" ref="AF65:AO65" si="86">AF14+AF15+AF20</f>
        <v>#REF!</v>
      </c>
      <c r="AG65" s="70" t="e">
        <f t="shared" si="86"/>
        <v>#REF!</v>
      </c>
      <c r="AH65" s="70" t="e">
        <f t="shared" si="86"/>
        <v>#REF!</v>
      </c>
      <c r="AI65" s="70" t="e">
        <f t="shared" si="86"/>
        <v>#REF!</v>
      </c>
      <c r="AJ65" s="70" t="e">
        <f t="shared" si="86"/>
        <v>#REF!</v>
      </c>
      <c r="AK65" s="70" t="e">
        <f t="shared" si="86"/>
        <v>#REF!</v>
      </c>
      <c r="AL65" s="70" t="e">
        <f t="shared" si="86"/>
        <v>#REF!</v>
      </c>
      <c r="AM65" s="70" t="e">
        <f t="shared" si="86"/>
        <v>#REF!</v>
      </c>
      <c r="AN65" s="70" t="e">
        <f t="shared" si="86"/>
        <v>#REF!</v>
      </c>
      <c r="AO65" s="70" t="e">
        <f t="shared" si="86"/>
        <v>#REF!</v>
      </c>
      <c r="AP65" s="70"/>
      <c r="AQ65" s="70"/>
      <c r="AR65" s="70" t="e">
        <f t="shared" ref="AR65:BA65" si="87">AR14+AR15+AR20</f>
        <v>#REF!</v>
      </c>
      <c r="AS65" s="70" t="e">
        <f t="shared" si="87"/>
        <v>#REF!</v>
      </c>
      <c r="AT65" s="70" t="e">
        <f t="shared" si="87"/>
        <v>#REF!</v>
      </c>
      <c r="AU65" s="70" t="e">
        <f t="shared" si="87"/>
        <v>#REF!</v>
      </c>
      <c r="AV65" s="70" t="e">
        <f t="shared" si="87"/>
        <v>#REF!</v>
      </c>
      <c r="AW65" s="70" t="e">
        <f t="shared" si="87"/>
        <v>#REF!</v>
      </c>
      <c r="AX65" s="70" t="e">
        <f t="shared" si="87"/>
        <v>#REF!</v>
      </c>
      <c r="AY65" s="70" t="e">
        <f t="shared" si="87"/>
        <v>#REF!</v>
      </c>
      <c r="AZ65" s="70" t="e">
        <f t="shared" si="87"/>
        <v>#REF!</v>
      </c>
      <c r="BA65" s="70" t="e">
        <f t="shared" si="87"/>
        <v>#REF!</v>
      </c>
    </row>
    <row r="66" spans="27:53" hidden="1">
      <c r="AA66" s="71" t="s">
        <v>29</v>
      </c>
      <c r="AB66" s="35"/>
      <c r="AF66" s="70" t="e">
        <f t="shared" ref="AF66:AO66" si="88">AF25+AF26+AF31</f>
        <v>#REF!</v>
      </c>
      <c r="AG66" s="70" t="e">
        <f t="shared" si="88"/>
        <v>#REF!</v>
      </c>
      <c r="AH66" s="70" t="e">
        <f t="shared" si="88"/>
        <v>#REF!</v>
      </c>
      <c r="AI66" s="70" t="e">
        <f t="shared" si="88"/>
        <v>#REF!</v>
      </c>
      <c r="AJ66" s="70" t="e">
        <f t="shared" si="88"/>
        <v>#REF!</v>
      </c>
      <c r="AK66" s="70" t="e">
        <f t="shared" si="88"/>
        <v>#REF!</v>
      </c>
      <c r="AL66" s="70" t="e">
        <f t="shared" si="88"/>
        <v>#REF!</v>
      </c>
      <c r="AM66" s="70" t="e">
        <f t="shared" si="88"/>
        <v>#REF!</v>
      </c>
      <c r="AN66" s="70" t="e">
        <f t="shared" si="88"/>
        <v>#REF!</v>
      </c>
      <c r="AO66" s="70" t="e">
        <f t="shared" si="88"/>
        <v>#REF!</v>
      </c>
      <c r="AP66" s="70"/>
      <c r="AQ66" s="70"/>
      <c r="AR66" s="70" t="e">
        <f t="shared" ref="AR66:BA66" si="89">AR25+AR26+AR31</f>
        <v>#REF!</v>
      </c>
      <c r="AS66" s="70" t="e">
        <f t="shared" si="89"/>
        <v>#REF!</v>
      </c>
      <c r="AT66" s="70" t="e">
        <f t="shared" si="89"/>
        <v>#REF!</v>
      </c>
      <c r="AU66" s="70" t="e">
        <f t="shared" si="89"/>
        <v>#REF!</v>
      </c>
      <c r="AV66" s="70" t="e">
        <f t="shared" si="89"/>
        <v>#REF!</v>
      </c>
      <c r="AW66" s="70" t="e">
        <f t="shared" si="89"/>
        <v>#REF!</v>
      </c>
      <c r="AX66" s="70" t="e">
        <f t="shared" si="89"/>
        <v>#REF!</v>
      </c>
      <c r="AY66" s="70" t="e">
        <f t="shared" si="89"/>
        <v>#REF!</v>
      </c>
      <c r="AZ66" s="70" t="e">
        <f t="shared" si="89"/>
        <v>#REF!</v>
      </c>
      <c r="BA66" s="70" t="e">
        <f t="shared" si="89"/>
        <v>#REF!</v>
      </c>
    </row>
    <row r="67" spans="27:53" hidden="1">
      <c r="AA67" s="71" t="s">
        <v>41</v>
      </c>
      <c r="AB67" s="35"/>
      <c r="AF67" s="70" t="e">
        <f t="shared" ref="AF67:AO67" si="90">AF36+AF37+AF42</f>
        <v>#REF!</v>
      </c>
      <c r="AG67" s="70" t="e">
        <f t="shared" si="90"/>
        <v>#REF!</v>
      </c>
      <c r="AH67" s="70" t="e">
        <f t="shared" si="90"/>
        <v>#REF!</v>
      </c>
      <c r="AI67" s="70" t="e">
        <f t="shared" si="90"/>
        <v>#REF!</v>
      </c>
      <c r="AJ67" s="70" t="e">
        <f t="shared" si="90"/>
        <v>#REF!</v>
      </c>
      <c r="AK67" s="70" t="e">
        <f t="shared" si="90"/>
        <v>#REF!</v>
      </c>
      <c r="AL67" s="70" t="e">
        <f t="shared" si="90"/>
        <v>#REF!</v>
      </c>
      <c r="AM67" s="70" t="e">
        <f t="shared" si="90"/>
        <v>#REF!</v>
      </c>
      <c r="AN67" s="70" t="e">
        <f t="shared" si="90"/>
        <v>#REF!</v>
      </c>
      <c r="AO67" s="70" t="e">
        <f t="shared" si="90"/>
        <v>#REF!</v>
      </c>
      <c r="AP67" s="70"/>
      <c r="AQ67" s="70"/>
      <c r="AR67" s="70" t="e">
        <f t="shared" ref="AR67:BA67" si="91">AR36+AR37+AR42</f>
        <v>#REF!</v>
      </c>
      <c r="AS67" s="70" t="e">
        <f t="shared" si="91"/>
        <v>#REF!</v>
      </c>
      <c r="AT67" s="70" t="e">
        <f t="shared" si="91"/>
        <v>#REF!</v>
      </c>
      <c r="AU67" s="70" t="e">
        <f t="shared" si="91"/>
        <v>#REF!</v>
      </c>
      <c r="AV67" s="70" t="e">
        <f t="shared" si="91"/>
        <v>#REF!</v>
      </c>
      <c r="AW67" s="70" t="e">
        <f t="shared" si="91"/>
        <v>#REF!</v>
      </c>
      <c r="AX67" s="70" t="e">
        <f t="shared" si="91"/>
        <v>#REF!</v>
      </c>
      <c r="AY67" s="70" t="e">
        <f t="shared" si="91"/>
        <v>#REF!</v>
      </c>
      <c r="AZ67" s="70" t="e">
        <f t="shared" si="91"/>
        <v>#REF!</v>
      </c>
      <c r="BA67" s="70" t="e">
        <f t="shared" si="91"/>
        <v>#REF!</v>
      </c>
    </row>
    <row r="68" spans="27:53" hidden="1">
      <c r="AA68" s="71" t="s">
        <v>42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2" t="s">
        <v>49</v>
      </c>
      <c r="AB69" s="35"/>
      <c r="AF69" s="70" t="e">
        <f t="shared" ref="AF69:AO69" si="92">AF14+AF15+AF19+AF21</f>
        <v>#REF!</v>
      </c>
      <c r="AG69" s="70" t="e">
        <f t="shared" si="92"/>
        <v>#REF!</v>
      </c>
      <c r="AH69" s="70" t="e">
        <f t="shared" si="92"/>
        <v>#REF!</v>
      </c>
      <c r="AI69" s="70" t="e">
        <f t="shared" si="92"/>
        <v>#REF!</v>
      </c>
      <c r="AJ69" s="70" t="e">
        <f t="shared" si="92"/>
        <v>#REF!</v>
      </c>
      <c r="AK69" s="70" t="e">
        <f t="shared" si="92"/>
        <v>#REF!</v>
      </c>
      <c r="AL69" s="70" t="e">
        <f t="shared" si="92"/>
        <v>#REF!</v>
      </c>
      <c r="AM69" s="70" t="e">
        <f t="shared" si="92"/>
        <v>#REF!</v>
      </c>
      <c r="AN69" s="70" t="e">
        <f t="shared" si="92"/>
        <v>#REF!</v>
      </c>
      <c r="AO69" s="70" t="e">
        <f t="shared" si="92"/>
        <v>#REF!</v>
      </c>
      <c r="AP69" s="70"/>
      <c r="AQ69" s="70"/>
      <c r="AR69" s="70" t="e">
        <f t="shared" ref="AR69:BA69" si="93">AR14+AR15+AR19+AR21</f>
        <v>#REF!</v>
      </c>
      <c r="AS69" s="70" t="e">
        <f t="shared" si="93"/>
        <v>#REF!</v>
      </c>
      <c r="AT69" s="70" t="e">
        <f t="shared" si="93"/>
        <v>#REF!</v>
      </c>
      <c r="AU69" s="70" t="e">
        <f t="shared" si="93"/>
        <v>#REF!</v>
      </c>
      <c r="AV69" s="70" t="e">
        <f t="shared" si="93"/>
        <v>#REF!</v>
      </c>
      <c r="AW69" s="70" t="e">
        <f t="shared" si="93"/>
        <v>#REF!</v>
      </c>
      <c r="AX69" s="70" t="e">
        <f t="shared" si="93"/>
        <v>#REF!</v>
      </c>
      <c r="AY69" s="70" t="e">
        <f t="shared" si="93"/>
        <v>#REF!</v>
      </c>
      <c r="AZ69" s="70" t="e">
        <f t="shared" si="93"/>
        <v>#REF!</v>
      </c>
      <c r="BA69" s="70" t="e">
        <f t="shared" si="93"/>
        <v>#REF!</v>
      </c>
    </row>
    <row r="70" spans="27:53" hidden="1">
      <c r="AA70" s="71" t="s">
        <v>29</v>
      </c>
      <c r="AB70" s="35"/>
      <c r="AF70" s="70" t="e">
        <f t="shared" ref="AF70:AO70" si="94">AF25+AF26+AF30+AF32</f>
        <v>#REF!</v>
      </c>
      <c r="AG70" s="70" t="e">
        <f t="shared" si="94"/>
        <v>#REF!</v>
      </c>
      <c r="AH70" s="70" t="e">
        <f t="shared" si="94"/>
        <v>#REF!</v>
      </c>
      <c r="AI70" s="70" t="e">
        <f t="shared" si="94"/>
        <v>#REF!</v>
      </c>
      <c r="AJ70" s="70" t="e">
        <f t="shared" si="94"/>
        <v>#REF!</v>
      </c>
      <c r="AK70" s="70" t="e">
        <f t="shared" si="94"/>
        <v>#REF!</v>
      </c>
      <c r="AL70" s="70" t="e">
        <f t="shared" si="94"/>
        <v>#REF!</v>
      </c>
      <c r="AM70" s="70" t="e">
        <f t="shared" si="94"/>
        <v>#REF!</v>
      </c>
      <c r="AN70" s="70" t="e">
        <f t="shared" si="94"/>
        <v>#REF!</v>
      </c>
      <c r="AO70" s="70" t="e">
        <f t="shared" si="94"/>
        <v>#REF!</v>
      </c>
      <c r="AP70" s="70"/>
      <c r="AQ70" s="70"/>
      <c r="AR70" s="70" t="e">
        <f t="shared" ref="AR70:BA70" si="95">AR25+AR26+AR30+AR32</f>
        <v>#REF!</v>
      </c>
      <c r="AS70" s="70" t="e">
        <f t="shared" si="95"/>
        <v>#REF!</v>
      </c>
      <c r="AT70" s="70" t="e">
        <f t="shared" si="95"/>
        <v>#REF!</v>
      </c>
      <c r="AU70" s="70" t="e">
        <f t="shared" si="95"/>
        <v>#REF!</v>
      </c>
      <c r="AV70" s="70" t="e">
        <f t="shared" si="95"/>
        <v>#REF!</v>
      </c>
      <c r="AW70" s="70" t="e">
        <f t="shared" si="95"/>
        <v>#REF!</v>
      </c>
      <c r="AX70" s="70" t="e">
        <f t="shared" si="95"/>
        <v>#REF!</v>
      </c>
      <c r="AY70" s="70" t="e">
        <f t="shared" si="95"/>
        <v>#REF!</v>
      </c>
      <c r="AZ70" s="70" t="e">
        <f t="shared" si="95"/>
        <v>#REF!</v>
      </c>
      <c r="BA70" s="70" t="e">
        <f t="shared" si="95"/>
        <v>#REF!</v>
      </c>
    </row>
    <row r="71" spans="27:53" hidden="1">
      <c r="AA71" s="71" t="s">
        <v>41</v>
      </c>
      <c r="AB71" s="35"/>
      <c r="AF71" s="70" t="e">
        <f t="shared" ref="AF71:AO71" si="96">AF36+AF37+AF41+AF43</f>
        <v>#REF!</v>
      </c>
      <c r="AG71" s="70" t="e">
        <f t="shared" si="96"/>
        <v>#REF!</v>
      </c>
      <c r="AH71" s="70" t="e">
        <f t="shared" si="96"/>
        <v>#REF!</v>
      </c>
      <c r="AI71" s="70" t="e">
        <f t="shared" si="96"/>
        <v>#REF!</v>
      </c>
      <c r="AJ71" s="70" t="e">
        <f t="shared" si="96"/>
        <v>#REF!</v>
      </c>
      <c r="AK71" s="70" t="e">
        <f t="shared" si="96"/>
        <v>#REF!</v>
      </c>
      <c r="AL71" s="70" t="e">
        <f t="shared" si="96"/>
        <v>#REF!</v>
      </c>
      <c r="AM71" s="70" t="e">
        <f t="shared" si="96"/>
        <v>#REF!</v>
      </c>
      <c r="AN71" s="70" t="e">
        <f t="shared" si="96"/>
        <v>#REF!</v>
      </c>
      <c r="AO71" s="70" t="e">
        <f t="shared" si="96"/>
        <v>#REF!</v>
      </c>
      <c r="AP71" s="70"/>
      <c r="AQ71" s="70"/>
      <c r="AR71" s="70" t="e">
        <f t="shared" ref="AR71:BA71" si="97">AR36+AR37+AR41+AR43</f>
        <v>#REF!</v>
      </c>
      <c r="AS71" s="70" t="e">
        <f t="shared" si="97"/>
        <v>#REF!</v>
      </c>
      <c r="AT71" s="70" t="e">
        <f t="shared" si="97"/>
        <v>#REF!</v>
      </c>
      <c r="AU71" s="70" t="e">
        <f t="shared" si="97"/>
        <v>#REF!</v>
      </c>
      <c r="AV71" s="70" t="e">
        <f t="shared" si="97"/>
        <v>#REF!</v>
      </c>
      <c r="AW71" s="70" t="e">
        <f t="shared" si="97"/>
        <v>#REF!</v>
      </c>
      <c r="AX71" s="70" t="e">
        <f t="shared" si="97"/>
        <v>#REF!</v>
      </c>
      <c r="AY71" s="70" t="e">
        <f t="shared" si="97"/>
        <v>#REF!</v>
      </c>
      <c r="AZ71" s="70" t="e">
        <f t="shared" si="97"/>
        <v>#REF!</v>
      </c>
      <c r="BA71" s="70" t="e">
        <f t="shared" si="97"/>
        <v>#REF!</v>
      </c>
    </row>
    <row r="72" spans="27:53" hidden="1">
      <c r="AA72" s="71" t="s">
        <v>42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69" t="s">
        <v>50</v>
      </c>
      <c r="AB73" s="35"/>
      <c r="AF73" s="70" t="e">
        <f t="shared" ref="AF73:AO73" si="98">AF14+AF15+AF19+AF22</f>
        <v>#REF!</v>
      </c>
      <c r="AG73" s="70" t="e">
        <f t="shared" si="98"/>
        <v>#REF!</v>
      </c>
      <c r="AH73" s="70" t="e">
        <f t="shared" si="98"/>
        <v>#REF!</v>
      </c>
      <c r="AI73" s="70" t="e">
        <f t="shared" si="98"/>
        <v>#REF!</v>
      </c>
      <c r="AJ73" s="70" t="e">
        <f t="shared" si="98"/>
        <v>#REF!</v>
      </c>
      <c r="AK73" s="70" t="e">
        <f t="shared" si="98"/>
        <v>#REF!</v>
      </c>
      <c r="AL73" s="70" t="e">
        <f t="shared" si="98"/>
        <v>#REF!</v>
      </c>
      <c r="AM73" s="70" t="e">
        <f t="shared" si="98"/>
        <v>#REF!</v>
      </c>
      <c r="AN73" s="70" t="e">
        <f t="shared" si="98"/>
        <v>#REF!</v>
      </c>
      <c r="AO73" s="70" t="e">
        <f t="shared" si="98"/>
        <v>#REF!</v>
      </c>
      <c r="AP73" s="70"/>
      <c r="AQ73" s="70"/>
      <c r="AR73" s="70" t="e">
        <f t="shared" ref="AR73:BA73" si="99">AR14+AR15+AR19+AR22</f>
        <v>#REF!</v>
      </c>
      <c r="AS73" s="70" t="e">
        <f t="shared" si="99"/>
        <v>#REF!</v>
      </c>
      <c r="AT73" s="70" t="e">
        <f t="shared" si="99"/>
        <v>#REF!</v>
      </c>
      <c r="AU73" s="70" t="e">
        <f t="shared" si="99"/>
        <v>#REF!</v>
      </c>
      <c r="AV73" s="70" t="e">
        <f t="shared" si="99"/>
        <v>#REF!</v>
      </c>
      <c r="AW73" s="70" t="e">
        <f t="shared" si="99"/>
        <v>#REF!</v>
      </c>
      <c r="AX73" s="70" t="e">
        <f t="shared" si="99"/>
        <v>#REF!</v>
      </c>
      <c r="AY73" s="70" t="e">
        <f t="shared" si="99"/>
        <v>#REF!</v>
      </c>
      <c r="AZ73" s="70" t="e">
        <f t="shared" si="99"/>
        <v>#REF!</v>
      </c>
      <c r="BA73" s="70" t="e">
        <f t="shared" si="99"/>
        <v>#REF!</v>
      </c>
    </row>
    <row r="74" spans="27:53" hidden="1">
      <c r="AA74" s="71" t="s">
        <v>29</v>
      </c>
      <c r="AB74" s="35"/>
      <c r="AF74" s="70" t="e">
        <f t="shared" ref="AF74:AO74" si="100">AF25+AF26+AF30+AF33</f>
        <v>#REF!</v>
      </c>
      <c r="AG74" s="70" t="e">
        <f t="shared" si="100"/>
        <v>#REF!</v>
      </c>
      <c r="AH74" s="70" t="e">
        <f t="shared" si="100"/>
        <v>#REF!</v>
      </c>
      <c r="AI74" s="70" t="e">
        <f t="shared" si="100"/>
        <v>#REF!</v>
      </c>
      <c r="AJ74" s="70" t="e">
        <f t="shared" si="100"/>
        <v>#REF!</v>
      </c>
      <c r="AK74" s="70" t="e">
        <f t="shared" si="100"/>
        <v>#REF!</v>
      </c>
      <c r="AL74" s="70" t="e">
        <f t="shared" si="100"/>
        <v>#REF!</v>
      </c>
      <c r="AM74" s="70" t="e">
        <f t="shared" si="100"/>
        <v>#REF!</v>
      </c>
      <c r="AN74" s="70" t="e">
        <f t="shared" si="100"/>
        <v>#REF!</v>
      </c>
      <c r="AO74" s="70" t="e">
        <f t="shared" si="100"/>
        <v>#REF!</v>
      </c>
      <c r="AP74" s="70"/>
      <c r="AQ74" s="70"/>
      <c r="AR74" s="70" t="e">
        <f t="shared" ref="AR74:BA74" si="101">AR25+AR26+AR30+AR33</f>
        <v>#REF!</v>
      </c>
      <c r="AS74" s="70" t="e">
        <f t="shared" si="101"/>
        <v>#REF!</v>
      </c>
      <c r="AT74" s="70" t="e">
        <f t="shared" si="101"/>
        <v>#REF!</v>
      </c>
      <c r="AU74" s="70" t="e">
        <f t="shared" si="101"/>
        <v>#REF!</v>
      </c>
      <c r="AV74" s="70" t="e">
        <f t="shared" si="101"/>
        <v>#REF!</v>
      </c>
      <c r="AW74" s="70" t="e">
        <f t="shared" si="101"/>
        <v>#REF!</v>
      </c>
      <c r="AX74" s="70" t="e">
        <f t="shared" si="101"/>
        <v>#REF!</v>
      </c>
      <c r="AY74" s="70" t="e">
        <f t="shared" si="101"/>
        <v>#REF!</v>
      </c>
      <c r="AZ74" s="70" t="e">
        <f t="shared" si="101"/>
        <v>#REF!</v>
      </c>
      <c r="BA74" s="70" t="e">
        <f t="shared" si="101"/>
        <v>#REF!</v>
      </c>
    </row>
    <row r="75" spans="27:53" hidden="1">
      <c r="AA75" s="71" t="s">
        <v>41</v>
      </c>
      <c r="AB75" s="35"/>
      <c r="AF75" s="70" t="e">
        <f t="shared" ref="AF75:AO75" si="102">AF36+AF37+AF41+AF44</f>
        <v>#REF!</v>
      </c>
      <c r="AG75" s="70" t="e">
        <f t="shared" si="102"/>
        <v>#REF!</v>
      </c>
      <c r="AH75" s="70" t="e">
        <f t="shared" si="102"/>
        <v>#REF!</v>
      </c>
      <c r="AI75" s="70" t="e">
        <f t="shared" si="102"/>
        <v>#REF!</v>
      </c>
      <c r="AJ75" s="70" t="e">
        <f t="shared" si="102"/>
        <v>#REF!</v>
      </c>
      <c r="AK75" s="70" t="e">
        <f t="shared" si="102"/>
        <v>#REF!</v>
      </c>
      <c r="AL75" s="70" t="e">
        <f t="shared" si="102"/>
        <v>#REF!</v>
      </c>
      <c r="AM75" s="70" t="e">
        <f t="shared" si="102"/>
        <v>#REF!</v>
      </c>
      <c r="AN75" s="70" t="e">
        <f t="shared" si="102"/>
        <v>#REF!</v>
      </c>
      <c r="AO75" s="70" t="e">
        <f t="shared" si="102"/>
        <v>#REF!</v>
      </c>
      <c r="AP75" s="70"/>
      <c r="AQ75" s="70"/>
      <c r="AR75" s="70" t="e">
        <f t="shared" ref="AR75:BA75" si="103">AR36+AR37+AR41+AR44</f>
        <v>#REF!</v>
      </c>
      <c r="AS75" s="70" t="e">
        <f t="shared" si="103"/>
        <v>#REF!</v>
      </c>
      <c r="AT75" s="70" t="e">
        <f t="shared" si="103"/>
        <v>#REF!</v>
      </c>
      <c r="AU75" s="70" t="e">
        <f t="shared" si="103"/>
        <v>#REF!</v>
      </c>
      <c r="AV75" s="70" t="e">
        <f t="shared" si="103"/>
        <v>#REF!</v>
      </c>
      <c r="AW75" s="70" t="e">
        <f t="shared" si="103"/>
        <v>#REF!</v>
      </c>
      <c r="AX75" s="70" t="e">
        <f t="shared" si="103"/>
        <v>#REF!</v>
      </c>
      <c r="AY75" s="70" t="e">
        <f t="shared" si="103"/>
        <v>#REF!</v>
      </c>
      <c r="AZ75" s="70" t="e">
        <f t="shared" si="103"/>
        <v>#REF!</v>
      </c>
      <c r="BA75" s="70" t="e">
        <f t="shared" si="103"/>
        <v>#REF!</v>
      </c>
    </row>
    <row r="76" spans="27:53" hidden="1">
      <c r="AA76" s="71" t="s">
        <v>42</v>
      </c>
      <c r="AB76" s="35"/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N86" s="38"/>
      <c r="AZ86" s="36"/>
    </row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545" t="s">
        <v>55</v>
      </c>
      <c r="G88" s="545" t="s">
        <v>73</v>
      </c>
      <c r="H88" s="545" t="s">
        <v>74</v>
      </c>
      <c r="I88" s="545" t="s">
        <v>58</v>
      </c>
      <c r="J88" s="545" t="s">
        <v>59</v>
      </c>
      <c r="K88" s="545" t="s">
        <v>60</v>
      </c>
      <c r="L88" s="544" t="s">
        <v>75</v>
      </c>
      <c r="M88" s="544" t="s">
        <v>76</v>
      </c>
      <c r="N88" s="544" t="s">
        <v>61</v>
      </c>
      <c r="O88" s="544" t="s">
        <v>62</v>
      </c>
      <c r="P88" s="544" t="s">
        <v>63</v>
      </c>
      <c r="AN88" s="38"/>
      <c r="AZ88" s="36"/>
    </row>
    <row r="89" spans="1:52" ht="25.5">
      <c r="A89" s="44" t="str">
        <f t="shared" ref="A89:C90" si="104">A4</f>
        <v>Substation General Construction</v>
      </c>
      <c r="B89" s="45" t="str">
        <f t="shared" si="104"/>
        <v>Light-Duty Truck, catalyst</v>
      </c>
      <c r="C89" s="46">
        <f t="shared" si="104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105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si="104"/>
        <v>Substation Wiring</v>
      </c>
      <c r="B90" s="45" t="str">
        <f t="shared" si="104"/>
        <v>Light-Duty Truck, catalyst</v>
      </c>
      <c r="C90" s="46">
        <f t="shared" si="104"/>
        <v>1</v>
      </c>
      <c r="D90" s="46">
        <v>35</v>
      </c>
      <c r="E90" s="46">
        <v>80</v>
      </c>
      <c r="F90" s="50">
        <f>C5*($E5*$F5+($G5))/453.59</f>
        <v>0.48571938588092006</v>
      </c>
      <c r="G90" s="50">
        <f>C5*($E5*$H5+($I5))/453.59</f>
        <v>4.367065729437801E-2</v>
      </c>
      <c r="H90" s="50">
        <f>C5*(($E5*$J5)+($K5)+($L5)+($E5*$N5)+(($M5+$O5)))/453.59</f>
        <v>5.0499980323953329E-2</v>
      </c>
      <c r="I90" s="50">
        <f>C5*($E5*$P5+($Q5))/453.59</f>
        <v>7.2679702716061593E-4</v>
      </c>
      <c r="J90" s="50">
        <f>C5*(($E5*($R5+$T5+$U5))+($S5))/453.59</f>
        <v>8.5240904552078972E-3</v>
      </c>
      <c r="K90" s="50">
        <f>$C5*(($E5*($V5+$X5+$Y5))+($W5))/453.59</f>
        <v>3.7120053242531417E-3</v>
      </c>
      <c r="L90" s="50">
        <f>$B$22*C5*(E5+6)</f>
        <v>8.4385825860718994E-3</v>
      </c>
      <c r="M90" s="50">
        <f t="shared" si="105"/>
        <v>3.4598188602894785E-3</v>
      </c>
      <c r="N90" s="50">
        <f>C5*($E5*$Z5+($AA5))/453.59</f>
        <v>55.423576726038895</v>
      </c>
      <c r="O90" s="50">
        <f>C5*($E5*$AB5+($AC5))/453.59</f>
        <v>3.1704753890302493E-3</v>
      </c>
      <c r="P90" s="50">
        <f>C5*($E5*$AD5+($AE5))/453.59</f>
        <v>5.7711199138433603E-3</v>
      </c>
      <c r="AN90" s="38"/>
      <c r="AZ90" s="36"/>
    </row>
    <row r="91" spans="1:52">
      <c r="A91" s="61" t="s">
        <v>389</v>
      </c>
      <c r="B91" s="40"/>
      <c r="C91" s="40"/>
      <c r="D91" s="40"/>
      <c r="E91" s="40"/>
      <c r="F91" s="81">
        <f t="shared" ref="F91:P91" si="106">SUM(F89:F90)</f>
        <v>1.9428775435236803</v>
      </c>
      <c r="G91" s="81">
        <f t="shared" si="106"/>
        <v>0.17468262917751204</v>
      </c>
      <c r="H91" s="81">
        <f t="shared" si="106"/>
        <v>0.20199992129581332</v>
      </c>
      <c r="I91" s="81">
        <f t="shared" si="106"/>
        <v>2.9071881086424637E-3</v>
      </c>
      <c r="J91" s="81">
        <f t="shared" si="106"/>
        <v>3.4096361820831589E-2</v>
      </c>
      <c r="K91" s="81">
        <f t="shared" si="106"/>
        <v>1.4848021297012567E-2</v>
      </c>
      <c r="L91" s="81">
        <f t="shared" si="106"/>
        <v>3.3754330344287597E-2</v>
      </c>
      <c r="M91" s="81">
        <f t="shared" si="106"/>
        <v>1.3839275441157914E-2</v>
      </c>
      <c r="N91" s="81">
        <f t="shared" si="106"/>
        <v>221.69430690415561</v>
      </c>
      <c r="O91" s="81">
        <f t="shared" si="106"/>
        <v>1.2681901556120997E-2</v>
      </c>
      <c r="P91" s="81">
        <f t="shared" si="106"/>
        <v>2.3084479655373441E-2</v>
      </c>
    </row>
  </sheetData>
  <mergeCells count="16">
    <mergeCell ref="AR11:BA11"/>
    <mergeCell ref="A87:A88"/>
    <mergeCell ref="B87:B88"/>
    <mergeCell ref="F87:P87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6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684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317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24" t="s">
        <v>311</v>
      </c>
      <c r="B14" s="29" t="s">
        <v>27</v>
      </c>
      <c r="C14" s="22">
        <v>175</v>
      </c>
      <c r="D14" s="22"/>
      <c r="E14" s="102">
        <v>0.11792220738547983</v>
      </c>
      <c r="F14" s="102">
        <v>0.36512193352152528</v>
      </c>
      <c r="G14" s="102">
        <v>0.86781464282266541</v>
      </c>
      <c r="H14" s="102">
        <v>1.8739217498104396E-3</v>
      </c>
      <c r="I14" s="102">
        <v>2.9041712295589866E-2</v>
      </c>
      <c r="J14" s="100">
        <f t="shared" ref="J14" si="4">0.89*I14</f>
        <v>2.5847123943074982E-2</v>
      </c>
      <c r="K14" s="103">
        <v>166.54541562452522</v>
      </c>
      <c r="L14" s="102">
        <v>1.063993297769634E-2</v>
      </c>
      <c r="M14" s="104">
        <f t="shared" ref="M14" si="5">0.095*G14</f>
        <v>8.2442391068153209E-2</v>
      </c>
      <c r="N14" s="98">
        <v>1</v>
      </c>
      <c r="O14" s="87">
        <v>2</v>
      </c>
      <c r="P14" s="363">
        <v>280</v>
      </c>
      <c r="Q14" s="34">
        <f t="shared" ref="Q14:Y14" si="6">(E14*$N14*$O14)</f>
        <v>0.23584441477095966</v>
      </c>
      <c r="R14" s="26">
        <f t="shared" si="6"/>
        <v>0.73024386704305055</v>
      </c>
      <c r="S14" s="26">
        <f t="shared" si="6"/>
        <v>1.7356292856453308</v>
      </c>
      <c r="T14" s="26">
        <f t="shared" si="6"/>
        <v>3.7478434996208792E-3</v>
      </c>
      <c r="U14" s="26">
        <f t="shared" si="6"/>
        <v>5.8083424591179732E-2</v>
      </c>
      <c r="V14" s="26">
        <f t="shared" si="6"/>
        <v>5.1694247886149965E-2</v>
      </c>
      <c r="W14" s="26">
        <f t="shared" si="6"/>
        <v>333.09083124905044</v>
      </c>
      <c r="X14" s="26">
        <f t="shared" si="6"/>
        <v>2.127986595539268E-2</v>
      </c>
      <c r="Y14" s="26">
        <f t="shared" si="6"/>
        <v>0.16488478213630642</v>
      </c>
    </row>
    <row r="15" spans="1:25" s="3" customFormat="1">
      <c r="A15" s="17" t="s">
        <v>28</v>
      </c>
      <c r="B15" s="97"/>
      <c r="C15" s="22"/>
      <c r="D15" s="22"/>
      <c r="E15" s="23"/>
      <c r="F15" s="23"/>
      <c r="G15" s="23"/>
      <c r="H15" s="23"/>
      <c r="I15" s="23"/>
      <c r="J15" s="24"/>
      <c r="K15" s="25"/>
      <c r="L15" s="23"/>
      <c r="M15" s="23"/>
      <c r="N15" s="88"/>
      <c r="O15" s="88"/>
      <c r="P15" s="88"/>
      <c r="Q15" s="27">
        <f t="shared" ref="Q15:Y15" si="7">SUM(Q14:Q14)</f>
        <v>0.23584441477095966</v>
      </c>
      <c r="R15" s="27">
        <f t="shared" si="7"/>
        <v>0.73024386704305055</v>
      </c>
      <c r="S15" s="27">
        <f t="shared" si="7"/>
        <v>1.7356292856453308</v>
      </c>
      <c r="T15" s="27">
        <f t="shared" si="7"/>
        <v>3.7478434996208792E-3</v>
      </c>
      <c r="U15" s="27">
        <f t="shared" si="7"/>
        <v>5.8083424591179732E-2</v>
      </c>
      <c r="V15" s="27">
        <f t="shared" si="7"/>
        <v>5.1694247886149965E-2</v>
      </c>
      <c r="W15" s="27">
        <f t="shared" si="7"/>
        <v>333.09083124905044</v>
      </c>
      <c r="X15" s="27">
        <f t="shared" si="7"/>
        <v>2.127986595539268E-2</v>
      </c>
      <c r="Y15" s="27">
        <f t="shared" si="7"/>
        <v>0.16488478213630642</v>
      </c>
    </row>
    <row r="16" spans="1:25">
      <c r="A16" s="17" t="s">
        <v>499</v>
      </c>
      <c r="B16" s="549"/>
      <c r="C16" s="18"/>
      <c r="D16" s="22"/>
      <c r="E16" s="19"/>
      <c r="F16" s="19"/>
      <c r="G16" s="19"/>
      <c r="H16" s="19"/>
      <c r="I16" s="19"/>
      <c r="J16" s="19"/>
      <c r="K16" s="19"/>
      <c r="L16" s="19"/>
      <c r="M16" s="19"/>
      <c r="N16" s="30"/>
      <c r="O16" s="30"/>
      <c r="P16" s="364"/>
      <c r="Q16" s="20">
        <f>Q11+Q15</f>
        <v>0.9504215378625569</v>
      </c>
      <c r="R16" s="20">
        <f t="shared" ref="R16:Y16" si="8">R11+R15</f>
        <v>3.6844030780014445</v>
      </c>
      <c r="S16" s="20">
        <f t="shared" si="8"/>
        <v>6.1566857317844876</v>
      </c>
      <c r="T16" s="20">
        <f t="shared" si="8"/>
        <v>1.207090973569876E-2</v>
      </c>
      <c r="U16" s="20">
        <f t="shared" si="8"/>
        <v>0.30389171690722716</v>
      </c>
      <c r="V16" s="20">
        <f t="shared" si="8"/>
        <v>0.27046362804743218</v>
      </c>
      <c r="W16" s="20">
        <f t="shared" si="8"/>
        <v>1029.5443237340787</v>
      </c>
      <c r="X16" s="20">
        <f t="shared" si="8"/>
        <v>9.3819672145962416E-2</v>
      </c>
      <c r="Y16" s="20">
        <f t="shared" si="8"/>
        <v>0.58488514451952633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0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685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C9*(F9)*$B$147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C10*(F10)*$B$147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335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311</v>
      </c>
      <c r="B14" s="76" t="s">
        <v>105</v>
      </c>
      <c r="C14" s="374">
        <v>1</v>
      </c>
      <c r="D14" s="77"/>
      <c r="E14" s="77">
        <v>35</v>
      </c>
      <c r="F14" s="77">
        <v>80</v>
      </c>
      <c r="G14" s="106">
        <v>1.08263976628415</v>
      </c>
      <c r="H14" s="106">
        <v>4.9712718909585103</v>
      </c>
      <c r="I14" s="106">
        <v>0.26248012575016899</v>
      </c>
      <c r="J14" s="106">
        <v>1.0711818E-2</v>
      </c>
      <c r="K14" s="106">
        <v>7.1679901072141505E-2</v>
      </c>
      <c r="L14" s="576">
        <v>3.59998119015979E-2</v>
      </c>
      <c r="M14" s="576">
        <v>6.1739677411240299E-2</v>
      </c>
      <c r="N14" s="106">
        <v>6.5945508986370194E-2</v>
      </c>
      <c r="O14" s="576">
        <v>2.9999843251331498E-3</v>
      </c>
      <c r="P14" s="576">
        <v>5.5859708133979398E-2</v>
      </c>
      <c r="Q14" s="106">
        <v>1710.7260798814</v>
      </c>
      <c r="R14" s="47">
        <v>1.5235246282551899E-2</v>
      </c>
      <c r="S14" s="80">
        <f>0.000025616*Q14</f>
        <v>4.3821959262241944E-2</v>
      </c>
      <c r="T14" s="50">
        <f>C14*($F14*$G14)/453.59</f>
        <v>0.19094596728925242</v>
      </c>
      <c r="U14" s="50">
        <f>C14*($F14*$H14)/453.59</f>
        <v>0.87678685878586582</v>
      </c>
      <c r="V14" s="50">
        <f>C14*(($F14*$I14))/453.59</f>
        <v>4.6293811724274173E-2</v>
      </c>
      <c r="W14" s="50">
        <f>C14*($F14*$J14)/453.59</f>
        <v>1.8892511739676801E-3</v>
      </c>
      <c r="X14" s="50">
        <f>C14*(($F14*($K14+$L14+$M14)))/453.59</f>
        <v>2.9880621774726907E-2</v>
      </c>
      <c r="Y14" s="50">
        <f>C14*(($F14*($N14+$O14+$P14)))/453.59</f>
        <v>2.2011984646131133E-2</v>
      </c>
      <c r="Z14" s="50">
        <f>C14*(F14)*$B$147</f>
        <v>0</v>
      </c>
      <c r="AA14" s="50">
        <f>Z14*0.21</f>
        <v>0</v>
      </c>
      <c r="AB14" s="50">
        <f>C14*(($F14*($Q14)))/453.59</f>
        <v>301.72200972356535</v>
      </c>
      <c r="AC14" s="50">
        <f>C14*(($F14*($R14)))/453.59</f>
        <v>2.6870515280410772E-3</v>
      </c>
      <c r="AD14" s="50">
        <f>C14*(($F14*($S14)))/453.59</f>
        <v>7.7289110010788503E-3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0.19094596728925242</v>
      </c>
      <c r="U15" s="81">
        <f t="shared" si="1"/>
        <v>0.87678685878586582</v>
      </c>
      <c r="V15" s="81">
        <f t="shared" si="1"/>
        <v>4.6293811724274173E-2</v>
      </c>
      <c r="W15" s="81">
        <f t="shared" si="1"/>
        <v>1.8892511739676801E-3</v>
      </c>
      <c r="X15" s="81">
        <f t="shared" si="1"/>
        <v>2.9880621774726907E-2</v>
      </c>
      <c r="Y15" s="81">
        <f t="shared" si="1"/>
        <v>2.2011984646131133E-2</v>
      </c>
      <c r="Z15" s="81">
        <f t="shared" si="1"/>
        <v>0</v>
      </c>
      <c r="AA15" s="81">
        <f t="shared" si="1"/>
        <v>0</v>
      </c>
      <c r="AB15" s="81">
        <f t="shared" si="1"/>
        <v>301.72200972356535</v>
      </c>
      <c r="AC15" s="81">
        <f t="shared" si="1"/>
        <v>2.6870515280410772E-3</v>
      </c>
      <c r="AD15" s="81">
        <f t="shared" si="1"/>
        <v>7.7289110010788503E-3</v>
      </c>
    </row>
    <row r="16" spans="1:30">
      <c r="A16" s="75" t="s">
        <v>388</v>
      </c>
      <c r="B16" s="74"/>
      <c r="C16" s="112"/>
      <c r="D16" s="112"/>
      <c r="E16" s="74"/>
      <c r="F16" s="74"/>
      <c r="G16" s="547"/>
      <c r="H16" s="41"/>
      <c r="I16" s="41"/>
      <c r="J16" s="41"/>
      <c r="K16" s="544"/>
      <c r="L16" s="544"/>
      <c r="M16" s="544"/>
      <c r="N16" s="544"/>
      <c r="O16" s="544"/>
      <c r="P16" s="544"/>
      <c r="Q16" s="41"/>
      <c r="R16" s="544"/>
      <c r="S16" s="544"/>
      <c r="T16" s="81">
        <f>T11+T15</f>
        <v>0.48178321011214986</v>
      </c>
      <c r="U16" s="81">
        <f t="shared" ref="U16:AD16" si="2">U11+U15</f>
        <v>1.9379830954014503</v>
      </c>
      <c r="V16" s="81">
        <f t="shared" si="2"/>
        <v>0.11511829621149469</v>
      </c>
      <c r="W16" s="81">
        <f t="shared" si="2"/>
        <v>5.1683636885428378E-3</v>
      </c>
      <c r="X16" s="81">
        <f t="shared" si="2"/>
        <v>9.6130708419604929E-2</v>
      </c>
      <c r="Y16" s="81">
        <f t="shared" si="2"/>
        <v>6.8190068275239671E-2</v>
      </c>
      <c r="Z16" s="81">
        <f t="shared" si="2"/>
        <v>0</v>
      </c>
      <c r="AA16" s="81">
        <f t="shared" si="2"/>
        <v>0</v>
      </c>
      <c r="AB16" s="81">
        <f t="shared" si="2"/>
        <v>700.25812503738734</v>
      </c>
      <c r="AC16" s="81">
        <f t="shared" si="2"/>
        <v>1.0906351491826187E-2</v>
      </c>
      <c r="AD16" s="81">
        <f t="shared" si="2"/>
        <v>1.7937812130957714E-2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368" spans="1:1" ht="25.5">
      <c r="A368" s="82" t="s">
        <v>109</v>
      </c>
    </row>
    <row r="370" spans="1:2">
      <c r="A370" s="36" t="s">
        <v>81</v>
      </c>
    </row>
    <row r="371" spans="1:2">
      <c r="A371" s="36" t="s">
        <v>82</v>
      </c>
    </row>
    <row r="372" spans="1:2">
      <c r="A372" s="36" t="s">
        <v>83</v>
      </c>
    </row>
    <row r="373" spans="1:2">
      <c r="A373" s="37" t="s">
        <v>96</v>
      </c>
    </row>
    <row r="374" spans="1:2">
      <c r="A374" s="36" t="s">
        <v>85</v>
      </c>
    </row>
    <row r="375" spans="1:2">
      <c r="A375" s="36" t="s">
        <v>86</v>
      </c>
    </row>
    <row r="376" spans="1:2">
      <c r="A376" s="36" t="s">
        <v>87</v>
      </c>
    </row>
    <row r="377" spans="1:2">
      <c r="A377" s="36" t="s">
        <v>0</v>
      </c>
    </row>
    <row r="378" spans="1:2">
      <c r="A378" s="37" t="s">
        <v>97</v>
      </c>
      <c r="B378" s="36">
        <f>(0.016*(0.03/2)^0.65*(2/3)^1.5)-0.00047</f>
        <v>9.8123053326417428E-5</v>
      </c>
    </row>
    <row r="379" spans="1:2">
      <c r="A379" s="37" t="s">
        <v>98</v>
      </c>
      <c r="B379" s="36">
        <f>(0.016*(0.03/2)^0.65*(13/3)^1.5)-0.00047</f>
        <v>8.9448292388582783E-3</v>
      </c>
    </row>
    <row r="380" spans="1:2">
      <c r="A380" s="37" t="s">
        <v>99</v>
      </c>
      <c r="B38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686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335</v>
      </c>
      <c r="B5" s="45" t="s">
        <v>102</v>
      </c>
      <c r="C5" s="46">
        <v>1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idden="1">
      <c r="A9" s="55" t="s">
        <v>78</v>
      </c>
      <c r="B9" s="37"/>
      <c r="C9" s="37"/>
      <c r="AA9" s="57"/>
      <c r="AB9" s="57"/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54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/>
      <c r="B13" s="37"/>
      <c r="C13" s="37"/>
      <c r="AQ13" s="38"/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F14" s="36" t="e">
        <f t="shared" ref="AF14:AF22" si="2">AF$9*$AC15</f>
        <v>#REF!</v>
      </c>
      <c r="AG14" s="36" t="e">
        <f t="shared" ref="AG14:AG22" si="3">AG$9*$AC15</f>
        <v>#REF!</v>
      </c>
      <c r="AH14" s="36" t="e">
        <f t="shared" ref="AH14:AH22" si="4">AH$9*$AC15</f>
        <v>#REF!</v>
      </c>
      <c r="AI14" s="36" t="e">
        <f t="shared" ref="AI14:AI22" si="5">AI$9*$AC15</f>
        <v>#REF!</v>
      </c>
      <c r="AJ14" s="36" t="e">
        <f t="shared" ref="AJ14:AJ22" si="6">AJ$9*$AC15</f>
        <v>#REF!</v>
      </c>
      <c r="AK14" s="36" t="e">
        <f t="shared" ref="AK14:AK22" si="7">AK$9*$AC15</f>
        <v>#REF!</v>
      </c>
      <c r="AL14" s="36" t="e">
        <f t="shared" ref="AL14:AL22" si="8">AL$9*$AC15</f>
        <v>#REF!</v>
      </c>
      <c r="AM14" s="36" t="e">
        <f t="shared" ref="AM14:AM22" si="9">AM$9*$AC15</f>
        <v>#REF!</v>
      </c>
      <c r="AN14" s="36" t="e">
        <f t="shared" ref="AN14:AN22" si="10">AN$9*$AC15</f>
        <v>#REF!</v>
      </c>
      <c r="AO14" s="36" t="e">
        <f t="shared" ref="AO14:AO22" si="11">AO$9*$AC15</f>
        <v>#REF!</v>
      </c>
      <c r="AQ14" s="38"/>
      <c r="AR14" s="36" t="e">
        <f t="shared" ref="AR14:AR22" si="12">AR$9*$AC15</f>
        <v>#REF!</v>
      </c>
      <c r="AS14" s="36" t="e">
        <f t="shared" ref="AS14:AS22" si="13">AS$9*$AC15</f>
        <v>#REF!</v>
      </c>
      <c r="AT14" s="36" t="e">
        <f t="shared" ref="AT14:AT22" si="14">AT$9*$AC15</f>
        <v>#REF!</v>
      </c>
      <c r="AU14" s="36" t="e">
        <f t="shared" ref="AU14:AU22" si="15">AU$9*$AC15</f>
        <v>#REF!</v>
      </c>
      <c r="AV14" s="36" t="e">
        <f t="shared" ref="AV14:AV22" si="16">AV$9*$AC15</f>
        <v>#REF!</v>
      </c>
      <c r="AW14" s="36" t="e">
        <f t="shared" ref="AW14:AW22" si="17">AW$9*$AC15</f>
        <v>#REF!</v>
      </c>
      <c r="AX14" s="36" t="e">
        <f t="shared" ref="AX14:AX22" si="18">AX$9*$AC15</f>
        <v>#REF!</v>
      </c>
      <c r="AY14" s="36" t="e">
        <f t="shared" ref="AY14:AY22" si="19">AY$9*$AC15</f>
        <v>#REF!</v>
      </c>
      <c r="AZ14" s="36" t="e">
        <f t="shared" ref="AZ14:AZ22" si="20">AZ$9*$AC15</f>
        <v>#REF!</v>
      </c>
      <c r="BA14" s="36" t="e">
        <f t="shared" ref="BA14:BA22" si="21">BA$9*$AC15</f>
        <v>#REF!</v>
      </c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 t="shared" si="2"/>
        <v>#REF!</v>
      </c>
      <c r="AG15" s="36" t="e">
        <f t="shared" si="3"/>
        <v>#REF!</v>
      </c>
      <c r="AH15" s="36" t="e">
        <f t="shared" si="4"/>
        <v>#REF!</v>
      </c>
      <c r="AI15" s="36" t="e">
        <f t="shared" si="5"/>
        <v>#REF!</v>
      </c>
      <c r="AJ15" s="36" t="e">
        <f t="shared" si="6"/>
        <v>#REF!</v>
      </c>
      <c r="AK15" s="36" t="e">
        <f t="shared" si="7"/>
        <v>#REF!</v>
      </c>
      <c r="AL15" s="36" t="e">
        <f t="shared" si="8"/>
        <v>#REF!</v>
      </c>
      <c r="AM15" s="36" t="e">
        <f t="shared" si="9"/>
        <v>#REF!</v>
      </c>
      <c r="AN15" s="36" t="e">
        <f t="shared" si="10"/>
        <v>#REF!</v>
      </c>
      <c r="AO15" s="36" t="e">
        <f t="shared" si="11"/>
        <v>#REF!</v>
      </c>
      <c r="AQ15" s="38"/>
      <c r="AR15" s="36" t="e">
        <f t="shared" si="12"/>
        <v>#REF!</v>
      </c>
      <c r="AS15" s="36" t="e">
        <f t="shared" si="13"/>
        <v>#REF!</v>
      </c>
      <c r="AT15" s="36" t="e">
        <f t="shared" si="14"/>
        <v>#REF!</v>
      </c>
      <c r="AU15" s="36" t="e">
        <f t="shared" si="15"/>
        <v>#REF!</v>
      </c>
      <c r="AV15" s="36" t="e">
        <f t="shared" si="16"/>
        <v>#REF!</v>
      </c>
      <c r="AW15" s="36" t="e">
        <f t="shared" si="17"/>
        <v>#REF!</v>
      </c>
      <c r="AX15" s="36" t="e">
        <f t="shared" si="18"/>
        <v>#REF!</v>
      </c>
      <c r="AY15" s="36" t="e">
        <f t="shared" si="19"/>
        <v>#REF!</v>
      </c>
      <c r="AZ15" s="36" t="e">
        <f t="shared" si="20"/>
        <v>#REF!</v>
      </c>
      <c r="BA15" s="36" t="e">
        <f t="shared" si="21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si="2"/>
        <v>#REF!</v>
      </c>
      <c r="AG16" s="36" t="e">
        <f t="shared" si="3"/>
        <v>#REF!</v>
      </c>
      <c r="AH16" s="36" t="e">
        <f t="shared" si="4"/>
        <v>#REF!</v>
      </c>
      <c r="AI16" s="36" t="e">
        <f t="shared" si="5"/>
        <v>#REF!</v>
      </c>
      <c r="AJ16" s="36" t="e">
        <f t="shared" si="6"/>
        <v>#REF!</v>
      </c>
      <c r="AK16" s="36" t="e">
        <f t="shared" si="7"/>
        <v>#REF!</v>
      </c>
      <c r="AL16" s="36" t="e">
        <f t="shared" si="8"/>
        <v>#REF!</v>
      </c>
      <c r="AM16" s="36" t="e">
        <f t="shared" si="9"/>
        <v>#REF!</v>
      </c>
      <c r="AN16" s="36" t="e">
        <f t="shared" si="10"/>
        <v>#REF!</v>
      </c>
      <c r="AO16" s="36" t="e">
        <f t="shared" si="11"/>
        <v>#REF!</v>
      </c>
      <c r="AQ16" s="38"/>
      <c r="AR16" s="36" t="e">
        <f t="shared" si="12"/>
        <v>#REF!</v>
      </c>
      <c r="AS16" s="36" t="e">
        <f t="shared" si="13"/>
        <v>#REF!</v>
      </c>
      <c r="AT16" s="36" t="e">
        <f t="shared" si="14"/>
        <v>#REF!</v>
      </c>
      <c r="AU16" s="36" t="e">
        <f t="shared" si="15"/>
        <v>#REF!</v>
      </c>
      <c r="AV16" s="36" t="e">
        <f t="shared" si="16"/>
        <v>#REF!</v>
      </c>
      <c r="AW16" s="36" t="e">
        <f t="shared" si="17"/>
        <v>#REF!</v>
      </c>
      <c r="AX16" s="36" t="e">
        <f t="shared" si="18"/>
        <v>#REF!</v>
      </c>
      <c r="AY16" s="36" t="e">
        <f t="shared" si="19"/>
        <v>#REF!</v>
      </c>
      <c r="AZ16" s="36" t="e">
        <f t="shared" si="20"/>
        <v>#REF!</v>
      </c>
      <c r="BA16" s="36" t="e">
        <f t="shared" si="21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2"/>
        <v>#REF!</v>
      </c>
      <c r="AG17" s="36" t="e">
        <f t="shared" si="3"/>
        <v>#REF!</v>
      </c>
      <c r="AH17" s="36" t="e">
        <f t="shared" si="4"/>
        <v>#REF!</v>
      </c>
      <c r="AI17" s="36" t="e">
        <f t="shared" si="5"/>
        <v>#REF!</v>
      </c>
      <c r="AJ17" s="36" t="e">
        <f t="shared" si="6"/>
        <v>#REF!</v>
      </c>
      <c r="AK17" s="36" t="e">
        <f t="shared" si="7"/>
        <v>#REF!</v>
      </c>
      <c r="AL17" s="36" t="e">
        <f t="shared" si="8"/>
        <v>#REF!</v>
      </c>
      <c r="AM17" s="36" t="e">
        <f t="shared" si="9"/>
        <v>#REF!</v>
      </c>
      <c r="AN17" s="36" t="e">
        <f t="shared" si="10"/>
        <v>#REF!</v>
      </c>
      <c r="AO17" s="36" t="e">
        <f t="shared" si="11"/>
        <v>#REF!</v>
      </c>
      <c r="AQ17" s="38"/>
      <c r="AR17" s="36" t="e">
        <f t="shared" si="12"/>
        <v>#REF!</v>
      </c>
      <c r="AS17" s="36" t="e">
        <f t="shared" si="13"/>
        <v>#REF!</v>
      </c>
      <c r="AT17" s="36" t="e">
        <f t="shared" si="14"/>
        <v>#REF!</v>
      </c>
      <c r="AU17" s="36" t="e">
        <f t="shared" si="15"/>
        <v>#REF!</v>
      </c>
      <c r="AV17" s="36" t="e">
        <f t="shared" si="16"/>
        <v>#REF!</v>
      </c>
      <c r="AW17" s="36" t="e">
        <f t="shared" si="17"/>
        <v>#REF!</v>
      </c>
      <c r="AX17" s="36" t="e">
        <f t="shared" si="18"/>
        <v>#REF!</v>
      </c>
      <c r="AY17" s="36" t="e">
        <f t="shared" si="19"/>
        <v>#REF!</v>
      </c>
      <c r="AZ17" s="36" t="e">
        <f t="shared" si="20"/>
        <v>#REF!</v>
      </c>
      <c r="BA17" s="36" t="e">
        <f t="shared" si="21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2"/>
        <v>#REF!</v>
      </c>
      <c r="AG18" s="36" t="e">
        <f t="shared" si="3"/>
        <v>#REF!</v>
      </c>
      <c r="AH18" s="36" t="e">
        <f t="shared" si="4"/>
        <v>#REF!</v>
      </c>
      <c r="AI18" s="36" t="e">
        <f t="shared" si="5"/>
        <v>#REF!</v>
      </c>
      <c r="AJ18" s="36" t="e">
        <f t="shared" si="6"/>
        <v>#REF!</v>
      </c>
      <c r="AK18" s="36" t="e">
        <f t="shared" si="7"/>
        <v>#REF!</v>
      </c>
      <c r="AL18" s="36" t="e">
        <f t="shared" si="8"/>
        <v>#REF!</v>
      </c>
      <c r="AM18" s="36" t="e">
        <f t="shared" si="9"/>
        <v>#REF!</v>
      </c>
      <c r="AN18" s="36" t="e">
        <f t="shared" si="10"/>
        <v>#REF!</v>
      </c>
      <c r="AO18" s="36" t="e">
        <f t="shared" si="11"/>
        <v>#REF!</v>
      </c>
      <c r="AQ18" s="38"/>
      <c r="AR18" s="36" t="e">
        <f t="shared" si="12"/>
        <v>#REF!</v>
      </c>
      <c r="AS18" s="36" t="e">
        <f t="shared" si="13"/>
        <v>#REF!</v>
      </c>
      <c r="AT18" s="36" t="e">
        <f t="shared" si="14"/>
        <v>#REF!</v>
      </c>
      <c r="AU18" s="36" t="e">
        <f t="shared" si="15"/>
        <v>#REF!</v>
      </c>
      <c r="AV18" s="36" t="e">
        <f t="shared" si="16"/>
        <v>#REF!</v>
      </c>
      <c r="AW18" s="36" t="e">
        <f t="shared" si="17"/>
        <v>#REF!</v>
      </c>
      <c r="AX18" s="36" t="e">
        <f t="shared" si="18"/>
        <v>#REF!</v>
      </c>
      <c r="AY18" s="36" t="e">
        <f t="shared" si="19"/>
        <v>#REF!</v>
      </c>
      <c r="AZ18" s="36" t="e">
        <f t="shared" si="20"/>
        <v>#REF!</v>
      </c>
      <c r="BA18" s="36" t="e">
        <f t="shared" si="21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2"/>
        <v>#REF!</v>
      </c>
      <c r="AG19" s="36" t="e">
        <f t="shared" si="3"/>
        <v>#REF!</v>
      </c>
      <c r="AH19" s="36" t="e">
        <f t="shared" si="4"/>
        <v>#REF!</v>
      </c>
      <c r="AI19" s="36" t="e">
        <f t="shared" si="5"/>
        <v>#REF!</v>
      </c>
      <c r="AJ19" s="36" t="e">
        <f t="shared" si="6"/>
        <v>#REF!</v>
      </c>
      <c r="AK19" s="36" t="e">
        <f t="shared" si="7"/>
        <v>#REF!</v>
      </c>
      <c r="AL19" s="36" t="e">
        <f t="shared" si="8"/>
        <v>#REF!</v>
      </c>
      <c r="AM19" s="36" t="e">
        <f t="shared" si="9"/>
        <v>#REF!</v>
      </c>
      <c r="AN19" s="36" t="e">
        <f t="shared" si="10"/>
        <v>#REF!</v>
      </c>
      <c r="AO19" s="36" t="e">
        <f t="shared" si="11"/>
        <v>#REF!</v>
      </c>
      <c r="AQ19" s="38"/>
      <c r="AR19" s="36" t="e">
        <f t="shared" si="12"/>
        <v>#REF!</v>
      </c>
      <c r="AS19" s="36" t="e">
        <f t="shared" si="13"/>
        <v>#REF!</v>
      </c>
      <c r="AT19" s="36" t="e">
        <f t="shared" si="14"/>
        <v>#REF!</v>
      </c>
      <c r="AU19" s="36" t="e">
        <f t="shared" si="15"/>
        <v>#REF!</v>
      </c>
      <c r="AV19" s="36" t="e">
        <f t="shared" si="16"/>
        <v>#REF!</v>
      </c>
      <c r="AW19" s="36" t="e">
        <f t="shared" si="17"/>
        <v>#REF!</v>
      </c>
      <c r="AX19" s="36" t="e">
        <f t="shared" si="18"/>
        <v>#REF!</v>
      </c>
      <c r="AY19" s="36" t="e">
        <f t="shared" si="19"/>
        <v>#REF!</v>
      </c>
      <c r="AZ19" s="36" t="e">
        <f t="shared" si="20"/>
        <v>#REF!</v>
      </c>
      <c r="BA19" s="36" t="e">
        <f t="shared" si="21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2"/>
        <v>#REF!</v>
      </c>
      <c r="AG20" s="36" t="e">
        <f t="shared" si="3"/>
        <v>#REF!</v>
      </c>
      <c r="AH20" s="36" t="e">
        <f t="shared" si="4"/>
        <v>#REF!</v>
      </c>
      <c r="AI20" s="36" t="e">
        <f t="shared" si="5"/>
        <v>#REF!</v>
      </c>
      <c r="AJ20" s="36" t="e">
        <f t="shared" si="6"/>
        <v>#REF!</v>
      </c>
      <c r="AK20" s="36" t="e">
        <f t="shared" si="7"/>
        <v>#REF!</v>
      </c>
      <c r="AL20" s="36" t="e">
        <f t="shared" si="8"/>
        <v>#REF!</v>
      </c>
      <c r="AM20" s="36" t="e">
        <f t="shared" si="9"/>
        <v>#REF!</v>
      </c>
      <c r="AN20" s="36" t="e">
        <f t="shared" si="10"/>
        <v>#REF!</v>
      </c>
      <c r="AO20" s="36" t="e">
        <f t="shared" si="11"/>
        <v>#REF!</v>
      </c>
      <c r="AQ20" s="38"/>
      <c r="AR20" s="36" t="e">
        <f t="shared" si="12"/>
        <v>#REF!</v>
      </c>
      <c r="AS20" s="36" t="e">
        <f t="shared" si="13"/>
        <v>#REF!</v>
      </c>
      <c r="AT20" s="36" t="e">
        <f t="shared" si="14"/>
        <v>#REF!</v>
      </c>
      <c r="AU20" s="36" t="e">
        <f t="shared" si="15"/>
        <v>#REF!</v>
      </c>
      <c r="AV20" s="36" t="e">
        <f t="shared" si="16"/>
        <v>#REF!</v>
      </c>
      <c r="AW20" s="36" t="e">
        <f t="shared" si="17"/>
        <v>#REF!</v>
      </c>
      <c r="AX20" s="36" t="e">
        <f t="shared" si="18"/>
        <v>#REF!</v>
      </c>
      <c r="AY20" s="36" t="e">
        <f t="shared" si="19"/>
        <v>#REF!</v>
      </c>
      <c r="AZ20" s="36" t="e">
        <f t="shared" si="20"/>
        <v>#REF!</v>
      </c>
      <c r="BA20" s="36" t="e">
        <f t="shared" si="21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2"/>
        <v>#REF!</v>
      </c>
      <c r="AG21" s="36" t="e">
        <f t="shared" si="3"/>
        <v>#REF!</v>
      </c>
      <c r="AH21" s="36" t="e">
        <f t="shared" si="4"/>
        <v>#REF!</v>
      </c>
      <c r="AI21" s="36" t="e">
        <f t="shared" si="5"/>
        <v>#REF!</v>
      </c>
      <c r="AJ21" s="36" t="e">
        <f t="shared" si="6"/>
        <v>#REF!</v>
      </c>
      <c r="AK21" s="36" t="e">
        <f t="shared" si="7"/>
        <v>#REF!</v>
      </c>
      <c r="AL21" s="36" t="e">
        <f t="shared" si="8"/>
        <v>#REF!</v>
      </c>
      <c r="AM21" s="36" t="e">
        <f t="shared" si="9"/>
        <v>#REF!</v>
      </c>
      <c r="AN21" s="36" t="e">
        <f t="shared" si="10"/>
        <v>#REF!</v>
      </c>
      <c r="AO21" s="36" t="e">
        <f t="shared" si="11"/>
        <v>#REF!</v>
      </c>
      <c r="AQ21" s="38"/>
      <c r="AR21" s="36" t="e">
        <f t="shared" si="12"/>
        <v>#REF!</v>
      </c>
      <c r="AS21" s="36" t="e">
        <f t="shared" si="13"/>
        <v>#REF!</v>
      </c>
      <c r="AT21" s="36" t="e">
        <f t="shared" si="14"/>
        <v>#REF!</v>
      </c>
      <c r="AU21" s="36" t="e">
        <f t="shared" si="15"/>
        <v>#REF!</v>
      </c>
      <c r="AV21" s="36" t="e">
        <f t="shared" si="16"/>
        <v>#REF!</v>
      </c>
      <c r="AW21" s="36" t="e">
        <f t="shared" si="17"/>
        <v>#REF!</v>
      </c>
      <c r="AX21" s="36" t="e">
        <f t="shared" si="18"/>
        <v>#REF!</v>
      </c>
      <c r="AY21" s="36" t="e">
        <f t="shared" si="19"/>
        <v>#REF!</v>
      </c>
      <c r="AZ21" s="36" t="e">
        <f t="shared" si="20"/>
        <v>#REF!</v>
      </c>
      <c r="BA21" s="36" t="e">
        <f t="shared" si="21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2"/>
        <v>#REF!</v>
      </c>
      <c r="AG22" s="36" t="e">
        <f t="shared" si="3"/>
        <v>#REF!</v>
      </c>
      <c r="AH22" s="36" t="e">
        <f t="shared" si="4"/>
        <v>#REF!</v>
      </c>
      <c r="AI22" s="36" t="e">
        <f t="shared" si="5"/>
        <v>#REF!</v>
      </c>
      <c r="AJ22" s="36" t="e">
        <f t="shared" si="6"/>
        <v>#REF!</v>
      </c>
      <c r="AK22" s="36" t="e">
        <f t="shared" si="7"/>
        <v>#REF!</v>
      </c>
      <c r="AL22" s="36" t="e">
        <f t="shared" si="8"/>
        <v>#REF!</v>
      </c>
      <c r="AM22" s="36" t="e">
        <f t="shared" si="9"/>
        <v>#REF!</v>
      </c>
      <c r="AN22" s="36" t="e">
        <f t="shared" si="10"/>
        <v>#REF!</v>
      </c>
      <c r="AO22" s="36" t="e">
        <f t="shared" si="11"/>
        <v>#REF!</v>
      </c>
      <c r="AQ22" s="38"/>
      <c r="AR22" s="36" t="e">
        <f t="shared" si="12"/>
        <v>#REF!</v>
      </c>
      <c r="AS22" s="36" t="e">
        <f t="shared" si="13"/>
        <v>#REF!</v>
      </c>
      <c r="AT22" s="36" t="e">
        <f t="shared" si="14"/>
        <v>#REF!</v>
      </c>
      <c r="AU22" s="36" t="e">
        <f t="shared" si="15"/>
        <v>#REF!</v>
      </c>
      <c r="AV22" s="36" t="e">
        <f t="shared" si="16"/>
        <v>#REF!</v>
      </c>
      <c r="AW22" s="36" t="e">
        <f t="shared" si="17"/>
        <v>#REF!</v>
      </c>
      <c r="AX22" s="36" t="e">
        <f t="shared" si="18"/>
        <v>#REF!</v>
      </c>
      <c r="AY22" s="36" t="e">
        <f t="shared" si="19"/>
        <v>#REF!</v>
      </c>
      <c r="AZ22" s="36" t="e">
        <f t="shared" si="20"/>
        <v>#REF!</v>
      </c>
      <c r="BA22" s="36" t="e">
        <f t="shared" si="21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Q23" s="38"/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F25" s="36" t="e">
        <f t="shared" ref="AF25:AF33" si="22">AF$9*$AC26</f>
        <v>#REF!</v>
      </c>
      <c r="AG25" s="36" t="e">
        <f t="shared" ref="AG25:AG33" si="23">AG$9*$AC26</f>
        <v>#REF!</v>
      </c>
      <c r="AH25" s="36" t="e">
        <f t="shared" ref="AH25:AH33" si="24">AH$9*$AC26</f>
        <v>#REF!</v>
      </c>
      <c r="AI25" s="36" t="e">
        <f t="shared" ref="AI25:AI33" si="25">AI$9*$AC26</f>
        <v>#REF!</v>
      </c>
      <c r="AJ25" s="36" t="e">
        <f t="shared" ref="AJ25:AJ33" si="26">AJ$9*$AC26</f>
        <v>#REF!</v>
      </c>
      <c r="AK25" s="36" t="e">
        <f t="shared" ref="AK25:AK33" si="27">AK$9*$AC26</f>
        <v>#REF!</v>
      </c>
      <c r="AL25" s="36" t="e">
        <f t="shared" ref="AL25:AL33" si="28">AL$9*$AC26</f>
        <v>#REF!</v>
      </c>
      <c r="AM25" s="36" t="e">
        <f t="shared" ref="AM25:AM33" si="29">AM$9*$AC26</f>
        <v>#REF!</v>
      </c>
      <c r="AN25" s="36" t="e">
        <f t="shared" ref="AN25:AN33" si="30">AN$9*$AC26</f>
        <v>#REF!</v>
      </c>
      <c r="AO25" s="36" t="e">
        <f t="shared" ref="AO25:AO33" si="31">AO$9*$AC26</f>
        <v>#REF!</v>
      </c>
      <c r="AQ25" s="38"/>
      <c r="AR25" s="36" t="e">
        <f t="shared" ref="AR25:AR33" si="32">AR$9*$AC26</f>
        <v>#REF!</v>
      </c>
      <c r="AS25" s="36" t="e">
        <f t="shared" ref="AS25:AS33" si="33">AS$9*$AC26</f>
        <v>#REF!</v>
      </c>
      <c r="AT25" s="36" t="e">
        <f t="shared" ref="AT25:AT33" si="34">AT$9*$AC26</f>
        <v>#REF!</v>
      </c>
      <c r="AU25" s="36" t="e">
        <f t="shared" ref="AU25:AU33" si="35">AU$9*$AC26</f>
        <v>#REF!</v>
      </c>
      <c r="AV25" s="36" t="e">
        <f t="shared" ref="AV25:AV33" si="36">AV$9*$AC26</f>
        <v>#REF!</v>
      </c>
      <c r="AW25" s="36" t="e">
        <f t="shared" ref="AW25:AW33" si="37">AW$9*$AC26</f>
        <v>#REF!</v>
      </c>
      <c r="AX25" s="36" t="e">
        <f t="shared" ref="AX25:AX33" si="38">AX$9*$AC26</f>
        <v>#REF!</v>
      </c>
      <c r="AY25" s="36" t="e">
        <f t="shared" ref="AY25:AY33" si="39">AY$9*$AC26</f>
        <v>#REF!</v>
      </c>
      <c r="AZ25" s="36" t="e">
        <f t="shared" ref="AZ25:AZ33" si="40">AZ$9*$AC26</f>
        <v>#REF!</v>
      </c>
      <c r="BA25" s="36" t="e">
        <f t="shared" ref="BA25:BA33" si="41">BA$9*$AC26</f>
        <v>#REF!</v>
      </c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si="22"/>
        <v>#REF!</v>
      </c>
      <c r="AG26" s="36" t="e">
        <f t="shared" si="23"/>
        <v>#REF!</v>
      </c>
      <c r="AH26" s="36" t="e">
        <f t="shared" si="24"/>
        <v>#REF!</v>
      </c>
      <c r="AI26" s="36" t="e">
        <f t="shared" si="25"/>
        <v>#REF!</v>
      </c>
      <c r="AJ26" s="36" t="e">
        <f t="shared" si="26"/>
        <v>#REF!</v>
      </c>
      <c r="AK26" s="36" t="e">
        <f t="shared" si="27"/>
        <v>#REF!</v>
      </c>
      <c r="AL26" s="36" t="e">
        <f t="shared" si="28"/>
        <v>#REF!</v>
      </c>
      <c r="AM26" s="36" t="e">
        <f t="shared" si="29"/>
        <v>#REF!</v>
      </c>
      <c r="AN26" s="36" t="e">
        <f t="shared" si="30"/>
        <v>#REF!</v>
      </c>
      <c r="AO26" s="36" t="e">
        <f t="shared" si="31"/>
        <v>#REF!</v>
      </c>
      <c r="AQ26" s="38"/>
      <c r="AR26" s="36" t="e">
        <f t="shared" si="32"/>
        <v>#REF!</v>
      </c>
      <c r="AS26" s="36" t="e">
        <f t="shared" si="33"/>
        <v>#REF!</v>
      </c>
      <c r="AT26" s="36" t="e">
        <f t="shared" si="34"/>
        <v>#REF!</v>
      </c>
      <c r="AU26" s="36" t="e">
        <f t="shared" si="35"/>
        <v>#REF!</v>
      </c>
      <c r="AV26" s="36" t="e">
        <f t="shared" si="36"/>
        <v>#REF!</v>
      </c>
      <c r="AW26" s="36" t="e">
        <f t="shared" si="37"/>
        <v>#REF!</v>
      </c>
      <c r="AX26" s="36" t="e">
        <f t="shared" si="38"/>
        <v>#REF!</v>
      </c>
      <c r="AY26" s="36" t="e">
        <f t="shared" si="39"/>
        <v>#REF!</v>
      </c>
      <c r="AZ26" s="36" t="e">
        <f t="shared" si="40"/>
        <v>#REF!</v>
      </c>
      <c r="BA26" s="36" t="e">
        <f t="shared" si="41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22"/>
        <v>#REF!</v>
      </c>
      <c r="AG27" s="36" t="e">
        <f t="shared" si="23"/>
        <v>#REF!</v>
      </c>
      <c r="AH27" s="36" t="e">
        <f t="shared" si="24"/>
        <v>#REF!</v>
      </c>
      <c r="AI27" s="36" t="e">
        <f t="shared" si="25"/>
        <v>#REF!</v>
      </c>
      <c r="AJ27" s="36" t="e">
        <f t="shared" si="26"/>
        <v>#REF!</v>
      </c>
      <c r="AK27" s="36" t="e">
        <f t="shared" si="27"/>
        <v>#REF!</v>
      </c>
      <c r="AL27" s="36" t="e">
        <f t="shared" si="28"/>
        <v>#REF!</v>
      </c>
      <c r="AM27" s="36" t="e">
        <f t="shared" si="29"/>
        <v>#REF!</v>
      </c>
      <c r="AN27" s="36" t="e">
        <f t="shared" si="30"/>
        <v>#REF!</v>
      </c>
      <c r="AO27" s="36" t="e">
        <f t="shared" si="31"/>
        <v>#REF!</v>
      </c>
      <c r="AQ27" s="38"/>
      <c r="AR27" s="36" t="e">
        <f t="shared" si="32"/>
        <v>#REF!</v>
      </c>
      <c r="AS27" s="36" t="e">
        <f t="shared" si="33"/>
        <v>#REF!</v>
      </c>
      <c r="AT27" s="36" t="e">
        <f t="shared" si="34"/>
        <v>#REF!</v>
      </c>
      <c r="AU27" s="36" t="e">
        <f t="shared" si="35"/>
        <v>#REF!</v>
      </c>
      <c r="AV27" s="36" t="e">
        <f t="shared" si="36"/>
        <v>#REF!</v>
      </c>
      <c r="AW27" s="36" t="e">
        <f t="shared" si="37"/>
        <v>#REF!</v>
      </c>
      <c r="AX27" s="36" t="e">
        <f t="shared" si="38"/>
        <v>#REF!</v>
      </c>
      <c r="AY27" s="36" t="e">
        <f t="shared" si="39"/>
        <v>#REF!</v>
      </c>
      <c r="AZ27" s="36" t="e">
        <f t="shared" si="40"/>
        <v>#REF!</v>
      </c>
      <c r="BA27" s="36" t="e">
        <f t="shared" si="41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22"/>
        <v>#REF!</v>
      </c>
      <c r="AG28" s="36" t="e">
        <f t="shared" si="23"/>
        <v>#REF!</v>
      </c>
      <c r="AH28" s="36" t="e">
        <f t="shared" si="24"/>
        <v>#REF!</v>
      </c>
      <c r="AI28" s="36" t="e">
        <f t="shared" si="25"/>
        <v>#REF!</v>
      </c>
      <c r="AJ28" s="36" t="e">
        <f t="shared" si="26"/>
        <v>#REF!</v>
      </c>
      <c r="AK28" s="36" t="e">
        <f t="shared" si="27"/>
        <v>#REF!</v>
      </c>
      <c r="AL28" s="36" t="e">
        <f t="shared" si="28"/>
        <v>#REF!</v>
      </c>
      <c r="AM28" s="36" t="e">
        <f t="shared" si="29"/>
        <v>#REF!</v>
      </c>
      <c r="AN28" s="36" t="e">
        <f t="shared" si="30"/>
        <v>#REF!</v>
      </c>
      <c r="AO28" s="36" t="e">
        <f t="shared" si="31"/>
        <v>#REF!</v>
      </c>
      <c r="AQ28" s="38"/>
      <c r="AR28" s="36" t="e">
        <f t="shared" si="32"/>
        <v>#REF!</v>
      </c>
      <c r="AS28" s="36" t="e">
        <f t="shared" si="33"/>
        <v>#REF!</v>
      </c>
      <c r="AT28" s="36" t="e">
        <f t="shared" si="34"/>
        <v>#REF!</v>
      </c>
      <c r="AU28" s="36" t="e">
        <f t="shared" si="35"/>
        <v>#REF!</v>
      </c>
      <c r="AV28" s="36" t="e">
        <f t="shared" si="36"/>
        <v>#REF!</v>
      </c>
      <c r="AW28" s="36" t="e">
        <f t="shared" si="37"/>
        <v>#REF!</v>
      </c>
      <c r="AX28" s="36" t="e">
        <f t="shared" si="38"/>
        <v>#REF!</v>
      </c>
      <c r="AY28" s="36" t="e">
        <f t="shared" si="39"/>
        <v>#REF!</v>
      </c>
      <c r="AZ28" s="36" t="e">
        <f t="shared" si="40"/>
        <v>#REF!</v>
      </c>
      <c r="BA28" s="36" t="e">
        <f t="shared" si="41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22"/>
        <v>#REF!</v>
      </c>
      <c r="AG29" s="36" t="e">
        <f t="shared" si="23"/>
        <v>#REF!</v>
      </c>
      <c r="AH29" s="36" t="e">
        <f t="shared" si="24"/>
        <v>#REF!</v>
      </c>
      <c r="AI29" s="36" t="e">
        <f t="shared" si="25"/>
        <v>#REF!</v>
      </c>
      <c r="AJ29" s="36" t="e">
        <f t="shared" si="26"/>
        <v>#REF!</v>
      </c>
      <c r="AK29" s="36" t="e">
        <f t="shared" si="27"/>
        <v>#REF!</v>
      </c>
      <c r="AL29" s="36" t="e">
        <f t="shared" si="28"/>
        <v>#REF!</v>
      </c>
      <c r="AM29" s="36" t="e">
        <f t="shared" si="29"/>
        <v>#REF!</v>
      </c>
      <c r="AN29" s="36" t="e">
        <f t="shared" si="30"/>
        <v>#REF!</v>
      </c>
      <c r="AO29" s="36" t="e">
        <f t="shared" si="31"/>
        <v>#REF!</v>
      </c>
      <c r="AQ29" s="38"/>
      <c r="AR29" s="36" t="e">
        <f t="shared" si="32"/>
        <v>#REF!</v>
      </c>
      <c r="AS29" s="36" t="e">
        <f t="shared" si="33"/>
        <v>#REF!</v>
      </c>
      <c r="AT29" s="36" t="e">
        <f t="shared" si="34"/>
        <v>#REF!</v>
      </c>
      <c r="AU29" s="36" t="e">
        <f t="shared" si="35"/>
        <v>#REF!</v>
      </c>
      <c r="AV29" s="36" t="e">
        <f t="shared" si="36"/>
        <v>#REF!</v>
      </c>
      <c r="AW29" s="36" t="e">
        <f t="shared" si="37"/>
        <v>#REF!</v>
      </c>
      <c r="AX29" s="36" t="e">
        <f t="shared" si="38"/>
        <v>#REF!</v>
      </c>
      <c r="AY29" s="36" t="e">
        <f t="shared" si="39"/>
        <v>#REF!</v>
      </c>
      <c r="AZ29" s="36" t="e">
        <f t="shared" si="40"/>
        <v>#REF!</v>
      </c>
      <c r="BA29" s="36" t="e">
        <f t="shared" si="41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22"/>
        <v>#REF!</v>
      </c>
      <c r="AG30" s="36" t="e">
        <f t="shared" si="23"/>
        <v>#REF!</v>
      </c>
      <c r="AH30" s="36" t="e">
        <f t="shared" si="24"/>
        <v>#REF!</v>
      </c>
      <c r="AI30" s="36" t="e">
        <f t="shared" si="25"/>
        <v>#REF!</v>
      </c>
      <c r="AJ30" s="36" t="e">
        <f t="shared" si="26"/>
        <v>#REF!</v>
      </c>
      <c r="AK30" s="36" t="e">
        <f t="shared" si="27"/>
        <v>#REF!</v>
      </c>
      <c r="AL30" s="36" t="e">
        <f t="shared" si="28"/>
        <v>#REF!</v>
      </c>
      <c r="AM30" s="36" t="e">
        <f t="shared" si="29"/>
        <v>#REF!</v>
      </c>
      <c r="AN30" s="36" t="e">
        <f t="shared" si="30"/>
        <v>#REF!</v>
      </c>
      <c r="AO30" s="36" t="e">
        <f t="shared" si="31"/>
        <v>#REF!</v>
      </c>
      <c r="AQ30" s="38"/>
      <c r="AR30" s="36" t="e">
        <f t="shared" si="32"/>
        <v>#REF!</v>
      </c>
      <c r="AS30" s="36" t="e">
        <f t="shared" si="33"/>
        <v>#REF!</v>
      </c>
      <c r="AT30" s="36" t="e">
        <f t="shared" si="34"/>
        <v>#REF!</v>
      </c>
      <c r="AU30" s="36" t="e">
        <f t="shared" si="35"/>
        <v>#REF!</v>
      </c>
      <c r="AV30" s="36" t="e">
        <f t="shared" si="36"/>
        <v>#REF!</v>
      </c>
      <c r="AW30" s="36" t="e">
        <f t="shared" si="37"/>
        <v>#REF!</v>
      </c>
      <c r="AX30" s="36" t="e">
        <f t="shared" si="38"/>
        <v>#REF!</v>
      </c>
      <c r="AY30" s="36" t="e">
        <f t="shared" si="39"/>
        <v>#REF!</v>
      </c>
      <c r="AZ30" s="36" t="e">
        <f t="shared" si="40"/>
        <v>#REF!</v>
      </c>
      <c r="BA30" s="36" t="e">
        <f t="shared" si="41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22"/>
        <v>#REF!</v>
      </c>
      <c r="AG31" s="36" t="e">
        <f t="shared" si="23"/>
        <v>#REF!</v>
      </c>
      <c r="AH31" s="36" t="e">
        <f t="shared" si="24"/>
        <v>#REF!</v>
      </c>
      <c r="AI31" s="36" t="e">
        <f t="shared" si="25"/>
        <v>#REF!</v>
      </c>
      <c r="AJ31" s="36" t="e">
        <f t="shared" si="26"/>
        <v>#REF!</v>
      </c>
      <c r="AK31" s="36" t="e">
        <f t="shared" si="27"/>
        <v>#REF!</v>
      </c>
      <c r="AL31" s="36" t="e">
        <f t="shared" si="28"/>
        <v>#REF!</v>
      </c>
      <c r="AM31" s="36" t="e">
        <f t="shared" si="29"/>
        <v>#REF!</v>
      </c>
      <c r="AN31" s="36" t="e">
        <f t="shared" si="30"/>
        <v>#REF!</v>
      </c>
      <c r="AO31" s="36" t="e">
        <f t="shared" si="31"/>
        <v>#REF!</v>
      </c>
      <c r="AQ31" s="38"/>
      <c r="AR31" s="36" t="e">
        <f t="shared" si="32"/>
        <v>#REF!</v>
      </c>
      <c r="AS31" s="36" t="e">
        <f t="shared" si="33"/>
        <v>#REF!</v>
      </c>
      <c r="AT31" s="36" t="e">
        <f t="shared" si="34"/>
        <v>#REF!</v>
      </c>
      <c r="AU31" s="36" t="e">
        <f t="shared" si="35"/>
        <v>#REF!</v>
      </c>
      <c r="AV31" s="36" t="e">
        <f t="shared" si="36"/>
        <v>#REF!</v>
      </c>
      <c r="AW31" s="36" t="e">
        <f t="shared" si="37"/>
        <v>#REF!</v>
      </c>
      <c r="AX31" s="36" t="e">
        <f t="shared" si="38"/>
        <v>#REF!</v>
      </c>
      <c r="AY31" s="36" t="e">
        <f t="shared" si="39"/>
        <v>#REF!</v>
      </c>
      <c r="AZ31" s="36" t="e">
        <f t="shared" si="40"/>
        <v>#REF!</v>
      </c>
      <c r="BA31" s="36" t="e">
        <f t="shared" si="41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22"/>
        <v>#REF!</v>
      </c>
      <c r="AG32" s="36" t="e">
        <f t="shared" si="23"/>
        <v>#REF!</v>
      </c>
      <c r="AH32" s="36" t="e">
        <f t="shared" si="24"/>
        <v>#REF!</v>
      </c>
      <c r="AI32" s="36" t="e">
        <f t="shared" si="25"/>
        <v>#REF!</v>
      </c>
      <c r="AJ32" s="36" t="e">
        <f t="shared" si="26"/>
        <v>#REF!</v>
      </c>
      <c r="AK32" s="36" t="e">
        <f t="shared" si="27"/>
        <v>#REF!</v>
      </c>
      <c r="AL32" s="36" t="e">
        <f t="shared" si="28"/>
        <v>#REF!</v>
      </c>
      <c r="AM32" s="36" t="e">
        <f t="shared" si="29"/>
        <v>#REF!</v>
      </c>
      <c r="AN32" s="36" t="e">
        <f t="shared" si="30"/>
        <v>#REF!</v>
      </c>
      <c r="AO32" s="36" t="e">
        <f t="shared" si="31"/>
        <v>#REF!</v>
      </c>
      <c r="AQ32" s="38"/>
      <c r="AR32" s="36" t="e">
        <f t="shared" si="32"/>
        <v>#REF!</v>
      </c>
      <c r="AS32" s="36" t="e">
        <f t="shared" si="33"/>
        <v>#REF!</v>
      </c>
      <c r="AT32" s="36" t="e">
        <f t="shared" si="34"/>
        <v>#REF!</v>
      </c>
      <c r="AU32" s="36" t="e">
        <f t="shared" si="35"/>
        <v>#REF!</v>
      </c>
      <c r="AV32" s="36" t="e">
        <f t="shared" si="36"/>
        <v>#REF!</v>
      </c>
      <c r="AW32" s="36" t="e">
        <f t="shared" si="37"/>
        <v>#REF!</v>
      </c>
      <c r="AX32" s="36" t="e">
        <f t="shared" si="38"/>
        <v>#REF!</v>
      </c>
      <c r="AY32" s="36" t="e">
        <f t="shared" si="39"/>
        <v>#REF!</v>
      </c>
      <c r="AZ32" s="36" t="e">
        <f t="shared" si="40"/>
        <v>#REF!</v>
      </c>
      <c r="BA32" s="36" t="e">
        <f t="shared" si="41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22"/>
        <v>#REF!</v>
      </c>
      <c r="AG33" s="36" t="e">
        <f t="shared" si="23"/>
        <v>#REF!</v>
      </c>
      <c r="AH33" s="36" t="e">
        <f t="shared" si="24"/>
        <v>#REF!</v>
      </c>
      <c r="AI33" s="36" t="e">
        <f t="shared" si="25"/>
        <v>#REF!</v>
      </c>
      <c r="AJ33" s="36" t="e">
        <f t="shared" si="26"/>
        <v>#REF!</v>
      </c>
      <c r="AK33" s="36" t="e">
        <f t="shared" si="27"/>
        <v>#REF!</v>
      </c>
      <c r="AL33" s="36" t="e">
        <f t="shared" si="28"/>
        <v>#REF!</v>
      </c>
      <c r="AM33" s="36" t="e">
        <f t="shared" si="29"/>
        <v>#REF!</v>
      </c>
      <c r="AN33" s="36" t="e">
        <f t="shared" si="30"/>
        <v>#REF!</v>
      </c>
      <c r="AO33" s="36" t="e">
        <f t="shared" si="31"/>
        <v>#REF!</v>
      </c>
      <c r="AQ33" s="38"/>
      <c r="AR33" s="36" t="e">
        <f t="shared" si="32"/>
        <v>#REF!</v>
      </c>
      <c r="AS33" s="36" t="e">
        <f t="shared" si="33"/>
        <v>#REF!</v>
      </c>
      <c r="AT33" s="36" t="e">
        <f t="shared" si="34"/>
        <v>#REF!</v>
      </c>
      <c r="AU33" s="36" t="e">
        <f t="shared" si="35"/>
        <v>#REF!</v>
      </c>
      <c r="AV33" s="36" t="e">
        <f t="shared" si="36"/>
        <v>#REF!</v>
      </c>
      <c r="AW33" s="36" t="e">
        <f t="shared" si="37"/>
        <v>#REF!</v>
      </c>
      <c r="AX33" s="36" t="e">
        <f t="shared" si="38"/>
        <v>#REF!</v>
      </c>
      <c r="AY33" s="36" t="e">
        <f t="shared" si="39"/>
        <v>#REF!</v>
      </c>
      <c r="AZ33" s="36" t="e">
        <f t="shared" si="40"/>
        <v>#REF!</v>
      </c>
      <c r="BA33" s="36" t="e">
        <f t="shared" si="41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Q34" s="38"/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F36" s="36" t="e">
        <f t="shared" ref="AF36:AF44" si="42">AF$9*$AC37</f>
        <v>#REF!</v>
      </c>
      <c r="AG36" s="36" t="e">
        <f t="shared" ref="AG36:AG44" si="43">AG$9*$AC37</f>
        <v>#REF!</v>
      </c>
      <c r="AH36" s="36" t="e">
        <f t="shared" ref="AH36:AH44" si="44">AH$9*$AC37</f>
        <v>#REF!</v>
      </c>
      <c r="AI36" s="36" t="e">
        <f t="shared" ref="AI36:AI44" si="45">AI$9*$AC37</f>
        <v>#REF!</v>
      </c>
      <c r="AJ36" s="36" t="e">
        <f t="shared" ref="AJ36:AJ44" si="46">AJ$9*$AC37</f>
        <v>#REF!</v>
      </c>
      <c r="AK36" s="36" t="e">
        <f t="shared" ref="AK36:AK44" si="47">AK$9*$AC37</f>
        <v>#REF!</v>
      </c>
      <c r="AL36" s="36" t="e">
        <f t="shared" ref="AL36:AL44" si="48">AL$9*$AC37</f>
        <v>#REF!</v>
      </c>
      <c r="AM36" s="36" t="e">
        <f t="shared" ref="AM36:AM44" si="49">AM$9*$AC37</f>
        <v>#REF!</v>
      </c>
      <c r="AN36" s="36" t="e">
        <f t="shared" ref="AN36:AN44" si="50">AN$9*$AC37</f>
        <v>#REF!</v>
      </c>
      <c r="AO36" s="36" t="e">
        <f t="shared" ref="AO36:AO44" si="51">AO$9*$AC37</f>
        <v>#REF!</v>
      </c>
      <c r="AQ36" s="38"/>
      <c r="AR36" s="36" t="e">
        <f t="shared" ref="AR36:AR44" si="52">AR$9*$AC37</f>
        <v>#REF!</v>
      </c>
      <c r="AS36" s="36" t="e">
        <f t="shared" ref="AS36:AS44" si="53">AS$9*$AC37</f>
        <v>#REF!</v>
      </c>
      <c r="AT36" s="36" t="e">
        <f t="shared" ref="AT36:AT44" si="54">AT$9*$AC37</f>
        <v>#REF!</v>
      </c>
      <c r="AU36" s="36" t="e">
        <f t="shared" ref="AU36:AU44" si="55">AU$9*$AC37</f>
        <v>#REF!</v>
      </c>
      <c r="AV36" s="36" t="e">
        <f t="shared" ref="AV36:AV44" si="56">AV$9*$AC37</f>
        <v>#REF!</v>
      </c>
      <c r="AW36" s="36" t="e">
        <f t="shared" ref="AW36:AW44" si="57">AW$9*$AC37</f>
        <v>#REF!</v>
      </c>
      <c r="AX36" s="36" t="e">
        <f t="shared" ref="AX36:AX44" si="58">AX$9*$AC37</f>
        <v>#REF!</v>
      </c>
      <c r="AY36" s="36" t="e">
        <f t="shared" ref="AY36:AY44" si="59">AY$9*$AC37</f>
        <v>#REF!</v>
      </c>
      <c r="AZ36" s="36" t="e">
        <f t="shared" ref="AZ36:AZ44" si="60">AZ$9*$AC37</f>
        <v>#REF!</v>
      </c>
      <c r="BA36" s="36" t="e">
        <f t="shared" ref="BA36:BA44" si="61">BA$9*$AC37</f>
        <v>#REF!</v>
      </c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si="42"/>
        <v>#REF!</v>
      </c>
      <c r="AG37" s="36" t="e">
        <f t="shared" si="43"/>
        <v>#REF!</v>
      </c>
      <c r="AH37" s="36" t="e">
        <f t="shared" si="44"/>
        <v>#REF!</v>
      </c>
      <c r="AI37" s="36" t="e">
        <f t="shared" si="45"/>
        <v>#REF!</v>
      </c>
      <c r="AJ37" s="36" t="e">
        <f t="shared" si="46"/>
        <v>#REF!</v>
      </c>
      <c r="AK37" s="36" t="e">
        <f t="shared" si="47"/>
        <v>#REF!</v>
      </c>
      <c r="AL37" s="36" t="e">
        <f t="shared" si="48"/>
        <v>#REF!</v>
      </c>
      <c r="AM37" s="36" t="e">
        <f t="shared" si="49"/>
        <v>#REF!</v>
      </c>
      <c r="AN37" s="36" t="e">
        <f t="shared" si="50"/>
        <v>#REF!</v>
      </c>
      <c r="AO37" s="36" t="e">
        <f t="shared" si="51"/>
        <v>#REF!</v>
      </c>
      <c r="AQ37" s="38"/>
      <c r="AR37" s="36" t="e">
        <f t="shared" si="52"/>
        <v>#REF!</v>
      </c>
      <c r="AS37" s="36" t="e">
        <f t="shared" si="53"/>
        <v>#REF!</v>
      </c>
      <c r="AT37" s="36" t="e">
        <f t="shared" si="54"/>
        <v>#REF!</v>
      </c>
      <c r="AU37" s="36" t="e">
        <f t="shared" si="55"/>
        <v>#REF!</v>
      </c>
      <c r="AV37" s="36" t="e">
        <f t="shared" si="56"/>
        <v>#REF!</v>
      </c>
      <c r="AW37" s="36" t="e">
        <f t="shared" si="57"/>
        <v>#REF!</v>
      </c>
      <c r="AX37" s="36" t="e">
        <f t="shared" si="58"/>
        <v>#REF!</v>
      </c>
      <c r="AY37" s="36" t="e">
        <f t="shared" si="59"/>
        <v>#REF!</v>
      </c>
      <c r="AZ37" s="36" t="e">
        <f t="shared" si="60"/>
        <v>#REF!</v>
      </c>
      <c r="BA37" s="36" t="e">
        <f t="shared" si="61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42"/>
        <v>#REF!</v>
      </c>
      <c r="AG38" s="36" t="e">
        <f t="shared" si="43"/>
        <v>#REF!</v>
      </c>
      <c r="AH38" s="36" t="e">
        <f t="shared" si="44"/>
        <v>#REF!</v>
      </c>
      <c r="AI38" s="36" t="e">
        <f t="shared" si="45"/>
        <v>#REF!</v>
      </c>
      <c r="AJ38" s="36" t="e">
        <f t="shared" si="46"/>
        <v>#REF!</v>
      </c>
      <c r="AK38" s="36" t="e">
        <f t="shared" si="47"/>
        <v>#REF!</v>
      </c>
      <c r="AL38" s="36" t="e">
        <f t="shared" si="48"/>
        <v>#REF!</v>
      </c>
      <c r="AM38" s="36" t="e">
        <f t="shared" si="49"/>
        <v>#REF!</v>
      </c>
      <c r="AN38" s="36" t="e">
        <f t="shared" si="50"/>
        <v>#REF!</v>
      </c>
      <c r="AO38" s="36" t="e">
        <f t="shared" si="51"/>
        <v>#REF!</v>
      </c>
      <c r="AQ38" s="38"/>
      <c r="AR38" s="36" t="e">
        <f t="shared" si="52"/>
        <v>#REF!</v>
      </c>
      <c r="AS38" s="36" t="e">
        <f t="shared" si="53"/>
        <v>#REF!</v>
      </c>
      <c r="AT38" s="36" t="e">
        <f t="shared" si="54"/>
        <v>#REF!</v>
      </c>
      <c r="AU38" s="36" t="e">
        <f t="shared" si="55"/>
        <v>#REF!</v>
      </c>
      <c r="AV38" s="36" t="e">
        <f t="shared" si="56"/>
        <v>#REF!</v>
      </c>
      <c r="AW38" s="36" t="e">
        <f t="shared" si="57"/>
        <v>#REF!</v>
      </c>
      <c r="AX38" s="36" t="e">
        <f t="shared" si="58"/>
        <v>#REF!</v>
      </c>
      <c r="AY38" s="36" t="e">
        <f t="shared" si="59"/>
        <v>#REF!</v>
      </c>
      <c r="AZ38" s="36" t="e">
        <f t="shared" si="60"/>
        <v>#REF!</v>
      </c>
      <c r="BA38" s="36" t="e">
        <f t="shared" si="61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42"/>
        <v>#REF!</v>
      </c>
      <c r="AG39" s="36" t="e">
        <f t="shared" si="43"/>
        <v>#REF!</v>
      </c>
      <c r="AH39" s="36" t="e">
        <f t="shared" si="44"/>
        <v>#REF!</v>
      </c>
      <c r="AI39" s="36" t="e">
        <f t="shared" si="45"/>
        <v>#REF!</v>
      </c>
      <c r="AJ39" s="36" t="e">
        <f t="shared" si="46"/>
        <v>#REF!</v>
      </c>
      <c r="AK39" s="36" t="e">
        <f t="shared" si="47"/>
        <v>#REF!</v>
      </c>
      <c r="AL39" s="36" t="e">
        <f t="shared" si="48"/>
        <v>#REF!</v>
      </c>
      <c r="AM39" s="36" t="e">
        <f t="shared" si="49"/>
        <v>#REF!</v>
      </c>
      <c r="AN39" s="36" t="e">
        <f t="shared" si="50"/>
        <v>#REF!</v>
      </c>
      <c r="AO39" s="36" t="e">
        <f t="shared" si="51"/>
        <v>#REF!</v>
      </c>
      <c r="AQ39" s="38"/>
      <c r="AR39" s="36" t="e">
        <f t="shared" si="52"/>
        <v>#REF!</v>
      </c>
      <c r="AS39" s="36" t="e">
        <f t="shared" si="53"/>
        <v>#REF!</v>
      </c>
      <c r="AT39" s="36" t="e">
        <f t="shared" si="54"/>
        <v>#REF!</v>
      </c>
      <c r="AU39" s="36" t="e">
        <f t="shared" si="55"/>
        <v>#REF!</v>
      </c>
      <c r="AV39" s="36" t="e">
        <f t="shared" si="56"/>
        <v>#REF!</v>
      </c>
      <c r="AW39" s="36" t="e">
        <f t="shared" si="57"/>
        <v>#REF!</v>
      </c>
      <c r="AX39" s="36" t="e">
        <f t="shared" si="58"/>
        <v>#REF!</v>
      </c>
      <c r="AY39" s="36" t="e">
        <f t="shared" si="59"/>
        <v>#REF!</v>
      </c>
      <c r="AZ39" s="36" t="e">
        <f t="shared" si="60"/>
        <v>#REF!</v>
      </c>
      <c r="BA39" s="36" t="e">
        <f t="shared" si="61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42"/>
        <v>#REF!</v>
      </c>
      <c r="AG40" s="36" t="e">
        <f t="shared" si="43"/>
        <v>#REF!</v>
      </c>
      <c r="AH40" s="36" t="e">
        <f t="shared" si="44"/>
        <v>#REF!</v>
      </c>
      <c r="AI40" s="36" t="e">
        <f t="shared" si="45"/>
        <v>#REF!</v>
      </c>
      <c r="AJ40" s="36" t="e">
        <f t="shared" si="46"/>
        <v>#REF!</v>
      </c>
      <c r="AK40" s="36" t="e">
        <f t="shared" si="47"/>
        <v>#REF!</v>
      </c>
      <c r="AL40" s="36" t="e">
        <f t="shared" si="48"/>
        <v>#REF!</v>
      </c>
      <c r="AM40" s="36" t="e">
        <f t="shared" si="49"/>
        <v>#REF!</v>
      </c>
      <c r="AN40" s="36" t="e">
        <f t="shared" si="50"/>
        <v>#REF!</v>
      </c>
      <c r="AO40" s="36" t="e">
        <f t="shared" si="51"/>
        <v>#REF!</v>
      </c>
      <c r="AQ40" s="38"/>
      <c r="AR40" s="36" t="e">
        <f t="shared" si="52"/>
        <v>#REF!</v>
      </c>
      <c r="AS40" s="36" t="e">
        <f t="shared" si="53"/>
        <v>#REF!</v>
      </c>
      <c r="AT40" s="36" t="e">
        <f t="shared" si="54"/>
        <v>#REF!</v>
      </c>
      <c r="AU40" s="36" t="e">
        <f t="shared" si="55"/>
        <v>#REF!</v>
      </c>
      <c r="AV40" s="36" t="e">
        <f t="shared" si="56"/>
        <v>#REF!</v>
      </c>
      <c r="AW40" s="36" t="e">
        <f t="shared" si="57"/>
        <v>#REF!</v>
      </c>
      <c r="AX40" s="36" t="e">
        <f t="shared" si="58"/>
        <v>#REF!</v>
      </c>
      <c r="AY40" s="36" t="e">
        <f t="shared" si="59"/>
        <v>#REF!</v>
      </c>
      <c r="AZ40" s="36" t="e">
        <f t="shared" si="60"/>
        <v>#REF!</v>
      </c>
      <c r="BA40" s="36" t="e">
        <f t="shared" si="61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42"/>
        <v>#REF!</v>
      </c>
      <c r="AG41" s="36" t="e">
        <f t="shared" si="43"/>
        <v>#REF!</v>
      </c>
      <c r="AH41" s="36" t="e">
        <f t="shared" si="44"/>
        <v>#REF!</v>
      </c>
      <c r="AI41" s="36" t="e">
        <f t="shared" si="45"/>
        <v>#REF!</v>
      </c>
      <c r="AJ41" s="36" t="e">
        <f t="shared" si="46"/>
        <v>#REF!</v>
      </c>
      <c r="AK41" s="36" t="e">
        <f t="shared" si="47"/>
        <v>#REF!</v>
      </c>
      <c r="AL41" s="36" t="e">
        <f t="shared" si="48"/>
        <v>#REF!</v>
      </c>
      <c r="AM41" s="36" t="e">
        <f t="shared" si="49"/>
        <v>#REF!</v>
      </c>
      <c r="AN41" s="36" t="e">
        <f t="shared" si="50"/>
        <v>#REF!</v>
      </c>
      <c r="AO41" s="36" t="e">
        <f t="shared" si="51"/>
        <v>#REF!</v>
      </c>
      <c r="AQ41" s="38"/>
      <c r="AR41" s="36" t="e">
        <f t="shared" si="52"/>
        <v>#REF!</v>
      </c>
      <c r="AS41" s="36" t="e">
        <f t="shared" si="53"/>
        <v>#REF!</v>
      </c>
      <c r="AT41" s="36" t="e">
        <f t="shared" si="54"/>
        <v>#REF!</v>
      </c>
      <c r="AU41" s="36" t="e">
        <f t="shared" si="55"/>
        <v>#REF!</v>
      </c>
      <c r="AV41" s="36" t="e">
        <f t="shared" si="56"/>
        <v>#REF!</v>
      </c>
      <c r="AW41" s="36" t="e">
        <f t="shared" si="57"/>
        <v>#REF!</v>
      </c>
      <c r="AX41" s="36" t="e">
        <f t="shared" si="58"/>
        <v>#REF!</v>
      </c>
      <c r="AY41" s="36" t="e">
        <f t="shared" si="59"/>
        <v>#REF!</v>
      </c>
      <c r="AZ41" s="36" t="e">
        <f t="shared" si="60"/>
        <v>#REF!</v>
      </c>
      <c r="BA41" s="36" t="e">
        <f t="shared" si="61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42"/>
        <v>#REF!</v>
      </c>
      <c r="AG42" s="36" t="e">
        <f t="shared" si="43"/>
        <v>#REF!</v>
      </c>
      <c r="AH42" s="36" t="e">
        <f t="shared" si="44"/>
        <v>#REF!</v>
      </c>
      <c r="AI42" s="36" t="e">
        <f t="shared" si="45"/>
        <v>#REF!</v>
      </c>
      <c r="AJ42" s="36" t="e">
        <f t="shared" si="46"/>
        <v>#REF!</v>
      </c>
      <c r="AK42" s="36" t="e">
        <f t="shared" si="47"/>
        <v>#REF!</v>
      </c>
      <c r="AL42" s="36" t="e">
        <f t="shared" si="48"/>
        <v>#REF!</v>
      </c>
      <c r="AM42" s="36" t="e">
        <f t="shared" si="49"/>
        <v>#REF!</v>
      </c>
      <c r="AN42" s="36" t="e">
        <f t="shared" si="50"/>
        <v>#REF!</v>
      </c>
      <c r="AO42" s="36" t="e">
        <f t="shared" si="51"/>
        <v>#REF!</v>
      </c>
      <c r="AQ42" s="38"/>
      <c r="AR42" s="36" t="e">
        <f t="shared" si="52"/>
        <v>#REF!</v>
      </c>
      <c r="AS42" s="36" t="e">
        <f t="shared" si="53"/>
        <v>#REF!</v>
      </c>
      <c r="AT42" s="36" t="e">
        <f t="shared" si="54"/>
        <v>#REF!</v>
      </c>
      <c r="AU42" s="36" t="e">
        <f t="shared" si="55"/>
        <v>#REF!</v>
      </c>
      <c r="AV42" s="36" t="e">
        <f t="shared" si="56"/>
        <v>#REF!</v>
      </c>
      <c r="AW42" s="36" t="e">
        <f t="shared" si="57"/>
        <v>#REF!</v>
      </c>
      <c r="AX42" s="36" t="e">
        <f t="shared" si="58"/>
        <v>#REF!</v>
      </c>
      <c r="AY42" s="36" t="e">
        <f t="shared" si="59"/>
        <v>#REF!</v>
      </c>
      <c r="AZ42" s="36" t="e">
        <f t="shared" si="60"/>
        <v>#REF!</v>
      </c>
      <c r="BA42" s="36" t="e">
        <f t="shared" si="61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42"/>
        <v>#REF!</v>
      </c>
      <c r="AG43" s="36" t="e">
        <f t="shared" si="43"/>
        <v>#REF!</v>
      </c>
      <c r="AH43" s="36" t="e">
        <f t="shared" si="44"/>
        <v>#REF!</v>
      </c>
      <c r="AI43" s="36" t="e">
        <f t="shared" si="45"/>
        <v>#REF!</v>
      </c>
      <c r="AJ43" s="36" t="e">
        <f t="shared" si="46"/>
        <v>#REF!</v>
      </c>
      <c r="AK43" s="36" t="e">
        <f t="shared" si="47"/>
        <v>#REF!</v>
      </c>
      <c r="AL43" s="36" t="e">
        <f t="shared" si="48"/>
        <v>#REF!</v>
      </c>
      <c r="AM43" s="36" t="e">
        <f t="shared" si="49"/>
        <v>#REF!</v>
      </c>
      <c r="AN43" s="36" t="e">
        <f t="shared" si="50"/>
        <v>#REF!</v>
      </c>
      <c r="AO43" s="36" t="e">
        <f t="shared" si="51"/>
        <v>#REF!</v>
      </c>
      <c r="AQ43" s="38"/>
      <c r="AR43" s="36" t="e">
        <f t="shared" si="52"/>
        <v>#REF!</v>
      </c>
      <c r="AS43" s="36" t="e">
        <f t="shared" si="53"/>
        <v>#REF!</v>
      </c>
      <c r="AT43" s="36" t="e">
        <f t="shared" si="54"/>
        <v>#REF!</v>
      </c>
      <c r="AU43" s="36" t="e">
        <f t="shared" si="55"/>
        <v>#REF!</v>
      </c>
      <c r="AV43" s="36" t="e">
        <f t="shared" si="56"/>
        <v>#REF!</v>
      </c>
      <c r="AW43" s="36" t="e">
        <f t="shared" si="57"/>
        <v>#REF!</v>
      </c>
      <c r="AX43" s="36" t="e">
        <f t="shared" si="58"/>
        <v>#REF!</v>
      </c>
      <c r="AY43" s="36" t="e">
        <f t="shared" si="59"/>
        <v>#REF!</v>
      </c>
      <c r="AZ43" s="36" t="e">
        <f t="shared" si="60"/>
        <v>#REF!</v>
      </c>
      <c r="BA43" s="36" t="e">
        <f t="shared" si="61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42"/>
        <v>#REF!</v>
      </c>
      <c r="AG44" s="36" t="e">
        <f t="shared" si="43"/>
        <v>#REF!</v>
      </c>
      <c r="AH44" s="36" t="e">
        <f t="shared" si="44"/>
        <v>#REF!</v>
      </c>
      <c r="AI44" s="36" t="e">
        <f t="shared" si="45"/>
        <v>#REF!</v>
      </c>
      <c r="AJ44" s="36" t="e">
        <f t="shared" si="46"/>
        <v>#REF!</v>
      </c>
      <c r="AK44" s="36" t="e">
        <f t="shared" si="47"/>
        <v>#REF!</v>
      </c>
      <c r="AL44" s="36" t="e">
        <f t="shared" si="48"/>
        <v>#REF!</v>
      </c>
      <c r="AM44" s="36" t="e">
        <f t="shared" si="49"/>
        <v>#REF!</v>
      </c>
      <c r="AN44" s="36" t="e">
        <f t="shared" si="50"/>
        <v>#REF!</v>
      </c>
      <c r="AO44" s="36" t="e">
        <f t="shared" si="51"/>
        <v>#REF!</v>
      </c>
      <c r="AQ44" s="38"/>
      <c r="AR44" s="36" t="e">
        <f t="shared" si="52"/>
        <v>#REF!</v>
      </c>
      <c r="AS44" s="36" t="e">
        <f t="shared" si="53"/>
        <v>#REF!</v>
      </c>
      <c r="AT44" s="36" t="e">
        <f t="shared" si="54"/>
        <v>#REF!</v>
      </c>
      <c r="AU44" s="36" t="e">
        <f t="shared" si="55"/>
        <v>#REF!</v>
      </c>
      <c r="AV44" s="36" t="e">
        <f t="shared" si="56"/>
        <v>#REF!</v>
      </c>
      <c r="AW44" s="36" t="e">
        <f t="shared" si="57"/>
        <v>#REF!</v>
      </c>
      <c r="AX44" s="36" t="e">
        <f t="shared" si="58"/>
        <v>#REF!</v>
      </c>
      <c r="AY44" s="36" t="e">
        <f t="shared" si="59"/>
        <v>#REF!</v>
      </c>
      <c r="AZ44" s="36" t="e">
        <f t="shared" si="60"/>
        <v>#REF!</v>
      </c>
      <c r="BA44" s="36" t="e">
        <f t="shared" si="61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Q45" s="38"/>
    </row>
    <row r="46" spans="1:53" hidden="1">
      <c r="AQ46" s="38"/>
    </row>
    <row r="47" spans="1:53" ht="63.75" hidden="1"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6" t="s">
        <v>43</v>
      </c>
      <c r="AB48" s="67"/>
      <c r="AC48" s="68"/>
      <c r="AD48" s="68"/>
      <c r="AE48" s="68"/>
      <c r="AG48" s="70"/>
      <c r="AQ48" s="38"/>
    </row>
    <row r="49" spans="27:53" hidden="1">
      <c r="AA49" s="69" t="s">
        <v>44</v>
      </c>
      <c r="AB49" s="35"/>
      <c r="AF49" s="70" t="e">
        <f t="shared" ref="AF49:AO49" si="62">AF14+AF16+AF17</f>
        <v>#REF!</v>
      </c>
      <c r="AG49" s="70" t="e">
        <f t="shared" si="62"/>
        <v>#REF!</v>
      </c>
      <c r="AH49" s="70" t="e">
        <f t="shared" si="62"/>
        <v>#REF!</v>
      </c>
      <c r="AI49" s="70" t="e">
        <f t="shared" si="62"/>
        <v>#REF!</v>
      </c>
      <c r="AJ49" s="70" t="e">
        <f t="shared" si="62"/>
        <v>#REF!</v>
      </c>
      <c r="AK49" s="70" t="e">
        <f t="shared" si="62"/>
        <v>#REF!</v>
      </c>
      <c r="AL49" s="70" t="e">
        <f t="shared" si="62"/>
        <v>#REF!</v>
      </c>
      <c r="AM49" s="70" t="e">
        <f t="shared" si="62"/>
        <v>#REF!</v>
      </c>
      <c r="AN49" s="70" t="e">
        <f t="shared" si="62"/>
        <v>#REF!</v>
      </c>
      <c r="AO49" s="70" t="e">
        <f t="shared" si="62"/>
        <v>#REF!</v>
      </c>
      <c r="AP49" s="70"/>
      <c r="AQ49" s="70"/>
      <c r="AR49" s="70" t="e">
        <f t="shared" ref="AR49:BA49" si="63">AR14+AR16+AR17</f>
        <v>#REF!</v>
      </c>
      <c r="AS49" s="70" t="e">
        <f t="shared" si="63"/>
        <v>#REF!</v>
      </c>
      <c r="AT49" s="70" t="e">
        <f t="shared" si="63"/>
        <v>#REF!</v>
      </c>
      <c r="AU49" s="70" t="e">
        <f t="shared" si="63"/>
        <v>#REF!</v>
      </c>
      <c r="AV49" s="70" t="e">
        <f t="shared" si="63"/>
        <v>#REF!</v>
      </c>
      <c r="AW49" s="70" t="e">
        <f t="shared" si="63"/>
        <v>#REF!</v>
      </c>
      <c r="AX49" s="70" t="e">
        <f t="shared" si="63"/>
        <v>#REF!</v>
      </c>
      <c r="AY49" s="70" t="e">
        <f t="shared" si="63"/>
        <v>#REF!</v>
      </c>
      <c r="AZ49" s="70" t="e">
        <f t="shared" si="63"/>
        <v>#REF!</v>
      </c>
      <c r="BA49" s="70" t="e">
        <f t="shared" si="63"/>
        <v>#REF!</v>
      </c>
    </row>
    <row r="50" spans="27:53" hidden="1">
      <c r="AA50" s="71" t="s">
        <v>29</v>
      </c>
      <c r="AB50" s="35"/>
      <c r="AF50" s="70" t="e">
        <f t="shared" ref="AF50:AO50" si="64">AF25+AF27+AF28</f>
        <v>#REF!</v>
      </c>
      <c r="AG50" s="70" t="e">
        <f t="shared" si="64"/>
        <v>#REF!</v>
      </c>
      <c r="AH50" s="70" t="e">
        <f t="shared" si="64"/>
        <v>#REF!</v>
      </c>
      <c r="AI50" s="70" t="e">
        <f t="shared" si="64"/>
        <v>#REF!</v>
      </c>
      <c r="AJ50" s="70" t="e">
        <f t="shared" si="64"/>
        <v>#REF!</v>
      </c>
      <c r="AK50" s="70" t="e">
        <f t="shared" si="64"/>
        <v>#REF!</v>
      </c>
      <c r="AL50" s="70" t="e">
        <f t="shared" si="64"/>
        <v>#REF!</v>
      </c>
      <c r="AM50" s="70" t="e">
        <f t="shared" si="64"/>
        <v>#REF!</v>
      </c>
      <c r="AN50" s="70" t="e">
        <f t="shared" si="64"/>
        <v>#REF!</v>
      </c>
      <c r="AO50" s="70" t="e">
        <f t="shared" si="64"/>
        <v>#REF!</v>
      </c>
      <c r="AP50" s="70"/>
      <c r="AQ50" s="70"/>
      <c r="AR50" s="70" t="e">
        <f t="shared" ref="AR50:BA50" si="65">AR25+AR27+AR28</f>
        <v>#REF!</v>
      </c>
      <c r="AS50" s="70" t="e">
        <f t="shared" si="65"/>
        <v>#REF!</v>
      </c>
      <c r="AT50" s="70" t="e">
        <f t="shared" si="65"/>
        <v>#REF!</v>
      </c>
      <c r="AU50" s="70" t="e">
        <f t="shared" si="65"/>
        <v>#REF!</v>
      </c>
      <c r="AV50" s="70" t="e">
        <f t="shared" si="65"/>
        <v>#REF!</v>
      </c>
      <c r="AW50" s="70" t="e">
        <f t="shared" si="65"/>
        <v>#REF!</v>
      </c>
      <c r="AX50" s="70" t="e">
        <f t="shared" si="65"/>
        <v>#REF!</v>
      </c>
      <c r="AY50" s="70" t="e">
        <f t="shared" si="65"/>
        <v>#REF!</v>
      </c>
      <c r="AZ50" s="70" t="e">
        <f t="shared" si="65"/>
        <v>#REF!</v>
      </c>
      <c r="BA50" s="70" t="e">
        <f t="shared" si="65"/>
        <v>#REF!</v>
      </c>
    </row>
    <row r="51" spans="27:53" hidden="1">
      <c r="AA51" s="71" t="s">
        <v>41</v>
      </c>
      <c r="AB51" s="35"/>
      <c r="AF51" s="70" t="e">
        <f t="shared" ref="AF51:AO51" si="66">AF36+AF38+AF39</f>
        <v>#REF!</v>
      </c>
      <c r="AG51" s="70" t="e">
        <f t="shared" si="66"/>
        <v>#REF!</v>
      </c>
      <c r="AH51" s="70" t="e">
        <f t="shared" si="66"/>
        <v>#REF!</v>
      </c>
      <c r="AI51" s="70" t="e">
        <f t="shared" si="66"/>
        <v>#REF!</v>
      </c>
      <c r="AJ51" s="70" t="e">
        <f t="shared" si="66"/>
        <v>#REF!</v>
      </c>
      <c r="AK51" s="70" t="e">
        <f t="shared" si="66"/>
        <v>#REF!</v>
      </c>
      <c r="AL51" s="70" t="e">
        <f t="shared" si="66"/>
        <v>#REF!</v>
      </c>
      <c r="AM51" s="70" t="e">
        <f t="shared" si="66"/>
        <v>#REF!</v>
      </c>
      <c r="AN51" s="70" t="e">
        <f t="shared" si="66"/>
        <v>#REF!</v>
      </c>
      <c r="AO51" s="70" t="e">
        <f t="shared" si="66"/>
        <v>#REF!</v>
      </c>
      <c r="AP51" s="70"/>
      <c r="AQ51" s="70"/>
      <c r="AR51" s="70" t="e">
        <f t="shared" ref="AR51:BA51" si="67">AR36+AR38+AR39</f>
        <v>#REF!</v>
      </c>
      <c r="AS51" s="70" t="e">
        <f t="shared" si="67"/>
        <v>#REF!</v>
      </c>
      <c r="AT51" s="70" t="e">
        <f t="shared" si="67"/>
        <v>#REF!</v>
      </c>
      <c r="AU51" s="70" t="e">
        <f t="shared" si="67"/>
        <v>#REF!</v>
      </c>
      <c r="AV51" s="70" t="e">
        <f t="shared" si="67"/>
        <v>#REF!</v>
      </c>
      <c r="AW51" s="70" t="e">
        <f t="shared" si="67"/>
        <v>#REF!</v>
      </c>
      <c r="AX51" s="70" t="e">
        <f t="shared" si="67"/>
        <v>#REF!</v>
      </c>
      <c r="AY51" s="70" t="e">
        <f t="shared" si="67"/>
        <v>#REF!</v>
      </c>
      <c r="AZ51" s="70" t="e">
        <f t="shared" si="67"/>
        <v>#REF!</v>
      </c>
      <c r="BA51" s="70" t="e">
        <f t="shared" si="67"/>
        <v>#REF!</v>
      </c>
    </row>
    <row r="52" spans="27:53" hidden="1">
      <c r="AA52" s="71" t="s">
        <v>42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69" t="s">
        <v>45</v>
      </c>
      <c r="AB53" s="35"/>
      <c r="AF53" s="70" t="e">
        <f t="shared" ref="AF53:AO53" si="68">AF14+AF16+AF18+AF20</f>
        <v>#REF!</v>
      </c>
      <c r="AG53" s="70" t="e">
        <f t="shared" si="68"/>
        <v>#REF!</v>
      </c>
      <c r="AH53" s="70" t="e">
        <f t="shared" si="68"/>
        <v>#REF!</v>
      </c>
      <c r="AI53" s="70" t="e">
        <f t="shared" si="68"/>
        <v>#REF!</v>
      </c>
      <c r="AJ53" s="70" t="e">
        <f t="shared" si="68"/>
        <v>#REF!</v>
      </c>
      <c r="AK53" s="70" t="e">
        <f t="shared" si="68"/>
        <v>#REF!</v>
      </c>
      <c r="AL53" s="70" t="e">
        <f t="shared" si="68"/>
        <v>#REF!</v>
      </c>
      <c r="AM53" s="70" t="e">
        <f t="shared" si="68"/>
        <v>#REF!</v>
      </c>
      <c r="AN53" s="70" t="e">
        <f t="shared" si="68"/>
        <v>#REF!</v>
      </c>
      <c r="AO53" s="70" t="e">
        <f t="shared" si="68"/>
        <v>#REF!</v>
      </c>
      <c r="AP53" s="70"/>
      <c r="AQ53" s="70"/>
      <c r="AR53" s="70" t="e">
        <f t="shared" ref="AR53:BA53" si="69">AR14+AR16+AR18+AR20</f>
        <v>#REF!</v>
      </c>
      <c r="AS53" s="70" t="e">
        <f t="shared" si="69"/>
        <v>#REF!</v>
      </c>
      <c r="AT53" s="70" t="e">
        <f t="shared" si="69"/>
        <v>#REF!</v>
      </c>
      <c r="AU53" s="70" t="e">
        <f t="shared" si="69"/>
        <v>#REF!</v>
      </c>
      <c r="AV53" s="70" t="e">
        <f t="shared" si="69"/>
        <v>#REF!</v>
      </c>
      <c r="AW53" s="70" t="e">
        <f t="shared" si="69"/>
        <v>#REF!</v>
      </c>
      <c r="AX53" s="70" t="e">
        <f t="shared" si="69"/>
        <v>#REF!</v>
      </c>
      <c r="AY53" s="70" t="e">
        <f t="shared" si="69"/>
        <v>#REF!</v>
      </c>
      <c r="AZ53" s="70" t="e">
        <f t="shared" si="69"/>
        <v>#REF!</v>
      </c>
      <c r="BA53" s="70" t="e">
        <f t="shared" si="69"/>
        <v>#REF!</v>
      </c>
    </row>
    <row r="54" spans="27:53" hidden="1">
      <c r="AA54" s="71" t="s">
        <v>29</v>
      </c>
      <c r="AB54" s="35"/>
      <c r="AF54" s="70" t="e">
        <f t="shared" ref="AF54:AO54" si="70">AF25+AF27+AF29+AF31</f>
        <v>#REF!</v>
      </c>
      <c r="AG54" s="70" t="e">
        <f t="shared" si="70"/>
        <v>#REF!</v>
      </c>
      <c r="AH54" s="70" t="e">
        <f t="shared" si="70"/>
        <v>#REF!</v>
      </c>
      <c r="AI54" s="70" t="e">
        <f t="shared" si="70"/>
        <v>#REF!</v>
      </c>
      <c r="AJ54" s="70" t="e">
        <f t="shared" si="70"/>
        <v>#REF!</v>
      </c>
      <c r="AK54" s="70" t="e">
        <f t="shared" si="70"/>
        <v>#REF!</v>
      </c>
      <c r="AL54" s="70" t="e">
        <f t="shared" si="70"/>
        <v>#REF!</v>
      </c>
      <c r="AM54" s="70" t="e">
        <f t="shared" si="70"/>
        <v>#REF!</v>
      </c>
      <c r="AN54" s="70" t="e">
        <f t="shared" si="70"/>
        <v>#REF!</v>
      </c>
      <c r="AO54" s="70" t="e">
        <f t="shared" si="70"/>
        <v>#REF!</v>
      </c>
      <c r="AP54" s="70"/>
      <c r="AQ54" s="70"/>
      <c r="AR54" s="70" t="e">
        <f t="shared" ref="AR54:BA54" si="71">AR25+AR27+AR29+AR31</f>
        <v>#REF!</v>
      </c>
      <c r="AS54" s="70" t="e">
        <f t="shared" si="71"/>
        <v>#REF!</v>
      </c>
      <c r="AT54" s="70" t="e">
        <f t="shared" si="71"/>
        <v>#REF!</v>
      </c>
      <c r="AU54" s="70" t="e">
        <f t="shared" si="71"/>
        <v>#REF!</v>
      </c>
      <c r="AV54" s="70" t="e">
        <f t="shared" si="71"/>
        <v>#REF!</v>
      </c>
      <c r="AW54" s="70" t="e">
        <f t="shared" si="71"/>
        <v>#REF!</v>
      </c>
      <c r="AX54" s="70" t="e">
        <f t="shared" si="71"/>
        <v>#REF!</v>
      </c>
      <c r="AY54" s="70" t="e">
        <f t="shared" si="71"/>
        <v>#REF!</v>
      </c>
      <c r="AZ54" s="70" t="e">
        <f t="shared" si="71"/>
        <v>#REF!</v>
      </c>
      <c r="BA54" s="70" t="e">
        <f t="shared" si="71"/>
        <v>#REF!</v>
      </c>
    </row>
    <row r="55" spans="27:53" hidden="1">
      <c r="AA55" s="71" t="s">
        <v>41</v>
      </c>
      <c r="AB55" s="35"/>
      <c r="AF55" s="70" t="e">
        <f t="shared" ref="AF55:AO55" si="72">AF36+AF38+AF40+AF42</f>
        <v>#REF!</v>
      </c>
      <c r="AG55" s="70" t="e">
        <f t="shared" si="72"/>
        <v>#REF!</v>
      </c>
      <c r="AH55" s="70" t="e">
        <f t="shared" si="72"/>
        <v>#REF!</v>
      </c>
      <c r="AI55" s="70" t="e">
        <f t="shared" si="72"/>
        <v>#REF!</v>
      </c>
      <c r="AJ55" s="70" t="e">
        <f t="shared" si="72"/>
        <v>#REF!</v>
      </c>
      <c r="AK55" s="70" t="e">
        <f t="shared" si="72"/>
        <v>#REF!</v>
      </c>
      <c r="AL55" s="70" t="e">
        <f t="shared" si="72"/>
        <v>#REF!</v>
      </c>
      <c r="AM55" s="70" t="e">
        <f t="shared" si="72"/>
        <v>#REF!</v>
      </c>
      <c r="AN55" s="70" t="e">
        <f t="shared" si="72"/>
        <v>#REF!</v>
      </c>
      <c r="AO55" s="70" t="e">
        <f t="shared" si="72"/>
        <v>#REF!</v>
      </c>
      <c r="AP55" s="70"/>
      <c r="AQ55" s="70"/>
      <c r="AR55" s="70" t="e">
        <f t="shared" ref="AR55:BA55" si="73">AR36+AR38+AR40+AR42</f>
        <v>#REF!</v>
      </c>
      <c r="AS55" s="70" t="e">
        <f t="shared" si="73"/>
        <v>#REF!</v>
      </c>
      <c r="AT55" s="70" t="e">
        <f t="shared" si="73"/>
        <v>#REF!</v>
      </c>
      <c r="AU55" s="70" t="e">
        <f t="shared" si="73"/>
        <v>#REF!</v>
      </c>
      <c r="AV55" s="70" t="e">
        <f t="shared" si="73"/>
        <v>#REF!</v>
      </c>
      <c r="AW55" s="70" t="e">
        <f t="shared" si="73"/>
        <v>#REF!</v>
      </c>
      <c r="AX55" s="70" t="e">
        <f t="shared" si="73"/>
        <v>#REF!</v>
      </c>
      <c r="AY55" s="70" t="e">
        <f t="shared" si="73"/>
        <v>#REF!</v>
      </c>
      <c r="AZ55" s="70" t="e">
        <f t="shared" si="73"/>
        <v>#REF!</v>
      </c>
      <c r="BA55" s="70" t="e">
        <f t="shared" si="73"/>
        <v>#REF!</v>
      </c>
    </row>
    <row r="56" spans="27:53" hidden="1">
      <c r="AA56" s="71" t="s">
        <v>42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69" t="s">
        <v>46</v>
      </c>
      <c r="AB57" s="35"/>
      <c r="AF57" s="70" t="e">
        <f t="shared" ref="AF57:AO57" si="74">AF14+AF16+AF18+AF19+AF21</f>
        <v>#REF!</v>
      </c>
      <c r="AG57" s="70" t="e">
        <f t="shared" si="74"/>
        <v>#REF!</v>
      </c>
      <c r="AH57" s="70" t="e">
        <f t="shared" si="74"/>
        <v>#REF!</v>
      </c>
      <c r="AI57" s="70" t="e">
        <f t="shared" si="74"/>
        <v>#REF!</v>
      </c>
      <c r="AJ57" s="70" t="e">
        <f t="shared" si="74"/>
        <v>#REF!</v>
      </c>
      <c r="AK57" s="70" t="e">
        <f t="shared" si="74"/>
        <v>#REF!</v>
      </c>
      <c r="AL57" s="70" t="e">
        <f t="shared" si="74"/>
        <v>#REF!</v>
      </c>
      <c r="AM57" s="70" t="e">
        <f t="shared" si="74"/>
        <v>#REF!</v>
      </c>
      <c r="AN57" s="70" t="e">
        <f t="shared" si="74"/>
        <v>#REF!</v>
      </c>
      <c r="AO57" s="70" t="e">
        <f t="shared" si="74"/>
        <v>#REF!</v>
      </c>
      <c r="AP57" s="70"/>
      <c r="AQ57" s="70"/>
      <c r="AR57" s="70" t="e">
        <f t="shared" ref="AR57:BA57" si="75">AR14+AR16+AR18+AR19+AR21</f>
        <v>#REF!</v>
      </c>
      <c r="AS57" s="70" t="e">
        <f t="shared" si="75"/>
        <v>#REF!</v>
      </c>
      <c r="AT57" s="70" t="e">
        <f t="shared" si="75"/>
        <v>#REF!</v>
      </c>
      <c r="AU57" s="70" t="e">
        <f t="shared" si="75"/>
        <v>#REF!</v>
      </c>
      <c r="AV57" s="70" t="e">
        <f t="shared" si="75"/>
        <v>#REF!</v>
      </c>
      <c r="AW57" s="70" t="e">
        <f t="shared" si="75"/>
        <v>#REF!</v>
      </c>
      <c r="AX57" s="70" t="e">
        <f t="shared" si="75"/>
        <v>#REF!</v>
      </c>
      <c r="AY57" s="70" t="e">
        <f t="shared" si="75"/>
        <v>#REF!</v>
      </c>
      <c r="AZ57" s="70" t="e">
        <f t="shared" si="75"/>
        <v>#REF!</v>
      </c>
      <c r="BA57" s="70" t="e">
        <f t="shared" si="75"/>
        <v>#REF!</v>
      </c>
    </row>
    <row r="58" spans="27:53" hidden="1">
      <c r="AA58" s="71" t="s">
        <v>29</v>
      </c>
      <c r="AB58" s="35"/>
      <c r="AF58" s="70" t="e">
        <f t="shared" ref="AF58:AO58" si="76">AF25+AF27+AF29+AF30+AF32</f>
        <v>#REF!</v>
      </c>
      <c r="AG58" s="70" t="e">
        <f t="shared" si="76"/>
        <v>#REF!</v>
      </c>
      <c r="AH58" s="70" t="e">
        <f t="shared" si="76"/>
        <v>#REF!</v>
      </c>
      <c r="AI58" s="70" t="e">
        <f t="shared" si="76"/>
        <v>#REF!</v>
      </c>
      <c r="AJ58" s="70" t="e">
        <f t="shared" si="76"/>
        <v>#REF!</v>
      </c>
      <c r="AK58" s="70" t="e">
        <f t="shared" si="76"/>
        <v>#REF!</v>
      </c>
      <c r="AL58" s="70" t="e">
        <f t="shared" si="76"/>
        <v>#REF!</v>
      </c>
      <c r="AM58" s="70" t="e">
        <f t="shared" si="76"/>
        <v>#REF!</v>
      </c>
      <c r="AN58" s="70" t="e">
        <f t="shared" si="76"/>
        <v>#REF!</v>
      </c>
      <c r="AO58" s="70" t="e">
        <f t="shared" si="76"/>
        <v>#REF!</v>
      </c>
      <c r="AP58" s="70"/>
      <c r="AQ58" s="70"/>
      <c r="AR58" s="70" t="e">
        <f t="shared" ref="AR58:BA58" si="77">AR25+AR27+AR29+AR30+AR32</f>
        <v>#REF!</v>
      </c>
      <c r="AS58" s="70" t="e">
        <f t="shared" si="77"/>
        <v>#REF!</v>
      </c>
      <c r="AT58" s="70" t="e">
        <f t="shared" si="77"/>
        <v>#REF!</v>
      </c>
      <c r="AU58" s="70" t="e">
        <f t="shared" si="77"/>
        <v>#REF!</v>
      </c>
      <c r="AV58" s="70" t="e">
        <f t="shared" si="77"/>
        <v>#REF!</v>
      </c>
      <c r="AW58" s="70" t="e">
        <f t="shared" si="77"/>
        <v>#REF!</v>
      </c>
      <c r="AX58" s="70" t="e">
        <f t="shared" si="77"/>
        <v>#REF!</v>
      </c>
      <c r="AY58" s="70" t="e">
        <f t="shared" si="77"/>
        <v>#REF!</v>
      </c>
      <c r="AZ58" s="70" t="e">
        <f t="shared" si="77"/>
        <v>#REF!</v>
      </c>
      <c r="BA58" s="70" t="e">
        <f t="shared" si="77"/>
        <v>#REF!</v>
      </c>
    </row>
    <row r="59" spans="27:53" hidden="1">
      <c r="AA59" s="71" t="s">
        <v>41</v>
      </c>
      <c r="AB59" s="35"/>
      <c r="AF59" s="70" t="e">
        <f t="shared" ref="AF59:AO59" si="78">AF36+AF38+AF40+AF41+AF43</f>
        <v>#REF!</v>
      </c>
      <c r="AG59" s="70" t="e">
        <f t="shared" si="78"/>
        <v>#REF!</v>
      </c>
      <c r="AH59" s="70" t="e">
        <f t="shared" si="78"/>
        <v>#REF!</v>
      </c>
      <c r="AI59" s="70" t="e">
        <f t="shared" si="78"/>
        <v>#REF!</v>
      </c>
      <c r="AJ59" s="70" t="e">
        <f t="shared" si="78"/>
        <v>#REF!</v>
      </c>
      <c r="AK59" s="70" t="e">
        <f t="shared" si="78"/>
        <v>#REF!</v>
      </c>
      <c r="AL59" s="70" t="e">
        <f t="shared" si="78"/>
        <v>#REF!</v>
      </c>
      <c r="AM59" s="70" t="e">
        <f t="shared" si="78"/>
        <v>#REF!</v>
      </c>
      <c r="AN59" s="70" t="e">
        <f t="shared" si="78"/>
        <v>#REF!</v>
      </c>
      <c r="AO59" s="70" t="e">
        <f t="shared" si="78"/>
        <v>#REF!</v>
      </c>
      <c r="AP59" s="70"/>
      <c r="AQ59" s="70"/>
      <c r="AR59" s="70" t="e">
        <f t="shared" ref="AR59:BA59" si="79">AR36+AR38+AR40+AR41+AR43</f>
        <v>#REF!</v>
      </c>
      <c r="AS59" s="70" t="e">
        <f t="shared" si="79"/>
        <v>#REF!</v>
      </c>
      <c r="AT59" s="70" t="e">
        <f t="shared" si="79"/>
        <v>#REF!</v>
      </c>
      <c r="AU59" s="70" t="e">
        <f t="shared" si="79"/>
        <v>#REF!</v>
      </c>
      <c r="AV59" s="70" t="e">
        <f t="shared" si="79"/>
        <v>#REF!</v>
      </c>
      <c r="AW59" s="70" t="e">
        <f t="shared" si="79"/>
        <v>#REF!</v>
      </c>
      <c r="AX59" s="70" t="e">
        <f t="shared" si="79"/>
        <v>#REF!</v>
      </c>
      <c r="AY59" s="70" t="e">
        <f t="shared" si="79"/>
        <v>#REF!</v>
      </c>
      <c r="AZ59" s="70" t="e">
        <f t="shared" si="79"/>
        <v>#REF!</v>
      </c>
      <c r="BA59" s="70" t="e">
        <f t="shared" si="79"/>
        <v>#REF!</v>
      </c>
    </row>
    <row r="60" spans="27:53" hidden="1">
      <c r="AA60" s="71" t="s">
        <v>42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69" t="s">
        <v>47</v>
      </c>
      <c r="AB61" s="35"/>
      <c r="AF61" s="70" t="e">
        <f t="shared" ref="AF61:AO61" si="80">AF14+AF16+AF18+AF19+AF22</f>
        <v>#REF!</v>
      </c>
      <c r="AG61" s="70" t="e">
        <f t="shared" si="80"/>
        <v>#REF!</v>
      </c>
      <c r="AH61" s="70" t="e">
        <f t="shared" si="80"/>
        <v>#REF!</v>
      </c>
      <c r="AI61" s="70" t="e">
        <f t="shared" si="80"/>
        <v>#REF!</v>
      </c>
      <c r="AJ61" s="70" t="e">
        <f t="shared" si="80"/>
        <v>#REF!</v>
      </c>
      <c r="AK61" s="70" t="e">
        <f t="shared" si="80"/>
        <v>#REF!</v>
      </c>
      <c r="AL61" s="70" t="e">
        <f t="shared" si="80"/>
        <v>#REF!</v>
      </c>
      <c r="AM61" s="70" t="e">
        <f t="shared" si="80"/>
        <v>#REF!</v>
      </c>
      <c r="AN61" s="70" t="e">
        <f t="shared" si="80"/>
        <v>#REF!</v>
      </c>
      <c r="AO61" s="70" t="e">
        <f t="shared" si="80"/>
        <v>#REF!</v>
      </c>
      <c r="AP61" s="70"/>
      <c r="AQ61" s="70"/>
      <c r="AR61" s="70" t="e">
        <f t="shared" ref="AR61:BA61" si="81">AR14+AR16+AR18+AR19+AR22</f>
        <v>#REF!</v>
      </c>
      <c r="AS61" s="70" t="e">
        <f t="shared" si="81"/>
        <v>#REF!</v>
      </c>
      <c r="AT61" s="70" t="e">
        <f t="shared" si="81"/>
        <v>#REF!</v>
      </c>
      <c r="AU61" s="70" t="e">
        <f t="shared" si="81"/>
        <v>#REF!</v>
      </c>
      <c r="AV61" s="70" t="e">
        <f t="shared" si="81"/>
        <v>#REF!</v>
      </c>
      <c r="AW61" s="70" t="e">
        <f t="shared" si="81"/>
        <v>#REF!</v>
      </c>
      <c r="AX61" s="70" t="e">
        <f t="shared" si="81"/>
        <v>#REF!</v>
      </c>
      <c r="AY61" s="70" t="e">
        <f t="shared" si="81"/>
        <v>#REF!</v>
      </c>
      <c r="AZ61" s="70" t="e">
        <f t="shared" si="81"/>
        <v>#REF!</v>
      </c>
      <c r="BA61" s="70" t="e">
        <f t="shared" si="81"/>
        <v>#REF!</v>
      </c>
    </row>
    <row r="62" spans="27:53" hidden="1">
      <c r="AA62" s="71" t="s">
        <v>29</v>
      </c>
      <c r="AB62" s="35"/>
      <c r="AF62" s="70" t="e">
        <f t="shared" ref="AF62:AO62" si="82">AF25+AF27+AF29+AF30+AF33</f>
        <v>#REF!</v>
      </c>
      <c r="AG62" s="70" t="e">
        <f t="shared" si="82"/>
        <v>#REF!</v>
      </c>
      <c r="AH62" s="70" t="e">
        <f t="shared" si="82"/>
        <v>#REF!</v>
      </c>
      <c r="AI62" s="70" t="e">
        <f t="shared" si="82"/>
        <v>#REF!</v>
      </c>
      <c r="AJ62" s="70" t="e">
        <f t="shared" si="82"/>
        <v>#REF!</v>
      </c>
      <c r="AK62" s="70" t="e">
        <f t="shared" si="82"/>
        <v>#REF!</v>
      </c>
      <c r="AL62" s="70" t="e">
        <f t="shared" si="82"/>
        <v>#REF!</v>
      </c>
      <c r="AM62" s="70" t="e">
        <f t="shared" si="82"/>
        <v>#REF!</v>
      </c>
      <c r="AN62" s="70" t="e">
        <f t="shared" si="82"/>
        <v>#REF!</v>
      </c>
      <c r="AO62" s="70" t="e">
        <f t="shared" si="82"/>
        <v>#REF!</v>
      </c>
      <c r="AP62" s="70"/>
      <c r="AQ62" s="70"/>
      <c r="AR62" s="70" t="e">
        <f t="shared" ref="AR62:BA62" si="83">AR25+AR27+AR29+AR30+AR33</f>
        <v>#REF!</v>
      </c>
      <c r="AS62" s="70" t="e">
        <f t="shared" si="83"/>
        <v>#REF!</v>
      </c>
      <c r="AT62" s="70" t="e">
        <f t="shared" si="83"/>
        <v>#REF!</v>
      </c>
      <c r="AU62" s="70" t="e">
        <f t="shared" si="83"/>
        <v>#REF!</v>
      </c>
      <c r="AV62" s="70" t="e">
        <f t="shared" si="83"/>
        <v>#REF!</v>
      </c>
      <c r="AW62" s="70" t="e">
        <f t="shared" si="83"/>
        <v>#REF!</v>
      </c>
      <c r="AX62" s="70" t="e">
        <f t="shared" si="83"/>
        <v>#REF!</v>
      </c>
      <c r="AY62" s="70" t="e">
        <f t="shared" si="83"/>
        <v>#REF!</v>
      </c>
      <c r="AZ62" s="70" t="e">
        <f t="shared" si="83"/>
        <v>#REF!</v>
      </c>
      <c r="BA62" s="70" t="e">
        <f t="shared" si="83"/>
        <v>#REF!</v>
      </c>
    </row>
    <row r="63" spans="27:53" hidden="1">
      <c r="AA63" s="71" t="s">
        <v>41</v>
      </c>
      <c r="AB63" s="35"/>
      <c r="AF63" s="70" t="e">
        <f t="shared" ref="AF63:AO63" si="84">AF36+AF38+AF40+AF41+AF44</f>
        <v>#REF!</v>
      </c>
      <c r="AG63" s="70" t="e">
        <f t="shared" si="84"/>
        <v>#REF!</v>
      </c>
      <c r="AH63" s="70" t="e">
        <f t="shared" si="84"/>
        <v>#REF!</v>
      </c>
      <c r="AI63" s="70" t="e">
        <f t="shared" si="84"/>
        <v>#REF!</v>
      </c>
      <c r="AJ63" s="70" t="e">
        <f t="shared" si="84"/>
        <v>#REF!</v>
      </c>
      <c r="AK63" s="70" t="e">
        <f t="shared" si="84"/>
        <v>#REF!</v>
      </c>
      <c r="AL63" s="70" t="e">
        <f t="shared" si="84"/>
        <v>#REF!</v>
      </c>
      <c r="AM63" s="70" t="e">
        <f t="shared" si="84"/>
        <v>#REF!</v>
      </c>
      <c r="AN63" s="70" t="e">
        <f t="shared" si="84"/>
        <v>#REF!</v>
      </c>
      <c r="AO63" s="70" t="e">
        <f t="shared" si="84"/>
        <v>#REF!</v>
      </c>
      <c r="AP63" s="70"/>
      <c r="AQ63" s="70"/>
      <c r="AR63" s="70" t="e">
        <f t="shared" ref="AR63:BA63" si="85">AR36+AR38+AR40+AR41+AR44</f>
        <v>#REF!</v>
      </c>
      <c r="AS63" s="70" t="e">
        <f t="shared" si="85"/>
        <v>#REF!</v>
      </c>
      <c r="AT63" s="70" t="e">
        <f t="shared" si="85"/>
        <v>#REF!</v>
      </c>
      <c r="AU63" s="70" t="e">
        <f t="shared" si="85"/>
        <v>#REF!</v>
      </c>
      <c r="AV63" s="70" t="e">
        <f t="shared" si="85"/>
        <v>#REF!</v>
      </c>
      <c r="AW63" s="70" t="e">
        <f t="shared" si="85"/>
        <v>#REF!</v>
      </c>
      <c r="AX63" s="70" t="e">
        <f t="shared" si="85"/>
        <v>#REF!</v>
      </c>
      <c r="AY63" s="70" t="e">
        <f t="shared" si="85"/>
        <v>#REF!</v>
      </c>
      <c r="AZ63" s="70" t="e">
        <f t="shared" si="85"/>
        <v>#REF!</v>
      </c>
      <c r="BA63" s="70" t="e">
        <f t="shared" si="85"/>
        <v>#REF!</v>
      </c>
    </row>
    <row r="64" spans="27:53" hidden="1">
      <c r="AA64" s="71" t="s">
        <v>42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69" t="s">
        <v>48</v>
      </c>
      <c r="AB65" s="35"/>
      <c r="AF65" s="70" t="e">
        <f t="shared" ref="AF65:AO65" si="86">AF14+AF15+AF20</f>
        <v>#REF!</v>
      </c>
      <c r="AG65" s="70" t="e">
        <f t="shared" si="86"/>
        <v>#REF!</v>
      </c>
      <c r="AH65" s="70" t="e">
        <f t="shared" si="86"/>
        <v>#REF!</v>
      </c>
      <c r="AI65" s="70" t="e">
        <f t="shared" si="86"/>
        <v>#REF!</v>
      </c>
      <c r="AJ65" s="70" t="e">
        <f t="shared" si="86"/>
        <v>#REF!</v>
      </c>
      <c r="AK65" s="70" t="e">
        <f t="shared" si="86"/>
        <v>#REF!</v>
      </c>
      <c r="AL65" s="70" t="e">
        <f t="shared" si="86"/>
        <v>#REF!</v>
      </c>
      <c r="AM65" s="70" t="e">
        <f t="shared" si="86"/>
        <v>#REF!</v>
      </c>
      <c r="AN65" s="70" t="e">
        <f t="shared" si="86"/>
        <v>#REF!</v>
      </c>
      <c r="AO65" s="70" t="e">
        <f t="shared" si="86"/>
        <v>#REF!</v>
      </c>
      <c r="AP65" s="70"/>
      <c r="AQ65" s="70"/>
      <c r="AR65" s="70" t="e">
        <f t="shared" ref="AR65:BA65" si="87">AR14+AR15+AR20</f>
        <v>#REF!</v>
      </c>
      <c r="AS65" s="70" t="e">
        <f t="shared" si="87"/>
        <v>#REF!</v>
      </c>
      <c r="AT65" s="70" t="e">
        <f t="shared" si="87"/>
        <v>#REF!</v>
      </c>
      <c r="AU65" s="70" t="e">
        <f t="shared" si="87"/>
        <v>#REF!</v>
      </c>
      <c r="AV65" s="70" t="e">
        <f t="shared" si="87"/>
        <v>#REF!</v>
      </c>
      <c r="AW65" s="70" t="e">
        <f t="shared" si="87"/>
        <v>#REF!</v>
      </c>
      <c r="AX65" s="70" t="e">
        <f t="shared" si="87"/>
        <v>#REF!</v>
      </c>
      <c r="AY65" s="70" t="e">
        <f t="shared" si="87"/>
        <v>#REF!</v>
      </c>
      <c r="AZ65" s="70" t="e">
        <f t="shared" si="87"/>
        <v>#REF!</v>
      </c>
      <c r="BA65" s="70" t="e">
        <f t="shared" si="87"/>
        <v>#REF!</v>
      </c>
    </row>
    <row r="66" spans="27:53" hidden="1">
      <c r="AA66" s="71" t="s">
        <v>29</v>
      </c>
      <c r="AB66" s="35"/>
      <c r="AF66" s="70" t="e">
        <f t="shared" ref="AF66:AO66" si="88">AF25+AF26+AF31</f>
        <v>#REF!</v>
      </c>
      <c r="AG66" s="70" t="e">
        <f t="shared" si="88"/>
        <v>#REF!</v>
      </c>
      <c r="AH66" s="70" t="e">
        <f t="shared" si="88"/>
        <v>#REF!</v>
      </c>
      <c r="AI66" s="70" t="e">
        <f t="shared" si="88"/>
        <v>#REF!</v>
      </c>
      <c r="AJ66" s="70" t="e">
        <f t="shared" si="88"/>
        <v>#REF!</v>
      </c>
      <c r="AK66" s="70" t="e">
        <f t="shared" si="88"/>
        <v>#REF!</v>
      </c>
      <c r="AL66" s="70" t="e">
        <f t="shared" si="88"/>
        <v>#REF!</v>
      </c>
      <c r="AM66" s="70" t="e">
        <f t="shared" si="88"/>
        <v>#REF!</v>
      </c>
      <c r="AN66" s="70" t="e">
        <f t="shared" si="88"/>
        <v>#REF!</v>
      </c>
      <c r="AO66" s="70" t="e">
        <f t="shared" si="88"/>
        <v>#REF!</v>
      </c>
      <c r="AP66" s="70"/>
      <c r="AQ66" s="70"/>
      <c r="AR66" s="70" t="e">
        <f t="shared" ref="AR66:BA66" si="89">AR25+AR26+AR31</f>
        <v>#REF!</v>
      </c>
      <c r="AS66" s="70" t="e">
        <f t="shared" si="89"/>
        <v>#REF!</v>
      </c>
      <c r="AT66" s="70" t="e">
        <f t="shared" si="89"/>
        <v>#REF!</v>
      </c>
      <c r="AU66" s="70" t="e">
        <f t="shared" si="89"/>
        <v>#REF!</v>
      </c>
      <c r="AV66" s="70" t="e">
        <f t="shared" si="89"/>
        <v>#REF!</v>
      </c>
      <c r="AW66" s="70" t="e">
        <f t="shared" si="89"/>
        <v>#REF!</v>
      </c>
      <c r="AX66" s="70" t="e">
        <f t="shared" si="89"/>
        <v>#REF!</v>
      </c>
      <c r="AY66" s="70" t="e">
        <f t="shared" si="89"/>
        <v>#REF!</v>
      </c>
      <c r="AZ66" s="70" t="e">
        <f t="shared" si="89"/>
        <v>#REF!</v>
      </c>
      <c r="BA66" s="70" t="e">
        <f t="shared" si="89"/>
        <v>#REF!</v>
      </c>
    </row>
    <row r="67" spans="27:53" hidden="1">
      <c r="AA67" s="71" t="s">
        <v>41</v>
      </c>
      <c r="AB67" s="35"/>
      <c r="AF67" s="70" t="e">
        <f t="shared" ref="AF67:AO67" si="90">AF36+AF37+AF42</f>
        <v>#REF!</v>
      </c>
      <c r="AG67" s="70" t="e">
        <f t="shared" si="90"/>
        <v>#REF!</v>
      </c>
      <c r="AH67" s="70" t="e">
        <f t="shared" si="90"/>
        <v>#REF!</v>
      </c>
      <c r="AI67" s="70" t="e">
        <f t="shared" si="90"/>
        <v>#REF!</v>
      </c>
      <c r="AJ67" s="70" t="e">
        <f t="shared" si="90"/>
        <v>#REF!</v>
      </c>
      <c r="AK67" s="70" t="e">
        <f t="shared" si="90"/>
        <v>#REF!</v>
      </c>
      <c r="AL67" s="70" t="e">
        <f t="shared" si="90"/>
        <v>#REF!</v>
      </c>
      <c r="AM67" s="70" t="e">
        <f t="shared" si="90"/>
        <v>#REF!</v>
      </c>
      <c r="AN67" s="70" t="e">
        <f t="shared" si="90"/>
        <v>#REF!</v>
      </c>
      <c r="AO67" s="70" t="e">
        <f t="shared" si="90"/>
        <v>#REF!</v>
      </c>
      <c r="AP67" s="70"/>
      <c r="AQ67" s="70"/>
      <c r="AR67" s="70" t="e">
        <f t="shared" ref="AR67:BA67" si="91">AR36+AR37+AR42</f>
        <v>#REF!</v>
      </c>
      <c r="AS67" s="70" t="e">
        <f t="shared" si="91"/>
        <v>#REF!</v>
      </c>
      <c r="AT67" s="70" t="e">
        <f t="shared" si="91"/>
        <v>#REF!</v>
      </c>
      <c r="AU67" s="70" t="e">
        <f t="shared" si="91"/>
        <v>#REF!</v>
      </c>
      <c r="AV67" s="70" t="e">
        <f t="shared" si="91"/>
        <v>#REF!</v>
      </c>
      <c r="AW67" s="70" t="e">
        <f t="shared" si="91"/>
        <v>#REF!</v>
      </c>
      <c r="AX67" s="70" t="e">
        <f t="shared" si="91"/>
        <v>#REF!</v>
      </c>
      <c r="AY67" s="70" t="e">
        <f t="shared" si="91"/>
        <v>#REF!</v>
      </c>
      <c r="AZ67" s="70" t="e">
        <f t="shared" si="91"/>
        <v>#REF!</v>
      </c>
      <c r="BA67" s="70" t="e">
        <f t="shared" si="91"/>
        <v>#REF!</v>
      </c>
    </row>
    <row r="68" spans="27:53" hidden="1">
      <c r="AA68" s="71" t="s">
        <v>42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2" t="s">
        <v>49</v>
      </c>
      <c r="AB69" s="35"/>
      <c r="AF69" s="70" t="e">
        <f t="shared" ref="AF69:AO69" si="92">AF14+AF15+AF19+AF21</f>
        <v>#REF!</v>
      </c>
      <c r="AG69" s="70" t="e">
        <f t="shared" si="92"/>
        <v>#REF!</v>
      </c>
      <c r="AH69" s="70" t="e">
        <f t="shared" si="92"/>
        <v>#REF!</v>
      </c>
      <c r="AI69" s="70" t="e">
        <f t="shared" si="92"/>
        <v>#REF!</v>
      </c>
      <c r="AJ69" s="70" t="e">
        <f t="shared" si="92"/>
        <v>#REF!</v>
      </c>
      <c r="AK69" s="70" t="e">
        <f t="shared" si="92"/>
        <v>#REF!</v>
      </c>
      <c r="AL69" s="70" t="e">
        <f t="shared" si="92"/>
        <v>#REF!</v>
      </c>
      <c r="AM69" s="70" t="e">
        <f t="shared" si="92"/>
        <v>#REF!</v>
      </c>
      <c r="AN69" s="70" t="e">
        <f t="shared" si="92"/>
        <v>#REF!</v>
      </c>
      <c r="AO69" s="70" t="e">
        <f t="shared" si="92"/>
        <v>#REF!</v>
      </c>
      <c r="AP69" s="70"/>
      <c r="AQ69" s="70"/>
      <c r="AR69" s="70" t="e">
        <f t="shared" ref="AR69:BA69" si="93">AR14+AR15+AR19+AR21</f>
        <v>#REF!</v>
      </c>
      <c r="AS69" s="70" t="e">
        <f t="shared" si="93"/>
        <v>#REF!</v>
      </c>
      <c r="AT69" s="70" t="e">
        <f t="shared" si="93"/>
        <v>#REF!</v>
      </c>
      <c r="AU69" s="70" t="e">
        <f t="shared" si="93"/>
        <v>#REF!</v>
      </c>
      <c r="AV69" s="70" t="e">
        <f t="shared" si="93"/>
        <v>#REF!</v>
      </c>
      <c r="AW69" s="70" t="e">
        <f t="shared" si="93"/>
        <v>#REF!</v>
      </c>
      <c r="AX69" s="70" t="e">
        <f t="shared" si="93"/>
        <v>#REF!</v>
      </c>
      <c r="AY69" s="70" t="e">
        <f t="shared" si="93"/>
        <v>#REF!</v>
      </c>
      <c r="AZ69" s="70" t="e">
        <f t="shared" si="93"/>
        <v>#REF!</v>
      </c>
      <c r="BA69" s="70" t="e">
        <f t="shared" si="93"/>
        <v>#REF!</v>
      </c>
    </row>
    <row r="70" spans="27:53" hidden="1">
      <c r="AA70" s="71" t="s">
        <v>29</v>
      </c>
      <c r="AB70" s="35"/>
      <c r="AF70" s="70" t="e">
        <f t="shared" ref="AF70:AO70" si="94">AF25+AF26+AF30+AF32</f>
        <v>#REF!</v>
      </c>
      <c r="AG70" s="70" t="e">
        <f t="shared" si="94"/>
        <v>#REF!</v>
      </c>
      <c r="AH70" s="70" t="e">
        <f t="shared" si="94"/>
        <v>#REF!</v>
      </c>
      <c r="AI70" s="70" t="e">
        <f t="shared" si="94"/>
        <v>#REF!</v>
      </c>
      <c r="AJ70" s="70" t="e">
        <f t="shared" si="94"/>
        <v>#REF!</v>
      </c>
      <c r="AK70" s="70" t="e">
        <f t="shared" si="94"/>
        <v>#REF!</v>
      </c>
      <c r="AL70" s="70" t="e">
        <f t="shared" si="94"/>
        <v>#REF!</v>
      </c>
      <c r="AM70" s="70" t="e">
        <f t="shared" si="94"/>
        <v>#REF!</v>
      </c>
      <c r="AN70" s="70" t="e">
        <f t="shared" si="94"/>
        <v>#REF!</v>
      </c>
      <c r="AO70" s="70" t="e">
        <f t="shared" si="94"/>
        <v>#REF!</v>
      </c>
      <c r="AP70" s="70"/>
      <c r="AQ70" s="70"/>
      <c r="AR70" s="70" t="e">
        <f t="shared" ref="AR70:BA70" si="95">AR25+AR26+AR30+AR32</f>
        <v>#REF!</v>
      </c>
      <c r="AS70" s="70" t="e">
        <f t="shared" si="95"/>
        <v>#REF!</v>
      </c>
      <c r="AT70" s="70" t="e">
        <f t="shared" si="95"/>
        <v>#REF!</v>
      </c>
      <c r="AU70" s="70" t="e">
        <f t="shared" si="95"/>
        <v>#REF!</v>
      </c>
      <c r="AV70" s="70" t="e">
        <f t="shared" si="95"/>
        <v>#REF!</v>
      </c>
      <c r="AW70" s="70" t="e">
        <f t="shared" si="95"/>
        <v>#REF!</v>
      </c>
      <c r="AX70" s="70" t="e">
        <f t="shared" si="95"/>
        <v>#REF!</v>
      </c>
      <c r="AY70" s="70" t="e">
        <f t="shared" si="95"/>
        <v>#REF!</v>
      </c>
      <c r="AZ70" s="70" t="e">
        <f t="shared" si="95"/>
        <v>#REF!</v>
      </c>
      <c r="BA70" s="70" t="e">
        <f t="shared" si="95"/>
        <v>#REF!</v>
      </c>
    </row>
    <row r="71" spans="27:53" hidden="1">
      <c r="AA71" s="71" t="s">
        <v>41</v>
      </c>
      <c r="AB71" s="35"/>
      <c r="AF71" s="70" t="e">
        <f t="shared" ref="AF71:AO71" si="96">AF36+AF37+AF41+AF43</f>
        <v>#REF!</v>
      </c>
      <c r="AG71" s="70" t="e">
        <f t="shared" si="96"/>
        <v>#REF!</v>
      </c>
      <c r="AH71" s="70" t="e">
        <f t="shared" si="96"/>
        <v>#REF!</v>
      </c>
      <c r="AI71" s="70" t="e">
        <f t="shared" si="96"/>
        <v>#REF!</v>
      </c>
      <c r="AJ71" s="70" t="e">
        <f t="shared" si="96"/>
        <v>#REF!</v>
      </c>
      <c r="AK71" s="70" t="e">
        <f t="shared" si="96"/>
        <v>#REF!</v>
      </c>
      <c r="AL71" s="70" t="e">
        <f t="shared" si="96"/>
        <v>#REF!</v>
      </c>
      <c r="AM71" s="70" t="e">
        <f t="shared" si="96"/>
        <v>#REF!</v>
      </c>
      <c r="AN71" s="70" t="e">
        <f t="shared" si="96"/>
        <v>#REF!</v>
      </c>
      <c r="AO71" s="70" t="e">
        <f t="shared" si="96"/>
        <v>#REF!</v>
      </c>
      <c r="AP71" s="70"/>
      <c r="AQ71" s="70"/>
      <c r="AR71" s="70" t="e">
        <f t="shared" ref="AR71:BA71" si="97">AR36+AR37+AR41+AR43</f>
        <v>#REF!</v>
      </c>
      <c r="AS71" s="70" t="e">
        <f t="shared" si="97"/>
        <v>#REF!</v>
      </c>
      <c r="AT71" s="70" t="e">
        <f t="shared" si="97"/>
        <v>#REF!</v>
      </c>
      <c r="AU71" s="70" t="e">
        <f t="shared" si="97"/>
        <v>#REF!</v>
      </c>
      <c r="AV71" s="70" t="e">
        <f t="shared" si="97"/>
        <v>#REF!</v>
      </c>
      <c r="AW71" s="70" t="e">
        <f t="shared" si="97"/>
        <v>#REF!</v>
      </c>
      <c r="AX71" s="70" t="e">
        <f t="shared" si="97"/>
        <v>#REF!</v>
      </c>
      <c r="AY71" s="70" t="e">
        <f t="shared" si="97"/>
        <v>#REF!</v>
      </c>
      <c r="AZ71" s="70" t="e">
        <f t="shared" si="97"/>
        <v>#REF!</v>
      </c>
      <c r="BA71" s="70" t="e">
        <f t="shared" si="97"/>
        <v>#REF!</v>
      </c>
    </row>
    <row r="72" spans="27:53" hidden="1">
      <c r="AA72" s="71" t="s">
        <v>42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69" t="s">
        <v>50</v>
      </c>
      <c r="AB73" s="35"/>
      <c r="AF73" s="70" t="e">
        <f t="shared" ref="AF73:AO73" si="98">AF14+AF15+AF19+AF22</f>
        <v>#REF!</v>
      </c>
      <c r="AG73" s="70" t="e">
        <f t="shared" si="98"/>
        <v>#REF!</v>
      </c>
      <c r="AH73" s="70" t="e">
        <f t="shared" si="98"/>
        <v>#REF!</v>
      </c>
      <c r="AI73" s="70" t="e">
        <f t="shared" si="98"/>
        <v>#REF!</v>
      </c>
      <c r="AJ73" s="70" t="e">
        <f t="shared" si="98"/>
        <v>#REF!</v>
      </c>
      <c r="AK73" s="70" t="e">
        <f t="shared" si="98"/>
        <v>#REF!</v>
      </c>
      <c r="AL73" s="70" t="e">
        <f t="shared" si="98"/>
        <v>#REF!</v>
      </c>
      <c r="AM73" s="70" t="e">
        <f t="shared" si="98"/>
        <v>#REF!</v>
      </c>
      <c r="AN73" s="70" t="e">
        <f t="shared" si="98"/>
        <v>#REF!</v>
      </c>
      <c r="AO73" s="70" t="e">
        <f t="shared" si="98"/>
        <v>#REF!</v>
      </c>
      <c r="AP73" s="70"/>
      <c r="AQ73" s="70"/>
      <c r="AR73" s="70" t="e">
        <f t="shared" ref="AR73:BA73" si="99">AR14+AR15+AR19+AR22</f>
        <v>#REF!</v>
      </c>
      <c r="AS73" s="70" t="e">
        <f t="shared" si="99"/>
        <v>#REF!</v>
      </c>
      <c r="AT73" s="70" t="e">
        <f t="shared" si="99"/>
        <v>#REF!</v>
      </c>
      <c r="AU73" s="70" t="e">
        <f t="shared" si="99"/>
        <v>#REF!</v>
      </c>
      <c r="AV73" s="70" t="e">
        <f t="shared" si="99"/>
        <v>#REF!</v>
      </c>
      <c r="AW73" s="70" t="e">
        <f t="shared" si="99"/>
        <v>#REF!</v>
      </c>
      <c r="AX73" s="70" t="e">
        <f t="shared" si="99"/>
        <v>#REF!</v>
      </c>
      <c r="AY73" s="70" t="e">
        <f t="shared" si="99"/>
        <v>#REF!</v>
      </c>
      <c r="AZ73" s="70" t="e">
        <f t="shared" si="99"/>
        <v>#REF!</v>
      </c>
      <c r="BA73" s="70" t="e">
        <f t="shared" si="99"/>
        <v>#REF!</v>
      </c>
    </row>
    <row r="74" spans="27:53" hidden="1">
      <c r="AA74" s="71" t="s">
        <v>29</v>
      </c>
      <c r="AB74" s="35"/>
      <c r="AF74" s="70" t="e">
        <f t="shared" ref="AF74:AO74" si="100">AF25+AF26+AF30+AF33</f>
        <v>#REF!</v>
      </c>
      <c r="AG74" s="70" t="e">
        <f t="shared" si="100"/>
        <v>#REF!</v>
      </c>
      <c r="AH74" s="70" t="e">
        <f t="shared" si="100"/>
        <v>#REF!</v>
      </c>
      <c r="AI74" s="70" t="e">
        <f t="shared" si="100"/>
        <v>#REF!</v>
      </c>
      <c r="AJ74" s="70" t="e">
        <f t="shared" si="100"/>
        <v>#REF!</v>
      </c>
      <c r="AK74" s="70" t="e">
        <f t="shared" si="100"/>
        <v>#REF!</v>
      </c>
      <c r="AL74" s="70" t="e">
        <f t="shared" si="100"/>
        <v>#REF!</v>
      </c>
      <c r="AM74" s="70" t="e">
        <f t="shared" si="100"/>
        <v>#REF!</v>
      </c>
      <c r="AN74" s="70" t="e">
        <f t="shared" si="100"/>
        <v>#REF!</v>
      </c>
      <c r="AO74" s="70" t="e">
        <f t="shared" si="100"/>
        <v>#REF!</v>
      </c>
      <c r="AP74" s="70"/>
      <c r="AQ74" s="70"/>
      <c r="AR74" s="70" t="e">
        <f t="shared" ref="AR74:BA74" si="101">AR25+AR26+AR30+AR33</f>
        <v>#REF!</v>
      </c>
      <c r="AS74" s="70" t="e">
        <f t="shared" si="101"/>
        <v>#REF!</v>
      </c>
      <c r="AT74" s="70" t="e">
        <f t="shared" si="101"/>
        <v>#REF!</v>
      </c>
      <c r="AU74" s="70" t="e">
        <f t="shared" si="101"/>
        <v>#REF!</v>
      </c>
      <c r="AV74" s="70" t="e">
        <f t="shared" si="101"/>
        <v>#REF!</v>
      </c>
      <c r="AW74" s="70" t="e">
        <f t="shared" si="101"/>
        <v>#REF!</v>
      </c>
      <c r="AX74" s="70" t="e">
        <f t="shared" si="101"/>
        <v>#REF!</v>
      </c>
      <c r="AY74" s="70" t="e">
        <f t="shared" si="101"/>
        <v>#REF!</v>
      </c>
      <c r="AZ74" s="70" t="e">
        <f t="shared" si="101"/>
        <v>#REF!</v>
      </c>
      <c r="BA74" s="70" t="e">
        <f t="shared" si="101"/>
        <v>#REF!</v>
      </c>
    </row>
    <row r="75" spans="27:53" hidden="1">
      <c r="AA75" s="71" t="s">
        <v>41</v>
      </c>
      <c r="AB75" s="35"/>
      <c r="AF75" s="70" t="e">
        <f t="shared" ref="AF75:AO75" si="102">AF36+AF37+AF41+AF44</f>
        <v>#REF!</v>
      </c>
      <c r="AG75" s="70" t="e">
        <f t="shared" si="102"/>
        <v>#REF!</v>
      </c>
      <c r="AH75" s="70" t="e">
        <f t="shared" si="102"/>
        <v>#REF!</v>
      </c>
      <c r="AI75" s="70" t="e">
        <f t="shared" si="102"/>
        <v>#REF!</v>
      </c>
      <c r="AJ75" s="70" t="e">
        <f t="shared" si="102"/>
        <v>#REF!</v>
      </c>
      <c r="AK75" s="70" t="e">
        <f t="shared" si="102"/>
        <v>#REF!</v>
      </c>
      <c r="AL75" s="70" t="e">
        <f t="shared" si="102"/>
        <v>#REF!</v>
      </c>
      <c r="AM75" s="70" t="e">
        <f t="shared" si="102"/>
        <v>#REF!</v>
      </c>
      <c r="AN75" s="70" t="e">
        <f t="shared" si="102"/>
        <v>#REF!</v>
      </c>
      <c r="AO75" s="70" t="e">
        <f t="shared" si="102"/>
        <v>#REF!</v>
      </c>
      <c r="AP75" s="70"/>
      <c r="AQ75" s="70"/>
      <c r="AR75" s="70" t="e">
        <f t="shared" ref="AR75:BA75" si="103">AR36+AR37+AR41+AR44</f>
        <v>#REF!</v>
      </c>
      <c r="AS75" s="70" t="e">
        <f t="shared" si="103"/>
        <v>#REF!</v>
      </c>
      <c r="AT75" s="70" t="e">
        <f t="shared" si="103"/>
        <v>#REF!</v>
      </c>
      <c r="AU75" s="70" t="e">
        <f t="shared" si="103"/>
        <v>#REF!</v>
      </c>
      <c r="AV75" s="70" t="e">
        <f t="shared" si="103"/>
        <v>#REF!</v>
      </c>
      <c r="AW75" s="70" t="e">
        <f t="shared" si="103"/>
        <v>#REF!</v>
      </c>
      <c r="AX75" s="70" t="e">
        <f t="shared" si="103"/>
        <v>#REF!</v>
      </c>
      <c r="AY75" s="70" t="e">
        <f t="shared" si="103"/>
        <v>#REF!</v>
      </c>
      <c r="AZ75" s="70" t="e">
        <f t="shared" si="103"/>
        <v>#REF!</v>
      </c>
      <c r="BA75" s="70" t="e">
        <f t="shared" si="103"/>
        <v>#REF!</v>
      </c>
    </row>
    <row r="76" spans="27:53" hidden="1">
      <c r="AA76" s="71" t="s">
        <v>42</v>
      </c>
      <c r="AB76" s="35"/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N86" s="38"/>
      <c r="AZ86" s="36"/>
    </row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545" t="s">
        <v>55</v>
      </c>
      <c r="G88" s="545" t="s">
        <v>73</v>
      </c>
      <c r="H88" s="545" t="s">
        <v>74</v>
      </c>
      <c r="I88" s="545" t="s">
        <v>58</v>
      </c>
      <c r="J88" s="545" t="s">
        <v>59</v>
      </c>
      <c r="K88" s="545" t="s">
        <v>60</v>
      </c>
      <c r="L88" s="544" t="s">
        <v>75</v>
      </c>
      <c r="M88" s="544" t="s">
        <v>76</v>
      </c>
      <c r="N88" s="544" t="s">
        <v>61</v>
      </c>
      <c r="O88" s="544" t="s">
        <v>62</v>
      </c>
      <c r="P88" s="544" t="s">
        <v>63</v>
      </c>
      <c r="AN88" s="38"/>
      <c r="AZ88" s="36"/>
    </row>
    <row r="89" spans="1:52" ht="25.5">
      <c r="A89" s="44" t="str">
        <f t="shared" ref="A89:C90" si="104">A4</f>
        <v>Substation General Construction</v>
      </c>
      <c r="B89" s="45" t="str">
        <f t="shared" si="104"/>
        <v>Light-Duty Truck, catalyst</v>
      </c>
      <c r="C89" s="46">
        <f t="shared" si="104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" si="105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si="104"/>
        <v>Substation Wiring</v>
      </c>
      <c r="B90" s="45" t="str">
        <f t="shared" si="104"/>
        <v>Light-Duty Truck, catalyst</v>
      </c>
      <c r="C90" s="46">
        <f t="shared" si="104"/>
        <v>1</v>
      </c>
      <c r="D90" s="46">
        <v>35</v>
      </c>
      <c r="E90" s="46">
        <v>80</v>
      </c>
      <c r="F90" s="50">
        <f>C5*($E5*$F5+($G5))/453.59</f>
        <v>0.48571938588092006</v>
      </c>
      <c r="G90" s="50">
        <f>C5*($E5*$H5+($I5))/453.59</f>
        <v>4.367065729437801E-2</v>
      </c>
      <c r="H90" s="50">
        <f>C5*(($E5*$J5)+($K5)+($L5)+($E5*$N5)+(($M5+$O5)))/453.59</f>
        <v>5.0499980323953329E-2</v>
      </c>
      <c r="I90" s="50">
        <f>C5*($E5*$P5+($Q5))/453.59</f>
        <v>7.2679702716061593E-4</v>
      </c>
      <c r="J90" s="50">
        <f>C5*(($E5*($R5+$T5+$U5))+($S5))/453.59</f>
        <v>8.5240904552078972E-3</v>
      </c>
      <c r="K90" s="50">
        <f>$C5*(($E5*($V5+$X5+$Y5))+($W5))/453.59</f>
        <v>3.7120053242531417E-3</v>
      </c>
      <c r="L90" s="50">
        <f>$B$22*C5*(E5+6)</f>
        <v>8.4385825860718994E-3</v>
      </c>
      <c r="M90" s="50">
        <f t="shared" ref="M90" si="106">0.41*L90</f>
        <v>3.4598188602894785E-3</v>
      </c>
      <c r="N90" s="50">
        <f>C5*($E5*$Z5+($AA5))/453.59</f>
        <v>55.423576726038895</v>
      </c>
      <c r="O90" s="50">
        <f>C5*($E5*$AB5+($AC5))/453.59</f>
        <v>3.1704753890302493E-3</v>
      </c>
      <c r="P90" s="50">
        <f>C5*($E5*$AD5+($AE5))/453.59</f>
        <v>5.7711199138433603E-3</v>
      </c>
      <c r="AN90" s="38"/>
      <c r="AZ90" s="36"/>
    </row>
    <row r="91" spans="1:52">
      <c r="A91" s="61" t="s">
        <v>389</v>
      </c>
      <c r="B91" s="40"/>
      <c r="C91" s="40"/>
      <c r="D91" s="40"/>
      <c r="E91" s="40"/>
      <c r="F91" s="81">
        <f t="shared" ref="F91:P91" si="107">SUM(F89:F90)</f>
        <v>1.9428775435236803</v>
      </c>
      <c r="G91" s="81">
        <f t="shared" si="107"/>
        <v>0.17468262917751204</v>
      </c>
      <c r="H91" s="81">
        <f t="shared" si="107"/>
        <v>0.20199992129581332</v>
      </c>
      <c r="I91" s="81">
        <f t="shared" si="107"/>
        <v>2.9071881086424637E-3</v>
      </c>
      <c r="J91" s="81">
        <f t="shared" si="107"/>
        <v>3.4096361820831589E-2</v>
      </c>
      <c r="K91" s="81">
        <f t="shared" si="107"/>
        <v>1.4848021297012567E-2</v>
      </c>
      <c r="L91" s="81">
        <f t="shared" si="107"/>
        <v>3.3754330344287597E-2</v>
      </c>
      <c r="M91" s="81">
        <f t="shared" si="107"/>
        <v>1.3839275441157914E-2</v>
      </c>
      <c r="N91" s="81">
        <f t="shared" si="107"/>
        <v>221.69430690415561</v>
      </c>
      <c r="O91" s="81">
        <f t="shared" si="107"/>
        <v>1.2681901556120997E-2</v>
      </c>
      <c r="P91" s="81">
        <f t="shared" si="107"/>
        <v>2.3084479655373441E-2</v>
      </c>
    </row>
  </sheetData>
  <mergeCells count="16">
    <mergeCell ref="AR11:BA11"/>
    <mergeCell ref="A87:A88"/>
    <mergeCell ref="B87:B88"/>
    <mergeCell ref="F87:P87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6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687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317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24" t="s">
        <v>311</v>
      </c>
      <c r="B14" s="29" t="s">
        <v>27</v>
      </c>
      <c r="C14" s="22">
        <v>175</v>
      </c>
      <c r="D14" s="22"/>
      <c r="E14" s="102">
        <v>0.11792220738547983</v>
      </c>
      <c r="F14" s="102">
        <v>0.36512193352152528</v>
      </c>
      <c r="G14" s="102">
        <v>0.86781464282266541</v>
      </c>
      <c r="H14" s="102">
        <v>1.8739217498104396E-3</v>
      </c>
      <c r="I14" s="102">
        <v>2.9041712295589866E-2</v>
      </c>
      <c r="J14" s="100">
        <f t="shared" ref="J14" si="4">0.89*I14</f>
        <v>2.5847123943074982E-2</v>
      </c>
      <c r="K14" s="103">
        <v>166.54541562452522</v>
      </c>
      <c r="L14" s="102">
        <v>1.063993297769634E-2</v>
      </c>
      <c r="M14" s="104">
        <f t="shared" ref="M14" si="5">0.095*G14</f>
        <v>8.2442391068153209E-2</v>
      </c>
      <c r="N14" s="98">
        <v>1</v>
      </c>
      <c r="O14" s="87">
        <v>2</v>
      </c>
      <c r="P14" s="363">
        <v>280</v>
      </c>
      <c r="Q14" s="34">
        <f t="shared" ref="Q14:Y14" si="6">(E14*$N14*$O14)</f>
        <v>0.23584441477095966</v>
      </c>
      <c r="R14" s="26">
        <f t="shared" si="6"/>
        <v>0.73024386704305055</v>
      </c>
      <c r="S14" s="26">
        <f t="shared" si="6"/>
        <v>1.7356292856453308</v>
      </c>
      <c r="T14" s="26">
        <f t="shared" si="6"/>
        <v>3.7478434996208792E-3</v>
      </c>
      <c r="U14" s="26">
        <f t="shared" si="6"/>
        <v>5.8083424591179732E-2</v>
      </c>
      <c r="V14" s="26">
        <f t="shared" si="6"/>
        <v>5.1694247886149965E-2</v>
      </c>
      <c r="W14" s="26">
        <f t="shared" si="6"/>
        <v>333.09083124905044</v>
      </c>
      <c r="X14" s="26">
        <f t="shared" si="6"/>
        <v>2.127986595539268E-2</v>
      </c>
      <c r="Y14" s="26">
        <f t="shared" si="6"/>
        <v>0.16488478213630642</v>
      </c>
    </row>
    <row r="15" spans="1:25" s="3" customFormat="1">
      <c r="A15" s="17" t="s">
        <v>28</v>
      </c>
      <c r="B15" s="97"/>
      <c r="C15" s="22"/>
      <c r="D15" s="22"/>
      <c r="E15" s="23"/>
      <c r="F15" s="23"/>
      <c r="G15" s="23"/>
      <c r="H15" s="23"/>
      <c r="I15" s="23"/>
      <c r="J15" s="24"/>
      <c r="K15" s="25"/>
      <c r="L15" s="23"/>
      <c r="M15" s="23"/>
      <c r="N15" s="88"/>
      <c r="O15" s="88"/>
      <c r="P15" s="88"/>
      <c r="Q15" s="27">
        <f t="shared" ref="Q15:Y15" si="7">SUM(Q14:Q14)</f>
        <v>0.23584441477095966</v>
      </c>
      <c r="R15" s="27">
        <f t="shared" si="7"/>
        <v>0.73024386704305055</v>
      </c>
      <c r="S15" s="27">
        <f t="shared" si="7"/>
        <v>1.7356292856453308</v>
      </c>
      <c r="T15" s="27">
        <f t="shared" si="7"/>
        <v>3.7478434996208792E-3</v>
      </c>
      <c r="U15" s="27">
        <f t="shared" si="7"/>
        <v>5.8083424591179732E-2</v>
      </c>
      <c r="V15" s="27">
        <f t="shared" si="7"/>
        <v>5.1694247886149965E-2</v>
      </c>
      <c r="W15" s="27">
        <f t="shared" si="7"/>
        <v>333.09083124905044</v>
      </c>
      <c r="X15" s="27">
        <f t="shared" si="7"/>
        <v>2.127986595539268E-2</v>
      </c>
      <c r="Y15" s="27">
        <f t="shared" si="7"/>
        <v>0.16488478213630642</v>
      </c>
    </row>
    <row r="16" spans="1:25">
      <c r="A16" s="17" t="s">
        <v>499</v>
      </c>
      <c r="B16" s="549"/>
      <c r="C16" s="18"/>
      <c r="D16" s="22"/>
      <c r="E16" s="19"/>
      <c r="F16" s="19"/>
      <c r="G16" s="19"/>
      <c r="H16" s="19"/>
      <c r="I16" s="19"/>
      <c r="J16" s="19"/>
      <c r="K16" s="19"/>
      <c r="L16" s="19"/>
      <c r="M16" s="19"/>
      <c r="N16" s="30"/>
      <c r="O16" s="30"/>
      <c r="P16" s="364"/>
      <c r="Q16" s="20">
        <f>Q11+Q15</f>
        <v>0.9504215378625569</v>
      </c>
      <c r="R16" s="20">
        <f t="shared" ref="R16:Y16" si="8">R11+R15</f>
        <v>3.6844030780014445</v>
      </c>
      <c r="S16" s="20">
        <f t="shared" si="8"/>
        <v>6.1566857317844876</v>
      </c>
      <c r="T16" s="20">
        <f t="shared" si="8"/>
        <v>1.207090973569876E-2</v>
      </c>
      <c r="U16" s="20">
        <f t="shared" si="8"/>
        <v>0.30389171690722716</v>
      </c>
      <c r="V16" s="20">
        <f t="shared" si="8"/>
        <v>0.27046362804743218</v>
      </c>
      <c r="W16" s="20">
        <f t="shared" si="8"/>
        <v>1029.5443237340787</v>
      </c>
      <c r="X16" s="20">
        <f t="shared" si="8"/>
        <v>9.3819672145962416E-2</v>
      </c>
      <c r="Y16" s="20">
        <f t="shared" si="8"/>
        <v>0.58488514451952633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4"/>
  <sheetViews>
    <sheetView zoomScale="75" workbookViewId="0">
      <selection activeCell="B27" sqref="B27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2.855468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535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70" t="s">
        <v>55</v>
      </c>
      <c r="H6" s="570" t="s">
        <v>56</v>
      </c>
      <c r="I6" s="566" t="s">
        <v>57</v>
      </c>
      <c r="J6" s="570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70" t="s">
        <v>61</v>
      </c>
      <c r="R6" s="566" t="s">
        <v>62</v>
      </c>
      <c r="S6" s="566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69" t="s">
        <v>69</v>
      </c>
      <c r="H7" s="41" t="s">
        <v>69</v>
      </c>
      <c r="I7" s="41" t="s">
        <v>69</v>
      </c>
      <c r="J7" s="41" t="s">
        <v>69</v>
      </c>
      <c r="K7" s="566" t="s">
        <v>69</v>
      </c>
      <c r="L7" s="566" t="s">
        <v>71</v>
      </c>
      <c r="M7" s="566" t="s">
        <v>72</v>
      </c>
      <c r="N7" s="566" t="s">
        <v>69</v>
      </c>
      <c r="O7" s="566" t="s">
        <v>71</v>
      </c>
      <c r="P7" s="566" t="s">
        <v>72</v>
      </c>
      <c r="Q7" s="41" t="s">
        <v>69</v>
      </c>
      <c r="R7" s="566" t="s">
        <v>69</v>
      </c>
      <c r="S7" s="566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69"/>
      <c r="H8" s="41"/>
      <c r="I8" s="41"/>
      <c r="J8" s="41"/>
      <c r="K8" s="566"/>
      <c r="L8" s="566"/>
      <c r="M8" s="566"/>
      <c r="N8" s="566"/>
      <c r="O8" s="566"/>
      <c r="P8" s="566"/>
      <c r="Q8" s="41"/>
      <c r="R8" s="566"/>
      <c r="S8" s="566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C9*(F9)*$B$382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68">
        <v>3.59998119015979E-2</v>
      </c>
      <c r="M10" s="568">
        <v>6.1739677411240299E-2</v>
      </c>
      <c r="N10" s="106">
        <v>6.5945508986370194E-2</v>
      </c>
      <c r="O10" s="568">
        <v>2.9999843251331498E-3</v>
      </c>
      <c r="P10" s="568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C10*(F10)*$B$382</f>
        <v>7.8498442661133934E-3</v>
      </c>
      <c r="AA10" s="50">
        <f>Z10*0.21</f>
        <v>1.6484672958838125E-3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69"/>
      <c r="H11" s="41"/>
      <c r="I11" s="41"/>
      <c r="J11" s="41"/>
      <c r="K11" s="566"/>
      <c r="L11" s="566"/>
      <c r="M11" s="566"/>
      <c r="N11" s="566"/>
      <c r="O11" s="566"/>
      <c r="P11" s="566"/>
      <c r="Q11" s="41"/>
      <c r="R11" s="566"/>
      <c r="S11" s="566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2.5511993864868531E-2</v>
      </c>
      <c r="AA11" s="81">
        <f t="shared" si="0"/>
        <v>5.3575187116223916E-3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69"/>
      <c r="H12" s="41"/>
      <c r="I12" s="41"/>
      <c r="J12" s="41"/>
      <c r="K12" s="566"/>
      <c r="L12" s="566"/>
      <c r="M12" s="566"/>
      <c r="N12" s="566"/>
      <c r="O12" s="566"/>
      <c r="P12" s="566"/>
      <c r="Q12" s="41"/>
      <c r="R12" s="566"/>
      <c r="S12" s="566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330</v>
      </c>
      <c r="B13" s="74"/>
      <c r="C13" s="112"/>
      <c r="D13" s="112"/>
      <c r="E13" s="74"/>
      <c r="F13" s="74"/>
      <c r="G13" s="569"/>
      <c r="H13" s="41"/>
      <c r="I13" s="41"/>
      <c r="J13" s="41"/>
      <c r="K13" s="566"/>
      <c r="L13" s="566"/>
      <c r="M13" s="566"/>
      <c r="N13" s="566"/>
      <c r="O13" s="566"/>
      <c r="P13" s="566"/>
      <c r="Q13" s="41"/>
      <c r="R13" s="566"/>
      <c r="S13" s="566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12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0.39956510213458007</v>
      </c>
      <c r="U14" s="50">
        <f>C14*($F14*$H14)/453.59</f>
        <v>0.73763751131887467</v>
      </c>
      <c r="V14" s="50">
        <f>C14*(($F14*$I14))/453.59</f>
        <v>9.01226910517854E-2</v>
      </c>
      <c r="W14" s="50">
        <f>C14*($F14*$J14)/453.59</f>
        <v>5.5594453624299087E-3</v>
      </c>
      <c r="X14" s="50">
        <f>C14*(($F14*($K14+$L14+$M14)))/453.59</f>
        <v>0.14547785948060449</v>
      </c>
      <c r="Y14" s="50">
        <f>C14*(($F14*($N14+$O14+$P14)))/453.59</f>
        <v>9.6664395931909605E-2</v>
      </c>
      <c r="Z14" s="50">
        <f>C14*(F14)*$B$382</f>
        <v>7.0648598395020551E-2</v>
      </c>
      <c r="AA14" s="50">
        <f>Z14*0.21</f>
        <v>1.4836205662954315E-2</v>
      </c>
      <c r="AB14" s="50">
        <f>C14*(($F14*($Q14)))/453.59</f>
        <v>387.25642236102652</v>
      </c>
      <c r="AC14" s="50">
        <f>C14*(($F14*($R14)))/453.59</f>
        <v>2.2128993742976135E-2</v>
      </c>
      <c r="AD14" s="50">
        <f>C14*(($F14*($S14)))/453.59</f>
        <v>9.9199605152000547E-3</v>
      </c>
    </row>
    <row r="15" spans="1:30">
      <c r="A15" s="75" t="s">
        <v>28</v>
      </c>
      <c r="B15" s="74"/>
      <c r="C15" s="112"/>
      <c r="D15" s="112"/>
      <c r="E15" s="74"/>
      <c r="F15" s="74"/>
      <c r="G15" s="569"/>
      <c r="H15" s="41"/>
      <c r="I15" s="41"/>
      <c r="J15" s="41"/>
      <c r="K15" s="566"/>
      <c r="L15" s="566"/>
      <c r="M15" s="566"/>
      <c r="N15" s="566"/>
      <c r="O15" s="566"/>
      <c r="P15" s="566"/>
      <c r="Q15" s="41"/>
      <c r="R15" s="566"/>
      <c r="S15" s="566"/>
      <c r="T15" s="81">
        <f t="shared" ref="T15:AD15" si="1">SUM(T14:T14)</f>
        <v>0.39956510213458007</v>
      </c>
      <c r="U15" s="81">
        <f t="shared" si="1"/>
        <v>0.73763751131887467</v>
      </c>
      <c r="V15" s="81">
        <f t="shared" si="1"/>
        <v>9.01226910517854E-2</v>
      </c>
      <c r="W15" s="81">
        <f t="shared" si="1"/>
        <v>5.5594453624299087E-3</v>
      </c>
      <c r="X15" s="81">
        <f t="shared" si="1"/>
        <v>0.14547785948060449</v>
      </c>
      <c r="Y15" s="81">
        <f t="shared" si="1"/>
        <v>9.6664395931909605E-2</v>
      </c>
      <c r="Z15" s="81">
        <f t="shared" si="1"/>
        <v>7.0648598395020551E-2</v>
      </c>
      <c r="AA15" s="81">
        <f t="shared" si="1"/>
        <v>1.4836205662954315E-2</v>
      </c>
      <c r="AB15" s="81">
        <f t="shared" si="1"/>
        <v>387.25642236102652</v>
      </c>
      <c r="AC15" s="81">
        <f t="shared" si="1"/>
        <v>2.2128993742976135E-2</v>
      </c>
      <c r="AD15" s="81">
        <f t="shared" si="1"/>
        <v>9.9199605152000547E-3</v>
      </c>
    </row>
    <row r="16" spans="1:30">
      <c r="A16" s="565"/>
      <c r="B16" s="74"/>
      <c r="C16" s="112"/>
      <c r="D16" s="112"/>
      <c r="E16" s="74"/>
      <c r="F16" s="74"/>
      <c r="G16" s="569"/>
      <c r="H16" s="41"/>
      <c r="I16" s="41"/>
      <c r="J16" s="41"/>
      <c r="K16" s="566"/>
      <c r="L16" s="566"/>
      <c r="M16" s="566"/>
      <c r="N16" s="566"/>
      <c r="O16" s="566"/>
      <c r="P16" s="566"/>
      <c r="Q16" s="41"/>
      <c r="R16" s="566"/>
      <c r="S16" s="566"/>
      <c r="T16" s="61"/>
      <c r="U16" s="61"/>
      <c r="V16" s="61"/>
      <c r="W16" s="61"/>
      <c r="X16" s="61"/>
      <c r="Y16" s="61"/>
      <c r="Z16" s="62"/>
      <c r="AA16" s="62"/>
      <c r="AB16" s="62"/>
      <c r="AC16" s="62"/>
      <c r="AD16" s="62"/>
    </row>
    <row r="17" spans="1:30">
      <c r="A17" s="114" t="s">
        <v>337</v>
      </c>
      <c r="B17" s="74"/>
      <c r="C17" s="112"/>
      <c r="D17" s="112"/>
      <c r="E17" s="74"/>
      <c r="F17" s="74"/>
      <c r="G17" s="569"/>
      <c r="H17" s="41"/>
      <c r="I17" s="41"/>
      <c r="J17" s="41"/>
      <c r="K17" s="566"/>
      <c r="L17" s="566"/>
      <c r="M17" s="566"/>
      <c r="N17" s="566"/>
      <c r="O17" s="566"/>
      <c r="P17" s="566"/>
      <c r="Q17" s="41"/>
      <c r="R17" s="566"/>
      <c r="S17" s="566"/>
      <c r="T17" s="61"/>
      <c r="U17" s="61"/>
      <c r="V17" s="61"/>
      <c r="W17" s="61"/>
      <c r="X17" s="61"/>
      <c r="Y17" s="61"/>
      <c r="Z17" s="62"/>
      <c r="AA17" s="62"/>
      <c r="AB17" s="62"/>
      <c r="AC17" s="62"/>
      <c r="AD17" s="62"/>
    </row>
    <row r="18" spans="1:30">
      <c r="A18" s="78" t="s">
        <v>320</v>
      </c>
      <c r="B18" s="76" t="s">
        <v>95</v>
      </c>
      <c r="C18" s="79">
        <v>8</v>
      </c>
      <c r="D18" s="77"/>
      <c r="E18" s="77">
        <v>35</v>
      </c>
      <c r="F18" s="77">
        <v>60</v>
      </c>
      <c r="G18" s="106">
        <v>0.25172046482947802</v>
      </c>
      <c r="H18" s="106">
        <v>0.464701387165456</v>
      </c>
      <c r="I18" s="106">
        <v>5.6776043658582402E-2</v>
      </c>
      <c r="J18" s="106">
        <v>3.5023733638119199E-3</v>
      </c>
      <c r="K18" s="106">
        <v>4.6899256897933901E-2</v>
      </c>
      <c r="L18" s="47">
        <v>7.99995847163921E-3</v>
      </c>
      <c r="M18" s="47">
        <v>3.6749815577381599E-2</v>
      </c>
      <c r="N18" s="106">
        <v>4.3147317248333997E-2</v>
      </c>
      <c r="O18" s="47">
        <v>1.9999896145790402E-3</v>
      </c>
      <c r="P18" s="47">
        <v>1.57499200131354E-2</v>
      </c>
      <c r="Q18" s="106">
        <v>243.966167526025</v>
      </c>
      <c r="R18" s="47">
        <f>0.000057143*Q18</f>
        <v>1.3940958710939646E-2</v>
      </c>
      <c r="S18" s="80">
        <f>0.000025616*Q18</f>
        <v>6.2494373473466567E-3</v>
      </c>
      <c r="T18" s="50">
        <f>C18*($F18*$G18)/453.59</f>
        <v>0.26637673475638673</v>
      </c>
      <c r="U18" s="50">
        <f>C18*($F18*$H18)/453.59</f>
        <v>0.49175834087924974</v>
      </c>
      <c r="V18" s="50">
        <f>C18*(($F18*$I18))/453.59</f>
        <v>6.0081794034523593E-2</v>
      </c>
      <c r="W18" s="50">
        <f>C18*($F18*$J18)/453.59</f>
        <v>3.7062969082866061E-3</v>
      </c>
      <c r="X18" s="50">
        <f>C18*(($F18*($K18+$L18+$M18)))/453.59</f>
        <v>9.698523965373633E-2</v>
      </c>
      <c r="Y18" s="50">
        <f>C18*(($F18*($N18+$O18+$P18)))/453.59</f>
        <v>6.444293062127307E-2</v>
      </c>
      <c r="Z18" s="50">
        <f>C18*(F18)*$B$382</f>
        <v>4.7099065596680367E-2</v>
      </c>
      <c r="AA18" s="50">
        <f>Z18*0.21</f>
        <v>9.8908037753028775E-3</v>
      </c>
      <c r="AB18" s="50">
        <f>C18*(($F18*($Q18)))/453.59</f>
        <v>258.17094824068437</v>
      </c>
      <c r="AC18" s="50">
        <f>C18*(($F18*($R18)))/453.59</f>
        <v>1.4752662495317424E-2</v>
      </c>
      <c r="AD18" s="50">
        <f>C18*(($F18*($S18)))/453.59</f>
        <v>6.6133070101333695E-3</v>
      </c>
    </row>
    <row r="19" spans="1:30">
      <c r="A19" s="75" t="s">
        <v>28</v>
      </c>
      <c r="B19" s="74"/>
      <c r="C19" s="112"/>
      <c r="D19" s="112"/>
      <c r="E19" s="74"/>
      <c r="F19" s="74"/>
      <c r="G19" s="569"/>
      <c r="H19" s="41"/>
      <c r="I19" s="41"/>
      <c r="J19" s="41"/>
      <c r="K19" s="566"/>
      <c r="L19" s="566"/>
      <c r="M19" s="566"/>
      <c r="N19" s="566"/>
      <c r="O19" s="566"/>
      <c r="P19" s="566"/>
      <c r="Q19" s="41"/>
      <c r="R19" s="566"/>
      <c r="S19" s="566"/>
      <c r="T19" s="81">
        <f t="shared" ref="T19:AD19" si="2">SUM(T18:T18)</f>
        <v>0.26637673475638673</v>
      </c>
      <c r="U19" s="81">
        <f t="shared" si="2"/>
        <v>0.49175834087924974</v>
      </c>
      <c r="V19" s="81">
        <f t="shared" si="2"/>
        <v>6.0081794034523593E-2</v>
      </c>
      <c r="W19" s="81">
        <f t="shared" si="2"/>
        <v>3.7062969082866061E-3</v>
      </c>
      <c r="X19" s="81">
        <f t="shared" si="2"/>
        <v>9.698523965373633E-2</v>
      </c>
      <c r="Y19" s="81">
        <f t="shared" si="2"/>
        <v>6.444293062127307E-2</v>
      </c>
      <c r="Z19" s="81">
        <f t="shared" si="2"/>
        <v>4.7099065596680367E-2</v>
      </c>
      <c r="AA19" s="81">
        <f t="shared" si="2"/>
        <v>9.8908037753028775E-3</v>
      </c>
      <c r="AB19" s="81">
        <f t="shared" si="2"/>
        <v>258.17094824068437</v>
      </c>
      <c r="AC19" s="81">
        <f t="shared" si="2"/>
        <v>1.4752662495317424E-2</v>
      </c>
      <c r="AD19" s="81">
        <f t="shared" si="2"/>
        <v>6.6133070101333695E-3</v>
      </c>
    </row>
    <row r="20" spans="1:30">
      <c r="A20" s="75" t="s">
        <v>388</v>
      </c>
      <c r="B20" s="74"/>
      <c r="C20" s="112"/>
      <c r="D20" s="112"/>
      <c r="E20" s="74"/>
      <c r="F20" s="74"/>
      <c r="G20" s="569"/>
      <c r="H20" s="41"/>
      <c r="I20" s="41"/>
      <c r="J20" s="41"/>
      <c r="K20" s="566"/>
      <c r="L20" s="566"/>
      <c r="M20" s="566"/>
      <c r="N20" s="566"/>
      <c r="O20" s="566"/>
      <c r="P20" s="566"/>
      <c r="Q20" s="41"/>
      <c r="R20" s="566"/>
      <c r="S20" s="566"/>
      <c r="T20" s="81">
        <f t="shared" ref="T20:AD20" si="3">T11+T15+T19</f>
        <v>0.95677907971386422</v>
      </c>
      <c r="U20" s="81">
        <f t="shared" si="3"/>
        <v>2.290592088813709</v>
      </c>
      <c r="V20" s="81">
        <f t="shared" si="3"/>
        <v>0.21902896957352952</v>
      </c>
      <c r="W20" s="81">
        <f t="shared" si="3"/>
        <v>1.2544854785291673E-2</v>
      </c>
      <c r="X20" s="81">
        <f t="shared" si="3"/>
        <v>0.30871318577921886</v>
      </c>
      <c r="Y20" s="81">
        <f t="shared" si="3"/>
        <v>0.20728541018229121</v>
      </c>
      <c r="Z20" s="81">
        <f t="shared" si="3"/>
        <v>0.14325965785656947</v>
      </c>
      <c r="AA20" s="81">
        <f t="shared" si="3"/>
        <v>3.0084528149879584E-2</v>
      </c>
      <c r="AB20" s="81">
        <f t="shared" si="3"/>
        <v>1043.9634859155328</v>
      </c>
      <c r="AC20" s="81">
        <f t="shared" si="3"/>
        <v>4.5100956202078671E-2</v>
      </c>
      <c r="AD20" s="81">
        <f t="shared" si="3"/>
        <v>2.6742168655212287E-2</v>
      </c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372" spans="1:2" ht="25.5">
      <c r="A372" s="82" t="s">
        <v>109</v>
      </c>
    </row>
    <row r="374" spans="1:2">
      <c r="A374" s="36" t="s">
        <v>81</v>
      </c>
    </row>
    <row r="375" spans="1:2">
      <c r="A375" s="36" t="s">
        <v>82</v>
      </c>
    </row>
    <row r="376" spans="1:2">
      <c r="A376" s="36" t="s">
        <v>83</v>
      </c>
    </row>
    <row r="377" spans="1:2">
      <c r="A377" s="37" t="s">
        <v>96</v>
      </c>
    </row>
    <row r="378" spans="1:2">
      <c r="A378" s="36" t="s">
        <v>85</v>
      </c>
    </row>
    <row r="379" spans="1:2">
      <c r="A379" s="36" t="s">
        <v>86</v>
      </c>
    </row>
    <row r="380" spans="1:2">
      <c r="A380" s="36" t="s">
        <v>87</v>
      </c>
    </row>
    <row r="381" spans="1:2">
      <c r="A381" s="36" t="s">
        <v>0</v>
      </c>
    </row>
    <row r="382" spans="1:2">
      <c r="A382" s="37" t="s">
        <v>97</v>
      </c>
      <c r="B382" s="36">
        <f>(0.016*(0.03/2)^0.65*(2/3)^1.5)-0.00047</f>
        <v>9.8123053326417428E-5</v>
      </c>
    </row>
    <row r="383" spans="1:2">
      <c r="A383" s="37" t="s">
        <v>98</v>
      </c>
      <c r="B383" s="36">
        <f>(0.016*(0.03/2)^0.65*(13/3)^1.5)-0.00047</f>
        <v>8.9448292388582783E-3</v>
      </c>
    </row>
    <row r="384" spans="1:2">
      <c r="A384" s="37" t="s">
        <v>99</v>
      </c>
      <c r="B384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0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688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C9*(F9)*$B$136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C10*(F10)*$B$136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335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311</v>
      </c>
      <c r="B14" s="76" t="s">
        <v>105</v>
      </c>
      <c r="C14" s="374">
        <v>1</v>
      </c>
      <c r="D14" s="77"/>
      <c r="E14" s="77">
        <v>35</v>
      </c>
      <c r="F14" s="77">
        <v>80</v>
      </c>
      <c r="G14" s="106">
        <v>1.08263976628415</v>
      </c>
      <c r="H14" s="106">
        <v>4.9712718909585103</v>
      </c>
      <c r="I14" s="106">
        <v>0.26248012575016899</v>
      </c>
      <c r="J14" s="106">
        <v>1.0711818E-2</v>
      </c>
      <c r="K14" s="106">
        <v>7.1679901072141505E-2</v>
      </c>
      <c r="L14" s="576">
        <v>3.59998119015979E-2</v>
      </c>
      <c r="M14" s="576">
        <v>6.1739677411240299E-2</v>
      </c>
      <c r="N14" s="106">
        <v>6.5945508986370194E-2</v>
      </c>
      <c r="O14" s="576">
        <v>2.9999843251331498E-3</v>
      </c>
      <c r="P14" s="576">
        <v>5.5859708133979398E-2</v>
      </c>
      <c r="Q14" s="106">
        <v>1710.7260798814</v>
      </c>
      <c r="R14" s="47">
        <v>1.5235246282551899E-2</v>
      </c>
      <c r="S14" s="80">
        <f>0.000025616*Q14</f>
        <v>4.3821959262241944E-2</v>
      </c>
      <c r="T14" s="50">
        <f>C14*($F14*$G14)/453.59</f>
        <v>0.19094596728925242</v>
      </c>
      <c r="U14" s="50">
        <f>C14*($F14*$H14)/453.59</f>
        <v>0.87678685878586582</v>
      </c>
      <c r="V14" s="50">
        <f>C14*(($F14*$I14))/453.59</f>
        <v>4.6293811724274173E-2</v>
      </c>
      <c r="W14" s="50">
        <f>C14*($F14*$J14)/453.59</f>
        <v>1.8892511739676801E-3</v>
      </c>
      <c r="X14" s="50">
        <f>C14*(($F14*($K14+$L14+$M14)))/453.59</f>
        <v>2.9880621774726907E-2</v>
      </c>
      <c r="Y14" s="50">
        <f>C14*(($F14*($N14+$O14+$P14)))/453.59</f>
        <v>2.2011984646131133E-2</v>
      </c>
      <c r="Z14" s="50">
        <f>C14*(F14)*$B$136</f>
        <v>0</v>
      </c>
      <c r="AA14" s="50">
        <f>Z14*0.21</f>
        <v>0</v>
      </c>
      <c r="AB14" s="50">
        <f>C14*(($F14*($Q14)))/453.59</f>
        <v>301.72200972356535</v>
      </c>
      <c r="AC14" s="50">
        <f>C14*(($F14*($R14)))/453.59</f>
        <v>2.6870515280410772E-3</v>
      </c>
      <c r="AD14" s="50">
        <f>C14*(($F14*($S14)))/453.59</f>
        <v>7.7289110010788503E-3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0.19094596728925242</v>
      </c>
      <c r="U15" s="81">
        <f t="shared" si="1"/>
        <v>0.87678685878586582</v>
      </c>
      <c r="V15" s="81">
        <f t="shared" si="1"/>
        <v>4.6293811724274173E-2</v>
      </c>
      <c r="W15" s="81">
        <f t="shared" si="1"/>
        <v>1.8892511739676801E-3</v>
      </c>
      <c r="X15" s="81">
        <f t="shared" si="1"/>
        <v>2.9880621774726907E-2</v>
      </c>
      <c r="Y15" s="81">
        <f t="shared" si="1"/>
        <v>2.2011984646131133E-2</v>
      </c>
      <c r="Z15" s="81">
        <f t="shared" si="1"/>
        <v>0</v>
      </c>
      <c r="AA15" s="81">
        <f t="shared" si="1"/>
        <v>0</v>
      </c>
      <c r="AB15" s="81">
        <f t="shared" si="1"/>
        <v>301.72200972356535</v>
      </c>
      <c r="AC15" s="81">
        <f t="shared" si="1"/>
        <v>2.6870515280410772E-3</v>
      </c>
      <c r="AD15" s="81">
        <f t="shared" si="1"/>
        <v>7.7289110010788503E-3</v>
      </c>
    </row>
    <row r="16" spans="1:30">
      <c r="A16" s="75" t="s">
        <v>388</v>
      </c>
      <c r="B16" s="74"/>
      <c r="C16" s="112"/>
      <c r="D16" s="112"/>
      <c r="E16" s="74"/>
      <c r="F16" s="74"/>
      <c r="G16" s="547"/>
      <c r="H16" s="41"/>
      <c r="I16" s="41"/>
      <c r="J16" s="41"/>
      <c r="K16" s="544"/>
      <c r="L16" s="544"/>
      <c r="M16" s="544"/>
      <c r="N16" s="544"/>
      <c r="O16" s="544"/>
      <c r="P16" s="544"/>
      <c r="Q16" s="41"/>
      <c r="R16" s="544"/>
      <c r="S16" s="544"/>
      <c r="T16" s="81">
        <f>T11+T15</f>
        <v>0.48178321011214986</v>
      </c>
      <c r="U16" s="81">
        <f t="shared" ref="U16:AD16" si="2">U11+U15</f>
        <v>1.9379830954014503</v>
      </c>
      <c r="V16" s="81">
        <f t="shared" si="2"/>
        <v>0.11511829621149469</v>
      </c>
      <c r="W16" s="81">
        <f t="shared" si="2"/>
        <v>5.1683636885428378E-3</v>
      </c>
      <c r="X16" s="81">
        <f t="shared" si="2"/>
        <v>9.6130708419604929E-2</v>
      </c>
      <c r="Y16" s="81">
        <f t="shared" si="2"/>
        <v>6.8190068275239671E-2</v>
      </c>
      <c r="Z16" s="81">
        <f t="shared" si="2"/>
        <v>0</v>
      </c>
      <c r="AA16" s="81">
        <f t="shared" si="2"/>
        <v>0</v>
      </c>
      <c r="AB16" s="81">
        <f t="shared" si="2"/>
        <v>700.25812503738734</v>
      </c>
      <c r="AC16" s="81">
        <f t="shared" si="2"/>
        <v>1.0906351491826187E-2</v>
      </c>
      <c r="AD16" s="81">
        <f t="shared" si="2"/>
        <v>1.7937812130957714E-2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368" spans="1:1" ht="25.5">
      <c r="A368" s="82" t="s">
        <v>109</v>
      </c>
    </row>
    <row r="370" spans="1:2">
      <c r="A370" s="36" t="s">
        <v>81</v>
      </c>
    </row>
    <row r="371" spans="1:2">
      <c r="A371" s="36" t="s">
        <v>82</v>
      </c>
    </row>
    <row r="372" spans="1:2">
      <c r="A372" s="36" t="s">
        <v>83</v>
      </c>
    </row>
    <row r="373" spans="1:2">
      <c r="A373" s="37" t="s">
        <v>96</v>
      </c>
    </row>
    <row r="374" spans="1:2">
      <c r="A374" s="36" t="s">
        <v>85</v>
      </c>
    </row>
    <row r="375" spans="1:2">
      <c r="A375" s="36" t="s">
        <v>86</v>
      </c>
    </row>
    <row r="376" spans="1:2">
      <c r="A376" s="36" t="s">
        <v>87</v>
      </c>
    </row>
    <row r="377" spans="1:2">
      <c r="A377" s="36" t="s">
        <v>0</v>
      </c>
    </row>
    <row r="378" spans="1:2">
      <c r="A378" s="37" t="s">
        <v>97</v>
      </c>
      <c r="B378" s="36">
        <f>(0.016*(0.03/2)^0.65*(2/3)^1.5)-0.00047</f>
        <v>9.8123053326417428E-5</v>
      </c>
    </row>
    <row r="379" spans="1:2">
      <c r="A379" s="37" t="s">
        <v>98</v>
      </c>
      <c r="B379" s="36">
        <f>(0.016*(0.03/2)^0.65*(13/3)^1.5)-0.00047</f>
        <v>8.9448292388582783E-3</v>
      </c>
    </row>
    <row r="380" spans="1:2">
      <c r="A380" s="37" t="s">
        <v>99</v>
      </c>
      <c r="B38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A2" sqref="A2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689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335</v>
      </c>
      <c r="B5" s="45" t="s">
        <v>102</v>
      </c>
      <c r="C5" s="46">
        <v>1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idden="1">
      <c r="A9" s="55" t="s">
        <v>78</v>
      </c>
      <c r="B9" s="37"/>
      <c r="C9" s="37"/>
      <c r="AA9" s="57"/>
      <c r="AB9" s="57"/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54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/>
      <c r="B13" s="37"/>
      <c r="C13" s="37"/>
      <c r="AQ13" s="38"/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F14" s="36" t="e">
        <f t="shared" ref="AF14:AF22" si="2">AF$9*$AC15</f>
        <v>#REF!</v>
      </c>
      <c r="AG14" s="36" t="e">
        <f t="shared" ref="AG14:AG22" si="3">AG$9*$AC15</f>
        <v>#REF!</v>
      </c>
      <c r="AH14" s="36" t="e">
        <f t="shared" ref="AH14:AH22" si="4">AH$9*$AC15</f>
        <v>#REF!</v>
      </c>
      <c r="AI14" s="36" t="e">
        <f t="shared" ref="AI14:AI22" si="5">AI$9*$AC15</f>
        <v>#REF!</v>
      </c>
      <c r="AJ14" s="36" t="e">
        <f t="shared" ref="AJ14:AJ22" si="6">AJ$9*$AC15</f>
        <v>#REF!</v>
      </c>
      <c r="AK14" s="36" t="e">
        <f t="shared" ref="AK14:AK22" si="7">AK$9*$AC15</f>
        <v>#REF!</v>
      </c>
      <c r="AL14" s="36" t="e">
        <f t="shared" ref="AL14:AL22" si="8">AL$9*$AC15</f>
        <v>#REF!</v>
      </c>
      <c r="AM14" s="36" t="e">
        <f t="shared" ref="AM14:AM22" si="9">AM$9*$AC15</f>
        <v>#REF!</v>
      </c>
      <c r="AN14" s="36" t="e">
        <f t="shared" ref="AN14:AN22" si="10">AN$9*$AC15</f>
        <v>#REF!</v>
      </c>
      <c r="AO14" s="36" t="e">
        <f t="shared" ref="AO14:AO22" si="11">AO$9*$AC15</f>
        <v>#REF!</v>
      </c>
      <c r="AQ14" s="38"/>
      <c r="AR14" s="36" t="e">
        <f t="shared" ref="AR14:AR22" si="12">AR$9*$AC15</f>
        <v>#REF!</v>
      </c>
      <c r="AS14" s="36" t="e">
        <f t="shared" ref="AS14:AS22" si="13">AS$9*$AC15</f>
        <v>#REF!</v>
      </c>
      <c r="AT14" s="36" t="e">
        <f t="shared" ref="AT14:AT22" si="14">AT$9*$AC15</f>
        <v>#REF!</v>
      </c>
      <c r="AU14" s="36" t="e">
        <f t="shared" ref="AU14:AU22" si="15">AU$9*$AC15</f>
        <v>#REF!</v>
      </c>
      <c r="AV14" s="36" t="e">
        <f t="shared" ref="AV14:AV22" si="16">AV$9*$AC15</f>
        <v>#REF!</v>
      </c>
      <c r="AW14" s="36" t="e">
        <f t="shared" ref="AW14:AW22" si="17">AW$9*$AC15</f>
        <v>#REF!</v>
      </c>
      <c r="AX14" s="36" t="e">
        <f t="shared" ref="AX14:AX22" si="18">AX$9*$AC15</f>
        <v>#REF!</v>
      </c>
      <c r="AY14" s="36" t="e">
        <f t="shared" ref="AY14:AY22" si="19">AY$9*$AC15</f>
        <v>#REF!</v>
      </c>
      <c r="AZ14" s="36" t="e">
        <f t="shared" ref="AZ14:AZ22" si="20">AZ$9*$AC15</f>
        <v>#REF!</v>
      </c>
      <c r="BA14" s="36" t="e">
        <f t="shared" ref="BA14:BA22" si="21">BA$9*$AC15</f>
        <v>#REF!</v>
      </c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 t="shared" si="2"/>
        <v>#REF!</v>
      </c>
      <c r="AG15" s="36" t="e">
        <f t="shared" si="3"/>
        <v>#REF!</v>
      </c>
      <c r="AH15" s="36" t="e">
        <f t="shared" si="4"/>
        <v>#REF!</v>
      </c>
      <c r="AI15" s="36" t="e">
        <f t="shared" si="5"/>
        <v>#REF!</v>
      </c>
      <c r="AJ15" s="36" t="e">
        <f t="shared" si="6"/>
        <v>#REF!</v>
      </c>
      <c r="AK15" s="36" t="e">
        <f t="shared" si="7"/>
        <v>#REF!</v>
      </c>
      <c r="AL15" s="36" t="e">
        <f t="shared" si="8"/>
        <v>#REF!</v>
      </c>
      <c r="AM15" s="36" t="e">
        <f t="shared" si="9"/>
        <v>#REF!</v>
      </c>
      <c r="AN15" s="36" t="e">
        <f t="shared" si="10"/>
        <v>#REF!</v>
      </c>
      <c r="AO15" s="36" t="e">
        <f t="shared" si="11"/>
        <v>#REF!</v>
      </c>
      <c r="AQ15" s="38"/>
      <c r="AR15" s="36" t="e">
        <f t="shared" si="12"/>
        <v>#REF!</v>
      </c>
      <c r="AS15" s="36" t="e">
        <f t="shared" si="13"/>
        <v>#REF!</v>
      </c>
      <c r="AT15" s="36" t="e">
        <f t="shared" si="14"/>
        <v>#REF!</v>
      </c>
      <c r="AU15" s="36" t="e">
        <f t="shared" si="15"/>
        <v>#REF!</v>
      </c>
      <c r="AV15" s="36" t="e">
        <f t="shared" si="16"/>
        <v>#REF!</v>
      </c>
      <c r="AW15" s="36" t="e">
        <f t="shared" si="17"/>
        <v>#REF!</v>
      </c>
      <c r="AX15" s="36" t="e">
        <f t="shared" si="18"/>
        <v>#REF!</v>
      </c>
      <c r="AY15" s="36" t="e">
        <f t="shared" si="19"/>
        <v>#REF!</v>
      </c>
      <c r="AZ15" s="36" t="e">
        <f t="shared" si="20"/>
        <v>#REF!</v>
      </c>
      <c r="BA15" s="36" t="e">
        <f t="shared" si="21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si="2"/>
        <v>#REF!</v>
      </c>
      <c r="AG16" s="36" t="e">
        <f t="shared" si="3"/>
        <v>#REF!</v>
      </c>
      <c r="AH16" s="36" t="e">
        <f t="shared" si="4"/>
        <v>#REF!</v>
      </c>
      <c r="AI16" s="36" t="e">
        <f t="shared" si="5"/>
        <v>#REF!</v>
      </c>
      <c r="AJ16" s="36" t="e">
        <f t="shared" si="6"/>
        <v>#REF!</v>
      </c>
      <c r="AK16" s="36" t="e">
        <f t="shared" si="7"/>
        <v>#REF!</v>
      </c>
      <c r="AL16" s="36" t="e">
        <f t="shared" si="8"/>
        <v>#REF!</v>
      </c>
      <c r="AM16" s="36" t="e">
        <f t="shared" si="9"/>
        <v>#REF!</v>
      </c>
      <c r="AN16" s="36" t="e">
        <f t="shared" si="10"/>
        <v>#REF!</v>
      </c>
      <c r="AO16" s="36" t="e">
        <f t="shared" si="11"/>
        <v>#REF!</v>
      </c>
      <c r="AQ16" s="38"/>
      <c r="AR16" s="36" t="e">
        <f t="shared" si="12"/>
        <v>#REF!</v>
      </c>
      <c r="AS16" s="36" t="e">
        <f t="shared" si="13"/>
        <v>#REF!</v>
      </c>
      <c r="AT16" s="36" t="e">
        <f t="shared" si="14"/>
        <v>#REF!</v>
      </c>
      <c r="AU16" s="36" t="e">
        <f t="shared" si="15"/>
        <v>#REF!</v>
      </c>
      <c r="AV16" s="36" t="e">
        <f t="shared" si="16"/>
        <v>#REF!</v>
      </c>
      <c r="AW16" s="36" t="e">
        <f t="shared" si="17"/>
        <v>#REF!</v>
      </c>
      <c r="AX16" s="36" t="e">
        <f t="shared" si="18"/>
        <v>#REF!</v>
      </c>
      <c r="AY16" s="36" t="e">
        <f t="shared" si="19"/>
        <v>#REF!</v>
      </c>
      <c r="AZ16" s="36" t="e">
        <f t="shared" si="20"/>
        <v>#REF!</v>
      </c>
      <c r="BA16" s="36" t="e">
        <f t="shared" si="21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2"/>
        <v>#REF!</v>
      </c>
      <c r="AG17" s="36" t="e">
        <f t="shared" si="3"/>
        <v>#REF!</v>
      </c>
      <c r="AH17" s="36" t="e">
        <f t="shared" si="4"/>
        <v>#REF!</v>
      </c>
      <c r="AI17" s="36" t="e">
        <f t="shared" si="5"/>
        <v>#REF!</v>
      </c>
      <c r="AJ17" s="36" t="e">
        <f t="shared" si="6"/>
        <v>#REF!</v>
      </c>
      <c r="AK17" s="36" t="e">
        <f t="shared" si="7"/>
        <v>#REF!</v>
      </c>
      <c r="AL17" s="36" t="e">
        <f t="shared" si="8"/>
        <v>#REF!</v>
      </c>
      <c r="AM17" s="36" t="e">
        <f t="shared" si="9"/>
        <v>#REF!</v>
      </c>
      <c r="AN17" s="36" t="e">
        <f t="shared" si="10"/>
        <v>#REF!</v>
      </c>
      <c r="AO17" s="36" t="e">
        <f t="shared" si="11"/>
        <v>#REF!</v>
      </c>
      <c r="AQ17" s="38"/>
      <c r="AR17" s="36" t="e">
        <f t="shared" si="12"/>
        <v>#REF!</v>
      </c>
      <c r="AS17" s="36" t="e">
        <f t="shared" si="13"/>
        <v>#REF!</v>
      </c>
      <c r="AT17" s="36" t="e">
        <f t="shared" si="14"/>
        <v>#REF!</v>
      </c>
      <c r="AU17" s="36" t="e">
        <f t="shared" si="15"/>
        <v>#REF!</v>
      </c>
      <c r="AV17" s="36" t="e">
        <f t="shared" si="16"/>
        <v>#REF!</v>
      </c>
      <c r="AW17" s="36" t="e">
        <f t="shared" si="17"/>
        <v>#REF!</v>
      </c>
      <c r="AX17" s="36" t="e">
        <f t="shared" si="18"/>
        <v>#REF!</v>
      </c>
      <c r="AY17" s="36" t="e">
        <f t="shared" si="19"/>
        <v>#REF!</v>
      </c>
      <c r="AZ17" s="36" t="e">
        <f t="shared" si="20"/>
        <v>#REF!</v>
      </c>
      <c r="BA17" s="36" t="e">
        <f t="shared" si="21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2"/>
        <v>#REF!</v>
      </c>
      <c r="AG18" s="36" t="e">
        <f t="shared" si="3"/>
        <v>#REF!</v>
      </c>
      <c r="AH18" s="36" t="e">
        <f t="shared" si="4"/>
        <v>#REF!</v>
      </c>
      <c r="AI18" s="36" t="e">
        <f t="shared" si="5"/>
        <v>#REF!</v>
      </c>
      <c r="AJ18" s="36" t="e">
        <f t="shared" si="6"/>
        <v>#REF!</v>
      </c>
      <c r="AK18" s="36" t="e">
        <f t="shared" si="7"/>
        <v>#REF!</v>
      </c>
      <c r="AL18" s="36" t="e">
        <f t="shared" si="8"/>
        <v>#REF!</v>
      </c>
      <c r="AM18" s="36" t="e">
        <f t="shared" si="9"/>
        <v>#REF!</v>
      </c>
      <c r="AN18" s="36" t="e">
        <f t="shared" si="10"/>
        <v>#REF!</v>
      </c>
      <c r="AO18" s="36" t="e">
        <f t="shared" si="11"/>
        <v>#REF!</v>
      </c>
      <c r="AQ18" s="38"/>
      <c r="AR18" s="36" t="e">
        <f t="shared" si="12"/>
        <v>#REF!</v>
      </c>
      <c r="AS18" s="36" t="e">
        <f t="shared" si="13"/>
        <v>#REF!</v>
      </c>
      <c r="AT18" s="36" t="e">
        <f t="shared" si="14"/>
        <v>#REF!</v>
      </c>
      <c r="AU18" s="36" t="e">
        <f t="shared" si="15"/>
        <v>#REF!</v>
      </c>
      <c r="AV18" s="36" t="e">
        <f t="shared" si="16"/>
        <v>#REF!</v>
      </c>
      <c r="AW18" s="36" t="e">
        <f t="shared" si="17"/>
        <v>#REF!</v>
      </c>
      <c r="AX18" s="36" t="e">
        <f t="shared" si="18"/>
        <v>#REF!</v>
      </c>
      <c r="AY18" s="36" t="e">
        <f t="shared" si="19"/>
        <v>#REF!</v>
      </c>
      <c r="AZ18" s="36" t="e">
        <f t="shared" si="20"/>
        <v>#REF!</v>
      </c>
      <c r="BA18" s="36" t="e">
        <f t="shared" si="21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2"/>
        <v>#REF!</v>
      </c>
      <c r="AG19" s="36" t="e">
        <f t="shared" si="3"/>
        <v>#REF!</v>
      </c>
      <c r="AH19" s="36" t="e">
        <f t="shared" si="4"/>
        <v>#REF!</v>
      </c>
      <c r="AI19" s="36" t="e">
        <f t="shared" si="5"/>
        <v>#REF!</v>
      </c>
      <c r="AJ19" s="36" t="e">
        <f t="shared" si="6"/>
        <v>#REF!</v>
      </c>
      <c r="AK19" s="36" t="e">
        <f t="shared" si="7"/>
        <v>#REF!</v>
      </c>
      <c r="AL19" s="36" t="e">
        <f t="shared" si="8"/>
        <v>#REF!</v>
      </c>
      <c r="AM19" s="36" t="e">
        <f t="shared" si="9"/>
        <v>#REF!</v>
      </c>
      <c r="AN19" s="36" t="e">
        <f t="shared" si="10"/>
        <v>#REF!</v>
      </c>
      <c r="AO19" s="36" t="e">
        <f t="shared" si="11"/>
        <v>#REF!</v>
      </c>
      <c r="AQ19" s="38"/>
      <c r="AR19" s="36" t="e">
        <f t="shared" si="12"/>
        <v>#REF!</v>
      </c>
      <c r="AS19" s="36" t="e">
        <f t="shared" si="13"/>
        <v>#REF!</v>
      </c>
      <c r="AT19" s="36" t="e">
        <f t="shared" si="14"/>
        <v>#REF!</v>
      </c>
      <c r="AU19" s="36" t="e">
        <f t="shared" si="15"/>
        <v>#REF!</v>
      </c>
      <c r="AV19" s="36" t="e">
        <f t="shared" si="16"/>
        <v>#REF!</v>
      </c>
      <c r="AW19" s="36" t="e">
        <f t="shared" si="17"/>
        <v>#REF!</v>
      </c>
      <c r="AX19" s="36" t="e">
        <f t="shared" si="18"/>
        <v>#REF!</v>
      </c>
      <c r="AY19" s="36" t="e">
        <f t="shared" si="19"/>
        <v>#REF!</v>
      </c>
      <c r="AZ19" s="36" t="e">
        <f t="shared" si="20"/>
        <v>#REF!</v>
      </c>
      <c r="BA19" s="36" t="e">
        <f t="shared" si="21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2"/>
        <v>#REF!</v>
      </c>
      <c r="AG20" s="36" t="e">
        <f t="shared" si="3"/>
        <v>#REF!</v>
      </c>
      <c r="AH20" s="36" t="e">
        <f t="shared" si="4"/>
        <v>#REF!</v>
      </c>
      <c r="AI20" s="36" t="e">
        <f t="shared" si="5"/>
        <v>#REF!</v>
      </c>
      <c r="AJ20" s="36" t="e">
        <f t="shared" si="6"/>
        <v>#REF!</v>
      </c>
      <c r="AK20" s="36" t="e">
        <f t="shared" si="7"/>
        <v>#REF!</v>
      </c>
      <c r="AL20" s="36" t="e">
        <f t="shared" si="8"/>
        <v>#REF!</v>
      </c>
      <c r="AM20" s="36" t="e">
        <f t="shared" si="9"/>
        <v>#REF!</v>
      </c>
      <c r="AN20" s="36" t="e">
        <f t="shared" si="10"/>
        <v>#REF!</v>
      </c>
      <c r="AO20" s="36" t="e">
        <f t="shared" si="11"/>
        <v>#REF!</v>
      </c>
      <c r="AQ20" s="38"/>
      <c r="AR20" s="36" t="e">
        <f t="shared" si="12"/>
        <v>#REF!</v>
      </c>
      <c r="AS20" s="36" t="e">
        <f t="shared" si="13"/>
        <v>#REF!</v>
      </c>
      <c r="AT20" s="36" t="e">
        <f t="shared" si="14"/>
        <v>#REF!</v>
      </c>
      <c r="AU20" s="36" t="e">
        <f t="shared" si="15"/>
        <v>#REF!</v>
      </c>
      <c r="AV20" s="36" t="e">
        <f t="shared" si="16"/>
        <v>#REF!</v>
      </c>
      <c r="AW20" s="36" t="e">
        <f t="shared" si="17"/>
        <v>#REF!</v>
      </c>
      <c r="AX20" s="36" t="e">
        <f t="shared" si="18"/>
        <v>#REF!</v>
      </c>
      <c r="AY20" s="36" t="e">
        <f t="shared" si="19"/>
        <v>#REF!</v>
      </c>
      <c r="AZ20" s="36" t="e">
        <f t="shared" si="20"/>
        <v>#REF!</v>
      </c>
      <c r="BA20" s="36" t="e">
        <f t="shared" si="21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2"/>
        <v>#REF!</v>
      </c>
      <c r="AG21" s="36" t="e">
        <f t="shared" si="3"/>
        <v>#REF!</v>
      </c>
      <c r="AH21" s="36" t="e">
        <f t="shared" si="4"/>
        <v>#REF!</v>
      </c>
      <c r="AI21" s="36" t="e">
        <f t="shared" si="5"/>
        <v>#REF!</v>
      </c>
      <c r="AJ21" s="36" t="e">
        <f t="shared" si="6"/>
        <v>#REF!</v>
      </c>
      <c r="AK21" s="36" t="e">
        <f t="shared" si="7"/>
        <v>#REF!</v>
      </c>
      <c r="AL21" s="36" t="e">
        <f t="shared" si="8"/>
        <v>#REF!</v>
      </c>
      <c r="AM21" s="36" t="e">
        <f t="shared" si="9"/>
        <v>#REF!</v>
      </c>
      <c r="AN21" s="36" t="e">
        <f t="shared" si="10"/>
        <v>#REF!</v>
      </c>
      <c r="AO21" s="36" t="e">
        <f t="shared" si="11"/>
        <v>#REF!</v>
      </c>
      <c r="AQ21" s="38"/>
      <c r="AR21" s="36" t="e">
        <f t="shared" si="12"/>
        <v>#REF!</v>
      </c>
      <c r="AS21" s="36" t="e">
        <f t="shared" si="13"/>
        <v>#REF!</v>
      </c>
      <c r="AT21" s="36" t="e">
        <f t="shared" si="14"/>
        <v>#REF!</v>
      </c>
      <c r="AU21" s="36" t="e">
        <f t="shared" si="15"/>
        <v>#REF!</v>
      </c>
      <c r="AV21" s="36" t="e">
        <f t="shared" si="16"/>
        <v>#REF!</v>
      </c>
      <c r="AW21" s="36" t="e">
        <f t="shared" si="17"/>
        <v>#REF!</v>
      </c>
      <c r="AX21" s="36" t="e">
        <f t="shared" si="18"/>
        <v>#REF!</v>
      </c>
      <c r="AY21" s="36" t="e">
        <f t="shared" si="19"/>
        <v>#REF!</v>
      </c>
      <c r="AZ21" s="36" t="e">
        <f t="shared" si="20"/>
        <v>#REF!</v>
      </c>
      <c r="BA21" s="36" t="e">
        <f t="shared" si="21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2"/>
        <v>#REF!</v>
      </c>
      <c r="AG22" s="36" t="e">
        <f t="shared" si="3"/>
        <v>#REF!</v>
      </c>
      <c r="AH22" s="36" t="e">
        <f t="shared" si="4"/>
        <v>#REF!</v>
      </c>
      <c r="AI22" s="36" t="e">
        <f t="shared" si="5"/>
        <v>#REF!</v>
      </c>
      <c r="AJ22" s="36" t="e">
        <f t="shared" si="6"/>
        <v>#REF!</v>
      </c>
      <c r="AK22" s="36" t="e">
        <f t="shared" si="7"/>
        <v>#REF!</v>
      </c>
      <c r="AL22" s="36" t="e">
        <f t="shared" si="8"/>
        <v>#REF!</v>
      </c>
      <c r="AM22" s="36" t="e">
        <f t="shared" si="9"/>
        <v>#REF!</v>
      </c>
      <c r="AN22" s="36" t="e">
        <f t="shared" si="10"/>
        <v>#REF!</v>
      </c>
      <c r="AO22" s="36" t="e">
        <f t="shared" si="11"/>
        <v>#REF!</v>
      </c>
      <c r="AQ22" s="38"/>
      <c r="AR22" s="36" t="e">
        <f t="shared" si="12"/>
        <v>#REF!</v>
      </c>
      <c r="AS22" s="36" t="e">
        <f t="shared" si="13"/>
        <v>#REF!</v>
      </c>
      <c r="AT22" s="36" t="e">
        <f t="shared" si="14"/>
        <v>#REF!</v>
      </c>
      <c r="AU22" s="36" t="e">
        <f t="shared" si="15"/>
        <v>#REF!</v>
      </c>
      <c r="AV22" s="36" t="e">
        <f t="shared" si="16"/>
        <v>#REF!</v>
      </c>
      <c r="AW22" s="36" t="e">
        <f t="shared" si="17"/>
        <v>#REF!</v>
      </c>
      <c r="AX22" s="36" t="e">
        <f t="shared" si="18"/>
        <v>#REF!</v>
      </c>
      <c r="AY22" s="36" t="e">
        <f t="shared" si="19"/>
        <v>#REF!</v>
      </c>
      <c r="AZ22" s="36" t="e">
        <f t="shared" si="20"/>
        <v>#REF!</v>
      </c>
      <c r="BA22" s="36" t="e">
        <f t="shared" si="21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Q23" s="38"/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F25" s="36" t="e">
        <f t="shared" ref="AF25:AF33" si="22">AF$9*$AC26</f>
        <v>#REF!</v>
      </c>
      <c r="AG25" s="36" t="e">
        <f t="shared" ref="AG25:AG33" si="23">AG$9*$AC26</f>
        <v>#REF!</v>
      </c>
      <c r="AH25" s="36" t="e">
        <f t="shared" ref="AH25:AH33" si="24">AH$9*$AC26</f>
        <v>#REF!</v>
      </c>
      <c r="AI25" s="36" t="e">
        <f t="shared" ref="AI25:AI33" si="25">AI$9*$AC26</f>
        <v>#REF!</v>
      </c>
      <c r="AJ25" s="36" t="e">
        <f t="shared" ref="AJ25:AJ33" si="26">AJ$9*$AC26</f>
        <v>#REF!</v>
      </c>
      <c r="AK25" s="36" t="e">
        <f t="shared" ref="AK25:AK33" si="27">AK$9*$AC26</f>
        <v>#REF!</v>
      </c>
      <c r="AL25" s="36" t="e">
        <f t="shared" ref="AL25:AL33" si="28">AL$9*$AC26</f>
        <v>#REF!</v>
      </c>
      <c r="AM25" s="36" t="e">
        <f t="shared" ref="AM25:AM33" si="29">AM$9*$AC26</f>
        <v>#REF!</v>
      </c>
      <c r="AN25" s="36" t="e">
        <f t="shared" ref="AN25:AN33" si="30">AN$9*$AC26</f>
        <v>#REF!</v>
      </c>
      <c r="AO25" s="36" t="e">
        <f t="shared" ref="AO25:AO33" si="31">AO$9*$AC26</f>
        <v>#REF!</v>
      </c>
      <c r="AQ25" s="38"/>
      <c r="AR25" s="36" t="e">
        <f t="shared" ref="AR25:AR33" si="32">AR$9*$AC26</f>
        <v>#REF!</v>
      </c>
      <c r="AS25" s="36" t="e">
        <f t="shared" ref="AS25:AS33" si="33">AS$9*$AC26</f>
        <v>#REF!</v>
      </c>
      <c r="AT25" s="36" t="e">
        <f t="shared" ref="AT25:AT33" si="34">AT$9*$AC26</f>
        <v>#REF!</v>
      </c>
      <c r="AU25" s="36" t="e">
        <f t="shared" ref="AU25:AU33" si="35">AU$9*$AC26</f>
        <v>#REF!</v>
      </c>
      <c r="AV25" s="36" t="e">
        <f t="shared" ref="AV25:AV33" si="36">AV$9*$AC26</f>
        <v>#REF!</v>
      </c>
      <c r="AW25" s="36" t="e">
        <f t="shared" ref="AW25:AW33" si="37">AW$9*$AC26</f>
        <v>#REF!</v>
      </c>
      <c r="AX25" s="36" t="e">
        <f t="shared" ref="AX25:AX33" si="38">AX$9*$AC26</f>
        <v>#REF!</v>
      </c>
      <c r="AY25" s="36" t="e">
        <f t="shared" ref="AY25:AY33" si="39">AY$9*$AC26</f>
        <v>#REF!</v>
      </c>
      <c r="AZ25" s="36" t="e">
        <f t="shared" ref="AZ25:AZ33" si="40">AZ$9*$AC26</f>
        <v>#REF!</v>
      </c>
      <c r="BA25" s="36" t="e">
        <f t="shared" ref="BA25:BA33" si="41">BA$9*$AC26</f>
        <v>#REF!</v>
      </c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si="22"/>
        <v>#REF!</v>
      </c>
      <c r="AG26" s="36" t="e">
        <f t="shared" si="23"/>
        <v>#REF!</v>
      </c>
      <c r="AH26" s="36" t="e">
        <f t="shared" si="24"/>
        <v>#REF!</v>
      </c>
      <c r="AI26" s="36" t="e">
        <f t="shared" si="25"/>
        <v>#REF!</v>
      </c>
      <c r="AJ26" s="36" t="e">
        <f t="shared" si="26"/>
        <v>#REF!</v>
      </c>
      <c r="AK26" s="36" t="e">
        <f t="shared" si="27"/>
        <v>#REF!</v>
      </c>
      <c r="AL26" s="36" t="e">
        <f t="shared" si="28"/>
        <v>#REF!</v>
      </c>
      <c r="AM26" s="36" t="e">
        <f t="shared" si="29"/>
        <v>#REF!</v>
      </c>
      <c r="AN26" s="36" t="e">
        <f t="shared" si="30"/>
        <v>#REF!</v>
      </c>
      <c r="AO26" s="36" t="e">
        <f t="shared" si="31"/>
        <v>#REF!</v>
      </c>
      <c r="AQ26" s="38"/>
      <c r="AR26" s="36" t="e">
        <f t="shared" si="32"/>
        <v>#REF!</v>
      </c>
      <c r="AS26" s="36" t="e">
        <f t="shared" si="33"/>
        <v>#REF!</v>
      </c>
      <c r="AT26" s="36" t="e">
        <f t="shared" si="34"/>
        <v>#REF!</v>
      </c>
      <c r="AU26" s="36" t="e">
        <f t="shared" si="35"/>
        <v>#REF!</v>
      </c>
      <c r="AV26" s="36" t="e">
        <f t="shared" si="36"/>
        <v>#REF!</v>
      </c>
      <c r="AW26" s="36" t="e">
        <f t="shared" si="37"/>
        <v>#REF!</v>
      </c>
      <c r="AX26" s="36" t="e">
        <f t="shared" si="38"/>
        <v>#REF!</v>
      </c>
      <c r="AY26" s="36" t="e">
        <f t="shared" si="39"/>
        <v>#REF!</v>
      </c>
      <c r="AZ26" s="36" t="e">
        <f t="shared" si="40"/>
        <v>#REF!</v>
      </c>
      <c r="BA26" s="36" t="e">
        <f t="shared" si="41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22"/>
        <v>#REF!</v>
      </c>
      <c r="AG27" s="36" t="e">
        <f t="shared" si="23"/>
        <v>#REF!</v>
      </c>
      <c r="AH27" s="36" t="e">
        <f t="shared" si="24"/>
        <v>#REF!</v>
      </c>
      <c r="AI27" s="36" t="e">
        <f t="shared" si="25"/>
        <v>#REF!</v>
      </c>
      <c r="AJ27" s="36" t="e">
        <f t="shared" si="26"/>
        <v>#REF!</v>
      </c>
      <c r="AK27" s="36" t="e">
        <f t="shared" si="27"/>
        <v>#REF!</v>
      </c>
      <c r="AL27" s="36" t="e">
        <f t="shared" si="28"/>
        <v>#REF!</v>
      </c>
      <c r="AM27" s="36" t="e">
        <f t="shared" si="29"/>
        <v>#REF!</v>
      </c>
      <c r="AN27" s="36" t="e">
        <f t="shared" si="30"/>
        <v>#REF!</v>
      </c>
      <c r="AO27" s="36" t="e">
        <f t="shared" si="31"/>
        <v>#REF!</v>
      </c>
      <c r="AQ27" s="38"/>
      <c r="AR27" s="36" t="e">
        <f t="shared" si="32"/>
        <v>#REF!</v>
      </c>
      <c r="AS27" s="36" t="e">
        <f t="shared" si="33"/>
        <v>#REF!</v>
      </c>
      <c r="AT27" s="36" t="e">
        <f t="shared" si="34"/>
        <v>#REF!</v>
      </c>
      <c r="AU27" s="36" t="e">
        <f t="shared" si="35"/>
        <v>#REF!</v>
      </c>
      <c r="AV27" s="36" t="e">
        <f t="shared" si="36"/>
        <v>#REF!</v>
      </c>
      <c r="AW27" s="36" t="e">
        <f t="shared" si="37"/>
        <v>#REF!</v>
      </c>
      <c r="AX27" s="36" t="e">
        <f t="shared" si="38"/>
        <v>#REF!</v>
      </c>
      <c r="AY27" s="36" t="e">
        <f t="shared" si="39"/>
        <v>#REF!</v>
      </c>
      <c r="AZ27" s="36" t="e">
        <f t="shared" si="40"/>
        <v>#REF!</v>
      </c>
      <c r="BA27" s="36" t="e">
        <f t="shared" si="41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22"/>
        <v>#REF!</v>
      </c>
      <c r="AG28" s="36" t="e">
        <f t="shared" si="23"/>
        <v>#REF!</v>
      </c>
      <c r="AH28" s="36" t="e">
        <f t="shared" si="24"/>
        <v>#REF!</v>
      </c>
      <c r="AI28" s="36" t="e">
        <f t="shared" si="25"/>
        <v>#REF!</v>
      </c>
      <c r="AJ28" s="36" t="e">
        <f t="shared" si="26"/>
        <v>#REF!</v>
      </c>
      <c r="AK28" s="36" t="e">
        <f t="shared" si="27"/>
        <v>#REF!</v>
      </c>
      <c r="AL28" s="36" t="e">
        <f t="shared" si="28"/>
        <v>#REF!</v>
      </c>
      <c r="AM28" s="36" t="e">
        <f t="shared" si="29"/>
        <v>#REF!</v>
      </c>
      <c r="AN28" s="36" t="e">
        <f t="shared" si="30"/>
        <v>#REF!</v>
      </c>
      <c r="AO28" s="36" t="e">
        <f t="shared" si="31"/>
        <v>#REF!</v>
      </c>
      <c r="AQ28" s="38"/>
      <c r="AR28" s="36" t="e">
        <f t="shared" si="32"/>
        <v>#REF!</v>
      </c>
      <c r="AS28" s="36" t="e">
        <f t="shared" si="33"/>
        <v>#REF!</v>
      </c>
      <c r="AT28" s="36" t="e">
        <f t="shared" si="34"/>
        <v>#REF!</v>
      </c>
      <c r="AU28" s="36" t="e">
        <f t="shared" si="35"/>
        <v>#REF!</v>
      </c>
      <c r="AV28" s="36" t="e">
        <f t="shared" si="36"/>
        <v>#REF!</v>
      </c>
      <c r="AW28" s="36" t="e">
        <f t="shared" si="37"/>
        <v>#REF!</v>
      </c>
      <c r="AX28" s="36" t="e">
        <f t="shared" si="38"/>
        <v>#REF!</v>
      </c>
      <c r="AY28" s="36" t="e">
        <f t="shared" si="39"/>
        <v>#REF!</v>
      </c>
      <c r="AZ28" s="36" t="e">
        <f t="shared" si="40"/>
        <v>#REF!</v>
      </c>
      <c r="BA28" s="36" t="e">
        <f t="shared" si="41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22"/>
        <v>#REF!</v>
      </c>
      <c r="AG29" s="36" t="e">
        <f t="shared" si="23"/>
        <v>#REF!</v>
      </c>
      <c r="AH29" s="36" t="e">
        <f t="shared" si="24"/>
        <v>#REF!</v>
      </c>
      <c r="AI29" s="36" t="e">
        <f t="shared" si="25"/>
        <v>#REF!</v>
      </c>
      <c r="AJ29" s="36" t="e">
        <f t="shared" si="26"/>
        <v>#REF!</v>
      </c>
      <c r="AK29" s="36" t="e">
        <f t="shared" si="27"/>
        <v>#REF!</v>
      </c>
      <c r="AL29" s="36" t="e">
        <f t="shared" si="28"/>
        <v>#REF!</v>
      </c>
      <c r="AM29" s="36" t="e">
        <f t="shared" si="29"/>
        <v>#REF!</v>
      </c>
      <c r="AN29" s="36" t="e">
        <f t="shared" si="30"/>
        <v>#REF!</v>
      </c>
      <c r="AO29" s="36" t="e">
        <f t="shared" si="31"/>
        <v>#REF!</v>
      </c>
      <c r="AQ29" s="38"/>
      <c r="AR29" s="36" t="e">
        <f t="shared" si="32"/>
        <v>#REF!</v>
      </c>
      <c r="AS29" s="36" t="e">
        <f t="shared" si="33"/>
        <v>#REF!</v>
      </c>
      <c r="AT29" s="36" t="e">
        <f t="shared" si="34"/>
        <v>#REF!</v>
      </c>
      <c r="AU29" s="36" t="e">
        <f t="shared" si="35"/>
        <v>#REF!</v>
      </c>
      <c r="AV29" s="36" t="e">
        <f t="shared" si="36"/>
        <v>#REF!</v>
      </c>
      <c r="AW29" s="36" t="e">
        <f t="shared" si="37"/>
        <v>#REF!</v>
      </c>
      <c r="AX29" s="36" t="e">
        <f t="shared" si="38"/>
        <v>#REF!</v>
      </c>
      <c r="AY29" s="36" t="e">
        <f t="shared" si="39"/>
        <v>#REF!</v>
      </c>
      <c r="AZ29" s="36" t="e">
        <f t="shared" si="40"/>
        <v>#REF!</v>
      </c>
      <c r="BA29" s="36" t="e">
        <f t="shared" si="41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22"/>
        <v>#REF!</v>
      </c>
      <c r="AG30" s="36" t="e">
        <f t="shared" si="23"/>
        <v>#REF!</v>
      </c>
      <c r="AH30" s="36" t="e">
        <f t="shared" si="24"/>
        <v>#REF!</v>
      </c>
      <c r="AI30" s="36" t="e">
        <f t="shared" si="25"/>
        <v>#REF!</v>
      </c>
      <c r="AJ30" s="36" t="e">
        <f t="shared" si="26"/>
        <v>#REF!</v>
      </c>
      <c r="AK30" s="36" t="e">
        <f t="shared" si="27"/>
        <v>#REF!</v>
      </c>
      <c r="AL30" s="36" t="e">
        <f t="shared" si="28"/>
        <v>#REF!</v>
      </c>
      <c r="AM30" s="36" t="e">
        <f t="shared" si="29"/>
        <v>#REF!</v>
      </c>
      <c r="AN30" s="36" t="e">
        <f t="shared" si="30"/>
        <v>#REF!</v>
      </c>
      <c r="AO30" s="36" t="e">
        <f t="shared" si="31"/>
        <v>#REF!</v>
      </c>
      <c r="AQ30" s="38"/>
      <c r="AR30" s="36" t="e">
        <f t="shared" si="32"/>
        <v>#REF!</v>
      </c>
      <c r="AS30" s="36" t="e">
        <f t="shared" si="33"/>
        <v>#REF!</v>
      </c>
      <c r="AT30" s="36" t="e">
        <f t="shared" si="34"/>
        <v>#REF!</v>
      </c>
      <c r="AU30" s="36" t="e">
        <f t="shared" si="35"/>
        <v>#REF!</v>
      </c>
      <c r="AV30" s="36" t="e">
        <f t="shared" si="36"/>
        <v>#REF!</v>
      </c>
      <c r="AW30" s="36" t="e">
        <f t="shared" si="37"/>
        <v>#REF!</v>
      </c>
      <c r="AX30" s="36" t="e">
        <f t="shared" si="38"/>
        <v>#REF!</v>
      </c>
      <c r="AY30" s="36" t="e">
        <f t="shared" si="39"/>
        <v>#REF!</v>
      </c>
      <c r="AZ30" s="36" t="e">
        <f t="shared" si="40"/>
        <v>#REF!</v>
      </c>
      <c r="BA30" s="36" t="e">
        <f t="shared" si="41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22"/>
        <v>#REF!</v>
      </c>
      <c r="AG31" s="36" t="e">
        <f t="shared" si="23"/>
        <v>#REF!</v>
      </c>
      <c r="AH31" s="36" t="e">
        <f t="shared" si="24"/>
        <v>#REF!</v>
      </c>
      <c r="AI31" s="36" t="e">
        <f t="shared" si="25"/>
        <v>#REF!</v>
      </c>
      <c r="AJ31" s="36" t="e">
        <f t="shared" si="26"/>
        <v>#REF!</v>
      </c>
      <c r="AK31" s="36" t="e">
        <f t="shared" si="27"/>
        <v>#REF!</v>
      </c>
      <c r="AL31" s="36" t="e">
        <f t="shared" si="28"/>
        <v>#REF!</v>
      </c>
      <c r="AM31" s="36" t="e">
        <f t="shared" si="29"/>
        <v>#REF!</v>
      </c>
      <c r="AN31" s="36" t="e">
        <f t="shared" si="30"/>
        <v>#REF!</v>
      </c>
      <c r="AO31" s="36" t="e">
        <f t="shared" si="31"/>
        <v>#REF!</v>
      </c>
      <c r="AQ31" s="38"/>
      <c r="AR31" s="36" t="e">
        <f t="shared" si="32"/>
        <v>#REF!</v>
      </c>
      <c r="AS31" s="36" t="e">
        <f t="shared" si="33"/>
        <v>#REF!</v>
      </c>
      <c r="AT31" s="36" t="e">
        <f t="shared" si="34"/>
        <v>#REF!</v>
      </c>
      <c r="AU31" s="36" t="e">
        <f t="shared" si="35"/>
        <v>#REF!</v>
      </c>
      <c r="AV31" s="36" t="e">
        <f t="shared" si="36"/>
        <v>#REF!</v>
      </c>
      <c r="AW31" s="36" t="e">
        <f t="shared" si="37"/>
        <v>#REF!</v>
      </c>
      <c r="AX31" s="36" t="e">
        <f t="shared" si="38"/>
        <v>#REF!</v>
      </c>
      <c r="AY31" s="36" t="e">
        <f t="shared" si="39"/>
        <v>#REF!</v>
      </c>
      <c r="AZ31" s="36" t="e">
        <f t="shared" si="40"/>
        <v>#REF!</v>
      </c>
      <c r="BA31" s="36" t="e">
        <f t="shared" si="41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22"/>
        <v>#REF!</v>
      </c>
      <c r="AG32" s="36" t="e">
        <f t="shared" si="23"/>
        <v>#REF!</v>
      </c>
      <c r="AH32" s="36" t="e">
        <f t="shared" si="24"/>
        <v>#REF!</v>
      </c>
      <c r="AI32" s="36" t="e">
        <f t="shared" si="25"/>
        <v>#REF!</v>
      </c>
      <c r="AJ32" s="36" t="e">
        <f t="shared" si="26"/>
        <v>#REF!</v>
      </c>
      <c r="AK32" s="36" t="e">
        <f t="shared" si="27"/>
        <v>#REF!</v>
      </c>
      <c r="AL32" s="36" t="e">
        <f t="shared" si="28"/>
        <v>#REF!</v>
      </c>
      <c r="AM32" s="36" t="e">
        <f t="shared" si="29"/>
        <v>#REF!</v>
      </c>
      <c r="AN32" s="36" t="e">
        <f t="shared" si="30"/>
        <v>#REF!</v>
      </c>
      <c r="AO32" s="36" t="e">
        <f t="shared" si="31"/>
        <v>#REF!</v>
      </c>
      <c r="AQ32" s="38"/>
      <c r="AR32" s="36" t="e">
        <f t="shared" si="32"/>
        <v>#REF!</v>
      </c>
      <c r="AS32" s="36" t="e">
        <f t="shared" si="33"/>
        <v>#REF!</v>
      </c>
      <c r="AT32" s="36" t="e">
        <f t="shared" si="34"/>
        <v>#REF!</v>
      </c>
      <c r="AU32" s="36" t="e">
        <f t="shared" si="35"/>
        <v>#REF!</v>
      </c>
      <c r="AV32" s="36" t="e">
        <f t="shared" si="36"/>
        <v>#REF!</v>
      </c>
      <c r="AW32" s="36" t="e">
        <f t="shared" si="37"/>
        <v>#REF!</v>
      </c>
      <c r="AX32" s="36" t="e">
        <f t="shared" si="38"/>
        <v>#REF!</v>
      </c>
      <c r="AY32" s="36" t="e">
        <f t="shared" si="39"/>
        <v>#REF!</v>
      </c>
      <c r="AZ32" s="36" t="e">
        <f t="shared" si="40"/>
        <v>#REF!</v>
      </c>
      <c r="BA32" s="36" t="e">
        <f t="shared" si="41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22"/>
        <v>#REF!</v>
      </c>
      <c r="AG33" s="36" t="e">
        <f t="shared" si="23"/>
        <v>#REF!</v>
      </c>
      <c r="AH33" s="36" t="e">
        <f t="shared" si="24"/>
        <v>#REF!</v>
      </c>
      <c r="AI33" s="36" t="e">
        <f t="shared" si="25"/>
        <v>#REF!</v>
      </c>
      <c r="AJ33" s="36" t="e">
        <f t="shared" si="26"/>
        <v>#REF!</v>
      </c>
      <c r="AK33" s="36" t="e">
        <f t="shared" si="27"/>
        <v>#REF!</v>
      </c>
      <c r="AL33" s="36" t="e">
        <f t="shared" si="28"/>
        <v>#REF!</v>
      </c>
      <c r="AM33" s="36" t="e">
        <f t="shared" si="29"/>
        <v>#REF!</v>
      </c>
      <c r="AN33" s="36" t="e">
        <f t="shared" si="30"/>
        <v>#REF!</v>
      </c>
      <c r="AO33" s="36" t="e">
        <f t="shared" si="31"/>
        <v>#REF!</v>
      </c>
      <c r="AQ33" s="38"/>
      <c r="AR33" s="36" t="e">
        <f t="shared" si="32"/>
        <v>#REF!</v>
      </c>
      <c r="AS33" s="36" t="e">
        <f t="shared" si="33"/>
        <v>#REF!</v>
      </c>
      <c r="AT33" s="36" t="e">
        <f t="shared" si="34"/>
        <v>#REF!</v>
      </c>
      <c r="AU33" s="36" t="e">
        <f t="shared" si="35"/>
        <v>#REF!</v>
      </c>
      <c r="AV33" s="36" t="e">
        <f t="shared" si="36"/>
        <v>#REF!</v>
      </c>
      <c r="AW33" s="36" t="e">
        <f t="shared" si="37"/>
        <v>#REF!</v>
      </c>
      <c r="AX33" s="36" t="e">
        <f t="shared" si="38"/>
        <v>#REF!</v>
      </c>
      <c r="AY33" s="36" t="e">
        <f t="shared" si="39"/>
        <v>#REF!</v>
      </c>
      <c r="AZ33" s="36" t="e">
        <f t="shared" si="40"/>
        <v>#REF!</v>
      </c>
      <c r="BA33" s="36" t="e">
        <f t="shared" si="41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Q34" s="38"/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F36" s="36" t="e">
        <f t="shared" ref="AF36:AF44" si="42">AF$9*$AC37</f>
        <v>#REF!</v>
      </c>
      <c r="AG36" s="36" t="e">
        <f t="shared" ref="AG36:AG44" si="43">AG$9*$AC37</f>
        <v>#REF!</v>
      </c>
      <c r="AH36" s="36" t="e">
        <f t="shared" ref="AH36:AH44" si="44">AH$9*$AC37</f>
        <v>#REF!</v>
      </c>
      <c r="AI36" s="36" t="e">
        <f t="shared" ref="AI36:AI44" si="45">AI$9*$AC37</f>
        <v>#REF!</v>
      </c>
      <c r="AJ36" s="36" t="e">
        <f t="shared" ref="AJ36:AJ44" si="46">AJ$9*$AC37</f>
        <v>#REF!</v>
      </c>
      <c r="AK36" s="36" t="e">
        <f t="shared" ref="AK36:AK44" si="47">AK$9*$AC37</f>
        <v>#REF!</v>
      </c>
      <c r="AL36" s="36" t="e">
        <f t="shared" ref="AL36:AL44" si="48">AL$9*$AC37</f>
        <v>#REF!</v>
      </c>
      <c r="AM36" s="36" t="e">
        <f t="shared" ref="AM36:AM44" si="49">AM$9*$AC37</f>
        <v>#REF!</v>
      </c>
      <c r="AN36" s="36" t="e">
        <f t="shared" ref="AN36:AN44" si="50">AN$9*$AC37</f>
        <v>#REF!</v>
      </c>
      <c r="AO36" s="36" t="e">
        <f t="shared" ref="AO36:AO44" si="51">AO$9*$AC37</f>
        <v>#REF!</v>
      </c>
      <c r="AQ36" s="38"/>
      <c r="AR36" s="36" t="e">
        <f t="shared" ref="AR36:AR44" si="52">AR$9*$AC37</f>
        <v>#REF!</v>
      </c>
      <c r="AS36" s="36" t="e">
        <f t="shared" ref="AS36:AS44" si="53">AS$9*$AC37</f>
        <v>#REF!</v>
      </c>
      <c r="AT36" s="36" t="e">
        <f t="shared" ref="AT36:AT44" si="54">AT$9*$AC37</f>
        <v>#REF!</v>
      </c>
      <c r="AU36" s="36" t="e">
        <f t="shared" ref="AU36:AU44" si="55">AU$9*$AC37</f>
        <v>#REF!</v>
      </c>
      <c r="AV36" s="36" t="e">
        <f t="shared" ref="AV36:AV44" si="56">AV$9*$AC37</f>
        <v>#REF!</v>
      </c>
      <c r="AW36" s="36" t="e">
        <f t="shared" ref="AW36:AW44" si="57">AW$9*$AC37</f>
        <v>#REF!</v>
      </c>
      <c r="AX36" s="36" t="e">
        <f t="shared" ref="AX36:AX44" si="58">AX$9*$AC37</f>
        <v>#REF!</v>
      </c>
      <c r="AY36" s="36" t="e">
        <f t="shared" ref="AY36:AY44" si="59">AY$9*$AC37</f>
        <v>#REF!</v>
      </c>
      <c r="AZ36" s="36" t="e">
        <f t="shared" ref="AZ36:AZ44" si="60">AZ$9*$AC37</f>
        <v>#REF!</v>
      </c>
      <c r="BA36" s="36" t="e">
        <f t="shared" ref="BA36:BA44" si="61">BA$9*$AC37</f>
        <v>#REF!</v>
      </c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si="42"/>
        <v>#REF!</v>
      </c>
      <c r="AG37" s="36" t="e">
        <f t="shared" si="43"/>
        <v>#REF!</v>
      </c>
      <c r="AH37" s="36" t="e">
        <f t="shared" si="44"/>
        <v>#REF!</v>
      </c>
      <c r="AI37" s="36" t="e">
        <f t="shared" si="45"/>
        <v>#REF!</v>
      </c>
      <c r="AJ37" s="36" t="e">
        <f t="shared" si="46"/>
        <v>#REF!</v>
      </c>
      <c r="AK37" s="36" t="e">
        <f t="shared" si="47"/>
        <v>#REF!</v>
      </c>
      <c r="AL37" s="36" t="e">
        <f t="shared" si="48"/>
        <v>#REF!</v>
      </c>
      <c r="AM37" s="36" t="e">
        <f t="shared" si="49"/>
        <v>#REF!</v>
      </c>
      <c r="AN37" s="36" t="e">
        <f t="shared" si="50"/>
        <v>#REF!</v>
      </c>
      <c r="AO37" s="36" t="e">
        <f t="shared" si="51"/>
        <v>#REF!</v>
      </c>
      <c r="AQ37" s="38"/>
      <c r="AR37" s="36" t="e">
        <f t="shared" si="52"/>
        <v>#REF!</v>
      </c>
      <c r="AS37" s="36" t="e">
        <f t="shared" si="53"/>
        <v>#REF!</v>
      </c>
      <c r="AT37" s="36" t="e">
        <f t="shared" si="54"/>
        <v>#REF!</v>
      </c>
      <c r="AU37" s="36" t="e">
        <f t="shared" si="55"/>
        <v>#REF!</v>
      </c>
      <c r="AV37" s="36" t="e">
        <f t="shared" si="56"/>
        <v>#REF!</v>
      </c>
      <c r="AW37" s="36" t="e">
        <f t="shared" si="57"/>
        <v>#REF!</v>
      </c>
      <c r="AX37" s="36" t="e">
        <f t="shared" si="58"/>
        <v>#REF!</v>
      </c>
      <c r="AY37" s="36" t="e">
        <f t="shared" si="59"/>
        <v>#REF!</v>
      </c>
      <c r="AZ37" s="36" t="e">
        <f t="shared" si="60"/>
        <v>#REF!</v>
      </c>
      <c r="BA37" s="36" t="e">
        <f t="shared" si="61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42"/>
        <v>#REF!</v>
      </c>
      <c r="AG38" s="36" t="e">
        <f t="shared" si="43"/>
        <v>#REF!</v>
      </c>
      <c r="AH38" s="36" t="e">
        <f t="shared" si="44"/>
        <v>#REF!</v>
      </c>
      <c r="AI38" s="36" t="e">
        <f t="shared" si="45"/>
        <v>#REF!</v>
      </c>
      <c r="AJ38" s="36" t="e">
        <f t="shared" si="46"/>
        <v>#REF!</v>
      </c>
      <c r="AK38" s="36" t="e">
        <f t="shared" si="47"/>
        <v>#REF!</v>
      </c>
      <c r="AL38" s="36" t="e">
        <f t="shared" si="48"/>
        <v>#REF!</v>
      </c>
      <c r="AM38" s="36" t="e">
        <f t="shared" si="49"/>
        <v>#REF!</v>
      </c>
      <c r="AN38" s="36" t="e">
        <f t="shared" si="50"/>
        <v>#REF!</v>
      </c>
      <c r="AO38" s="36" t="e">
        <f t="shared" si="51"/>
        <v>#REF!</v>
      </c>
      <c r="AQ38" s="38"/>
      <c r="AR38" s="36" t="e">
        <f t="shared" si="52"/>
        <v>#REF!</v>
      </c>
      <c r="AS38" s="36" t="e">
        <f t="shared" si="53"/>
        <v>#REF!</v>
      </c>
      <c r="AT38" s="36" t="e">
        <f t="shared" si="54"/>
        <v>#REF!</v>
      </c>
      <c r="AU38" s="36" t="e">
        <f t="shared" si="55"/>
        <v>#REF!</v>
      </c>
      <c r="AV38" s="36" t="e">
        <f t="shared" si="56"/>
        <v>#REF!</v>
      </c>
      <c r="AW38" s="36" t="e">
        <f t="shared" si="57"/>
        <v>#REF!</v>
      </c>
      <c r="AX38" s="36" t="e">
        <f t="shared" si="58"/>
        <v>#REF!</v>
      </c>
      <c r="AY38" s="36" t="e">
        <f t="shared" si="59"/>
        <v>#REF!</v>
      </c>
      <c r="AZ38" s="36" t="e">
        <f t="shared" si="60"/>
        <v>#REF!</v>
      </c>
      <c r="BA38" s="36" t="e">
        <f t="shared" si="61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42"/>
        <v>#REF!</v>
      </c>
      <c r="AG39" s="36" t="e">
        <f t="shared" si="43"/>
        <v>#REF!</v>
      </c>
      <c r="AH39" s="36" t="e">
        <f t="shared" si="44"/>
        <v>#REF!</v>
      </c>
      <c r="AI39" s="36" t="e">
        <f t="shared" si="45"/>
        <v>#REF!</v>
      </c>
      <c r="AJ39" s="36" t="e">
        <f t="shared" si="46"/>
        <v>#REF!</v>
      </c>
      <c r="AK39" s="36" t="e">
        <f t="shared" si="47"/>
        <v>#REF!</v>
      </c>
      <c r="AL39" s="36" t="e">
        <f t="shared" si="48"/>
        <v>#REF!</v>
      </c>
      <c r="AM39" s="36" t="e">
        <f t="shared" si="49"/>
        <v>#REF!</v>
      </c>
      <c r="AN39" s="36" t="e">
        <f t="shared" si="50"/>
        <v>#REF!</v>
      </c>
      <c r="AO39" s="36" t="e">
        <f t="shared" si="51"/>
        <v>#REF!</v>
      </c>
      <c r="AQ39" s="38"/>
      <c r="AR39" s="36" t="e">
        <f t="shared" si="52"/>
        <v>#REF!</v>
      </c>
      <c r="AS39" s="36" t="e">
        <f t="shared" si="53"/>
        <v>#REF!</v>
      </c>
      <c r="AT39" s="36" t="e">
        <f t="shared" si="54"/>
        <v>#REF!</v>
      </c>
      <c r="AU39" s="36" t="e">
        <f t="shared" si="55"/>
        <v>#REF!</v>
      </c>
      <c r="AV39" s="36" t="e">
        <f t="shared" si="56"/>
        <v>#REF!</v>
      </c>
      <c r="AW39" s="36" t="e">
        <f t="shared" si="57"/>
        <v>#REF!</v>
      </c>
      <c r="AX39" s="36" t="e">
        <f t="shared" si="58"/>
        <v>#REF!</v>
      </c>
      <c r="AY39" s="36" t="e">
        <f t="shared" si="59"/>
        <v>#REF!</v>
      </c>
      <c r="AZ39" s="36" t="e">
        <f t="shared" si="60"/>
        <v>#REF!</v>
      </c>
      <c r="BA39" s="36" t="e">
        <f t="shared" si="61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42"/>
        <v>#REF!</v>
      </c>
      <c r="AG40" s="36" t="e">
        <f t="shared" si="43"/>
        <v>#REF!</v>
      </c>
      <c r="AH40" s="36" t="e">
        <f t="shared" si="44"/>
        <v>#REF!</v>
      </c>
      <c r="AI40" s="36" t="e">
        <f t="shared" si="45"/>
        <v>#REF!</v>
      </c>
      <c r="AJ40" s="36" t="e">
        <f t="shared" si="46"/>
        <v>#REF!</v>
      </c>
      <c r="AK40" s="36" t="e">
        <f t="shared" si="47"/>
        <v>#REF!</v>
      </c>
      <c r="AL40" s="36" t="e">
        <f t="shared" si="48"/>
        <v>#REF!</v>
      </c>
      <c r="AM40" s="36" t="e">
        <f t="shared" si="49"/>
        <v>#REF!</v>
      </c>
      <c r="AN40" s="36" t="e">
        <f t="shared" si="50"/>
        <v>#REF!</v>
      </c>
      <c r="AO40" s="36" t="e">
        <f t="shared" si="51"/>
        <v>#REF!</v>
      </c>
      <c r="AQ40" s="38"/>
      <c r="AR40" s="36" t="e">
        <f t="shared" si="52"/>
        <v>#REF!</v>
      </c>
      <c r="AS40" s="36" t="e">
        <f t="shared" si="53"/>
        <v>#REF!</v>
      </c>
      <c r="AT40" s="36" t="e">
        <f t="shared" si="54"/>
        <v>#REF!</v>
      </c>
      <c r="AU40" s="36" t="e">
        <f t="shared" si="55"/>
        <v>#REF!</v>
      </c>
      <c r="AV40" s="36" t="e">
        <f t="shared" si="56"/>
        <v>#REF!</v>
      </c>
      <c r="AW40" s="36" t="e">
        <f t="shared" si="57"/>
        <v>#REF!</v>
      </c>
      <c r="AX40" s="36" t="e">
        <f t="shared" si="58"/>
        <v>#REF!</v>
      </c>
      <c r="AY40" s="36" t="e">
        <f t="shared" si="59"/>
        <v>#REF!</v>
      </c>
      <c r="AZ40" s="36" t="e">
        <f t="shared" si="60"/>
        <v>#REF!</v>
      </c>
      <c r="BA40" s="36" t="e">
        <f t="shared" si="61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42"/>
        <v>#REF!</v>
      </c>
      <c r="AG41" s="36" t="e">
        <f t="shared" si="43"/>
        <v>#REF!</v>
      </c>
      <c r="AH41" s="36" t="e">
        <f t="shared" si="44"/>
        <v>#REF!</v>
      </c>
      <c r="AI41" s="36" t="e">
        <f t="shared" si="45"/>
        <v>#REF!</v>
      </c>
      <c r="AJ41" s="36" t="e">
        <f t="shared" si="46"/>
        <v>#REF!</v>
      </c>
      <c r="AK41" s="36" t="e">
        <f t="shared" si="47"/>
        <v>#REF!</v>
      </c>
      <c r="AL41" s="36" t="e">
        <f t="shared" si="48"/>
        <v>#REF!</v>
      </c>
      <c r="AM41" s="36" t="e">
        <f t="shared" si="49"/>
        <v>#REF!</v>
      </c>
      <c r="AN41" s="36" t="e">
        <f t="shared" si="50"/>
        <v>#REF!</v>
      </c>
      <c r="AO41" s="36" t="e">
        <f t="shared" si="51"/>
        <v>#REF!</v>
      </c>
      <c r="AQ41" s="38"/>
      <c r="AR41" s="36" t="e">
        <f t="shared" si="52"/>
        <v>#REF!</v>
      </c>
      <c r="AS41" s="36" t="e">
        <f t="shared" si="53"/>
        <v>#REF!</v>
      </c>
      <c r="AT41" s="36" t="e">
        <f t="shared" si="54"/>
        <v>#REF!</v>
      </c>
      <c r="AU41" s="36" t="e">
        <f t="shared" si="55"/>
        <v>#REF!</v>
      </c>
      <c r="AV41" s="36" t="e">
        <f t="shared" si="56"/>
        <v>#REF!</v>
      </c>
      <c r="AW41" s="36" t="e">
        <f t="shared" si="57"/>
        <v>#REF!</v>
      </c>
      <c r="AX41" s="36" t="e">
        <f t="shared" si="58"/>
        <v>#REF!</v>
      </c>
      <c r="AY41" s="36" t="e">
        <f t="shared" si="59"/>
        <v>#REF!</v>
      </c>
      <c r="AZ41" s="36" t="e">
        <f t="shared" si="60"/>
        <v>#REF!</v>
      </c>
      <c r="BA41" s="36" t="e">
        <f t="shared" si="61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42"/>
        <v>#REF!</v>
      </c>
      <c r="AG42" s="36" t="e">
        <f t="shared" si="43"/>
        <v>#REF!</v>
      </c>
      <c r="AH42" s="36" t="e">
        <f t="shared" si="44"/>
        <v>#REF!</v>
      </c>
      <c r="AI42" s="36" t="e">
        <f t="shared" si="45"/>
        <v>#REF!</v>
      </c>
      <c r="AJ42" s="36" t="e">
        <f t="shared" si="46"/>
        <v>#REF!</v>
      </c>
      <c r="AK42" s="36" t="e">
        <f t="shared" si="47"/>
        <v>#REF!</v>
      </c>
      <c r="AL42" s="36" t="e">
        <f t="shared" si="48"/>
        <v>#REF!</v>
      </c>
      <c r="AM42" s="36" t="e">
        <f t="shared" si="49"/>
        <v>#REF!</v>
      </c>
      <c r="AN42" s="36" t="e">
        <f t="shared" si="50"/>
        <v>#REF!</v>
      </c>
      <c r="AO42" s="36" t="e">
        <f t="shared" si="51"/>
        <v>#REF!</v>
      </c>
      <c r="AQ42" s="38"/>
      <c r="AR42" s="36" t="e">
        <f t="shared" si="52"/>
        <v>#REF!</v>
      </c>
      <c r="AS42" s="36" t="e">
        <f t="shared" si="53"/>
        <v>#REF!</v>
      </c>
      <c r="AT42" s="36" t="e">
        <f t="shared" si="54"/>
        <v>#REF!</v>
      </c>
      <c r="AU42" s="36" t="e">
        <f t="shared" si="55"/>
        <v>#REF!</v>
      </c>
      <c r="AV42" s="36" t="e">
        <f t="shared" si="56"/>
        <v>#REF!</v>
      </c>
      <c r="AW42" s="36" t="e">
        <f t="shared" si="57"/>
        <v>#REF!</v>
      </c>
      <c r="AX42" s="36" t="e">
        <f t="shared" si="58"/>
        <v>#REF!</v>
      </c>
      <c r="AY42" s="36" t="e">
        <f t="shared" si="59"/>
        <v>#REF!</v>
      </c>
      <c r="AZ42" s="36" t="e">
        <f t="shared" si="60"/>
        <v>#REF!</v>
      </c>
      <c r="BA42" s="36" t="e">
        <f t="shared" si="61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42"/>
        <v>#REF!</v>
      </c>
      <c r="AG43" s="36" t="e">
        <f t="shared" si="43"/>
        <v>#REF!</v>
      </c>
      <c r="AH43" s="36" t="e">
        <f t="shared" si="44"/>
        <v>#REF!</v>
      </c>
      <c r="AI43" s="36" t="e">
        <f t="shared" si="45"/>
        <v>#REF!</v>
      </c>
      <c r="AJ43" s="36" t="e">
        <f t="shared" si="46"/>
        <v>#REF!</v>
      </c>
      <c r="AK43" s="36" t="e">
        <f t="shared" si="47"/>
        <v>#REF!</v>
      </c>
      <c r="AL43" s="36" t="e">
        <f t="shared" si="48"/>
        <v>#REF!</v>
      </c>
      <c r="AM43" s="36" t="e">
        <f t="shared" si="49"/>
        <v>#REF!</v>
      </c>
      <c r="AN43" s="36" t="e">
        <f t="shared" si="50"/>
        <v>#REF!</v>
      </c>
      <c r="AO43" s="36" t="e">
        <f t="shared" si="51"/>
        <v>#REF!</v>
      </c>
      <c r="AQ43" s="38"/>
      <c r="AR43" s="36" t="e">
        <f t="shared" si="52"/>
        <v>#REF!</v>
      </c>
      <c r="AS43" s="36" t="e">
        <f t="shared" si="53"/>
        <v>#REF!</v>
      </c>
      <c r="AT43" s="36" t="e">
        <f t="shared" si="54"/>
        <v>#REF!</v>
      </c>
      <c r="AU43" s="36" t="e">
        <f t="shared" si="55"/>
        <v>#REF!</v>
      </c>
      <c r="AV43" s="36" t="e">
        <f t="shared" si="56"/>
        <v>#REF!</v>
      </c>
      <c r="AW43" s="36" t="e">
        <f t="shared" si="57"/>
        <v>#REF!</v>
      </c>
      <c r="AX43" s="36" t="e">
        <f t="shared" si="58"/>
        <v>#REF!</v>
      </c>
      <c r="AY43" s="36" t="e">
        <f t="shared" si="59"/>
        <v>#REF!</v>
      </c>
      <c r="AZ43" s="36" t="e">
        <f t="shared" si="60"/>
        <v>#REF!</v>
      </c>
      <c r="BA43" s="36" t="e">
        <f t="shared" si="61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42"/>
        <v>#REF!</v>
      </c>
      <c r="AG44" s="36" t="e">
        <f t="shared" si="43"/>
        <v>#REF!</v>
      </c>
      <c r="AH44" s="36" t="e">
        <f t="shared" si="44"/>
        <v>#REF!</v>
      </c>
      <c r="AI44" s="36" t="e">
        <f t="shared" si="45"/>
        <v>#REF!</v>
      </c>
      <c r="AJ44" s="36" t="e">
        <f t="shared" si="46"/>
        <v>#REF!</v>
      </c>
      <c r="AK44" s="36" t="e">
        <f t="shared" si="47"/>
        <v>#REF!</v>
      </c>
      <c r="AL44" s="36" t="e">
        <f t="shared" si="48"/>
        <v>#REF!</v>
      </c>
      <c r="AM44" s="36" t="e">
        <f t="shared" si="49"/>
        <v>#REF!</v>
      </c>
      <c r="AN44" s="36" t="e">
        <f t="shared" si="50"/>
        <v>#REF!</v>
      </c>
      <c r="AO44" s="36" t="e">
        <f t="shared" si="51"/>
        <v>#REF!</v>
      </c>
      <c r="AQ44" s="38"/>
      <c r="AR44" s="36" t="e">
        <f t="shared" si="52"/>
        <v>#REF!</v>
      </c>
      <c r="AS44" s="36" t="e">
        <f t="shared" si="53"/>
        <v>#REF!</v>
      </c>
      <c r="AT44" s="36" t="e">
        <f t="shared" si="54"/>
        <v>#REF!</v>
      </c>
      <c r="AU44" s="36" t="e">
        <f t="shared" si="55"/>
        <v>#REF!</v>
      </c>
      <c r="AV44" s="36" t="e">
        <f t="shared" si="56"/>
        <v>#REF!</v>
      </c>
      <c r="AW44" s="36" t="e">
        <f t="shared" si="57"/>
        <v>#REF!</v>
      </c>
      <c r="AX44" s="36" t="e">
        <f t="shared" si="58"/>
        <v>#REF!</v>
      </c>
      <c r="AY44" s="36" t="e">
        <f t="shared" si="59"/>
        <v>#REF!</v>
      </c>
      <c r="AZ44" s="36" t="e">
        <f t="shared" si="60"/>
        <v>#REF!</v>
      </c>
      <c r="BA44" s="36" t="e">
        <f t="shared" si="61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Q45" s="38"/>
    </row>
    <row r="46" spans="1:53" hidden="1">
      <c r="AQ46" s="38"/>
    </row>
    <row r="47" spans="1:53" ht="63.75" hidden="1"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6" t="s">
        <v>43</v>
      </c>
      <c r="AB48" s="67"/>
      <c r="AC48" s="68"/>
      <c r="AD48" s="68"/>
      <c r="AE48" s="68"/>
      <c r="AG48" s="70"/>
      <c r="AQ48" s="38"/>
    </row>
    <row r="49" spans="27:53" hidden="1">
      <c r="AA49" s="69" t="s">
        <v>44</v>
      </c>
      <c r="AB49" s="35"/>
      <c r="AF49" s="70" t="e">
        <f t="shared" ref="AF49:AO49" si="62">AF14+AF16+AF17</f>
        <v>#REF!</v>
      </c>
      <c r="AG49" s="70" t="e">
        <f t="shared" si="62"/>
        <v>#REF!</v>
      </c>
      <c r="AH49" s="70" t="e">
        <f t="shared" si="62"/>
        <v>#REF!</v>
      </c>
      <c r="AI49" s="70" t="e">
        <f t="shared" si="62"/>
        <v>#REF!</v>
      </c>
      <c r="AJ49" s="70" t="e">
        <f t="shared" si="62"/>
        <v>#REF!</v>
      </c>
      <c r="AK49" s="70" t="e">
        <f t="shared" si="62"/>
        <v>#REF!</v>
      </c>
      <c r="AL49" s="70" t="e">
        <f t="shared" si="62"/>
        <v>#REF!</v>
      </c>
      <c r="AM49" s="70" t="e">
        <f t="shared" si="62"/>
        <v>#REF!</v>
      </c>
      <c r="AN49" s="70" t="e">
        <f t="shared" si="62"/>
        <v>#REF!</v>
      </c>
      <c r="AO49" s="70" t="e">
        <f t="shared" si="62"/>
        <v>#REF!</v>
      </c>
      <c r="AP49" s="70"/>
      <c r="AQ49" s="70"/>
      <c r="AR49" s="70" t="e">
        <f t="shared" ref="AR49:BA49" si="63">AR14+AR16+AR17</f>
        <v>#REF!</v>
      </c>
      <c r="AS49" s="70" t="e">
        <f t="shared" si="63"/>
        <v>#REF!</v>
      </c>
      <c r="AT49" s="70" t="e">
        <f t="shared" si="63"/>
        <v>#REF!</v>
      </c>
      <c r="AU49" s="70" t="e">
        <f t="shared" si="63"/>
        <v>#REF!</v>
      </c>
      <c r="AV49" s="70" t="e">
        <f t="shared" si="63"/>
        <v>#REF!</v>
      </c>
      <c r="AW49" s="70" t="e">
        <f t="shared" si="63"/>
        <v>#REF!</v>
      </c>
      <c r="AX49" s="70" t="e">
        <f t="shared" si="63"/>
        <v>#REF!</v>
      </c>
      <c r="AY49" s="70" t="e">
        <f t="shared" si="63"/>
        <v>#REF!</v>
      </c>
      <c r="AZ49" s="70" t="e">
        <f t="shared" si="63"/>
        <v>#REF!</v>
      </c>
      <c r="BA49" s="70" t="e">
        <f t="shared" si="63"/>
        <v>#REF!</v>
      </c>
    </row>
    <row r="50" spans="27:53" hidden="1">
      <c r="AA50" s="71" t="s">
        <v>29</v>
      </c>
      <c r="AB50" s="35"/>
      <c r="AF50" s="70" t="e">
        <f t="shared" ref="AF50:AO50" si="64">AF25+AF27+AF28</f>
        <v>#REF!</v>
      </c>
      <c r="AG50" s="70" t="e">
        <f t="shared" si="64"/>
        <v>#REF!</v>
      </c>
      <c r="AH50" s="70" t="e">
        <f t="shared" si="64"/>
        <v>#REF!</v>
      </c>
      <c r="AI50" s="70" t="e">
        <f t="shared" si="64"/>
        <v>#REF!</v>
      </c>
      <c r="AJ50" s="70" t="e">
        <f t="shared" si="64"/>
        <v>#REF!</v>
      </c>
      <c r="AK50" s="70" t="e">
        <f t="shared" si="64"/>
        <v>#REF!</v>
      </c>
      <c r="AL50" s="70" t="e">
        <f t="shared" si="64"/>
        <v>#REF!</v>
      </c>
      <c r="AM50" s="70" t="e">
        <f t="shared" si="64"/>
        <v>#REF!</v>
      </c>
      <c r="AN50" s="70" t="e">
        <f t="shared" si="64"/>
        <v>#REF!</v>
      </c>
      <c r="AO50" s="70" t="e">
        <f t="shared" si="64"/>
        <v>#REF!</v>
      </c>
      <c r="AP50" s="70"/>
      <c r="AQ50" s="70"/>
      <c r="AR50" s="70" t="e">
        <f t="shared" ref="AR50:BA50" si="65">AR25+AR27+AR28</f>
        <v>#REF!</v>
      </c>
      <c r="AS50" s="70" t="e">
        <f t="shared" si="65"/>
        <v>#REF!</v>
      </c>
      <c r="AT50" s="70" t="e">
        <f t="shared" si="65"/>
        <v>#REF!</v>
      </c>
      <c r="AU50" s="70" t="e">
        <f t="shared" si="65"/>
        <v>#REF!</v>
      </c>
      <c r="AV50" s="70" t="e">
        <f t="shared" si="65"/>
        <v>#REF!</v>
      </c>
      <c r="AW50" s="70" t="e">
        <f t="shared" si="65"/>
        <v>#REF!</v>
      </c>
      <c r="AX50" s="70" t="e">
        <f t="shared" si="65"/>
        <v>#REF!</v>
      </c>
      <c r="AY50" s="70" t="e">
        <f t="shared" si="65"/>
        <v>#REF!</v>
      </c>
      <c r="AZ50" s="70" t="e">
        <f t="shared" si="65"/>
        <v>#REF!</v>
      </c>
      <c r="BA50" s="70" t="e">
        <f t="shared" si="65"/>
        <v>#REF!</v>
      </c>
    </row>
    <row r="51" spans="27:53" hidden="1">
      <c r="AA51" s="71" t="s">
        <v>41</v>
      </c>
      <c r="AB51" s="35"/>
      <c r="AF51" s="70" t="e">
        <f t="shared" ref="AF51:AO51" si="66">AF36+AF38+AF39</f>
        <v>#REF!</v>
      </c>
      <c r="AG51" s="70" t="e">
        <f t="shared" si="66"/>
        <v>#REF!</v>
      </c>
      <c r="AH51" s="70" t="e">
        <f t="shared" si="66"/>
        <v>#REF!</v>
      </c>
      <c r="AI51" s="70" t="e">
        <f t="shared" si="66"/>
        <v>#REF!</v>
      </c>
      <c r="AJ51" s="70" t="e">
        <f t="shared" si="66"/>
        <v>#REF!</v>
      </c>
      <c r="AK51" s="70" t="e">
        <f t="shared" si="66"/>
        <v>#REF!</v>
      </c>
      <c r="AL51" s="70" t="e">
        <f t="shared" si="66"/>
        <v>#REF!</v>
      </c>
      <c r="AM51" s="70" t="e">
        <f t="shared" si="66"/>
        <v>#REF!</v>
      </c>
      <c r="AN51" s="70" t="e">
        <f t="shared" si="66"/>
        <v>#REF!</v>
      </c>
      <c r="AO51" s="70" t="e">
        <f t="shared" si="66"/>
        <v>#REF!</v>
      </c>
      <c r="AP51" s="70"/>
      <c r="AQ51" s="70"/>
      <c r="AR51" s="70" t="e">
        <f t="shared" ref="AR51:BA51" si="67">AR36+AR38+AR39</f>
        <v>#REF!</v>
      </c>
      <c r="AS51" s="70" t="e">
        <f t="shared" si="67"/>
        <v>#REF!</v>
      </c>
      <c r="AT51" s="70" t="e">
        <f t="shared" si="67"/>
        <v>#REF!</v>
      </c>
      <c r="AU51" s="70" t="e">
        <f t="shared" si="67"/>
        <v>#REF!</v>
      </c>
      <c r="AV51" s="70" t="e">
        <f t="shared" si="67"/>
        <v>#REF!</v>
      </c>
      <c r="AW51" s="70" t="e">
        <f t="shared" si="67"/>
        <v>#REF!</v>
      </c>
      <c r="AX51" s="70" t="e">
        <f t="shared" si="67"/>
        <v>#REF!</v>
      </c>
      <c r="AY51" s="70" t="e">
        <f t="shared" si="67"/>
        <v>#REF!</v>
      </c>
      <c r="AZ51" s="70" t="e">
        <f t="shared" si="67"/>
        <v>#REF!</v>
      </c>
      <c r="BA51" s="70" t="e">
        <f t="shared" si="67"/>
        <v>#REF!</v>
      </c>
    </row>
    <row r="52" spans="27:53" hidden="1">
      <c r="AA52" s="71" t="s">
        <v>42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69" t="s">
        <v>45</v>
      </c>
      <c r="AB53" s="35"/>
      <c r="AF53" s="70" t="e">
        <f t="shared" ref="AF53:AO53" si="68">AF14+AF16+AF18+AF20</f>
        <v>#REF!</v>
      </c>
      <c r="AG53" s="70" t="e">
        <f t="shared" si="68"/>
        <v>#REF!</v>
      </c>
      <c r="AH53" s="70" t="e">
        <f t="shared" si="68"/>
        <v>#REF!</v>
      </c>
      <c r="AI53" s="70" t="e">
        <f t="shared" si="68"/>
        <v>#REF!</v>
      </c>
      <c r="AJ53" s="70" t="e">
        <f t="shared" si="68"/>
        <v>#REF!</v>
      </c>
      <c r="AK53" s="70" t="e">
        <f t="shared" si="68"/>
        <v>#REF!</v>
      </c>
      <c r="AL53" s="70" t="e">
        <f t="shared" si="68"/>
        <v>#REF!</v>
      </c>
      <c r="AM53" s="70" t="e">
        <f t="shared" si="68"/>
        <v>#REF!</v>
      </c>
      <c r="AN53" s="70" t="e">
        <f t="shared" si="68"/>
        <v>#REF!</v>
      </c>
      <c r="AO53" s="70" t="e">
        <f t="shared" si="68"/>
        <v>#REF!</v>
      </c>
      <c r="AP53" s="70"/>
      <c r="AQ53" s="70"/>
      <c r="AR53" s="70" t="e">
        <f t="shared" ref="AR53:BA53" si="69">AR14+AR16+AR18+AR20</f>
        <v>#REF!</v>
      </c>
      <c r="AS53" s="70" t="e">
        <f t="shared" si="69"/>
        <v>#REF!</v>
      </c>
      <c r="AT53" s="70" t="e">
        <f t="shared" si="69"/>
        <v>#REF!</v>
      </c>
      <c r="AU53" s="70" t="e">
        <f t="shared" si="69"/>
        <v>#REF!</v>
      </c>
      <c r="AV53" s="70" t="e">
        <f t="shared" si="69"/>
        <v>#REF!</v>
      </c>
      <c r="AW53" s="70" t="e">
        <f t="shared" si="69"/>
        <v>#REF!</v>
      </c>
      <c r="AX53" s="70" t="e">
        <f t="shared" si="69"/>
        <v>#REF!</v>
      </c>
      <c r="AY53" s="70" t="e">
        <f t="shared" si="69"/>
        <v>#REF!</v>
      </c>
      <c r="AZ53" s="70" t="e">
        <f t="shared" si="69"/>
        <v>#REF!</v>
      </c>
      <c r="BA53" s="70" t="e">
        <f t="shared" si="69"/>
        <v>#REF!</v>
      </c>
    </row>
    <row r="54" spans="27:53" hidden="1">
      <c r="AA54" s="71" t="s">
        <v>29</v>
      </c>
      <c r="AB54" s="35"/>
      <c r="AF54" s="70" t="e">
        <f t="shared" ref="AF54:AO54" si="70">AF25+AF27+AF29+AF31</f>
        <v>#REF!</v>
      </c>
      <c r="AG54" s="70" t="e">
        <f t="shared" si="70"/>
        <v>#REF!</v>
      </c>
      <c r="AH54" s="70" t="e">
        <f t="shared" si="70"/>
        <v>#REF!</v>
      </c>
      <c r="AI54" s="70" t="e">
        <f t="shared" si="70"/>
        <v>#REF!</v>
      </c>
      <c r="AJ54" s="70" t="e">
        <f t="shared" si="70"/>
        <v>#REF!</v>
      </c>
      <c r="AK54" s="70" t="e">
        <f t="shared" si="70"/>
        <v>#REF!</v>
      </c>
      <c r="AL54" s="70" t="e">
        <f t="shared" si="70"/>
        <v>#REF!</v>
      </c>
      <c r="AM54" s="70" t="e">
        <f t="shared" si="70"/>
        <v>#REF!</v>
      </c>
      <c r="AN54" s="70" t="e">
        <f t="shared" si="70"/>
        <v>#REF!</v>
      </c>
      <c r="AO54" s="70" t="e">
        <f t="shared" si="70"/>
        <v>#REF!</v>
      </c>
      <c r="AP54" s="70"/>
      <c r="AQ54" s="70"/>
      <c r="AR54" s="70" t="e">
        <f t="shared" ref="AR54:BA54" si="71">AR25+AR27+AR29+AR31</f>
        <v>#REF!</v>
      </c>
      <c r="AS54" s="70" t="e">
        <f t="shared" si="71"/>
        <v>#REF!</v>
      </c>
      <c r="AT54" s="70" t="e">
        <f t="shared" si="71"/>
        <v>#REF!</v>
      </c>
      <c r="AU54" s="70" t="e">
        <f t="shared" si="71"/>
        <v>#REF!</v>
      </c>
      <c r="AV54" s="70" t="e">
        <f t="shared" si="71"/>
        <v>#REF!</v>
      </c>
      <c r="AW54" s="70" t="e">
        <f t="shared" si="71"/>
        <v>#REF!</v>
      </c>
      <c r="AX54" s="70" t="e">
        <f t="shared" si="71"/>
        <v>#REF!</v>
      </c>
      <c r="AY54" s="70" t="e">
        <f t="shared" si="71"/>
        <v>#REF!</v>
      </c>
      <c r="AZ54" s="70" t="e">
        <f t="shared" si="71"/>
        <v>#REF!</v>
      </c>
      <c r="BA54" s="70" t="e">
        <f t="shared" si="71"/>
        <v>#REF!</v>
      </c>
    </row>
    <row r="55" spans="27:53" hidden="1">
      <c r="AA55" s="71" t="s">
        <v>41</v>
      </c>
      <c r="AB55" s="35"/>
      <c r="AF55" s="70" t="e">
        <f t="shared" ref="AF55:AO55" si="72">AF36+AF38+AF40+AF42</f>
        <v>#REF!</v>
      </c>
      <c r="AG55" s="70" t="e">
        <f t="shared" si="72"/>
        <v>#REF!</v>
      </c>
      <c r="AH55" s="70" t="e">
        <f t="shared" si="72"/>
        <v>#REF!</v>
      </c>
      <c r="AI55" s="70" t="e">
        <f t="shared" si="72"/>
        <v>#REF!</v>
      </c>
      <c r="AJ55" s="70" t="e">
        <f t="shared" si="72"/>
        <v>#REF!</v>
      </c>
      <c r="AK55" s="70" t="e">
        <f t="shared" si="72"/>
        <v>#REF!</v>
      </c>
      <c r="AL55" s="70" t="e">
        <f t="shared" si="72"/>
        <v>#REF!</v>
      </c>
      <c r="AM55" s="70" t="e">
        <f t="shared" si="72"/>
        <v>#REF!</v>
      </c>
      <c r="AN55" s="70" t="e">
        <f t="shared" si="72"/>
        <v>#REF!</v>
      </c>
      <c r="AO55" s="70" t="e">
        <f t="shared" si="72"/>
        <v>#REF!</v>
      </c>
      <c r="AP55" s="70"/>
      <c r="AQ55" s="70"/>
      <c r="AR55" s="70" t="e">
        <f t="shared" ref="AR55:BA55" si="73">AR36+AR38+AR40+AR42</f>
        <v>#REF!</v>
      </c>
      <c r="AS55" s="70" t="e">
        <f t="shared" si="73"/>
        <v>#REF!</v>
      </c>
      <c r="AT55" s="70" t="e">
        <f t="shared" si="73"/>
        <v>#REF!</v>
      </c>
      <c r="AU55" s="70" t="e">
        <f t="shared" si="73"/>
        <v>#REF!</v>
      </c>
      <c r="AV55" s="70" t="e">
        <f t="shared" si="73"/>
        <v>#REF!</v>
      </c>
      <c r="AW55" s="70" t="e">
        <f t="shared" si="73"/>
        <v>#REF!</v>
      </c>
      <c r="AX55" s="70" t="e">
        <f t="shared" si="73"/>
        <v>#REF!</v>
      </c>
      <c r="AY55" s="70" t="e">
        <f t="shared" si="73"/>
        <v>#REF!</v>
      </c>
      <c r="AZ55" s="70" t="e">
        <f t="shared" si="73"/>
        <v>#REF!</v>
      </c>
      <c r="BA55" s="70" t="e">
        <f t="shared" si="73"/>
        <v>#REF!</v>
      </c>
    </row>
    <row r="56" spans="27:53" hidden="1">
      <c r="AA56" s="71" t="s">
        <v>42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69" t="s">
        <v>46</v>
      </c>
      <c r="AB57" s="35"/>
      <c r="AF57" s="70" t="e">
        <f t="shared" ref="AF57:AO57" si="74">AF14+AF16+AF18+AF19+AF21</f>
        <v>#REF!</v>
      </c>
      <c r="AG57" s="70" t="e">
        <f t="shared" si="74"/>
        <v>#REF!</v>
      </c>
      <c r="AH57" s="70" t="e">
        <f t="shared" si="74"/>
        <v>#REF!</v>
      </c>
      <c r="AI57" s="70" t="e">
        <f t="shared" si="74"/>
        <v>#REF!</v>
      </c>
      <c r="AJ57" s="70" t="e">
        <f t="shared" si="74"/>
        <v>#REF!</v>
      </c>
      <c r="AK57" s="70" t="e">
        <f t="shared" si="74"/>
        <v>#REF!</v>
      </c>
      <c r="AL57" s="70" t="e">
        <f t="shared" si="74"/>
        <v>#REF!</v>
      </c>
      <c r="AM57" s="70" t="e">
        <f t="shared" si="74"/>
        <v>#REF!</v>
      </c>
      <c r="AN57" s="70" t="e">
        <f t="shared" si="74"/>
        <v>#REF!</v>
      </c>
      <c r="AO57" s="70" t="e">
        <f t="shared" si="74"/>
        <v>#REF!</v>
      </c>
      <c r="AP57" s="70"/>
      <c r="AQ57" s="70"/>
      <c r="AR57" s="70" t="e">
        <f t="shared" ref="AR57:BA57" si="75">AR14+AR16+AR18+AR19+AR21</f>
        <v>#REF!</v>
      </c>
      <c r="AS57" s="70" t="e">
        <f t="shared" si="75"/>
        <v>#REF!</v>
      </c>
      <c r="AT57" s="70" t="e">
        <f t="shared" si="75"/>
        <v>#REF!</v>
      </c>
      <c r="AU57" s="70" t="e">
        <f t="shared" si="75"/>
        <v>#REF!</v>
      </c>
      <c r="AV57" s="70" t="e">
        <f t="shared" si="75"/>
        <v>#REF!</v>
      </c>
      <c r="AW57" s="70" t="e">
        <f t="shared" si="75"/>
        <v>#REF!</v>
      </c>
      <c r="AX57" s="70" t="e">
        <f t="shared" si="75"/>
        <v>#REF!</v>
      </c>
      <c r="AY57" s="70" t="e">
        <f t="shared" si="75"/>
        <v>#REF!</v>
      </c>
      <c r="AZ57" s="70" t="e">
        <f t="shared" si="75"/>
        <v>#REF!</v>
      </c>
      <c r="BA57" s="70" t="e">
        <f t="shared" si="75"/>
        <v>#REF!</v>
      </c>
    </row>
    <row r="58" spans="27:53" hidden="1">
      <c r="AA58" s="71" t="s">
        <v>29</v>
      </c>
      <c r="AB58" s="35"/>
      <c r="AF58" s="70" t="e">
        <f t="shared" ref="AF58:AO58" si="76">AF25+AF27+AF29+AF30+AF32</f>
        <v>#REF!</v>
      </c>
      <c r="AG58" s="70" t="e">
        <f t="shared" si="76"/>
        <v>#REF!</v>
      </c>
      <c r="AH58" s="70" t="e">
        <f t="shared" si="76"/>
        <v>#REF!</v>
      </c>
      <c r="AI58" s="70" t="e">
        <f t="shared" si="76"/>
        <v>#REF!</v>
      </c>
      <c r="AJ58" s="70" t="e">
        <f t="shared" si="76"/>
        <v>#REF!</v>
      </c>
      <c r="AK58" s="70" t="e">
        <f t="shared" si="76"/>
        <v>#REF!</v>
      </c>
      <c r="AL58" s="70" t="e">
        <f t="shared" si="76"/>
        <v>#REF!</v>
      </c>
      <c r="AM58" s="70" t="e">
        <f t="shared" si="76"/>
        <v>#REF!</v>
      </c>
      <c r="AN58" s="70" t="e">
        <f t="shared" si="76"/>
        <v>#REF!</v>
      </c>
      <c r="AO58" s="70" t="e">
        <f t="shared" si="76"/>
        <v>#REF!</v>
      </c>
      <c r="AP58" s="70"/>
      <c r="AQ58" s="70"/>
      <c r="AR58" s="70" t="e">
        <f t="shared" ref="AR58:BA58" si="77">AR25+AR27+AR29+AR30+AR32</f>
        <v>#REF!</v>
      </c>
      <c r="AS58" s="70" t="e">
        <f t="shared" si="77"/>
        <v>#REF!</v>
      </c>
      <c r="AT58" s="70" t="e">
        <f t="shared" si="77"/>
        <v>#REF!</v>
      </c>
      <c r="AU58" s="70" t="e">
        <f t="shared" si="77"/>
        <v>#REF!</v>
      </c>
      <c r="AV58" s="70" t="e">
        <f t="shared" si="77"/>
        <v>#REF!</v>
      </c>
      <c r="AW58" s="70" t="e">
        <f t="shared" si="77"/>
        <v>#REF!</v>
      </c>
      <c r="AX58" s="70" t="e">
        <f t="shared" si="77"/>
        <v>#REF!</v>
      </c>
      <c r="AY58" s="70" t="e">
        <f t="shared" si="77"/>
        <v>#REF!</v>
      </c>
      <c r="AZ58" s="70" t="e">
        <f t="shared" si="77"/>
        <v>#REF!</v>
      </c>
      <c r="BA58" s="70" t="e">
        <f t="shared" si="77"/>
        <v>#REF!</v>
      </c>
    </row>
    <row r="59" spans="27:53" hidden="1">
      <c r="AA59" s="71" t="s">
        <v>41</v>
      </c>
      <c r="AB59" s="35"/>
      <c r="AF59" s="70" t="e">
        <f t="shared" ref="AF59:AO59" si="78">AF36+AF38+AF40+AF41+AF43</f>
        <v>#REF!</v>
      </c>
      <c r="AG59" s="70" t="e">
        <f t="shared" si="78"/>
        <v>#REF!</v>
      </c>
      <c r="AH59" s="70" t="e">
        <f t="shared" si="78"/>
        <v>#REF!</v>
      </c>
      <c r="AI59" s="70" t="e">
        <f t="shared" si="78"/>
        <v>#REF!</v>
      </c>
      <c r="AJ59" s="70" t="e">
        <f t="shared" si="78"/>
        <v>#REF!</v>
      </c>
      <c r="AK59" s="70" t="e">
        <f t="shared" si="78"/>
        <v>#REF!</v>
      </c>
      <c r="AL59" s="70" t="e">
        <f t="shared" si="78"/>
        <v>#REF!</v>
      </c>
      <c r="AM59" s="70" t="e">
        <f t="shared" si="78"/>
        <v>#REF!</v>
      </c>
      <c r="AN59" s="70" t="e">
        <f t="shared" si="78"/>
        <v>#REF!</v>
      </c>
      <c r="AO59" s="70" t="e">
        <f t="shared" si="78"/>
        <v>#REF!</v>
      </c>
      <c r="AP59" s="70"/>
      <c r="AQ59" s="70"/>
      <c r="AR59" s="70" t="e">
        <f t="shared" ref="AR59:BA59" si="79">AR36+AR38+AR40+AR41+AR43</f>
        <v>#REF!</v>
      </c>
      <c r="AS59" s="70" t="e">
        <f t="shared" si="79"/>
        <v>#REF!</v>
      </c>
      <c r="AT59" s="70" t="e">
        <f t="shared" si="79"/>
        <v>#REF!</v>
      </c>
      <c r="AU59" s="70" t="e">
        <f t="shared" si="79"/>
        <v>#REF!</v>
      </c>
      <c r="AV59" s="70" t="e">
        <f t="shared" si="79"/>
        <v>#REF!</v>
      </c>
      <c r="AW59" s="70" t="e">
        <f t="shared" si="79"/>
        <v>#REF!</v>
      </c>
      <c r="AX59" s="70" t="e">
        <f t="shared" si="79"/>
        <v>#REF!</v>
      </c>
      <c r="AY59" s="70" t="e">
        <f t="shared" si="79"/>
        <v>#REF!</v>
      </c>
      <c r="AZ59" s="70" t="e">
        <f t="shared" si="79"/>
        <v>#REF!</v>
      </c>
      <c r="BA59" s="70" t="e">
        <f t="shared" si="79"/>
        <v>#REF!</v>
      </c>
    </row>
    <row r="60" spans="27:53" hidden="1">
      <c r="AA60" s="71" t="s">
        <v>42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69" t="s">
        <v>47</v>
      </c>
      <c r="AB61" s="35"/>
      <c r="AF61" s="70" t="e">
        <f t="shared" ref="AF61:AO61" si="80">AF14+AF16+AF18+AF19+AF22</f>
        <v>#REF!</v>
      </c>
      <c r="AG61" s="70" t="e">
        <f t="shared" si="80"/>
        <v>#REF!</v>
      </c>
      <c r="AH61" s="70" t="e">
        <f t="shared" si="80"/>
        <v>#REF!</v>
      </c>
      <c r="AI61" s="70" t="e">
        <f t="shared" si="80"/>
        <v>#REF!</v>
      </c>
      <c r="AJ61" s="70" t="e">
        <f t="shared" si="80"/>
        <v>#REF!</v>
      </c>
      <c r="AK61" s="70" t="e">
        <f t="shared" si="80"/>
        <v>#REF!</v>
      </c>
      <c r="AL61" s="70" t="e">
        <f t="shared" si="80"/>
        <v>#REF!</v>
      </c>
      <c r="AM61" s="70" t="e">
        <f t="shared" si="80"/>
        <v>#REF!</v>
      </c>
      <c r="AN61" s="70" t="e">
        <f t="shared" si="80"/>
        <v>#REF!</v>
      </c>
      <c r="AO61" s="70" t="e">
        <f t="shared" si="80"/>
        <v>#REF!</v>
      </c>
      <c r="AP61" s="70"/>
      <c r="AQ61" s="70"/>
      <c r="AR61" s="70" t="e">
        <f t="shared" ref="AR61:BA61" si="81">AR14+AR16+AR18+AR19+AR22</f>
        <v>#REF!</v>
      </c>
      <c r="AS61" s="70" t="e">
        <f t="shared" si="81"/>
        <v>#REF!</v>
      </c>
      <c r="AT61" s="70" t="e">
        <f t="shared" si="81"/>
        <v>#REF!</v>
      </c>
      <c r="AU61" s="70" t="e">
        <f t="shared" si="81"/>
        <v>#REF!</v>
      </c>
      <c r="AV61" s="70" t="e">
        <f t="shared" si="81"/>
        <v>#REF!</v>
      </c>
      <c r="AW61" s="70" t="e">
        <f t="shared" si="81"/>
        <v>#REF!</v>
      </c>
      <c r="AX61" s="70" t="e">
        <f t="shared" si="81"/>
        <v>#REF!</v>
      </c>
      <c r="AY61" s="70" t="e">
        <f t="shared" si="81"/>
        <v>#REF!</v>
      </c>
      <c r="AZ61" s="70" t="e">
        <f t="shared" si="81"/>
        <v>#REF!</v>
      </c>
      <c r="BA61" s="70" t="e">
        <f t="shared" si="81"/>
        <v>#REF!</v>
      </c>
    </row>
    <row r="62" spans="27:53" hidden="1">
      <c r="AA62" s="71" t="s">
        <v>29</v>
      </c>
      <c r="AB62" s="35"/>
      <c r="AF62" s="70" t="e">
        <f t="shared" ref="AF62:AO62" si="82">AF25+AF27+AF29+AF30+AF33</f>
        <v>#REF!</v>
      </c>
      <c r="AG62" s="70" t="e">
        <f t="shared" si="82"/>
        <v>#REF!</v>
      </c>
      <c r="AH62" s="70" t="e">
        <f t="shared" si="82"/>
        <v>#REF!</v>
      </c>
      <c r="AI62" s="70" t="e">
        <f t="shared" si="82"/>
        <v>#REF!</v>
      </c>
      <c r="AJ62" s="70" t="e">
        <f t="shared" si="82"/>
        <v>#REF!</v>
      </c>
      <c r="AK62" s="70" t="e">
        <f t="shared" si="82"/>
        <v>#REF!</v>
      </c>
      <c r="AL62" s="70" t="e">
        <f t="shared" si="82"/>
        <v>#REF!</v>
      </c>
      <c r="AM62" s="70" t="e">
        <f t="shared" si="82"/>
        <v>#REF!</v>
      </c>
      <c r="AN62" s="70" t="e">
        <f t="shared" si="82"/>
        <v>#REF!</v>
      </c>
      <c r="AO62" s="70" t="e">
        <f t="shared" si="82"/>
        <v>#REF!</v>
      </c>
      <c r="AP62" s="70"/>
      <c r="AQ62" s="70"/>
      <c r="AR62" s="70" t="e">
        <f t="shared" ref="AR62:BA62" si="83">AR25+AR27+AR29+AR30+AR33</f>
        <v>#REF!</v>
      </c>
      <c r="AS62" s="70" t="e">
        <f t="shared" si="83"/>
        <v>#REF!</v>
      </c>
      <c r="AT62" s="70" t="e">
        <f t="shared" si="83"/>
        <v>#REF!</v>
      </c>
      <c r="AU62" s="70" t="e">
        <f t="shared" si="83"/>
        <v>#REF!</v>
      </c>
      <c r="AV62" s="70" t="e">
        <f t="shared" si="83"/>
        <v>#REF!</v>
      </c>
      <c r="AW62" s="70" t="e">
        <f t="shared" si="83"/>
        <v>#REF!</v>
      </c>
      <c r="AX62" s="70" t="e">
        <f t="shared" si="83"/>
        <v>#REF!</v>
      </c>
      <c r="AY62" s="70" t="e">
        <f t="shared" si="83"/>
        <v>#REF!</v>
      </c>
      <c r="AZ62" s="70" t="e">
        <f t="shared" si="83"/>
        <v>#REF!</v>
      </c>
      <c r="BA62" s="70" t="e">
        <f t="shared" si="83"/>
        <v>#REF!</v>
      </c>
    </row>
    <row r="63" spans="27:53" hidden="1">
      <c r="AA63" s="71" t="s">
        <v>41</v>
      </c>
      <c r="AB63" s="35"/>
      <c r="AF63" s="70" t="e">
        <f t="shared" ref="AF63:AO63" si="84">AF36+AF38+AF40+AF41+AF44</f>
        <v>#REF!</v>
      </c>
      <c r="AG63" s="70" t="e">
        <f t="shared" si="84"/>
        <v>#REF!</v>
      </c>
      <c r="AH63" s="70" t="e">
        <f t="shared" si="84"/>
        <v>#REF!</v>
      </c>
      <c r="AI63" s="70" t="e">
        <f t="shared" si="84"/>
        <v>#REF!</v>
      </c>
      <c r="AJ63" s="70" t="e">
        <f t="shared" si="84"/>
        <v>#REF!</v>
      </c>
      <c r="AK63" s="70" t="e">
        <f t="shared" si="84"/>
        <v>#REF!</v>
      </c>
      <c r="AL63" s="70" t="e">
        <f t="shared" si="84"/>
        <v>#REF!</v>
      </c>
      <c r="AM63" s="70" t="e">
        <f t="shared" si="84"/>
        <v>#REF!</v>
      </c>
      <c r="AN63" s="70" t="e">
        <f t="shared" si="84"/>
        <v>#REF!</v>
      </c>
      <c r="AO63" s="70" t="e">
        <f t="shared" si="84"/>
        <v>#REF!</v>
      </c>
      <c r="AP63" s="70"/>
      <c r="AQ63" s="70"/>
      <c r="AR63" s="70" t="e">
        <f t="shared" ref="AR63:BA63" si="85">AR36+AR38+AR40+AR41+AR44</f>
        <v>#REF!</v>
      </c>
      <c r="AS63" s="70" t="e">
        <f t="shared" si="85"/>
        <v>#REF!</v>
      </c>
      <c r="AT63" s="70" t="e">
        <f t="shared" si="85"/>
        <v>#REF!</v>
      </c>
      <c r="AU63" s="70" t="e">
        <f t="shared" si="85"/>
        <v>#REF!</v>
      </c>
      <c r="AV63" s="70" t="e">
        <f t="shared" si="85"/>
        <v>#REF!</v>
      </c>
      <c r="AW63" s="70" t="e">
        <f t="shared" si="85"/>
        <v>#REF!</v>
      </c>
      <c r="AX63" s="70" t="e">
        <f t="shared" si="85"/>
        <v>#REF!</v>
      </c>
      <c r="AY63" s="70" t="e">
        <f t="shared" si="85"/>
        <v>#REF!</v>
      </c>
      <c r="AZ63" s="70" t="e">
        <f t="shared" si="85"/>
        <v>#REF!</v>
      </c>
      <c r="BA63" s="70" t="e">
        <f t="shared" si="85"/>
        <v>#REF!</v>
      </c>
    </row>
    <row r="64" spans="27:53" hidden="1">
      <c r="AA64" s="71" t="s">
        <v>42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69" t="s">
        <v>48</v>
      </c>
      <c r="AB65" s="35"/>
      <c r="AF65" s="70" t="e">
        <f t="shared" ref="AF65:AO65" si="86">AF14+AF15+AF20</f>
        <v>#REF!</v>
      </c>
      <c r="AG65" s="70" t="e">
        <f t="shared" si="86"/>
        <v>#REF!</v>
      </c>
      <c r="AH65" s="70" t="e">
        <f t="shared" si="86"/>
        <v>#REF!</v>
      </c>
      <c r="AI65" s="70" t="e">
        <f t="shared" si="86"/>
        <v>#REF!</v>
      </c>
      <c r="AJ65" s="70" t="e">
        <f t="shared" si="86"/>
        <v>#REF!</v>
      </c>
      <c r="AK65" s="70" t="e">
        <f t="shared" si="86"/>
        <v>#REF!</v>
      </c>
      <c r="AL65" s="70" t="e">
        <f t="shared" si="86"/>
        <v>#REF!</v>
      </c>
      <c r="AM65" s="70" t="e">
        <f t="shared" si="86"/>
        <v>#REF!</v>
      </c>
      <c r="AN65" s="70" t="e">
        <f t="shared" si="86"/>
        <v>#REF!</v>
      </c>
      <c r="AO65" s="70" t="e">
        <f t="shared" si="86"/>
        <v>#REF!</v>
      </c>
      <c r="AP65" s="70"/>
      <c r="AQ65" s="70"/>
      <c r="AR65" s="70" t="e">
        <f t="shared" ref="AR65:BA65" si="87">AR14+AR15+AR20</f>
        <v>#REF!</v>
      </c>
      <c r="AS65" s="70" t="e">
        <f t="shared" si="87"/>
        <v>#REF!</v>
      </c>
      <c r="AT65" s="70" t="e">
        <f t="shared" si="87"/>
        <v>#REF!</v>
      </c>
      <c r="AU65" s="70" t="e">
        <f t="shared" si="87"/>
        <v>#REF!</v>
      </c>
      <c r="AV65" s="70" t="e">
        <f t="shared" si="87"/>
        <v>#REF!</v>
      </c>
      <c r="AW65" s="70" t="e">
        <f t="shared" si="87"/>
        <v>#REF!</v>
      </c>
      <c r="AX65" s="70" t="e">
        <f t="shared" si="87"/>
        <v>#REF!</v>
      </c>
      <c r="AY65" s="70" t="e">
        <f t="shared" si="87"/>
        <v>#REF!</v>
      </c>
      <c r="AZ65" s="70" t="e">
        <f t="shared" si="87"/>
        <v>#REF!</v>
      </c>
      <c r="BA65" s="70" t="e">
        <f t="shared" si="87"/>
        <v>#REF!</v>
      </c>
    </row>
    <row r="66" spans="27:53" hidden="1">
      <c r="AA66" s="71" t="s">
        <v>29</v>
      </c>
      <c r="AB66" s="35"/>
      <c r="AF66" s="70" t="e">
        <f t="shared" ref="AF66:AO66" si="88">AF25+AF26+AF31</f>
        <v>#REF!</v>
      </c>
      <c r="AG66" s="70" t="e">
        <f t="shared" si="88"/>
        <v>#REF!</v>
      </c>
      <c r="AH66" s="70" t="e">
        <f t="shared" si="88"/>
        <v>#REF!</v>
      </c>
      <c r="AI66" s="70" t="e">
        <f t="shared" si="88"/>
        <v>#REF!</v>
      </c>
      <c r="AJ66" s="70" t="e">
        <f t="shared" si="88"/>
        <v>#REF!</v>
      </c>
      <c r="AK66" s="70" t="e">
        <f t="shared" si="88"/>
        <v>#REF!</v>
      </c>
      <c r="AL66" s="70" t="e">
        <f t="shared" si="88"/>
        <v>#REF!</v>
      </c>
      <c r="AM66" s="70" t="e">
        <f t="shared" si="88"/>
        <v>#REF!</v>
      </c>
      <c r="AN66" s="70" t="e">
        <f t="shared" si="88"/>
        <v>#REF!</v>
      </c>
      <c r="AO66" s="70" t="e">
        <f t="shared" si="88"/>
        <v>#REF!</v>
      </c>
      <c r="AP66" s="70"/>
      <c r="AQ66" s="70"/>
      <c r="AR66" s="70" t="e">
        <f t="shared" ref="AR66:BA66" si="89">AR25+AR26+AR31</f>
        <v>#REF!</v>
      </c>
      <c r="AS66" s="70" t="e">
        <f t="shared" si="89"/>
        <v>#REF!</v>
      </c>
      <c r="AT66" s="70" t="e">
        <f t="shared" si="89"/>
        <v>#REF!</v>
      </c>
      <c r="AU66" s="70" t="e">
        <f t="shared" si="89"/>
        <v>#REF!</v>
      </c>
      <c r="AV66" s="70" t="e">
        <f t="shared" si="89"/>
        <v>#REF!</v>
      </c>
      <c r="AW66" s="70" t="e">
        <f t="shared" si="89"/>
        <v>#REF!</v>
      </c>
      <c r="AX66" s="70" t="e">
        <f t="shared" si="89"/>
        <v>#REF!</v>
      </c>
      <c r="AY66" s="70" t="e">
        <f t="shared" si="89"/>
        <v>#REF!</v>
      </c>
      <c r="AZ66" s="70" t="e">
        <f t="shared" si="89"/>
        <v>#REF!</v>
      </c>
      <c r="BA66" s="70" t="e">
        <f t="shared" si="89"/>
        <v>#REF!</v>
      </c>
    </row>
    <row r="67" spans="27:53" hidden="1">
      <c r="AA67" s="71" t="s">
        <v>41</v>
      </c>
      <c r="AB67" s="35"/>
      <c r="AF67" s="70" t="e">
        <f t="shared" ref="AF67:AO67" si="90">AF36+AF37+AF42</f>
        <v>#REF!</v>
      </c>
      <c r="AG67" s="70" t="e">
        <f t="shared" si="90"/>
        <v>#REF!</v>
      </c>
      <c r="AH67" s="70" t="e">
        <f t="shared" si="90"/>
        <v>#REF!</v>
      </c>
      <c r="AI67" s="70" t="e">
        <f t="shared" si="90"/>
        <v>#REF!</v>
      </c>
      <c r="AJ67" s="70" t="e">
        <f t="shared" si="90"/>
        <v>#REF!</v>
      </c>
      <c r="AK67" s="70" t="e">
        <f t="shared" si="90"/>
        <v>#REF!</v>
      </c>
      <c r="AL67" s="70" t="e">
        <f t="shared" si="90"/>
        <v>#REF!</v>
      </c>
      <c r="AM67" s="70" t="e">
        <f t="shared" si="90"/>
        <v>#REF!</v>
      </c>
      <c r="AN67" s="70" t="e">
        <f t="shared" si="90"/>
        <v>#REF!</v>
      </c>
      <c r="AO67" s="70" t="e">
        <f t="shared" si="90"/>
        <v>#REF!</v>
      </c>
      <c r="AP67" s="70"/>
      <c r="AQ67" s="70"/>
      <c r="AR67" s="70" t="e">
        <f t="shared" ref="AR67:BA67" si="91">AR36+AR37+AR42</f>
        <v>#REF!</v>
      </c>
      <c r="AS67" s="70" t="e">
        <f t="shared" si="91"/>
        <v>#REF!</v>
      </c>
      <c r="AT67" s="70" t="e">
        <f t="shared" si="91"/>
        <v>#REF!</v>
      </c>
      <c r="AU67" s="70" t="e">
        <f t="shared" si="91"/>
        <v>#REF!</v>
      </c>
      <c r="AV67" s="70" t="e">
        <f t="shared" si="91"/>
        <v>#REF!</v>
      </c>
      <c r="AW67" s="70" t="e">
        <f t="shared" si="91"/>
        <v>#REF!</v>
      </c>
      <c r="AX67" s="70" t="e">
        <f t="shared" si="91"/>
        <v>#REF!</v>
      </c>
      <c r="AY67" s="70" t="e">
        <f t="shared" si="91"/>
        <v>#REF!</v>
      </c>
      <c r="AZ67" s="70" t="e">
        <f t="shared" si="91"/>
        <v>#REF!</v>
      </c>
      <c r="BA67" s="70" t="e">
        <f t="shared" si="91"/>
        <v>#REF!</v>
      </c>
    </row>
    <row r="68" spans="27:53" hidden="1">
      <c r="AA68" s="71" t="s">
        <v>42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2" t="s">
        <v>49</v>
      </c>
      <c r="AB69" s="35"/>
      <c r="AF69" s="70" t="e">
        <f t="shared" ref="AF69:AO69" si="92">AF14+AF15+AF19+AF21</f>
        <v>#REF!</v>
      </c>
      <c r="AG69" s="70" t="e">
        <f t="shared" si="92"/>
        <v>#REF!</v>
      </c>
      <c r="AH69" s="70" t="e">
        <f t="shared" si="92"/>
        <v>#REF!</v>
      </c>
      <c r="AI69" s="70" t="e">
        <f t="shared" si="92"/>
        <v>#REF!</v>
      </c>
      <c r="AJ69" s="70" t="e">
        <f t="shared" si="92"/>
        <v>#REF!</v>
      </c>
      <c r="AK69" s="70" t="e">
        <f t="shared" si="92"/>
        <v>#REF!</v>
      </c>
      <c r="AL69" s="70" t="e">
        <f t="shared" si="92"/>
        <v>#REF!</v>
      </c>
      <c r="AM69" s="70" t="e">
        <f t="shared" si="92"/>
        <v>#REF!</v>
      </c>
      <c r="AN69" s="70" t="e">
        <f t="shared" si="92"/>
        <v>#REF!</v>
      </c>
      <c r="AO69" s="70" t="e">
        <f t="shared" si="92"/>
        <v>#REF!</v>
      </c>
      <c r="AP69" s="70"/>
      <c r="AQ69" s="70"/>
      <c r="AR69" s="70" t="e">
        <f t="shared" ref="AR69:BA69" si="93">AR14+AR15+AR19+AR21</f>
        <v>#REF!</v>
      </c>
      <c r="AS69" s="70" t="e">
        <f t="shared" si="93"/>
        <v>#REF!</v>
      </c>
      <c r="AT69" s="70" t="e">
        <f t="shared" si="93"/>
        <v>#REF!</v>
      </c>
      <c r="AU69" s="70" t="e">
        <f t="shared" si="93"/>
        <v>#REF!</v>
      </c>
      <c r="AV69" s="70" t="e">
        <f t="shared" si="93"/>
        <v>#REF!</v>
      </c>
      <c r="AW69" s="70" t="e">
        <f t="shared" si="93"/>
        <v>#REF!</v>
      </c>
      <c r="AX69" s="70" t="e">
        <f t="shared" si="93"/>
        <v>#REF!</v>
      </c>
      <c r="AY69" s="70" t="e">
        <f t="shared" si="93"/>
        <v>#REF!</v>
      </c>
      <c r="AZ69" s="70" t="e">
        <f t="shared" si="93"/>
        <v>#REF!</v>
      </c>
      <c r="BA69" s="70" t="e">
        <f t="shared" si="93"/>
        <v>#REF!</v>
      </c>
    </row>
    <row r="70" spans="27:53" hidden="1">
      <c r="AA70" s="71" t="s">
        <v>29</v>
      </c>
      <c r="AB70" s="35"/>
      <c r="AF70" s="70" t="e">
        <f t="shared" ref="AF70:AO70" si="94">AF25+AF26+AF30+AF32</f>
        <v>#REF!</v>
      </c>
      <c r="AG70" s="70" t="e">
        <f t="shared" si="94"/>
        <v>#REF!</v>
      </c>
      <c r="AH70" s="70" t="e">
        <f t="shared" si="94"/>
        <v>#REF!</v>
      </c>
      <c r="AI70" s="70" t="e">
        <f t="shared" si="94"/>
        <v>#REF!</v>
      </c>
      <c r="AJ70" s="70" t="e">
        <f t="shared" si="94"/>
        <v>#REF!</v>
      </c>
      <c r="AK70" s="70" t="e">
        <f t="shared" si="94"/>
        <v>#REF!</v>
      </c>
      <c r="AL70" s="70" t="e">
        <f t="shared" si="94"/>
        <v>#REF!</v>
      </c>
      <c r="AM70" s="70" t="e">
        <f t="shared" si="94"/>
        <v>#REF!</v>
      </c>
      <c r="AN70" s="70" t="e">
        <f t="shared" si="94"/>
        <v>#REF!</v>
      </c>
      <c r="AO70" s="70" t="e">
        <f t="shared" si="94"/>
        <v>#REF!</v>
      </c>
      <c r="AP70" s="70"/>
      <c r="AQ70" s="70"/>
      <c r="AR70" s="70" t="e">
        <f t="shared" ref="AR70:BA70" si="95">AR25+AR26+AR30+AR32</f>
        <v>#REF!</v>
      </c>
      <c r="AS70" s="70" t="e">
        <f t="shared" si="95"/>
        <v>#REF!</v>
      </c>
      <c r="AT70" s="70" t="e">
        <f t="shared" si="95"/>
        <v>#REF!</v>
      </c>
      <c r="AU70" s="70" t="e">
        <f t="shared" si="95"/>
        <v>#REF!</v>
      </c>
      <c r="AV70" s="70" t="e">
        <f t="shared" si="95"/>
        <v>#REF!</v>
      </c>
      <c r="AW70" s="70" t="e">
        <f t="shared" si="95"/>
        <v>#REF!</v>
      </c>
      <c r="AX70" s="70" t="e">
        <f t="shared" si="95"/>
        <v>#REF!</v>
      </c>
      <c r="AY70" s="70" t="e">
        <f t="shared" si="95"/>
        <v>#REF!</v>
      </c>
      <c r="AZ70" s="70" t="e">
        <f t="shared" si="95"/>
        <v>#REF!</v>
      </c>
      <c r="BA70" s="70" t="e">
        <f t="shared" si="95"/>
        <v>#REF!</v>
      </c>
    </row>
    <row r="71" spans="27:53" hidden="1">
      <c r="AA71" s="71" t="s">
        <v>41</v>
      </c>
      <c r="AB71" s="35"/>
      <c r="AF71" s="70" t="e">
        <f t="shared" ref="AF71:AO71" si="96">AF36+AF37+AF41+AF43</f>
        <v>#REF!</v>
      </c>
      <c r="AG71" s="70" t="e">
        <f t="shared" si="96"/>
        <v>#REF!</v>
      </c>
      <c r="AH71" s="70" t="e">
        <f t="shared" si="96"/>
        <v>#REF!</v>
      </c>
      <c r="AI71" s="70" t="e">
        <f t="shared" si="96"/>
        <v>#REF!</v>
      </c>
      <c r="AJ71" s="70" t="e">
        <f t="shared" si="96"/>
        <v>#REF!</v>
      </c>
      <c r="AK71" s="70" t="e">
        <f t="shared" si="96"/>
        <v>#REF!</v>
      </c>
      <c r="AL71" s="70" t="e">
        <f t="shared" si="96"/>
        <v>#REF!</v>
      </c>
      <c r="AM71" s="70" t="e">
        <f t="shared" si="96"/>
        <v>#REF!</v>
      </c>
      <c r="AN71" s="70" t="e">
        <f t="shared" si="96"/>
        <v>#REF!</v>
      </c>
      <c r="AO71" s="70" t="e">
        <f t="shared" si="96"/>
        <v>#REF!</v>
      </c>
      <c r="AP71" s="70"/>
      <c r="AQ71" s="70"/>
      <c r="AR71" s="70" t="e">
        <f t="shared" ref="AR71:BA71" si="97">AR36+AR37+AR41+AR43</f>
        <v>#REF!</v>
      </c>
      <c r="AS71" s="70" t="e">
        <f t="shared" si="97"/>
        <v>#REF!</v>
      </c>
      <c r="AT71" s="70" t="e">
        <f t="shared" si="97"/>
        <v>#REF!</v>
      </c>
      <c r="AU71" s="70" t="e">
        <f t="shared" si="97"/>
        <v>#REF!</v>
      </c>
      <c r="AV71" s="70" t="e">
        <f t="shared" si="97"/>
        <v>#REF!</v>
      </c>
      <c r="AW71" s="70" t="e">
        <f t="shared" si="97"/>
        <v>#REF!</v>
      </c>
      <c r="AX71" s="70" t="e">
        <f t="shared" si="97"/>
        <v>#REF!</v>
      </c>
      <c r="AY71" s="70" t="e">
        <f t="shared" si="97"/>
        <v>#REF!</v>
      </c>
      <c r="AZ71" s="70" t="e">
        <f t="shared" si="97"/>
        <v>#REF!</v>
      </c>
      <c r="BA71" s="70" t="e">
        <f t="shared" si="97"/>
        <v>#REF!</v>
      </c>
    </row>
    <row r="72" spans="27:53" hidden="1">
      <c r="AA72" s="71" t="s">
        <v>42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69" t="s">
        <v>50</v>
      </c>
      <c r="AB73" s="35"/>
      <c r="AF73" s="70" t="e">
        <f t="shared" ref="AF73:AO73" si="98">AF14+AF15+AF19+AF22</f>
        <v>#REF!</v>
      </c>
      <c r="AG73" s="70" t="e">
        <f t="shared" si="98"/>
        <v>#REF!</v>
      </c>
      <c r="AH73" s="70" t="e">
        <f t="shared" si="98"/>
        <v>#REF!</v>
      </c>
      <c r="AI73" s="70" t="e">
        <f t="shared" si="98"/>
        <v>#REF!</v>
      </c>
      <c r="AJ73" s="70" t="e">
        <f t="shared" si="98"/>
        <v>#REF!</v>
      </c>
      <c r="AK73" s="70" t="e">
        <f t="shared" si="98"/>
        <v>#REF!</v>
      </c>
      <c r="AL73" s="70" t="e">
        <f t="shared" si="98"/>
        <v>#REF!</v>
      </c>
      <c r="AM73" s="70" t="e">
        <f t="shared" si="98"/>
        <v>#REF!</v>
      </c>
      <c r="AN73" s="70" t="e">
        <f t="shared" si="98"/>
        <v>#REF!</v>
      </c>
      <c r="AO73" s="70" t="e">
        <f t="shared" si="98"/>
        <v>#REF!</v>
      </c>
      <c r="AP73" s="70"/>
      <c r="AQ73" s="70"/>
      <c r="AR73" s="70" t="e">
        <f t="shared" ref="AR73:BA73" si="99">AR14+AR15+AR19+AR22</f>
        <v>#REF!</v>
      </c>
      <c r="AS73" s="70" t="e">
        <f t="shared" si="99"/>
        <v>#REF!</v>
      </c>
      <c r="AT73" s="70" t="e">
        <f t="shared" si="99"/>
        <v>#REF!</v>
      </c>
      <c r="AU73" s="70" t="e">
        <f t="shared" si="99"/>
        <v>#REF!</v>
      </c>
      <c r="AV73" s="70" t="e">
        <f t="shared" si="99"/>
        <v>#REF!</v>
      </c>
      <c r="AW73" s="70" t="e">
        <f t="shared" si="99"/>
        <v>#REF!</v>
      </c>
      <c r="AX73" s="70" t="e">
        <f t="shared" si="99"/>
        <v>#REF!</v>
      </c>
      <c r="AY73" s="70" t="e">
        <f t="shared" si="99"/>
        <v>#REF!</v>
      </c>
      <c r="AZ73" s="70" t="e">
        <f t="shared" si="99"/>
        <v>#REF!</v>
      </c>
      <c r="BA73" s="70" t="e">
        <f t="shared" si="99"/>
        <v>#REF!</v>
      </c>
    </row>
    <row r="74" spans="27:53" hidden="1">
      <c r="AA74" s="71" t="s">
        <v>29</v>
      </c>
      <c r="AB74" s="35"/>
      <c r="AF74" s="70" t="e">
        <f t="shared" ref="AF74:AO74" si="100">AF25+AF26+AF30+AF33</f>
        <v>#REF!</v>
      </c>
      <c r="AG74" s="70" t="e">
        <f t="shared" si="100"/>
        <v>#REF!</v>
      </c>
      <c r="AH74" s="70" t="e">
        <f t="shared" si="100"/>
        <v>#REF!</v>
      </c>
      <c r="AI74" s="70" t="e">
        <f t="shared" si="100"/>
        <v>#REF!</v>
      </c>
      <c r="AJ74" s="70" t="e">
        <f t="shared" si="100"/>
        <v>#REF!</v>
      </c>
      <c r="AK74" s="70" t="e">
        <f t="shared" si="100"/>
        <v>#REF!</v>
      </c>
      <c r="AL74" s="70" t="e">
        <f t="shared" si="100"/>
        <v>#REF!</v>
      </c>
      <c r="AM74" s="70" t="e">
        <f t="shared" si="100"/>
        <v>#REF!</v>
      </c>
      <c r="AN74" s="70" t="e">
        <f t="shared" si="100"/>
        <v>#REF!</v>
      </c>
      <c r="AO74" s="70" t="e">
        <f t="shared" si="100"/>
        <v>#REF!</v>
      </c>
      <c r="AP74" s="70"/>
      <c r="AQ74" s="70"/>
      <c r="AR74" s="70" t="e">
        <f t="shared" ref="AR74:BA74" si="101">AR25+AR26+AR30+AR33</f>
        <v>#REF!</v>
      </c>
      <c r="AS74" s="70" t="e">
        <f t="shared" si="101"/>
        <v>#REF!</v>
      </c>
      <c r="AT74" s="70" t="e">
        <f t="shared" si="101"/>
        <v>#REF!</v>
      </c>
      <c r="AU74" s="70" t="e">
        <f t="shared" si="101"/>
        <v>#REF!</v>
      </c>
      <c r="AV74" s="70" t="e">
        <f t="shared" si="101"/>
        <v>#REF!</v>
      </c>
      <c r="AW74" s="70" t="e">
        <f t="shared" si="101"/>
        <v>#REF!</v>
      </c>
      <c r="AX74" s="70" t="e">
        <f t="shared" si="101"/>
        <v>#REF!</v>
      </c>
      <c r="AY74" s="70" t="e">
        <f t="shared" si="101"/>
        <v>#REF!</v>
      </c>
      <c r="AZ74" s="70" t="e">
        <f t="shared" si="101"/>
        <v>#REF!</v>
      </c>
      <c r="BA74" s="70" t="e">
        <f t="shared" si="101"/>
        <v>#REF!</v>
      </c>
    </row>
    <row r="75" spans="27:53" hidden="1">
      <c r="AA75" s="71" t="s">
        <v>41</v>
      </c>
      <c r="AB75" s="35"/>
      <c r="AF75" s="70" t="e">
        <f t="shared" ref="AF75:AO75" si="102">AF36+AF37+AF41+AF44</f>
        <v>#REF!</v>
      </c>
      <c r="AG75" s="70" t="e">
        <f t="shared" si="102"/>
        <v>#REF!</v>
      </c>
      <c r="AH75" s="70" t="e">
        <f t="shared" si="102"/>
        <v>#REF!</v>
      </c>
      <c r="AI75" s="70" t="e">
        <f t="shared" si="102"/>
        <v>#REF!</v>
      </c>
      <c r="AJ75" s="70" t="e">
        <f t="shared" si="102"/>
        <v>#REF!</v>
      </c>
      <c r="AK75" s="70" t="e">
        <f t="shared" si="102"/>
        <v>#REF!</v>
      </c>
      <c r="AL75" s="70" t="e">
        <f t="shared" si="102"/>
        <v>#REF!</v>
      </c>
      <c r="AM75" s="70" t="e">
        <f t="shared" si="102"/>
        <v>#REF!</v>
      </c>
      <c r="AN75" s="70" t="e">
        <f t="shared" si="102"/>
        <v>#REF!</v>
      </c>
      <c r="AO75" s="70" t="e">
        <f t="shared" si="102"/>
        <v>#REF!</v>
      </c>
      <c r="AP75" s="70"/>
      <c r="AQ75" s="70"/>
      <c r="AR75" s="70" t="e">
        <f t="shared" ref="AR75:BA75" si="103">AR36+AR37+AR41+AR44</f>
        <v>#REF!</v>
      </c>
      <c r="AS75" s="70" t="e">
        <f t="shared" si="103"/>
        <v>#REF!</v>
      </c>
      <c r="AT75" s="70" t="e">
        <f t="shared" si="103"/>
        <v>#REF!</v>
      </c>
      <c r="AU75" s="70" t="e">
        <f t="shared" si="103"/>
        <v>#REF!</v>
      </c>
      <c r="AV75" s="70" t="e">
        <f t="shared" si="103"/>
        <v>#REF!</v>
      </c>
      <c r="AW75" s="70" t="e">
        <f t="shared" si="103"/>
        <v>#REF!</v>
      </c>
      <c r="AX75" s="70" t="e">
        <f t="shared" si="103"/>
        <v>#REF!</v>
      </c>
      <c r="AY75" s="70" t="e">
        <f t="shared" si="103"/>
        <v>#REF!</v>
      </c>
      <c r="AZ75" s="70" t="e">
        <f t="shared" si="103"/>
        <v>#REF!</v>
      </c>
      <c r="BA75" s="70" t="e">
        <f t="shared" si="103"/>
        <v>#REF!</v>
      </c>
    </row>
    <row r="76" spans="27:53" hidden="1">
      <c r="AA76" s="71" t="s">
        <v>42</v>
      </c>
      <c r="AB76" s="35"/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N86" s="38"/>
      <c r="AZ86" s="36"/>
    </row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545" t="s">
        <v>55</v>
      </c>
      <c r="G88" s="545" t="s">
        <v>73</v>
      </c>
      <c r="H88" s="545" t="s">
        <v>74</v>
      </c>
      <c r="I88" s="545" t="s">
        <v>58</v>
      </c>
      <c r="J88" s="545" t="s">
        <v>59</v>
      </c>
      <c r="K88" s="545" t="s">
        <v>60</v>
      </c>
      <c r="L88" s="544" t="s">
        <v>75</v>
      </c>
      <c r="M88" s="544" t="s">
        <v>76</v>
      </c>
      <c r="N88" s="544" t="s">
        <v>61</v>
      </c>
      <c r="O88" s="544" t="s">
        <v>62</v>
      </c>
      <c r="P88" s="544" t="s">
        <v>63</v>
      </c>
      <c r="AN88" s="38"/>
      <c r="AZ88" s="36"/>
    </row>
    <row r="89" spans="1:52" ht="25.5">
      <c r="A89" s="44" t="str">
        <f t="shared" ref="A89:C90" si="104">A4</f>
        <v>Substation General Construction</v>
      </c>
      <c r="B89" s="45" t="str">
        <f t="shared" si="104"/>
        <v>Light-Duty Truck, catalyst</v>
      </c>
      <c r="C89" s="46">
        <f t="shared" si="104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105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si="104"/>
        <v>Substation Wiring</v>
      </c>
      <c r="B90" s="45" t="str">
        <f t="shared" si="104"/>
        <v>Light-Duty Truck, catalyst</v>
      </c>
      <c r="C90" s="46">
        <f t="shared" si="104"/>
        <v>1</v>
      </c>
      <c r="D90" s="46">
        <v>35</v>
      </c>
      <c r="E90" s="46">
        <v>80</v>
      </c>
      <c r="F90" s="50">
        <f>C5*($E5*$F5+($G5))/453.59</f>
        <v>0.48571938588092006</v>
      </c>
      <c r="G90" s="50">
        <f>C5*($E5*$H5+($I5))/453.59</f>
        <v>4.367065729437801E-2</v>
      </c>
      <c r="H90" s="50">
        <f>C5*(($E5*$J5)+($K5)+($L5)+($E5*$N5)+(($M5+$O5)))/453.59</f>
        <v>5.0499980323953329E-2</v>
      </c>
      <c r="I90" s="50">
        <f>C5*($E5*$P5+($Q5))/453.59</f>
        <v>7.2679702716061593E-4</v>
      </c>
      <c r="J90" s="50">
        <f>C5*(($E5*($R5+$T5+$U5))+($S5))/453.59</f>
        <v>8.5240904552078972E-3</v>
      </c>
      <c r="K90" s="50">
        <f>$C5*(($E5*($V5+$X5+$Y5))+($W5))/453.59</f>
        <v>3.7120053242531417E-3</v>
      </c>
      <c r="L90" s="50">
        <f>$B$22*C5*(E5+6)</f>
        <v>8.4385825860718994E-3</v>
      </c>
      <c r="M90" s="50">
        <f t="shared" si="105"/>
        <v>3.4598188602894785E-3</v>
      </c>
      <c r="N90" s="50">
        <f>C5*($E5*$Z5+($AA5))/453.59</f>
        <v>55.423576726038895</v>
      </c>
      <c r="O90" s="50">
        <f>C5*($E5*$AB5+($AC5))/453.59</f>
        <v>3.1704753890302493E-3</v>
      </c>
      <c r="P90" s="50">
        <f>C5*($E5*$AD5+($AE5))/453.59</f>
        <v>5.7711199138433603E-3</v>
      </c>
      <c r="AN90" s="38"/>
      <c r="AZ90" s="36"/>
    </row>
    <row r="91" spans="1:52">
      <c r="A91" s="61" t="s">
        <v>389</v>
      </c>
      <c r="B91" s="40"/>
      <c r="C91" s="40"/>
      <c r="D91" s="40"/>
      <c r="E91" s="40"/>
      <c r="F91" s="81">
        <f t="shared" ref="F91:P91" si="106">SUM(F89:F90)</f>
        <v>1.9428775435236803</v>
      </c>
      <c r="G91" s="81">
        <f t="shared" si="106"/>
        <v>0.17468262917751204</v>
      </c>
      <c r="H91" s="81">
        <f t="shared" si="106"/>
        <v>0.20199992129581332</v>
      </c>
      <c r="I91" s="81">
        <f t="shared" si="106"/>
        <v>2.9071881086424637E-3</v>
      </c>
      <c r="J91" s="81">
        <f t="shared" si="106"/>
        <v>3.4096361820831589E-2</v>
      </c>
      <c r="K91" s="81">
        <f t="shared" si="106"/>
        <v>1.4848021297012567E-2</v>
      </c>
      <c r="L91" s="81">
        <f t="shared" si="106"/>
        <v>3.3754330344287597E-2</v>
      </c>
      <c r="M91" s="81">
        <f t="shared" si="106"/>
        <v>1.3839275441157914E-2</v>
      </c>
      <c r="N91" s="81">
        <f t="shared" si="106"/>
        <v>221.69430690415561</v>
      </c>
      <c r="O91" s="81">
        <f t="shared" si="106"/>
        <v>1.2681901556120997E-2</v>
      </c>
      <c r="P91" s="81">
        <f t="shared" si="106"/>
        <v>2.3084479655373441E-2</v>
      </c>
    </row>
  </sheetData>
  <mergeCells count="16">
    <mergeCell ref="AR11:BA11"/>
    <mergeCell ref="A87:A88"/>
    <mergeCell ref="B87:B88"/>
    <mergeCell ref="F87:P87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6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690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317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24" t="s">
        <v>311</v>
      </c>
      <c r="B14" s="29" t="s">
        <v>27</v>
      </c>
      <c r="C14" s="22">
        <v>175</v>
      </c>
      <c r="D14" s="22"/>
      <c r="E14" s="102">
        <v>0.11792220738547983</v>
      </c>
      <c r="F14" s="102">
        <v>0.36512193352152528</v>
      </c>
      <c r="G14" s="102">
        <v>0.86781464282266541</v>
      </c>
      <c r="H14" s="102">
        <v>1.8739217498104396E-3</v>
      </c>
      <c r="I14" s="102">
        <v>2.9041712295589866E-2</v>
      </c>
      <c r="J14" s="100">
        <f t="shared" ref="J14" si="4">0.89*I14</f>
        <v>2.5847123943074982E-2</v>
      </c>
      <c r="K14" s="103">
        <v>166.54541562452522</v>
      </c>
      <c r="L14" s="102">
        <v>1.063993297769634E-2</v>
      </c>
      <c r="M14" s="104">
        <f t="shared" ref="M14" si="5">0.095*G14</f>
        <v>8.2442391068153209E-2</v>
      </c>
      <c r="N14" s="98">
        <v>1</v>
      </c>
      <c r="O14" s="87">
        <v>2</v>
      </c>
      <c r="P14" s="363">
        <v>280</v>
      </c>
      <c r="Q14" s="34">
        <f t="shared" ref="Q14:Y14" si="6">(E14*$N14*$O14)</f>
        <v>0.23584441477095966</v>
      </c>
      <c r="R14" s="26">
        <f t="shared" si="6"/>
        <v>0.73024386704305055</v>
      </c>
      <c r="S14" s="26">
        <f t="shared" si="6"/>
        <v>1.7356292856453308</v>
      </c>
      <c r="T14" s="26">
        <f t="shared" si="6"/>
        <v>3.7478434996208792E-3</v>
      </c>
      <c r="U14" s="26">
        <f t="shared" si="6"/>
        <v>5.8083424591179732E-2</v>
      </c>
      <c r="V14" s="26">
        <f t="shared" si="6"/>
        <v>5.1694247886149965E-2</v>
      </c>
      <c r="W14" s="26">
        <f t="shared" si="6"/>
        <v>333.09083124905044</v>
      </c>
      <c r="X14" s="26">
        <f t="shared" si="6"/>
        <v>2.127986595539268E-2</v>
      </c>
      <c r="Y14" s="26">
        <f t="shared" si="6"/>
        <v>0.16488478213630642</v>
      </c>
    </row>
    <row r="15" spans="1:25" s="3" customFormat="1">
      <c r="A15" s="17" t="s">
        <v>28</v>
      </c>
      <c r="B15" s="97"/>
      <c r="C15" s="22"/>
      <c r="D15" s="22"/>
      <c r="E15" s="23"/>
      <c r="F15" s="23"/>
      <c r="G15" s="23"/>
      <c r="H15" s="23"/>
      <c r="I15" s="23"/>
      <c r="J15" s="24"/>
      <c r="K15" s="25"/>
      <c r="L15" s="23"/>
      <c r="M15" s="23"/>
      <c r="N15" s="88"/>
      <c r="O15" s="88"/>
      <c r="P15" s="88"/>
      <c r="Q15" s="27">
        <f t="shared" ref="Q15:Y15" si="7">SUM(Q14:Q14)</f>
        <v>0.23584441477095966</v>
      </c>
      <c r="R15" s="27">
        <f t="shared" si="7"/>
        <v>0.73024386704305055</v>
      </c>
      <c r="S15" s="27">
        <f t="shared" si="7"/>
        <v>1.7356292856453308</v>
      </c>
      <c r="T15" s="27">
        <f t="shared" si="7"/>
        <v>3.7478434996208792E-3</v>
      </c>
      <c r="U15" s="27">
        <f t="shared" si="7"/>
        <v>5.8083424591179732E-2</v>
      </c>
      <c r="V15" s="27">
        <f t="shared" si="7"/>
        <v>5.1694247886149965E-2</v>
      </c>
      <c r="W15" s="27">
        <f t="shared" si="7"/>
        <v>333.09083124905044</v>
      </c>
      <c r="X15" s="27">
        <f t="shared" si="7"/>
        <v>2.127986595539268E-2</v>
      </c>
      <c r="Y15" s="27">
        <f t="shared" si="7"/>
        <v>0.16488478213630642</v>
      </c>
    </row>
    <row r="16" spans="1:25">
      <c r="A16" s="17" t="s">
        <v>499</v>
      </c>
      <c r="B16" s="549"/>
      <c r="C16" s="18"/>
      <c r="D16" s="22"/>
      <c r="E16" s="19"/>
      <c r="F16" s="19"/>
      <c r="G16" s="19"/>
      <c r="H16" s="19"/>
      <c r="I16" s="19"/>
      <c r="J16" s="19"/>
      <c r="K16" s="19"/>
      <c r="L16" s="19"/>
      <c r="M16" s="19"/>
      <c r="N16" s="30"/>
      <c r="O16" s="30"/>
      <c r="P16" s="364"/>
      <c r="Q16" s="20">
        <f>Q11+Q15</f>
        <v>0.9504215378625569</v>
      </c>
      <c r="R16" s="20">
        <f t="shared" ref="R16:Y16" si="8">R11+R15</f>
        <v>3.6844030780014445</v>
      </c>
      <c r="S16" s="20">
        <f t="shared" si="8"/>
        <v>6.1566857317844876</v>
      </c>
      <c r="T16" s="20">
        <f t="shared" si="8"/>
        <v>1.207090973569876E-2</v>
      </c>
      <c r="U16" s="20">
        <f t="shared" si="8"/>
        <v>0.30389171690722716</v>
      </c>
      <c r="V16" s="20">
        <f t="shared" si="8"/>
        <v>0.27046362804743218</v>
      </c>
      <c r="W16" s="20">
        <f t="shared" si="8"/>
        <v>1029.5443237340787</v>
      </c>
      <c r="X16" s="20">
        <f t="shared" si="8"/>
        <v>9.3819672145962416E-2</v>
      </c>
      <c r="Y16" s="20">
        <f t="shared" si="8"/>
        <v>0.58488514451952633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0"/>
  <sheetViews>
    <sheetView zoomScale="75" workbookViewId="0">
      <selection activeCell="A6" sqref="A6:A7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691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C9*(F9)*$B$125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C10*(F10)*$B$125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335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311</v>
      </c>
      <c r="B14" s="76" t="s">
        <v>105</v>
      </c>
      <c r="C14" s="374">
        <v>1</v>
      </c>
      <c r="D14" s="77"/>
      <c r="E14" s="77">
        <v>35</v>
      </c>
      <c r="F14" s="77">
        <v>80</v>
      </c>
      <c r="G14" s="106">
        <v>1.08263976628415</v>
      </c>
      <c r="H14" s="106">
        <v>4.9712718909585103</v>
      </c>
      <c r="I14" s="106">
        <v>0.26248012575016899</v>
      </c>
      <c r="J14" s="106">
        <v>1.0711818E-2</v>
      </c>
      <c r="K14" s="106">
        <v>7.1679901072141505E-2</v>
      </c>
      <c r="L14" s="576">
        <v>3.59998119015979E-2</v>
      </c>
      <c r="M14" s="576">
        <v>6.1739677411240299E-2</v>
      </c>
      <c r="N14" s="106">
        <v>6.5945508986370194E-2</v>
      </c>
      <c r="O14" s="576">
        <v>2.9999843251331498E-3</v>
      </c>
      <c r="P14" s="576">
        <v>5.5859708133979398E-2</v>
      </c>
      <c r="Q14" s="106">
        <v>1710.7260798814</v>
      </c>
      <c r="R14" s="47">
        <v>1.5235246282551899E-2</v>
      </c>
      <c r="S14" s="80">
        <f>0.000025616*Q14</f>
        <v>4.3821959262241944E-2</v>
      </c>
      <c r="T14" s="50">
        <f>C14*($F14*$G14)/453.59</f>
        <v>0.19094596728925242</v>
      </c>
      <c r="U14" s="50">
        <f>C14*($F14*$H14)/453.59</f>
        <v>0.87678685878586582</v>
      </c>
      <c r="V14" s="50">
        <f>C14*(($F14*$I14))/453.59</f>
        <v>4.6293811724274173E-2</v>
      </c>
      <c r="W14" s="50">
        <f>C14*($F14*$J14)/453.59</f>
        <v>1.8892511739676801E-3</v>
      </c>
      <c r="X14" s="50">
        <f>C14*(($F14*($K14+$L14+$M14)))/453.59</f>
        <v>2.9880621774726907E-2</v>
      </c>
      <c r="Y14" s="50">
        <f>C14*(($F14*($N14+$O14+$P14)))/453.59</f>
        <v>2.2011984646131133E-2</v>
      </c>
      <c r="Z14" s="50">
        <f>C14*(F14)*$B$125</f>
        <v>0</v>
      </c>
      <c r="AA14" s="50">
        <f>Z14*0.21</f>
        <v>0</v>
      </c>
      <c r="AB14" s="50">
        <f>C14*(($F14*($Q14)))/453.59</f>
        <v>301.72200972356535</v>
      </c>
      <c r="AC14" s="50">
        <f>C14*(($F14*($R14)))/453.59</f>
        <v>2.6870515280410772E-3</v>
      </c>
      <c r="AD14" s="50">
        <f>C14*(($F14*($S14)))/453.59</f>
        <v>7.7289110010788503E-3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0.19094596728925242</v>
      </c>
      <c r="U15" s="81">
        <f t="shared" si="1"/>
        <v>0.87678685878586582</v>
      </c>
      <c r="V15" s="81">
        <f t="shared" si="1"/>
        <v>4.6293811724274173E-2</v>
      </c>
      <c r="W15" s="81">
        <f t="shared" si="1"/>
        <v>1.8892511739676801E-3</v>
      </c>
      <c r="X15" s="81">
        <f t="shared" si="1"/>
        <v>2.9880621774726907E-2</v>
      </c>
      <c r="Y15" s="81">
        <f t="shared" si="1"/>
        <v>2.2011984646131133E-2</v>
      </c>
      <c r="Z15" s="81">
        <f t="shared" si="1"/>
        <v>0</v>
      </c>
      <c r="AA15" s="81">
        <f t="shared" si="1"/>
        <v>0</v>
      </c>
      <c r="AB15" s="81">
        <f t="shared" si="1"/>
        <v>301.72200972356535</v>
      </c>
      <c r="AC15" s="81">
        <f t="shared" si="1"/>
        <v>2.6870515280410772E-3</v>
      </c>
      <c r="AD15" s="81">
        <f t="shared" si="1"/>
        <v>7.7289110010788503E-3</v>
      </c>
    </row>
    <row r="16" spans="1:30">
      <c r="A16" s="75" t="s">
        <v>388</v>
      </c>
      <c r="B16" s="74"/>
      <c r="C16" s="112"/>
      <c r="D16" s="112"/>
      <c r="E16" s="74"/>
      <c r="F16" s="74"/>
      <c r="G16" s="547"/>
      <c r="H16" s="41"/>
      <c r="I16" s="41"/>
      <c r="J16" s="41"/>
      <c r="K16" s="544"/>
      <c r="L16" s="544"/>
      <c r="M16" s="544"/>
      <c r="N16" s="544"/>
      <c r="O16" s="544"/>
      <c r="P16" s="544"/>
      <c r="Q16" s="41"/>
      <c r="R16" s="544"/>
      <c r="S16" s="544"/>
      <c r="T16" s="81">
        <f>T11+T15</f>
        <v>0.48178321011214986</v>
      </c>
      <c r="U16" s="81">
        <f t="shared" ref="U16:AD16" si="2">U11+U15</f>
        <v>1.9379830954014503</v>
      </c>
      <c r="V16" s="81">
        <f t="shared" si="2"/>
        <v>0.11511829621149469</v>
      </c>
      <c r="W16" s="81">
        <f t="shared" si="2"/>
        <v>5.1683636885428378E-3</v>
      </c>
      <c r="X16" s="81">
        <f t="shared" si="2"/>
        <v>9.6130708419604929E-2</v>
      </c>
      <c r="Y16" s="81">
        <f t="shared" si="2"/>
        <v>6.8190068275239671E-2</v>
      </c>
      <c r="Z16" s="81">
        <f t="shared" si="2"/>
        <v>0</v>
      </c>
      <c r="AA16" s="81">
        <f t="shared" si="2"/>
        <v>0</v>
      </c>
      <c r="AB16" s="81">
        <f t="shared" si="2"/>
        <v>700.25812503738734</v>
      </c>
      <c r="AC16" s="81">
        <f t="shared" si="2"/>
        <v>1.0906351491826187E-2</v>
      </c>
      <c r="AD16" s="81">
        <f t="shared" si="2"/>
        <v>1.7937812130957714E-2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368" spans="1:1" ht="25.5">
      <c r="A368" s="82" t="s">
        <v>109</v>
      </c>
    </row>
    <row r="370" spans="1:2">
      <c r="A370" s="36" t="s">
        <v>81</v>
      </c>
    </row>
    <row r="371" spans="1:2">
      <c r="A371" s="36" t="s">
        <v>82</v>
      </c>
    </row>
    <row r="372" spans="1:2">
      <c r="A372" s="36" t="s">
        <v>83</v>
      </c>
    </row>
    <row r="373" spans="1:2">
      <c r="A373" s="37" t="s">
        <v>96</v>
      </c>
    </row>
    <row r="374" spans="1:2">
      <c r="A374" s="36" t="s">
        <v>85</v>
      </c>
    </row>
    <row r="375" spans="1:2">
      <c r="A375" s="36" t="s">
        <v>86</v>
      </c>
    </row>
    <row r="376" spans="1:2">
      <c r="A376" s="36" t="s">
        <v>87</v>
      </c>
    </row>
    <row r="377" spans="1:2">
      <c r="A377" s="36" t="s">
        <v>0</v>
      </c>
    </row>
    <row r="378" spans="1:2">
      <c r="A378" s="37" t="s">
        <v>97</v>
      </c>
      <c r="B378" s="36">
        <f>(0.016*(0.03/2)^0.65*(2/3)^1.5)-0.00047</f>
        <v>9.8123053326417428E-5</v>
      </c>
    </row>
    <row r="379" spans="1:2">
      <c r="A379" s="37" t="s">
        <v>98</v>
      </c>
      <c r="B379" s="36">
        <f>(0.016*(0.03/2)^0.65*(13/3)^1.5)-0.00047</f>
        <v>8.9448292388582783E-3</v>
      </c>
    </row>
    <row r="380" spans="1:2">
      <c r="A380" s="37" t="s">
        <v>99</v>
      </c>
      <c r="B38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692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335</v>
      </c>
      <c r="B5" s="45" t="s">
        <v>102</v>
      </c>
      <c r="C5" s="46">
        <v>1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idden="1">
      <c r="A9" s="55" t="s">
        <v>78</v>
      </c>
      <c r="B9" s="37"/>
      <c r="C9" s="37"/>
      <c r="AA9" s="57"/>
      <c r="AB9" s="57"/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54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/>
      <c r="B13" s="37"/>
      <c r="C13" s="37"/>
      <c r="AQ13" s="38"/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F14" s="36" t="e">
        <f t="shared" ref="AF14:AF22" si="2">AF$9*$AC15</f>
        <v>#REF!</v>
      </c>
      <c r="AG14" s="36" t="e">
        <f t="shared" ref="AG14:AG22" si="3">AG$9*$AC15</f>
        <v>#REF!</v>
      </c>
      <c r="AH14" s="36" t="e">
        <f t="shared" ref="AH14:AH22" si="4">AH$9*$AC15</f>
        <v>#REF!</v>
      </c>
      <c r="AI14" s="36" t="e">
        <f t="shared" ref="AI14:AI22" si="5">AI$9*$AC15</f>
        <v>#REF!</v>
      </c>
      <c r="AJ14" s="36" t="e">
        <f t="shared" ref="AJ14:AJ22" si="6">AJ$9*$AC15</f>
        <v>#REF!</v>
      </c>
      <c r="AK14" s="36" t="e">
        <f t="shared" ref="AK14:AK22" si="7">AK$9*$AC15</f>
        <v>#REF!</v>
      </c>
      <c r="AL14" s="36" t="e">
        <f t="shared" ref="AL14:AL22" si="8">AL$9*$AC15</f>
        <v>#REF!</v>
      </c>
      <c r="AM14" s="36" t="e">
        <f t="shared" ref="AM14:AM22" si="9">AM$9*$AC15</f>
        <v>#REF!</v>
      </c>
      <c r="AN14" s="36" t="e">
        <f t="shared" ref="AN14:AN22" si="10">AN$9*$AC15</f>
        <v>#REF!</v>
      </c>
      <c r="AO14" s="36" t="e">
        <f t="shared" ref="AO14:AO22" si="11">AO$9*$AC15</f>
        <v>#REF!</v>
      </c>
      <c r="AQ14" s="38"/>
      <c r="AR14" s="36" t="e">
        <f t="shared" ref="AR14:AR22" si="12">AR$9*$AC15</f>
        <v>#REF!</v>
      </c>
      <c r="AS14" s="36" t="e">
        <f t="shared" ref="AS14:AS22" si="13">AS$9*$AC15</f>
        <v>#REF!</v>
      </c>
      <c r="AT14" s="36" t="e">
        <f t="shared" ref="AT14:AT22" si="14">AT$9*$AC15</f>
        <v>#REF!</v>
      </c>
      <c r="AU14" s="36" t="e">
        <f t="shared" ref="AU14:AU22" si="15">AU$9*$AC15</f>
        <v>#REF!</v>
      </c>
      <c r="AV14" s="36" t="e">
        <f t="shared" ref="AV14:AV22" si="16">AV$9*$AC15</f>
        <v>#REF!</v>
      </c>
      <c r="AW14" s="36" t="e">
        <f t="shared" ref="AW14:AW22" si="17">AW$9*$AC15</f>
        <v>#REF!</v>
      </c>
      <c r="AX14" s="36" t="e">
        <f t="shared" ref="AX14:AX22" si="18">AX$9*$AC15</f>
        <v>#REF!</v>
      </c>
      <c r="AY14" s="36" t="e">
        <f t="shared" ref="AY14:AY22" si="19">AY$9*$AC15</f>
        <v>#REF!</v>
      </c>
      <c r="AZ14" s="36" t="e">
        <f t="shared" ref="AZ14:AZ22" si="20">AZ$9*$AC15</f>
        <v>#REF!</v>
      </c>
      <c r="BA14" s="36" t="e">
        <f t="shared" ref="BA14:BA22" si="21">BA$9*$AC15</f>
        <v>#REF!</v>
      </c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 t="shared" si="2"/>
        <v>#REF!</v>
      </c>
      <c r="AG15" s="36" t="e">
        <f t="shared" si="3"/>
        <v>#REF!</v>
      </c>
      <c r="AH15" s="36" t="e">
        <f t="shared" si="4"/>
        <v>#REF!</v>
      </c>
      <c r="AI15" s="36" t="e">
        <f t="shared" si="5"/>
        <v>#REF!</v>
      </c>
      <c r="AJ15" s="36" t="e">
        <f t="shared" si="6"/>
        <v>#REF!</v>
      </c>
      <c r="AK15" s="36" t="e">
        <f t="shared" si="7"/>
        <v>#REF!</v>
      </c>
      <c r="AL15" s="36" t="e">
        <f t="shared" si="8"/>
        <v>#REF!</v>
      </c>
      <c r="AM15" s="36" t="e">
        <f t="shared" si="9"/>
        <v>#REF!</v>
      </c>
      <c r="AN15" s="36" t="e">
        <f t="shared" si="10"/>
        <v>#REF!</v>
      </c>
      <c r="AO15" s="36" t="e">
        <f t="shared" si="11"/>
        <v>#REF!</v>
      </c>
      <c r="AQ15" s="38"/>
      <c r="AR15" s="36" t="e">
        <f t="shared" si="12"/>
        <v>#REF!</v>
      </c>
      <c r="AS15" s="36" t="e">
        <f t="shared" si="13"/>
        <v>#REF!</v>
      </c>
      <c r="AT15" s="36" t="e">
        <f t="shared" si="14"/>
        <v>#REF!</v>
      </c>
      <c r="AU15" s="36" t="e">
        <f t="shared" si="15"/>
        <v>#REF!</v>
      </c>
      <c r="AV15" s="36" t="e">
        <f t="shared" si="16"/>
        <v>#REF!</v>
      </c>
      <c r="AW15" s="36" t="e">
        <f t="shared" si="17"/>
        <v>#REF!</v>
      </c>
      <c r="AX15" s="36" t="e">
        <f t="shared" si="18"/>
        <v>#REF!</v>
      </c>
      <c r="AY15" s="36" t="e">
        <f t="shared" si="19"/>
        <v>#REF!</v>
      </c>
      <c r="AZ15" s="36" t="e">
        <f t="shared" si="20"/>
        <v>#REF!</v>
      </c>
      <c r="BA15" s="36" t="e">
        <f t="shared" si="21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si="2"/>
        <v>#REF!</v>
      </c>
      <c r="AG16" s="36" t="e">
        <f t="shared" si="3"/>
        <v>#REF!</v>
      </c>
      <c r="AH16" s="36" t="e">
        <f t="shared" si="4"/>
        <v>#REF!</v>
      </c>
      <c r="AI16" s="36" t="e">
        <f t="shared" si="5"/>
        <v>#REF!</v>
      </c>
      <c r="AJ16" s="36" t="e">
        <f t="shared" si="6"/>
        <v>#REF!</v>
      </c>
      <c r="AK16" s="36" t="e">
        <f t="shared" si="7"/>
        <v>#REF!</v>
      </c>
      <c r="AL16" s="36" t="e">
        <f t="shared" si="8"/>
        <v>#REF!</v>
      </c>
      <c r="AM16" s="36" t="e">
        <f t="shared" si="9"/>
        <v>#REF!</v>
      </c>
      <c r="AN16" s="36" t="e">
        <f t="shared" si="10"/>
        <v>#REF!</v>
      </c>
      <c r="AO16" s="36" t="e">
        <f t="shared" si="11"/>
        <v>#REF!</v>
      </c>
      <c r="AQ16" s="38"/>
      <c r="AR16" s="36" t="e">
        <f t="shared" si="12"/>
        <v>#REF!</v>
      </c>
      <c r="AS16" s="36" t="e">
        <f t="shared" si="13"/>
        <v>#REF!</v>
      </c>
      <c r="AT16" s="36" t="e">
        <f t="shared" si="14"/>
        <v>#REF!</v>
      </c>
      <c r="AU16" s="36" t="e">
        <f t="shared" si="15"/>
        <v>#REF!</v>
      </c>
      <c r="AV16" s="36" t="e">
        <f t="shared" si="16"/>
        <v>#REF!</v>
      </c>
      <c r="AW16" s="36" t="e">
        <f t="shared" si="17"/>
        <v>#REF!</v>
      </c>
      <c r="AX16" s="36" t="e">
        <f t="shared" si="18"/>
        <v>#REF!</v>
      </c>
      <c r="AY16" s="36" t="e">
        <f t="shared" si="19"/>
        <v>#REF!</v>
      </c>
      <c r="AZ16" s="36" t="e">
        <f t="shared" si="20"/>
        <v>#REF!</v>
      </c>
      <c r="BA16" s="36" t="e">
        <f t="shared" si="21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2"/>
        <v>#REF!</v>
      </c>
      <c r="AG17" s="36" t="e">
        <f t="shared" si="3"/>
        <v>#REF!</v>
      </c>
      <c r="AH17" s="36" t="e">
        <f t="shared" si="4"/>
        <v>#REF!</v>
      </c>
      <c r="AI17" s="36" t="e">
        <f t="shared" si="5"/>
        <v>#REF!</v>
      </c>
      <c r="AJ17" s="36" t="e">
        <f t="shared" si="6"/>
        <v>#REF!</v>
      </c>
      <c r="AK17" s="36" t="e">
        <f t="shared" si="7"/>
        <v>#REF!</v>
      </c>
      <c r="AL17" s="36" t="e">
        <f t="shared" si="8"/>
        <v>#REF!</v>
      </c>
      <c r="AM17" s="36" t="e">
        <f t="shared" si="9"/>
        <v>#REF!</v>
      </c>
      <c r="AN17" s="36" t="e">
        <f t="shared" si="10"/>
        <v>#REF!</v>
      </c>
      <c r="AO17" s="36" t="e">
        <f t="shared" si="11"/>
        <v>#REF!</v>
      </c>
      <c r="AQ17" s="38"/>
      <c r="AR17" s="36" t="e">
        <f t="shared" si="12"/>
        <v>#REF!</v>
      </c>
      <c r="AS17" s="36" t="e">
        <f t="shared" si="13"/>
        <v>#REF!</v>
      </c>
      <c r="AT17" s="36" t="e">
        <f t="shared" si="14"/>
        <v>#REF!</v>
      </c>
      <c r="AU17" s="36" t="e">
        <f t="shared" si="15"/>
        <v>#REF!</v>
      </c>
      <c r="AV17" s="36" t="e">
        <f t="shared" si="16"/>
        <v>#REF!</v>
      </c>
      <c r="AW17" s="36" t="e">
        <f t="shared" si="17"/>
        <v>#REF!</v>
      </c>
      <c r="AX17" s="36" t="e">
        <f t="shared" si="18"/>
        <v>#REF!</v>
      </c>
      <c r="AY17" s="36" t="e">
        <f t="shared" si="19"/>
        <v>#REF!</v>
      </c>
      <c r="AZ17" s="36" t="e">
        <f t="shared" si="20"/>
        <v>#REF!</v>
      </c>
      <c r="BA17" s="36" t="e">
        <f t="shared" si="21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2"/>
        <v>#REF!</v>
      </c>
      <c r="AG18" s="36" t="e">
        <f t="shared" si="3"/>
        <v>#REF!</v>
      </c>
      <c r="AH18" s="36" t="e">
        <f t="shared" si="4"/>
        <v>#REF!</v>
      </c>
      <c r="AI18" s="36" t="e">
        <f t="shared" si="5"/>
        <v>#REF!</v>
      </c>
      <c r="AJ18" s="36" t="e">
        <f t="shared" si="6"/>
        <v>#REF!</v>
      </c>
      <c r="AK18" s="36" t="e">
        <f t="shared" si="7"/>
        <v>#REF!</v>
      </c>
      <c r="AL18" s="36" t="e">
        <f t="shared" si="8"/>
        <v>#REF!</v>
      </c>
      <c r="AM18" s="36" t="e">
        <f t="shared" si="9"/>
        <v>#REF!</v>
      </c>
      <c r="AN18" s="36" t="e">
        <f t="shared" si="10"/>
        <v>#REF!</v>
      </c>
      <c r="AO18" s="36" t="e">
        <f t="shared" si="11"/>
        <v>#REF!</v>
      </c>
      <c r="AQ18" s="38"/>
      <c r="AR18" s="36" t="e">
        <f t="shared" si="12"/>
        <v>#REF!</v>
      </c>
      <c r="AS18" s="36" t="e">
        <f t="shared" si="13"/>
        <v>#REF!</v>
      </c>
      <c r="AT18" s="36" t="e">
        <f t="shared" si="14"/>
        <v>#REF!</v>
      </c>
      <c r="AU18" s="36" t="e">
        <f t="shared" si="15"/>
        <v>#REF!</v>
      </c>
      <c r="AV18" s="36" t="e">
        <f t="shared" si="16"/>
        <v>#REF!</v>
      </c>
      <c r="AW18" s="36" t="e">
        <f t="shared" si="17"/>
        <v>#REF!</v>
      </c>
      <c r="AX18" s="36" t="e">
        <f t="shared" si="18"/>
        <v>#REF!</v>
      </c>
      <c r="AY18" s="36" t="e">
        <f t="shared" si="19"/>
        <v>#REF!</v>
      </c>
      <c r="AZ18" s="36" t="e">
        <f t="shared" si="20"/>
        <v>#REF!</v>
      </c>
      <c r="BA18" s="36" t="e">
        <f t="shared" si="21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2"/>
        <v>#REF!</v>
      </c>
      <c r="AG19" s="36" t="e">
        <f t="shared" si="3"/>
        <v>#REF!</v>
      </c>
      <c r="AH19" s="36" t="e">
        <f t="shared" si="4"/>
        <v>#REF!</v>
      </c>
      <c r="AI19" s="36" t="e">
        <f t="shared" si="5"/>
        <v>#REF!</v>
      </c>
      <c r="AJ19" s="36" t="e">
        <f t="shared" si="6"/>
        <v>#REF!</v>
      </c>
      <c r="AK19" s="36" t="e">
        <f t="shared" si="7"/>
        <v>#REF!</v>
      </c>
      <c r="AL19" s="36" t="e">
        <f t="shared" si="8"/>
        <v>#REF!</v>
      </c>
      <c r="AM19" s="36" t="e">
        <f t="shared" si="9"/>
        <v>#REF!</v>
      </c>
      <c r="AN19" s="36" t="e">
        <f t="shared" si="10"/>
        <v>#REF!</v>
      </c>
      <c r="AO19" s="36" t="e">
        <f t="shared" si="11"/>
        <v>#REF!</v>
      </c>
      <c r="AQ19" s="38"/>
      <c r="AR19" s="36" t="e">
        <f t="shared" si="12"/>
        <v>#REF!</v>
      </c>
      <c r="AS19" s="36" t="e">
        <f t="shared" si="13"/>
        <v>#REF!</v>
      </c>
      <c r="AT19" s="36" t="e">
        <f t="shared" si="14"/>
        <v>#REF!</v>
      </c>
      <c r="AU19" s="36" t="e">
        <f t="shared" si="15"/>
        <v>#REF!</v>
      </c>
      <c r="AV19" s="36" t="e">
        <f t="shared" si="16"/>
        <v>#REF!</v>
      </c>
      <c r="AW19" s="36" t="e">
        <f t="shared" si="17"/>
        <v>#REF!</v>
      </c>
      <c r="AX19" s="36" t="e">
        <f t="shared" si="18"/>
        <v>#REF!</v>
      </c>
      <c r="AY19" s="36" t="e">
        <f t="shared" si="19"/>
        <v>#REF!</v>
      </c>
      <c r="AZ19" s="36" t="e">
        <f t="shared" si="20"/>
        <v>#REF!</v>
      </c>
      <c r="BA19" s="36" t="e">
        <f t="shared" si="21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2"/>
        <v>#REF!</v>
      </c>
      <c r="AG20" s="36" t="e">
        <f t="shared" si="3"/>
        <v>#REF!</v>
      </c>
      <c r="AH20" s="36" t="e">
        <f t="shared" si="4"/>
        <v>#REF!</v>
      </c>
      <c r="AI20" s="36" t="e">
        <f t="shared" si="5"/>
        <v>#REF!</v>
      </c>
      <c r="AJ20" s="36" t="e">
        <f t="shared" si="6"/>
        <v>#REF!</v>
      </c>
      <c r="AK20" s="36" t="e">
        <f t="shared" si="7"/>
        <v>#REF!</v>
      </c>
      <c r="AL20" s="36" t="e">
        <f t="shared" si="8"/>
        <v>#REF!</v>
      </c>
      <c r="AM20" s="36" t="e">
        <f t="shared" si="9"/>
        <v>#REF!</v>
      </c>
      <c r="AN20" s="36" t="e">
        <f t="shared" si="10"/>
        <v>#REF!</v>
      </c>
      <c r="AO20" s="36" t="e">
        <f t="shared" si="11"/>
        <v>#REF!</v>
      </c>
      <c r="AQ20" s="38"/>
      <c r="AR20" s="36" t="e">
        <f t="shared" si="12"/>
        <v>#REF!</v>
      </c>
      <c r="AS20" s="36" t="e">
        <f t="shared" si="13"/>
        <v>#REF!</v>
      </c>
      <c r="AT20" s="36" t="e">
        <f t="shared" si="14"/>
        <v>#REF!</v>
      </c>
      <c r="AU20" s="36" t="e">
        <f t="shared" si="15"/>
        <v>#REF!</v>
      </c>
      <c r="AV20" s="36" t="e">
        <f t="shared" si="16"/>
        <v>#REF!</v>
      </c>
      <c r="AW20" s="36" t="e">
        <f t="shared" si="17"/>
        <v>#REF!</v>
      </c>
      <c r="AX20" s="36" t="e">
        <f t="shared" si="18"/>
        <v>#REF!</v>
      </c>
      <c r="AY20" s="36" t="e">
        <f t="shared" si="19"/>
        <v>#REF!</v>
      </c>
      <c r="AZ20" s="36" t="e">
        <f t="shared" si="20"/>
        <v>#REF!</v>
      </c>
      <c r="BA20" s="36" t="e">
        <f t="shared" si="21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2"/>
        <v>#REF!</v>
      </c>
      <c r="AG21" s="36" t="e">
        <f t="shared" si="3"/>
        <v>#REF!</v>
      </c>
      <c r="AH21" s="36" t="e">
        <f t="shared" si="4"/>
        <v>#REF!</v>
      </c>
      <c r="AI21" s="36" t="e">
        <f t="shared" si="5"/>
        <v>#REF!</v>
      </c>
      <c r="AJ21" s="36" t="e">
        <f t="shared" si="6"/>
        <v>#REF!</v>
      </c>
      <c r="AK21" s="36" t="e">
        <f t="shared" si="7"/>
        <v>#REF!</v>
      </c>
      <c r="AL21" s="36" t="e">
        <f t="shared" si="8"/>
        <v>#REF!</v>
      </c>
      <c r="AM21" s="36" t="e">
        <f t="shared" si="9"/>
        <v>#REF!</v>
      </c>
      <c r="AN21" s="36" t="e">
        <f t="shared" si="10"/>
        <v>#REF!</v>
      </c>
      <c r="AO21" s="36" t="e">
        <f t="shared" si="11"/>
        <v>#REF!</v>
      </c>
      <c r="AQ21" s="38"/>
      <c r="AR21" s="36" t="e">
        <f t="shared" si="12"/>
        <v>#REF!</v>
      </c>
      <c r="AS21" s="36" t="e">
        <f t="shared" si="13"/>
        <v>#REF!</v>
      </c>
      <c r="AT21" s="36" t="e">
        <f t="shared" si="14"/>
        <v>#REF!</v>
      </c>
      <c r="AU21" s="36" t="e">
        <f t="shared" si="15"/>
        <v>#REF!</v>
      </c>
      <c r="AV21" s="36" t="e">
        <f t="shared" si="16"/>
        <v>#REF!</v>
      </c>
      <c r="AW21" s="36" t="e">
        <f t="shared" si="17"/>
        <v>#REF!</v>
      </c>
      <c r="AX21" s="36" t="e">
        <f t="shared" si="18"/>
        <v>#REF!</v>
      </c>
      <c r="AY21" s="36" t="e">
        <f t="shared" si="19"/>
        <v>#REF!</v>
      </c>
      <c r="AZ21" s="36" t="e">
        <f t="shared" si="20"/>
        <v>#REF!</v>
      </c>
      <c r="BA21" s="36" t="e">
        <f t="shared" si="21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2"/>
        <v>#REF!</v>
      </c>
      <c r="AG22" s="36" t="e">
        <f t="shared" si="3"/>
        <v>#REF!</v>
      </c>
      <c r="AH22" s="36" t="e">
        <f t="shared" si="4"/>
        <v>#REF!</v>
      </c>
      <c r="AI22" s="36" t="e">
        <f t="shared" si="5"/>
        <v>#REF!</v>
      </c>
      <c r="AJ22" s="36" t="e">
        <f t="shared" si="6"/>
        <v>#REF!</v>
      </c>
      <c r="AK22" s="36" t="e">
        <f t="shared" si="7"/>
        <v>#REF!</v>
      </c>
      <c r="AL22" s="36" t="e">
        <f t="shared" si="8"/>
        <v>#REF!</v>
      </c>
      <c r="AM22" s="36" t="e">
        <f t="shared" si="9"/>
        <v>#REF!</v>
      </c>
      <c r="AN22" s="36" t="e">
        <f t="shared" si="10"/>
        <v>#REF!</v>
      </c>
      <c r="AO22" s="36" t="e">
        <f t="shared" si="11"/>
        <v>#REF!</v>
      </c>
      <c r="AQ22" s="38"/>
      <c r="AR22" s="36" t="e">
        <f t="shared" si="12"/>
        <v>#REF!</v>
      </c>
      <c r="AS22" s="36" t="e">
        <f t="shared" si="13"/>
        <v>#REF!</v>
      </c>
      <c r="AT22" s="36" t="e">
        <f t="shared" si="14"/>
        <v>#REF!</v>
      </c>
      <c r="AU22" s="36" t="e">
        <f t="shared" si="15"/>
        <v>#REF!</v>
      </c>
      <c r="AV22" s="36" t="e">
        <f t="shared" si="16"/>
        <v>#REF!</v>
      </c>
      <c r="AW22" s="36" t="e">
        <f t="shared" si="17"/>
        <v>#REF!</v>
      </c>
      <c r="AX22" s="36" t="e">
        <f t="shared" si="18"/>
        <v>#REF!</v>
      </c>
      <c r="AY22" s="36" t="e">
        <f t="shared" si="19"/>
        <v>#REF!</v>
      </c>
      <c r="AZ22" s="36" t="e">
        <f t="shared" si="20"/>
        <v>#REF!</v>
      </c>
      <c r="BA22" s="36" t="e">
        <f t="shared" si="21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Q23" s="38"/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F25" s="36" t="e">
        <f t="shared" ref="AF25:AF33" si="22">AF$9*$AC26</f>
        <v>#REF!</v>
      </c>
      <c r="AG25" s="36" t="e">
        <f t="shared" ref="AG25:AG33" si="23">AG$9*$AC26</f>
        <v>#REF!</v>
      </c>
      <c r="AH25" s="36" t="e">
        <f t="shared" ref="AH25:AH33" si="24">AH$9*$AC26</f>
        <v>#REF!</v>
      </c>
      <c r="AI25" s="36" t="e">
        <f t="shared" ref="AI25:AI33" si="25">AI$9*$AC26</f>
        <v>#REF!</v>
      </c>
      <c r="AJ25" s="36" t="e">
        <f t="shared" ref="AJ25:AJ33" si="26">AJ$9*$AC26</f>
        <v>#REF!</v>
      </c>
      <c r="AK25" s="36" t="e">
        <f t="shared" ref="AK25:AK33" si="27">AK$9*$AC26</f>
        <v>#REF!</v>
      </c>
      <c r="AL25" s="36" t="e">
        <f t="shared" ref="AL25:AL33" si="28">AL$9*$AC26</f>
        <v>#REF!</v>
      </c>
      <c r="AM25" s="36" t="e">
        <f t="shared" ref="AM25:AM33" si="29">AM$9*$AC26</f>
        <v>#REF!</v>
      </c>
      <c r="AN25" s="36" t="e">
        <f t="shared" ref="AN25:AN33" si="30">AN$9*$AC26</f>
        <v>#REF!</v>
      </c>
      <c r="AO25" s="36" t="e">
        <f t="shared" ref="AO25:AO33" si="31">AO$9*$AC26</f>
        <v>#REF!</v>
      </c>
      <c r="AQ25" s="38"/>
      <c r="AR25" s="36" t="e">
        <f t="shared" ref="AR25:AR33" si="32">AR$9*$AC26</f>
        <v>#REF!</v>
      </c>
      <c r="AS25" s="36" t="e">
        <f t="shared" ref="AS25:AS33" si="33">AS$9*$AC26</f>
        <v>#REF!</v>
      </c>
      <c r="AT25" s="36" t="e">
        <f t="shared" ref="AT25:AT33" si="34">AT$9*$AC26</f>
        <v>#REF!</v>
      </c>
      <c r="AU25" s="36" t="e">
        <f t="shared" ref="AU25:AU33" si="35">AU$9*$AC26</f>
        <v>#REF!</v>
      </c>
      <c r="AV25" s="36" t="e">
        <f t="shared" ref="AV25:AV33" si="36">AV$9*$AC26</f>
        <v>#REF!</v>
      </c>
      <c r="AW25" s="36" t="e">
        <f t="shared" ref="AW25:AW33" si="37">AW$9*$AC26</f>
        <v>#REF!</v>
      </c>
      <c r="AX25" s="36" t="e">
        <f t="shared" ref="AX25:AX33" si="38">AX$9*$AC26</f>
        <v>#REF!</v>
      </c>
      <c r="AY25" s="36" t="e">
        <f t="shared" ref="AY25:AY33" si="39">AY$9*$AC26</f>
        <v>#REF!</v>
      </c>
      <c r="AZ25" s="36" t="e">
        <f t="shared" ref="AZ25:AZ33" si="40">AZ$9*$AC26</f>
        <v>#REF!</v>
      </c>
      <c r="BA25" s="36" t="e">
        <f t="shared" ref="BA25:BA33" si="41">BA$9*$AC26</f>
        <v>#REF!</v>
      </c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si="22"/>
        <v>#REF!</v>
      </c>
      <c r="AG26" s="36" t="e">
        <f t="shared" si="23"/>
        <v>#REF!</v>
      </c>
      <c r="AH26" s="36" t="e">
        <f t="shared" si="24"/>
        <v>#REF!</v>
      </c>
      <c r="AI26" s="36" t="e">
        <f t="shared" si="25"/>
        <v>#REF!</v>
      </c>
      <c r="AJ26" s="36" t="e">
        <f t="shared" si="26"/>
        <v>#REF!</v>
      </c>
      <c r="AK26" s="36" t="e">
        <f t="shared" si="27"/>
        <v>#REF!</v>
      </c>
      <c r="AL26" s="36" t="e">
        <f t="shared" si="28"/>
        <v>#REF!</v>
      </c>
      <c r="AM26" s="36" t="e">
        <f t="shared" si="29"/>
        <v>#REF!</v>
      </c>
      <c r="AN26" s="36" t="e">
        <f t="shared" si="30"/>
        <v>#REF!</v>
      </c>
      <c r="AO26" s="36" t="e">
        <f t="shared" si="31"/>
        <v>#REF!</v>
      </c>
      <c r="AQ26" s="38"/>
      <c r="AR26" s="36" t="e">
        <f t="shared" si="32"/>
        <v>#REF!</v>
      </c>
      <c r="AS26" s="36" t="e">
        <f t="shared" si="33"/>
        <v>#REF!</v>
      </c>
      <c r="AT26" s="36" t="e">
        <f t="shared" si="34"/>
        <v>#REF!</v>
      </c>
      <c r="AU26" s="36" t="e">
        <f t="shared" si="35"/>
        <v>#REF!</v>
      </c>
      <c r="AV26" s="36" t="e">
        <f t="shared" si="36"/>
        <v>#REF!</v>
      </c>
      <c r="AW26" s="36" t="e">
        <f t="shared" si="37"/>
        <v>#REF!</v>
      </c>
      <c r="AX26" s="36" t="e">
        <f t="shared" si="38"/>
        <v>#REF!</v>
      </c>
      <c r="AY26" s="36" t="e">
        <f t="shared" si="39"/>
        <v>#REF!</v>
      </c>
      <c r="AZ26" s="36" t="e">
        <f t="shared" si="40"/>
        <v>#REF!</v>
      </c>
      <c r="BA26" s="36" t="e">
        <f t="shared" si="41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22"/>
        <v>#REF!</v>
      </c>
      <c r="AG27" s="36" t="e">
        <f t="shared" si="23"/>
        <v>#REF!</v>
      </c>
      <c r="AH27" s="36" t="e">
        <f t="shared" si="24"/>
        <v>#REF!</v>
      </c>
      <c r="AI27" s="36" t="e">
        <f t="shared" si="25"/>
        <v>#REF!</v>
      </c>
      <c r="AJ27" s="36" t="e">
        <f t="shared" si="26"/>
        <v>#REF!</v>
      </c>
      <c r="AK27" s="36" t="e">
        <f t="shared" si="27"/>
        <v>#REF!</v>
      </c>
      <c r="AL27" s="36" t="e">
        <f t="shared" si="28"/>
        <v>#REF!</v>
      </c>
      <c r="AM27" s="36" t="e">
        <f t="shared" si="29"/>
        <v>#REF!</v>
      </c>
      <c r="AN27" s="36" t="e">
        <f t="shared" si="30"/>
        <v>#REF!</v>
      </c>
      <c r="AO27" s="36" t="e">
        <f t="shared" si="31"/>
        <v>#REF!</v>
      </c>
      <c r="AQ27" s="38"/>
      <c r="AR27" s="36" t="e">
        <f t="shared" si="32"/>
        <v>#REF!</v>
      </c>
      <c r="AS27" s="36" t="e">
        <f t="shared" si="33"/>
        <v>#REF!</v>
      </c>
      <c r="AT27" s="36" t="e">
        <f t="shared" si="34"/>
        <v>#REF!</v>
      </c>
      <c r="AU27" s="36" t="e">
        <f t="shared" si="35"/>
        <v>#REF!</v>
      </c>
      <c r="AV27" s="36" t="e">
        <f t="shared" si="36"/>
        <v>#REF!</v>
      </c>
      <c r="AW27" s="36" t="e">
        <f t="shared" si="37"/>
        <v>#REF!</v>
      </c>
      <c r="AX27" s="36" t="e">
        <f t="shared" si="38"/>
        <v>#REF!</v>
      </c>
      <c r="AY27" s="36" t="e">
        <f t="shared" si="39"/>
        <v>#REF!</v>
      </c>
      <c r="AZ27" s="36" t="e">
        <f t="shared" si="40"/>
        <v>#REF!</v>
      </c>
      <c r="BA27" s="36" t="e">
        <f t="shared" si="41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22"/>
        <v>#REF!</v>
      </c>
      <c r="AG28" s="36" t="e">
        <f t="shared" si="23"/>
        <v>#REF!</v>
      </c>
      <c r="AH28" s="36" t="e">
        <f t="shared" si="24"/>
        <v>#REF!</v>
      </c>
      <c r="AI28" s="36" t="e">
        <f t="shared" si="25"/>
        <v>#REF!</v>
      </c>
      <c r="AJ28" s="36" t="e">
        <f t="shared" si="26"/>
        <v>#REF!</v>
      </c>
      <c r="AK28" s="36" t="e">
        <f t="shared" si="27"/>
        <v>#REF!</v>
      </c>
      <c r="AL28" s="36" t="e">
        <f t="shared" si="28"/>
        <v>#REF!</v>
      </c>
      <c r="AM28" s="36" t="e">
        <f t="shared" si="29"/>
        <v>#REF!</v>
      </c>
      <c r="AN28" s="36" t="e">
        <f t="shared" si="30"/>
        <v>#REF!</v>
      </c>
      <c r="AO28" s="36" t="e">
        <f t="shared" si="31"/>
        <v>#REF!</v>
      </c>
      <c r="AQ28" s="38"/>
      <c r="AR28" s="36" t="e">
        <f t="shared" si="32"/>
        <v>#REF!</v>
      </c>
      <c r="AS28" s="36" t="e">
        <f t="shared" si="33"/>
        <v>#REF!</v>
      </c>
      <c r="AT28" s="36" t="e">
        <f t="shared" si="34"/>
        <v>#REF!</v>
      </c>
      <c r="AU28" s="36" t="e">
        <f t="shared" si="35"/>
        <v>#REF!</v>
      </c>
      <c r="AV28" s="36" t="e">
        <f t="shared" si="36"/>
        <v>#REF!</v>
      </c>
      <c r="AW28" s="36" t="e">
        <f t="shared" si="37"/>
        <v>#REF!</v>
      </c>
      <c r="AX28" s="36" t="e">
        <f t="shared" si="38"/>
        <v>#REF!</v>
      </c>
      <c r="AY28" s="36" t="e">
        <f t="shared" si="39"/>
        <v>#REF!</v>
      </c>
      <c r="AZ28" s="36" t="e">
        <f t="shared" si="40"/>
        <v>#REF!</v>
      </c>
      <c r="BA28" s="36" t="e">
        <f t="shared" si="41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22"/>
        <v>#REF!</v>
      </c>
      <c r="AG29" s="36" t="e">
        <f t="shared" si="23"/>
        <v>#REF!</v>
      </c>
      <c r="AH29" s="36" t="e">
        <f t="shared" si="24"/>
        <v>#REF!</v>
      </c>
      <c r="AI29" s="36" t="e">
        <f t="shared" si="25"/>
        <v>#REF!</v>
      </c>
      <c r="AJ29" s="36" t="e">
        <f t="shared" si="26"/>
        <v>#REF!</v>
      </c>
      <c r="AK29" s="36" t="e">
        <f t="shared" si="27"/>
        <v>#REF!</v>
      </c>
      <c r="AL29" s="36" t="e">
        <f t="shared" si="28"/>
        <v>#REF!</v>
      </c>
      <c r="AM29" s="36" t="e">
        <f t="shared" si="29"/>
        <v>#REF!</v>
      </c>
      <c r="AN29" s="36" t="e">
        <f t="shared" si="30"/>
        <v>#REF!</v>
      </c>
      <c r="AO29" s="36" t="e">
        <f t="shared" si="31"/>
        <v>#REF!</v>
      </c>
      <c r="AQ29" s="38"/>
      <c r="AR29" s="36" t="e">
        <f t="shared" si="32"/>
        <v>#REF!</v>
      </c>
      <c r="AS29" s="36" t="e">
        <f t="shared" si="33"/>
        <v>#REF!</v>
      </c>
      <c r="AT29" s="36" t="e">
        <f t="shared" si="34"/>
        <v>#REF!</v>
      </c>
      <c r="AU29" s="36" t="e">
        <f t="shared" si="35"/>
        <v>#REF!</v>
      </c>
      <c r="AV29" s="36" t="e">
        <f t="shared" si="36"/>
        <v>#REF!</v>
      </c>
      <c r="AW29" s="36" t="e">
        <f t="shared" si="37"/>
        <v>#REF!</v>
      </c>
      <c r="AX29" s="36" t="e">
        <f t="shared" si="38"/>
        <v>#REF!</v>
      </c>
      <c r="AY29" s="36" t="e">
        <f t="shared" si="39"/>
        <v>#REF!</v>
      </c>
      <c r="AZ29" s="36" t="e">
        <f t="shared" si="40"/>
        <v>#REF!</v>
      </c>
      <c r="BA29" s="36" t="e">
        <f t="shared" si="41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22"/>
        <v>#REF!</v>
      </c>
      <c r="AG30" s="36" t="e">
        <f t="shared" si="23"/>
        <v>#REF!</v>
      </c>
      <c r="AH30" s="36" t="e">
        <f t="shared" si="24"/>
        <v>#REF!</v>
      </c>
      <c r="AI30" s="36" t="e">
        <f t="shared" si="25"/>
        <v>#REF!</v>
      </c>
      <c r="AJ30" s="36" t="e">
        <f t="shared" si="26"/>
        <v>#REF!</v>
      </c>
      <c r="AK30" s="36" t="e">
        <f t="shared" si="27"/>
        <v>#REF!</v>
      </c>
      <c r="AL30" s="36" t="e">
        <f t="shared" si="28"/>
        <v>#REF!</v>
      </c>
      <c r="AM30" s="36" t="e">
        <f t="shared" si="29"/>
        <v>#REF!</v>
      </c>
      <c r="AN30" s="36" t="e">
        <f t="shared" si="30"/>
        <v>#REF!</v>
      </c>
      <c r="AO30" s="36" t="e">
        <f t="shared" si="31"/>
        <v>#REF!</v>
      </c>
      <c r="AQ30" s="38"/>
      <c r="AR30" s="36" t="e">
        <f t="shared" si="32"/>
        <v>#REF!</v>
      </c>
      <c r="AS30" s="36" t="e">
        <f t="shared" si="33"/>
        <v>#REF!</v>
      </c>
      <c r="AT30" s="36" t="e">
        <f t="shared" si="34"/>
        <v>#REF!</v>
      </c>
      <c r="AU30" s="36" t="e">
        <f t="shared" si="35"/>
        <v>#REF!</v>
      </c>
      <c r="AV30" s="36" t="e">
        <f t="shared" si="36"/>
        <v>#REF!</v>
      </c>
      <c r="AW30" s="36" t="e">
        <f t="shared" si="37"/>
        <v>#REF!</v>
      </c>
      <c r="AX30" s="36" t="e">
        <f t="shared" si="38"/>
        <v>#REF!</v>
      </c>
      <c r="AY30" s="36" t="e">
        <f t="shared" si="39"/>
        <v>#REF!</v>
      </c>
      <c r="AZ30" s="36" t="e">
        <f t="shared" si="40"/>
        <v>#REF!</v>
      </c>
      <c r="BA30" s="36" t="e">
        <f t="shared" si="41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22"/>
        <v>#REF!</v>
      </c>
      <c r="AG31" s="36" t="e">
        <f t="shared" si="23"/>
        <v>#REF!</v>
      </c>
      <c r="AH31" s="36" t="e">
        <f t="shared" si="24"/>
        <v>#REF!</v>
      </c>
      <c r="AI31" s="36" t="e">
        <f t="shared" si="25"/>
        <v>#REF!</v>
      </c>
      <c r="AJ31" s="36" t="e">
        <f t="shared" si="26"/>
        <v>#REF!</v>
      </c>
      <c r="AK31" s="36" t="e">
        <f t="shared" si="27"/>
        <v>#REF!</v>
      </c>
      <c r="AL31" s="36" t="e">
        <f t="shared" si="28"/>
        <v>#REF!</v>
      </c>
      <c r="AM31" s="36" t="e">
        <f t="shared" si="29"/>
        <v>#REF!</v>
      </c>
      <c r="AN31" s="36" t="e">
        <f t="shared" si="30"/>
        <v>#REF!</v>
      </c>
      <c r="AO31" s="36" t="e">
        <f t="shared" si="31"/>
        <v>#REF!</v>
      </c>
      <c r="AQ31" s="38"/>
      <c r="AR31" s="36" t="e">
        <f t="shared" si="32"/>
        <v>#REF!</v>
      </c>
      <c r="AS31" s="36" t="e">
        <f t="shared" si="33"/>
        <v>#REF!</v>
      </c>
      <c r="AT31" s="36" t="e">
        <f t="shared" si="34"/>
        <v>#REF!</v>
      </c>
      <c r="AU31" s="36" t="e">
        <f t="shared" si="35"/>
        <v>#REF!</v>
      </c>
      <c r="AV31" s="36" t="e">
        <f t="shared" si="36"/>
        <v>#REF!</v>
      </c>
      <c r="AW31" s="36" t="e">
        <f t="shared" si="37"/>
        <v>#REF!</v>
      </c>
      <c r="AX31" s="36" t="e">
        <f t="shared" si="38"/>
        <v>#REF!</v>
      </c>
      <c r="AY31" s="36" t="e">
        <f t="shared" si="39"/>
        <v>#REF!</v>
      </c>
      <c r="AZ31" s="36" t="e">
        <f t="shared" si="40"/>
        <v>#REF!</v>
      </c>
      <c r="BA31" s="36" t="e">
        <f t="shared" si="41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22"/>
        <v>#REF!</v>
      </c>
      <c r="AG32" s="36" t="e">
        <f t="shared" si="23"/>
        <v>#REF!</v>
      </c>
      <c r="AH32" s="36" t="e">
        <f t="shared" si="24"/>
        <v>#REF!</v>
      </c>
      <c r="AI32" s="36" t="e">
        <f t="shared" si="25"/>
        <v>#REF!</v>
      </c>
      <c r="AJ32" s="36" t="e">
        <f t="shared" si="26"/>
        <v>#REF!</v>
      </c>
      <c r="AK32" s="36" t="e">
        <f t="shared" si="27"/>
        <v>#REF!</v>
      </c>
      <c r="AL32" s="36" t="e">
        <f t="shared" si="28"/>
        <v>#REF!</v>
      </c>
      <c r="AM32" s="36" t="e">
        <f t="shared" si="29"/>
        <v>#REF!</v>
      </c>
      <c r="AN32" s="36" t="e">
        <f t="shared" si="30"/>
        <v>#REF!</v>
      </c>
      <c r="AO32" s="36" t="e">
        <f t="shared" si="31"/>
        <v>#REF!</v>
      </c>
      <c r="AQ32" s="38"/>
      <c r="AR32" s="36" t="e">
        <f t="shared" si="32"/>
        <v>#REF!</v>
      </c>
      <c r="AS32" s="36" t="e">
        <f t="shared" si="33"/>
        <v>#REF!</v>
      </c>
      <c r="AT32" s="36" t="e">
        <f t="shared" si="34"/>
        <v>#REF!</v>
      </c>
      <c r="AU32" s="36" t="e">
        <f t="shared" si="35"/>
        <v>#REF!</v>
      </c>
      <c r="AV32" s="36" t="e">
        <f t="shared" si="36"/>
        <v>#REF!</v>
      </c>
      <c r="AW32" s="36" t="e">
        <f t="shared" si="37"/>
        <v>#REF!</v>
      </c>
      <c r="AX32" s="36" t="e">
        <f t="shared" si="38"/>
        <v>#REF!</v>
      </c>
      <c r="AY32" s="36" t="e">
        <f t="shared" si="39"/>
        <v>#REF!</v>
      </c>
      <c r="AZ32" s="36" t="e">
        <f t="shared" si="40"/>
        <v>#REF!</v>
      </c>
      <c r="BA32" s="36" t="e">
        <f t="shared" si="41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22"/>
        <v>#REF!</v>
      </c>
      <c r="AG33" s="36" t="e">
        <f t="shared" si="23"/>
        <v>#REF!</v>
      </c>
      <c r="AH33" s="36" t="e">
        <f t="shared" si="24"/>
        <v>#REF!</v>
      </c>
      <c r="AI33" s="36" t="e">
        <f t="shared" si="25"/>
        <v>#REF!</v>
      </c>
      <c r="AJ33" s="36" t="e">
        <f t="shared" si="26"/>
        <v>#REF!</v>
      </c>
      <c r="AK33" s="36" t="e">
        <f t="shared" si="27"/>
        <v>#REF!</v>
      </c>
      <c r="AL33" s="36" t="e">
        <f t="shared" si="28"/>
        <v>#REF!</v>
      </c>
      <c r="AM33" s="36" t="e">
        <f t="shared" si="29"/>
        <v>#REF!</v>
      </c>
      <c r="AN33" s="36" t="e">
        <f t="shared" si="30"/>
        <v>#REF!</v>
      </c>
      <c r="AO33" s="36" t="e">
        <f t="shared" si="31"/>
        <v>#REF!</v>
      </c>
      <c r="AQ33" s="38"/>
      <c r="AR33" s="36" t="e">
        <f t="shared" si="32"/>
        <v>#REF!</v>
      </c>
      <c r="AS33" s="36" t="e">
        <f t="shared" si="33"/>
        <v>#REF!</v>
      </c>
      <c r="AT33" s="36" t="e">
        <f t="shared" si="34"/>
        <v>#REF!</v>
      </c>
      <c r="AU33" s="36" t="e">
        <f t="shared" si="35"/>
        <v>#REF!</v>
      </c>
      <c r="AV33" s="36" t="e">
        <f t="shared" si="36"/>
        <v>#REF!</v>
      </c>
      <c r="AW33" s="36" t="e">
        <f t="shared" si="37"/>
        <v>#REF!</v>
      </c>
      <c r="AX33" s="36" t="e">
        <f t="shared" si="38"/>
        <v>#REF!</v>
      </c>
      <c r="AY33" s="36" t="e">
        <f t="shared" si="39"/>
        <v>#REF!</v>
      </c>
      <c r="AZ33" s="36" t="e">
        <f t="shared" si="40"/>
        <v>#REF!</v>
      </c>
      <c r="BA33" s="36" t="e">
        <f t="shared" si="41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Q34" s="38"/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F36" s="36" t="e">
        <f t="shared" ref="AF36:AF44" si="42">AF$9*$AC37</f>
        <v>#REF!</v>
      </c>
      <c r="AG36" s="36" t="e">
        <f t="shared" ref="AG36:AG44" si="43">AG$9*$AC37</f>
        <v>#REF!</v>
      </c>
      <c r="AH36" s="36" t="e">
        <f t="shared" ref="AH36:AH44" si="44">AH$9*$AC37</f>
        <v>#REF!</v>
      </c>
      <c r="AI36" s="36" t="e">
        <f t="shared" ref="AI36:AI44" si="45">AI$9*$AC37</f>
        <v>#REF!</v>
      </c>
      <c r="AJ36" s="36" t="e">
        <f t="shared" ref="AJ36:AJ44" si="46">AJ$9*$AC37</f>
        <v>#REF!</v>
      </c>
      <c r="AK36" s="36" t="e">
        <f t="shared" ref="AK36:AK44" si="47">AK$9*$AC37</f>
        <v>#REF!</v>
      </c>
      <c r="AL36" s="36" t="e">
        <f t="shared" ref="AL36:AL44" si="48">AL$9*$AC37</f>
        <v>#REF!</v>
      </c>
      <c r="AM36" s="36" t="e">
        <f t="shared" ref="AM36:AM44" si="49">AM$9*$AC37</f>
        <v>#REF!</v>
      </c>
      <c r="AN36" s="36" t="e">
        <f t="shared" ref="AN36:AN44" si="50">AN$9*$AC37</f>
        <v>#REF!</v>
      </c>
      <c r="AO36" s="36" t="e">
        <f t="shared" ref="AO36:AO44" si="51">AO$9*$AC37</f>
        <v>#REF!</v>
      </c>
      <c r="AQ36" s="38"/>
      <c r="AR36" s="36" t="e">
        <f t="shared" ref="AR36:AR44" si="52">AR$9*$AC37</f>
        <v>#REF!</v>
      </c>
      <c r="AS36" s="36" t="e">
        <f t="shared" ref="AS36:AS44" si="53">AS$9*$AC37</f>
        <v>#REF!</v>
      </c>
      <c r="AT36" s="36" t="e">
        <f t="shared" ref="AT36:AT44" si="54">AT$9*$AC37</f>
        <v>#REF!</v>
      </c>
      <c r="AU36" s="36" t="e">
        <f t="shared" ref="AU36:AU44" si="55">AU$9*$AC37</f>
        <v>#REF!</v>
      </c>
      <c r="AV36" s="36" t="e">
        <f t="shared" ref="AV36:AV44" si="56">AV$9*$AC37</f>
        <v>#REF!</v>
      </c>
      <c r="AW36" s="36" t="e">
        <f t="shared" ref="AW36:AW44" si="57">AW$9*$AC37</f>
        <v>#REF!</v>
      </c>
      <c r="AX36" s="36" t="e">
        <f t="shared" ref="AX36:AX44" si="58">AX$9*$AC37</f>
        <v>#REF!</v>
      </c>
      <c r="AY36" s="36" t="e">
        <f t="shared" ref="AY36:AY44" si="59">AY$9*$AC37</f>
        <v>#REF!</v>
      </c>
      <c r="AZ36" s="36" t="e">
        <f t="shared" ref="AZ36:AZ44" si="60">AZ$9*$AC37</f>
        <v>#REF!</v>
      </c>
      <c r="BA36" s="36" t="e">
        <f t="shared" ref="BA36:BA44" si="61">BA$9*$AC37</f>
        <v>#REF!</v>
      </c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si="42"/>
        <v>#REF!</v>
      </c>
      <c r="AG37" s="36" t="e">
        <f t="shared" si="43"/>
        <v>#REF!</v>
      </c>
      <c r="AH37" s="36" t="e">
        <f t="shared" si="44"/>
        <v>#REF!</v>
      </c>
      <c r="AI37" s="36" t="e">
        <f t="shared" si="45"/>
        <v>#REF!</v>
      </c>
      <c r="AJ37" s="36" t="e">
        <f t="shared" si="46"/>
        <v>#REF!</v>
      </c>
      <c r="AK37" s="36" t="e">
        <f t="shared" si="47"/>
        <v>#REF!</v>
      </c>
      <c r="AL37" s="36" t="e">
        <f t="shared" si="48"/>
        <v>#REF!</v>
      </c>
      <c r="AM37" s="36" t="e">
        <f t="shared" si="49"/>
        <v>#REF!</v>
      </c>
      <c r="AN37" s="36" t="e">
        <f t="shared" si="50"/>
        <v>#REF!</v>
      </c>
      <c r="AO37" s="36" t="e">
        <f t="shared" si="51"/>
        <v>#REF!</v>
      </c>
      <c r="AQ37" s="38"/>
      <c r="AR37" s="36" t="e">
        <f t="shared" si="52"/>
        <v>#REF!</v>
      </c>
      <c r="AS37" s="36" t="e">
        <f t="shared" si="53"/>
        <v>#REF!</v>
      </c>
      <c r="AT37" s="36" t="e">
        <f t="shared" si="54"/>
        <v>#REF!</v>
      </c>
      <c r="AU37" s="36" t="e">
        <f t="shared" si="55"/>
        <v>#REF!</v>
      </c>
      <c r="AV37" s="36" t="e">
        <f t="shared" si="56"/>
        <v>#REF!</v>
      </c>
      <c r="AW37" s="36" t="e">
        <f t="shared" si="57"/>
        <v>#REF!</v>
      </c>
      <c r="AX37" s="36" t="e">
        <f t="shared" si="58"/>
        <v>#REF!</v>
      </c>
      <c r="AY37" s="36" t="e">
        <f t="shared" si="59"/>
        <v>#REF!</v>
      </c>
      <c r="AZ37" s="36" t="e">
        <f t="shared" si="60"/>
        <v>#REF!</v>
      </c>
      <c r="BA37" s="36" t="e">
        <f t="shared" si="61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42"/>
        <v>#REF!</v>
      </c>
      <c r="AG38" s="36" t="e">
        <f t="shared" si="43"/>
        <v>#REF!</v>
      </c>
      <c r="AH38" s="36" t="e">
        <f t="shared" si="44"/>
        <v>#REF!</v>
      </c>
      <c r="AI38" s="36" t="e">
        <f t="shared" si="45"/>
        <v>#REF!</v>
      </c>
      <c r="AJ38" s="36" t="e">
        <f t="shared" si="46"/>
        <v>#REF!</v>
      </c>
      <c r="AK38" s="36" t="e">
        <f t="shared" si="47"/>
        <v>#REF!</v>
      </c>
      <c r="AL38" s="36" t="e">
        <f t="shared" si="48"/>
        <v>#REF!</v>
      </c>
      <c r="AM38" s="36" t="e">
        <f t="shared" si="49"/>
        <v>#REF!</v>
      </c>
      <c r="AN38" s="36" t="e">
        <f t="shared" si="50"/>
        <v>#REF!</v>
      </c>
      <c r="AO38" s="36" t="e">
        <f t="shared" si="51"/>
        <v>#REF!</v>
      </c>
      <c r="AQ38" s="38"/>
      <c r="AR38" s="36" t="e">
        <f t="shared" si="52"/>
        <v>#REF!</v>
      </c>
      <c r="AS38" s="36" t="e">
        <f t="shared" si="53"/>
        <v>#REF!</v>
      </c>
      <c r="AT38" s="36" t="e">
        <f t="shared" si="54"/>
        <v>#REF!</v>
      </c>
      <c r="AU38" s="36" t="e">
        <f t="shared" si="55"/>
        <v>#REF!</v>
      </c>
      <c r="AV38" s="36" t="e">
        <f t="shared" si="56"/>
        <v>#REF!</v>
      </c>
      <c r="AW38" s="36" t="e">
        <f t="shared" si="57"/>
        <v>#REF!</v>
      </c>
      <c r="AX38" s="36" t="e">
        <f t="shared" si="58"/>
        <v>#REF!</v>
      </c>
      <c r="AY38" s="36" t="e">
        <f t="shared" si="59"/>
        <v>#REF!</v>
      </c>
      <c r="AZ38" s="36" t="e">
        <f t="shared" si="60"/>
        <v>#REF!</v>
      </c>
      <c r="BA38" s="36" t="e">
        <f t="shared" si="61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42"/>
        <v>#REF!</v>
      </c>
      <c r="AG39" s="36" t="e">
        <f t="shared" si="43"/>
        <v>#REF!</v>
      </c>
      <c r="AH39" s="36" t="e">
        <f t="shared" si="44"/>
        <v>#REF!</v>
      </c>
      <c r="AI39" s="36" t="e">
        <f t="shared" si="45"/>
        <v>#REF!</v>
      </c>
      <c r="AJ39" s="36" t="e">
        <f t="shared" si="46"/>
        <v>#REF!</v>
      </c>
      <c r="AK39" s="36" t="e">
        <f t="shared" si="47"/>
        <v>#REF!</v>
      </c>
      <c r="AL39" s="36" t="e">
        <f t="shared" si="48"/>
        <v>#REF!</v>
      </c>
      <c r="AM39" s="36" t="e">
        <f t="shared" si="49"/>
        <v>#REF!</v>
      </c>
      <c r="AN39" s="36" t="e">
        <f t="shared" si="50"/>
        <v>#REF!</v>
      </c>
      <c r="AO39" s="36" t="e">
        <f t="shared" si="51"/>
        <v>#REF!</v>
      </c>
      <c r="AQ39" s="38"/>
      <c r="AR39" s="36" t="e">
        <f t="shared" si="52"/>
        <v>#REF!</v>
      </c>
      <c r="AS39" s="36" t="e">
        <f t="shared" si="53"/>
        <v>#REF!</v>
      </c>
      <c r="AT39" s="36" t="e">
        <f t="shared" si="54"/>
        <v>#REF!</v>
      </c>
      <c r="AU39" s="36" t="e">
        <f t="shared" si="55"/>
        <v>#REF!</v>
      </c>
      <c r="AV39" s="36" t="e">
        <f t="shared" si="56"/>
        <v>#REF!</v>
      </c>
      <c r="AW39" s="36" t="e">
        <f t="shared" si="57"/>
        <v>#REF!</v>
      </c>
      <c r="AX39" s="36" t="e">
        <f t="shared" si="58"/>
        <v>#REF!</v>
      </c>
      <c r="AY39" s="36" t="e">
        <f t="shared" si="59"/>
        <v>#REF!</v>
      </c>
      <c r="AZ39" s="36" t="e">
        <f t="shared" si="60"/>
        <v>#REF!</v>
      </c>
      <c r="BA39" s="36" t="e">
        <f t="shared" si="61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42"/>
        <v>#REF!</v>
      </c>
      <c r="AG40" s="36" t="e">
        <f t="shared" si="43"/>
        <v>#REF!</v>
      </c>
      <c r="AH40" s="36" t="e">
        <f t="shared" si="44"/>
        <v>#REF!</v>
      </c>
      <c r="AI40" s="36" t="e">
        <f t="shared" si="45"/>
        <v>#REF!</v>
      </c>
      <c r="AJ40" s="36" t="e">
        <f t="shared" si="46"/>
        <v>#REF!</v>
      </c>
      <c r="AK40" s="36" t="e">
        <f t="shared" si="47"/>
        <v>#REF!</v>
      </c>
      <c r="AL40" s="36" t="e">
        <f t="shared" si="48"/>
        <v>#REF!</v>
      </c>
      <c r="AM40" s="36" t="e">
        <f t="shared" si="49"/>
        <v>#REF!</v>
      </c>
      <c r="AN40" s="36" t="e">
        <f t="shared" si="50"/>
        <v>#REF!</v>
      </c>
      <c r="AO40" s="36" t="e">
        <f t="shared" si="51"/>
        <v>#REF!</v>
      </c>
      <c r="AQ40" s="38"/>
      <c r="AR40" s="36" t="e">
        <f t="shared" si="52"/>
        <v>#REF!</v>
      </c>
      <c r="AS40" s="36" t="e">
        <f t="shared" si="53"/>
        <v>#REF!</v>
      </c>
      <c r="AT40" s="36" t="e">
        <f t="shared" si="54"/>
        <v>#REF!</v>
      </c>
      <c r="AU40" s="36" t="e">
        <f t="shared" si="55"/>
        <v>#REF!</v>
      </c>
      <c r="AV40" s="36" t="e">
        <f t="shared" si="56"/>
        <v>#REF!</v>
      </c>
      <c r="AW40" s="36" t="e">
        <f t="shared" si="57"/>
        <v>#REF!</v>
      </c>
      <c r="AX40" s="36" t="e">
        <f t="shared" si="58"/>
        <v>#REF!</v>
      </c>
      <c r="AY40" s="36" t="e">
        <f t="shared" si="59"/>
        <v>#REF!</v>
      </c>
      <c r="AZ40" s="36" t="e">
        <f t="shared" si="60"/>
        <v>#REF!</v>
      </c>
      <c r="BA40" s="36" t="e">
        <f t="shared" si="61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42"/>
        <v>#REF!</v>
      </c>
      <c r="AG41" s="36" t="e">
        <f t="shared" si="43"/>
        <v>#REF!</v>
      </c>
      <c r="AH41" s="36" t="e">
        <f t="shared" si="44"/>
        <v>#REF!</v>
      </c>
      <c r="AI41" s="36" t="e">
        <f t="shared" si="45"/>
        <v>#REF!</v>
      </c>
      <c r="AJ41" s="36" t="e">
        <f t="shared" si="46"/>
        <v>#REF!</v>
      </c>
      <c r="AK41" s="36" t="e">
        <f t="shared" si="47"/>
        <v>#REF!</v>
      </c>
      <c r="AL41" s="36" t="e">
        <f t="shared" si="48"/>
        <v>#REF!</v>
      </c>
      <c r="AM41" s="36" t="e">
        <f t="shared" si="49"/>
        <v>#REF!</v>
      </c>
      <c r="AN41" s="36" t="e">
        <f t="shared" si="50"/>
        <v>#REF!</v>
      </c>
      <c r="AO41" s="36" t="e">
        <f t="shared" si="51"/>
        <v>#REF!</v>
      </c>
      <c r="AQ41" s="38"/>
      <c r="AR41" s="36" t="e">
        <f t="shared" si="52"/>
        <v>#REF!</v>
      </c>
      <c r="AS41" s="36" t="e">
        <f t="shared" si="53"/>
        <v>#REF!</v>
      </c>
      <c r="AT41" s="36" t="e">
        <f t="shared" si="54"/>
        <v>#REF!</v>
      </c>
      <c r="AU41" s="36" t="e">
        <f t="shared" si="55"/>
        <v>#REF!</v>
      </c>
      <c r="AV41" s="36" t="e">
        <f t="shared" si="56"/>
        <v>#REF!</v>
      </c>
      <c r="AW41" s="36" t="e">
        <f t="shared" si="57"/>
        <v>#REF!</v>
      </c>
      <c r="AX41" s="36" t="e">
        <f t="shared" si="58"/>
        <v>#REF!</v>
      </c>
      <c r="AY41" s="36" t="e">
        <f t="shared" si="59"/>
        <v>#REF!</v>
      </c>
      <c r="AZ41" s="36" t="e">
        <f t="shared" si="60"/>
        <v>#REF!</v>
      </c>
      <c r="BA41" s="36" t="e">
        <f t="shared" si="61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42"/>
        <v>#REF!</v>
      </c>
      <c r="AG42" s="36" t="e">
        <f t="shared" si="43"/>
        <v>#REF!</v>
      </c>
      <c r="AH42" s="36" t="e">
        <f t="shared" si="44"/>
        <v>#REF!</v>
      </c>
      <c r="AI42" s="36" t="e">
        <f t="shared" si="45"/>
        <v>#REF!</v>
      </c>
      <c r="AJ42" s="36" t="e">
        <f t="shared" si="46"/>
        <v>#REF!</v>
      </c>
      <c r="AK42" s="36" t="e">
        <f t="shared" si="47"/>
        <v>#REF!</v>
      </c>
      <c r="AL42" s="36" t="e">
        <f t="shared" si="48"/>
        <v>#REF!</v>
      </c>
      <c r="AM42" s="36" t="e">
        <f t="shared" si="49"/>
        <v>#REF!</v>
      </c>
      <c r="AN42" s="36" t="e">
        <f t="shared" si="50"/>
        <v>#REF!</v>
      </c>
      <c r="AO42" s="36" t="e">
        <f t="shared" si="51"/>
        <v>#REF!</v>
      </c>
      <c r="AQ42" s="38"/>
      <c r="AR42" s="36" t="e">
        <f t="shared" si="52"/>
        <v>#REF!</v>
      </c>
      <c r="AS42" s="36" t="e">
        <f t="shared" si="53"/>
        <v>#REF!</v>
      </c>
      <c r="AT42" s="36" t="e">
        <f t="shared" si="54"/>
        <v>#REF!</v>
      </c>
      <c r="AU42" s="36" t="e">
        <f t="shared" si="55"/>
        <v>#REF!</v>
      </c>
      <c r="AV42" s="36" t="e">
        <f t="shared" si="56"/>
        <v>#REF!</v>
      </c>
      <c r="AW42" s="36" t="e">
        <f t="shared" si="57"/>
        <v>#REF!</v>
      </c>
      <c r="AX42" s="36" t="e">
        <f t="shared" si="58"/>
        <v>#REF!</v>
      </c>
      <c r="AY42" s="36" t="e">
        <f t="shared" si="59"/>
        <v>#REF!</v>
      </c>
      <c r="AZ42" s="36" t="e">
        <f t="shared" si="60"/>
        <v>#REF!</v>
      </c>
      <c r="BA42" s="36" t="e">
        <f t="shared" si="61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42"/>
        <v>#REF!</v>
      </c>
      <c r="AG43" s="36" t="e">
        <f t="shared" si="43"/>
        <v>#REF!</v>
      </c>
      <c r="AH43" s="36" t="e">
        <f t="shared" si="44"/>
        <v>#REF!</v>
      </c>
      <c r="AI43" s="36" t="e">
        <f t="shared" si="45"/>
        <v>#REF!</v>
      </c>
      <c r="AJ43" s="36" t="e">
        <f t="shared" si="46"/>
        <v>#REF!</v>
      </c>
      <c r="AK43" s="36" t="e">
        <f t="shared" si="47"/>
        <v>#REF!</v>
      </c>
      <c r="AL43" s="36" t="e">
        <f t="shared" si="48"/>
        <v>#REF!</v>
      </c>
      <c r="AM43" s="36" t="e">
        <f t="shared" si="49"/>
        <v>#REF!</v>
      </c>
      <c r="AN43" s="36" t="e">
        <f t="shared" si="50"/>
        <v>#REF!</v>
      </c>
      <c r="AO43" s="36" t="e">
        <f t="shared" si="51"/>
        <v>#REF!</v>
      </c>
      <c r="AQ43" s="38"/>
      <c r="AR43" s="36" t="e">
        <f t="shared" si="52"/>
        <v>#REF!</v>
      </c>
      <c r="AS43" s="36" t="e">
        <f t="shared" si="53"/>
        <v>#REF!</v>
      </c>
      <c r="AT43" s="36" t="e">
        <f t="shared" si="54"/>
        <v>#REF!</v>
      </c>
      <c r="AU43" s="36" t="e">
        <f t="shared" si="55"/>
        <v>#REF!</v>
      </c>
      <c r="AV43" s="36" t="e">
        <f t="shared" si="56"/>
        <v>#REF!</v>
      </c>
      <c r="AW43" s="36" t="e">
        <f t="shared" si="57"/>
        <v>#REF!</v>
      </c>
      <c r="AX43" s="36" t="e">
        <f t="shared" si="58"/>
        <v>#REF!</v>
      </c>
      <c r="AY43" s="36" t="e">
        <f t="shared" si="59"/>
        <v>#REF!</v>
      </c>
      <c r="AZ43" s="36" t="e">
        <f t="shared" si="60"/>
        <v>#REF!</v>
      </c>
      <c r="BA43" s="36" t="e">
        <f t="shared" si="61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42"/>
        <v>#REF!</v>
      </c>
      <c r="AG44" s="36" t="e">
        <f t="shared" si="43"/>
        <v>#REF!</v>
      </c>
      <c r="AH44" s="36" t="e">
        <f t="shared" si="44"/>
        <v>#REF!</v>
      </c>
      <c r="AI44" s="36" t="e">
        <f t="shared" si="45"/>
        <v>#REF!</v>
      </c>
      <c r="AJ44" s="36" t="e">
        <f t="shared" si="46"/>
        <v>#REF!</v>
      </c>
      <c r="AK44" s="36" t="e">
        <f t="shared" si="47"/>
        <v>#REF!</v>
      </c>
      <c r="AL44" s="36" t="e">
        <f t="shared" si="48"/>
        <v>#REF!</v>
      </c>
      <c r="AM44" s="36" t="e">
        <f t="shared" si="49"/>
        <v>#REF!</v>
      </c>
      <c r="AN44" s="36" t="e">
        <f t="shared" si="50"/>
        <v>#REF!</v>
      </c>
      <c r="AO44" s="36" t="e">
        <f t="shared" si="51"/>
        <v>#REF!</v>
      </c>
      <c r="AQ44" s="38"/>
      <c r="AR44" s="36" t="e">
        <f t="shared" si="52"/>
        <v>#REF!</v>
      </c>
      <c r="AS44" s="36" t="e">
        <f t="shared" si="53"/>
        <v>#REF!</v>
      </c>
      <c r="AT44" s="36" t="e">
        <f t="shared" si="54"/>
        <v>#REF!</v>
      </c>
      <c r="AU44" s="36" t="e">
        <f t="shared" si="55"/>
        <v>#REF!</v>
      </c>
      <c r="AV44" s="36" t="e">
        <f t="shared" si="56"/>
        <v>#REF!</v>
      </c>
      <c r="AW44" s="36" t="e">
        <f t="shared" si="57"/>
        <v>#REF!</v>
      </c>
      <c r="AX44" s="36" t="e">
        <f t="shared" si="58"/>
        <v>#REF!</v>
      </c>
      <c r="AY44" s="36" t="e">
        <f t="shared" si="59"/>
        <v>#REF!</v>
      </c>
      <c r="AZ44" s="36" t="e">
        <f t="shared" si="60"/>
        <v>#REF!</v>
      </c>
      <c r="BA44" s="36" t="e">
        <f t="shared" si="61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Q45" s="38"/>
    </row>
    <row r="46" spans="1:53" hidden="1">
      <c r="AQ46" s="38"/>
    </row>
    <row r="47" spans="1:53" ht="63.75" hidden="1"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6" t="s">
        <v>43</v>
      </c>
      <c r="AB48" s="67"/>
      <c r="AC48" s="68"/>
      <c r="AD48" s="68"/>
      <c r="AE48" s="68"/>
      <c r="AG48" s="70"/>
      <c r="AQ48" s="38"/>
    </row>
    <row r="49" spans="27:53" hidden="1">
      <c r="AA49" s="69" t="s">
        <v>44</v>
      </c>
      <c r="AB49" s="35"/>
      <c r="AF49" s="70" t="e">
        <f t="shared" ref="AF49:AO49" si="62">AF14+AF16+AF17</f>
        <v>#REF!</v>
      </c>
      <c r="AG49" s="70" t="e">
        <f t="shared" si="62"/>
        <v>#REF!</v>
      </c>
      <c r="AH49" s="70" t="e">
        <f t="shared" si="62"/>
        <v>#REF!</v>
      </c>
      <c r="AI49" s="70" t="e">
        <f t="shared" si="62"/>
        <v>#REF!</v>
      </c>
      <c r="AJ49" s="70" t="e">
        <f t="shared" si="62"/>
        <v>#REF!</v>
      </c>
      <c r="AK49" s="70" t="e">
        <f t="shared" si="62"/>
        <v>#REF!</v>
      </c>
      <c r="AL49" s="70" t="e">
        <f t="shared" si="62"/>
        <v>#REF!</v>
      </c>
      <c r="AM49" s="70" t="e">
        <f t="shared" si="62"/>
        <v>#REF!</v>
      </c>
      <c r="AN49" s="70" t="e">
        <f t="shared" si="62"/>
        <v>#REF!</v>
      </c>
      <c r="AO49" s="70" t="e">
        <f t="shared" si="62"/>
        <v>#REF!</v>
      </c>
      <c r="AP49" s="70"/>
      <c r="AQ49" s="70"/>
      <c r="AR49" s="70" t="e">
        <f t="shared" ref="AR49:BA49" si="63">AR14+AR16+AR17</f>
        <v>#REF!</v>
      </c>
      <c r="AS49" s="70" t="e">
        <f t="shared" si="63"/>
        <v>#REF!</v>
      </c>
      <c r="AT49" s="70" t="e">
        <f t="shared" si="63"/>
        <v>#REF!</v>
      </c>
      <c r="AU49" s="70" t="e">
        <f t="shared" si="63"/>
        <v>#REF!</v>
      </c>
      <c r="AV49" s="70" t="e">
        <f t="shared" si="63"/>
        <v>#REF!</v>
      </c>
      <c r="AW49" s="70" t="e">
        <f t="shared" si="63"/>
        <v>#REF!</v>
      </c>
      <c r="AX49" s="70" t="e">
        <f t="shared" si="63"/>
        <v>#REF!</v>
      </c>
      <c r="AY49" s="70" t="e">
        <f t="shared" si="63"/>
        <v>#REF!</v>
      </c>
      <c r="AZ49" s="70" t="e">
        <f t="shared" si="63"/>
        <v>#REF!</v>
      </c>
      <c r="BA49" s="70" t="e">
        <f t="shared" si="63"/>
        <v>#REF!</v>
      </c>
    </row>
    <row r="50" spans="27:53" hidden="1">
      <c r="AA50" s="71" t="s">
        <v>29</v>
      </c>
      <c r="AB50" s="35"/>
      <c r="AF50" s="70" t="e">
        <f t="shared" ref="AF50:AO50" si="64">AF25+AF27+AF28</f>
        <v>#REF!</v>
      </c>
      <c r="AG50" s="70" t="e">
        <f t="shared" si="64"/>
        <v>#REF!</v>
      </c>
      <c r="AH50" s="70" t="e">
        <f t="shared" si="64"/>
        <v>#REF!</v>
      </c>
      <c r="AI50" s="70" t="e">
        <f t="shared" si="64"/>
        <v>#REF!</v>
      </c>
      <c r="AJ50" s="70" t="e">
        <f t="shared" si="64"/>
        <v>#REF!</v>
      </c>
      <c r="AK50" s="70" t="e">
        <f t="shared" si="64"/>
        <v>#REF!</v>
      </c>
      <c r="AL50" s="70" t="e">
        <f t="shared" si="64"/>
        <v>#REF!</v>
      </c>
      <c r="AM50" s="70" t="e">
        <f t="shared" si="64"/>
        <v>#REF!</v>
      </c>
      <c r="AN50" s="70" t="e">
        <f t="shared" si="64"/>
        <v>#REF!</v>
      </c>
      <c r="AO50" s="70" t="e">
        <f t="shared" si="64"/>
        <v>#REF!</v>
      </c>
      <c r="AP50" s="70"/>
      <c r="AQ50" s="70"/>
      <c r="AR50" s="70" t="e">
        <f t="shared" ref="AR50:BA50" si="65">AR25+AR27+AR28</f>
        <v>#REF!</v>
      </c>
      <c r="AS50" s="70" t="e">
        <f t="shared" si="65"/>
        <v>#REF!</v>
      </c>
      <c r="AT50" s="70" t="e">
        <f t="shared" si="65"/>
        <v>#REF!</v>
      </c>
      <c r="AU50" s="70" t="e">
        <f t="shared" si="65"/>
        <v>#REF!</v>
      </c>
      <c r="AV50" s="70" t="e">
        <f t="shared" si="65"/>
        <v>#REF!</v>
      </c>
      <c r="AW50" s="70" t="e">
        <f t="shared" si="65"/>
        <v>#REF!</v>
      </c>
      <c r="AX50" s="70" t="e">
        <f t="shared" si="65"/>
        <v>#REF!</v>
      </c>
      <c r="AY50" s="70" t="e">
        <f t="shared" si="65"/>
        <v>#REF!</v>
      </c>
      <c r="AZ50" s="70" t="e">
        <f t="shared" si="65"/>
        <v>#REF!</v>
      </c>
      <c r="BA50" s="70" t="e">
        <f t="shared" si="65"/>
        <v>#REF!</v>
      </c>
    </row>
    <row r="51" spans="27:53" hidden="1">
      <c r="AA51" s="71" t="s">
        <v>41</v>
      </c>
      <c r="AB51" s="35"/>
      <c r="AF51" s="70" t="e">
        <f t="shared" ref="AF51:AO51" si="66">AF36+AF38+AF39</f>
        <v>#REF!</v>
      </c>
      <c r="AG51" s="70" t="e">
        <f t="shared" si="66"/>
        <v>#REF!</v>
      </c>
      <c r="AH51" s="70" t="e">
        <f t="shared" si="66"/>
        <v>#REF!</v>
      </c>
      <c r="AI51" s="70" t="e">
        <f t="shared" si="66"/>
        <v>#REF!</v>
      </c>
      <c r="AJ51" s="70" t="e">
        <f t="shared" si="66"/>
        <v>#REF!</v>
      </c>
      <c r="AK51" s="70" t="e">
        <f t="shared" si="66"/>
        <v>#REF!</v>
      </c>
      <c r="AL51" s="70" t="e">
        <f t="shared" si="66"/>
        <v>#REF!</v>
      </c>
      <c r="AM51" s="70" t="e">
        <f t="shared" si="66"/>
        <v>#REF!</v>
      </c>
      <c r="AN51" s="70" t="e">
        <f t="shared" si="66"/>
        <v>#REF!</v>
      </c>
      <c r="AO51" s="70" t="e">
        <f t="shared" si="66"/>
        <v>#REF!</v>
      </c>
      <c r="AP51" s="70"/>
      <c r="AQ51" s="70"/>
      <c r="AR51" s="70" t="e">
        <f t="shared" ref="AR51:BA51" si="67">AR36+AR38+AR39</f>
        <v>#REF!</v>
      </c>
      <c r="AS51" s="70" t="e">
        <f t="shared" si="67"/>
        <v>#REF!</v>
      </c>
      <c r="AT51" s="70" t="e">
        <f t="shared" si="67"/>
        <v>#REF!</v>
      </c>
      <c r="AU51" s="70" t="e">
        <f t="shared" si="67"/>
        <v>#REF!</v>
      </c>
      <c r="AV51" s="70" t="e">
        <f t="shared" si="67"/>
        <v>#REF!</v>
      </c>
      <c r="AW51" s="70" t="e">
        <f t="shared" si="67"/>
        <v>#REF!</v>
      </c>
      <c r="AX51" s="70" t="e">
        <f t="shared" si="67"/>
        <v>#REF!</v>
      </c>
      <c r="AY51" s="70" t="e">
        <f t="shared" si="67"/>
        <v>#REF!</v>
      </c>
      <c r="AZ51" s="70" t="e">
        <f t="shared" si="67"/>
        <v>#REF!</v>
      </c>
      <c r="BA51" s="70" t="e">
        <f t="shared" si="67"/>
        <v>#REF!</v>
      </c>
    </row>
    <row r="52" spans="27:53" hidden="1">
      <c r="AA52" s="71" t="s">
        <v>42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69" t="s">
        <v>45</v>
      </c>
      <c r="AB53" s="35"/>
      <c r="AF53" s="70" t="e">
        <f t="shared" ref="AF53:AO53" si="68">AF14+AF16+AF18+AF20</f>
        <v>#REF!</v>
      </c>
      <c r="AG53" s="70" t="e">
        <f t="shared" si="68"/>
        <v>#REF!</v>
      </c>
      <c r="AH53" s="70" t="e">
        <f t="shared" si="68"/>
        <v>#REF!</v>
      </c>
      <c r="AI53" s="70" t="e">
        <f t="shared" si="68"/>
        <v>#REF!</v>
      </c>
      <c r="AJ53" s="70" t="e">
        <f t="shared" si="68"/>
        <v>#REF!</v>
      </c>
      <c r="AK53" s="70" t="e">
        <f t="shared" si="68"/>
        <v>#REF!</v>
      </c>
      <c r="AL53" s="70" t="e">
        <f t="shared" si="68"/>
        <v>#REF!</v>
      </c>
      <c r="AM53" s="70" t="e">
        <f t="shared" si="68"/>
        <v>#REF!</v>
      </c>
      <c r="AN53" s="70" t="e">
        <f t="shared" si="68"/>
        <v>#REF!</v>
      </c>
      <c r="AO53" s="70" t="e">
        <f t="shared" si="68"/>
        <v>#REF!</v>
      </c>
      <c r="AP53" s="70"/>
      <c r="AQ53" s="70"/>
      <c r="AR53" s="70" t="e">
        <f t="shared" ref="AR53:BA53" si="69">AR14+AR16+AR18+AR20</f>
        <v>#REF!</v>
      </c>
      <c r="AS53" s="70" t="e">
        <f t="shared" si="69"/>
        <v>#REF!</v>
      </c>
      <c r="AT53" s="70" t="e">
        <f t="shared" si="69"/>
        <v>#REF!</v>
      </c>
      <c r="AU53" s="70" t="e">
        <f t="shared" si="69"/>
        <v>#REF!</v>
      </c>
      <c r="AV53" s="70" t="e">
        <f t="shared" si="69"/>
        <v>#REF!</v>
      </c>
      <c r="AW53" s="70" t="e">
        <f t="shared" si="69"/>
        <v>#REF!</v>
      </c>
      <c r="AX53" s="70" t="e">
        <f t="shared" si="69"/>
        <v>#REF!</v>
      </c>
      <c r="AY53" s="70" t="e">
        <f t="shared" si="69"/>
        <v>#REF!</v>
      </c>
      <c r="AZ53" s="70" t="e">
        <f t="shared" si="69"/>
        <v>#REF!</v>
      </c>
      <c r="BA53" s="70" t="e">
        <f t="shared" si="69"/>
        <v>#REF!</v>
      </c>
    </row>
    <row r="54" spans="27:53" hidden="1">
      <c r="AA54" s="71" t="s">
        <v>29</v>
      </c>
      <c r="AB54" s="35"/>
      <c r="AF54" s="70" t="e">
        <f t="shared" ref="AF54:AO54" si="70">AF25+AF27+AF29+AF31</f>
        <v>#REF!</v>
      </c>
      <c r="AG54" s="70" t="e">
        <f t="shared" si="70"/>
        <v>#REF!</v>
      </c>
      <c r="AH54" s="70" t="e">
        <f t="shared" si="70"/>
        <v>#REF!</v>
      </c>
      <c r="AI54" s="70" t="e">
        <f t="shared" si="70"/>
        <v>#REF!</v>
      </c>
      <c r="AJ54" s="70" t="e">
        <f t="shared" si="70"/>
        <v>#REF!</v>
      </c>
      <c r="AK54" s="70" t="e">
        <f t="shared" si="70"/>
        <v>#REF!</v>
      </c>
      <c r="AL54" s="70" t="e">
        <f t="shared" si="70"/>
        <v>#REF!</v>
      </c>
      <c r="AM54" s="70" t="e">
        <f t="shared" si="70"/>
        <v>#REF!</v>
      </c>
      <c r="AN54" s="70" t="e">
        <f t="shared" si="70"/>
        <v>#REF!</v>
      </c>
      <c r="AO54" s="70" t="e">
        <f t="shared" si="70"/>
        <v>#REF!</v>
      </c>
      <c r="AP54" s="70"/>
      <c r="AQ54" s="70"/>
      <c r="AR54" s="70" t="e">
        <f t="shared" ref="AR54:BA54" si="71">AR25+AR27+AR29+AR31</f>
        <v>#REF!</v>
      </c>
      <c r="AS54" s="70" t="e">
        <f t="shared" si="71"/>
        <v>#REF!</v>
      </c>
      <c r="AT54" s="70" t="e">
        <f t="shared" si="71"/>
        <v>#REF!</v>
      </c>
      <c r="AU54" s="70" t="e">
        <f t="shared" si="71"/>
        <v>#REF!</v>
      </c>
      <c r="AV54" s="70" t="e">
        <f t="shared" si="71"/>
        <v>#REF!</v>
      </c>
      <c r="AW54" s="70" t="e">
        <f t="shared" si="71"/>
        <v>#REF!</v>
      </c>
      <c r="AX54" s="70" t="e">
        <f t="shared" si="71"/>
        <v>#REF!</v>
      </c>
      <c r="AY54" s="70" t="e">
        <f t="shared" si="71"/>
        <v>#REF!</v>
      </c>
      <c r="AZ54" s="70" t="e">
        <f t="shared" si="71"/>
        <v>#REF!</v>
      </c>
      <c r="BA54" s="70" t="e">
        <f t="shared" si="71"/>
        <v>#REF!</v>
      </c>
    </row>
    <row r="55" spans="27:53" hidden="1">
      <c r="AA55" s="71" t="s">
        <v>41</v>
      </c>
      <c r="AB55" s="35"/>
      <c r="AF55" s="70" t="e">
        <f t="shared" ref="AF55:AO55" si="72">AF36+AF38+AF40+AF42</f>
        <v>#REF!</v>
      </c>
      <c r="AG55" s="70" t="e">
        <f t="shared" si="72"/>
        <v>#REF!</v>
      </c>
      <c r="AH55" s="70" t="e">
        <f t="shared" si="72"/>
        <v>#REF!</v>
      </c>
      <c r="AI55" s="70" t="e">
        <f t="shared" si="72"/>
        <v>#REF!</v>
      </c>
      <c r="AJ55" s="70" t="e">
        <f t="shared" si="72"/>
        <v>#REF!</v>
      </c>
      <c r="AK55" s="70" t="e">
        <f t="shared" si="72"/>
        <v>#REF!</v>
      </c>
      <c r="AL55" s="70" t="e">
        <f t="shared" si="72"/>
        <v>#REF!</v>
      </c>
      <c r="AM55" s="70" t="e">
        <f t="shared" si="72"/>
        <v>#REF!</v>
      </c>
      <c r="AN55" s="70" t="e">
        <f t="shared" si="72"/>
        <v>#REF!</v>
      </c>
      <c r="AO55" s="70" t="e">
        <f t="shared" si="72"/>
        <v>#REF!</v>
      </c>
      <c r="AP55" s="70"/>
      <c r="AQ55" s="70"/>
      <c r="AR55" s="70" t="e">
        <f t="shared" ref="AR55:BA55" si="73">AR36+AR38+AR40+AR42</f>
        <v>#REF!</v>
      </c>
      <c r="AS55" s="70" t="e">
        <f t="shared" si="73"/>
        <v>#REF!</v>
      </c>
      <c r="AT55" s="70" t="e">
        <f t="shared" si="73"/>
        <v>#REF!</v>
      </c>
      <c r="AU55" s="70" t="e">
        <f t="shared" si="73"/>
        <v>#REF!</v>
      </c>
      <c r="AV55" s="70" t="e">
        <f t="shared" si="73"/>
        <v>#REF!</v>
      </c>
      <c r="AW55" s="70" t="e">
        <f t="shared" si="73"/>
        <v>#REF!</v>
      </c>
      <c r="AX55" s="70" t="e">
        <f t="shared" si="73"/>
        <v>#REF!</v>
      </c>
      <c r="AY55" s="70" t="e">
        <f t="shared" si="73"/>
        <v>#REF!</v>
      </c>
      <c r="AZ55" s="70" t="e">
        <f t="shared" si="73"/>
        <v>#REF!</v>
      </c>
      <c r="BA55" s="70" t="e">
        <f t="shared" si="73"/>
        <v>#REF!</v>
      </c>
    </row>
    <row r="56" spans="27:53" hidden="1">
      <c r="AA56" s="71" t="s">
        <v>42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69" t="s">
        <v>46</v>
      </c>
      <c r="AB57" s="35"/>
      <c r="AF57" s="70" t="e">
        <f t="shared" ref="AF57:AO57" si="74">AF14+AF16+AF18+AF19+AF21</f>
        <v>#REF!</v>
      </c>
      <c r="AG57" s="70" t="e">
        <f t="shared" si="74"/>
        <v>#REF!</v>
      </c>
      <c r="AH57" s="70" t="e">
        <f t="shared" si="74"/>
        <v>#REF!</v>
      </c>
      <c r="AI57" s="70" t="e">
        <f t="shared" si="74"/>
        <v>#REF!</v>
      </c>
      <c r="AJ57" s="70" t="e">
        <f t="shared" si="74"/>
        <v>#REF!</v>
      </c>
      <c r="AK57" s="70" t="e">
        <f t="shared" si="74"/>
        <v>#REF!</v>
      </c>
      <c r="AL57" s="70" t="e">
        <f t="shared" si="74"/>
        <v>#REF!</v>
      </c>
      <c r="AM57" s="70" t="e">
        <f t="shared" si="74"/>
        <v>#REF!</v>
      </c>
      <c r="AN57" s="70" t="e">
        <f t="shared" si="74"/>
        <v>#REF!</v>
      </c>
      <c r="AO57" s="70" t="e">
        <f t="shared" si="74"/>
        <v>#REF!</v>
      </c>
      <c r="AP57" s="70"/>
      <c r="AQ57" s="70"/>
      <c r="AR57" s="70" t="e">
        <f t="shared" ref="AR57:BA57" si="75">AR14+AR16+AR18+AR19+AR21</f>
        <v>#REF!</v>
      </c>
      <c r="AS57" s="70" t="e">
        <f t="shared" si="75"/>
        <v>#REF!</v>
      </c>
      <c r="AT57" s="70" t="e">
        <f t="shared" si="75"/>
        <v>#REF!</v>
      </c>
      <c r="AU57" s="70" t="e">
        <f t="shared" si="75"/>
        <v>#REF!</v>
      </c>
      <c r="AV57" s="70" t="e">
        <f t="shared" si="75"/>
        <v>#REF!</v>
      </c>
      <c r="AW57" s="70" t="e">
        <f t="shared" si="75"/>
        <v>#REF!</v>
      </c>
      <c r="AX57" s="70" t="e">
        <f t="shared" si="75"/>
        <v>#REF!</v>
      </c>
      <c r="AY57" s="70" t="e">
        <f t="shared" si="75"/>
        <v>#REF!</v>
      </c>
      <c r="AZ57" s="70" t="e">
        <f t="shared" si="75"/>
        <v>#REF!</v>
      </c>
      <c r="BA57" s="70" t="e">
        <f t="shared" si="75"/>
        <v>#REF!</v>
      </c>
    </row>
    <row r="58" spans="27:53" hidden="1">
      <c r="AA58" s="71" t="s">
        <v>29</v>
      </c>
      <c r="AB58" s="35"/>
      <c r="AF58" s="70" t="e">
        <f t="shared" ref="AF58:AO58" si="76">AF25+AF27+AF29+AF30+AF32</f>
        <v>#REF!</v>
      </c>
      <c r="AG58" s="70" t="e">
        <f t="shared" si="76"/>
        <v>#REF!</v>
      </c>
      <c r="AH58" s="70" t="e">
        <f t="shared" si="76"/>
        <v>#REF!</v>
      </c>
      <c r="AI58" s="70" t="e">
        <f t="shared" si="76"/>
        <v>#REF!</v>
      </c>
      <c r="AJ58" s="70" t="e">
        <f t="shared" si="76"/>
        <v>#REF!</v>
      </c>
      <c r="AK58" s="70" t="e">
        <f t="shared" si="76"/>
        <v>#REF!</v>
      </c>
      <c r="AL58" s="70" t="e">
        <f t="shared" si="76"/>
        <v>#REF!</v>
      </c>
      <c r="AM58" s="70" t="e">
        <f t="shared" si="76"/>
        <v>#REF!</v>
      </c>
      <c r="AN58" s="70" t="e">
        <f t="shared" si="76"/>
        <v>#REF!</v>
      </c>
      <c r="AO58" s="70" t="e">
        <f t="shared" si="76"/>
        <v>#REF!</v>
      </c>
      <c r="AP58" s="70"/>
      <c r="AQ58" s="70"/>
      <c r="AR58" s="70" t="e">
        <f t="shared" ref="AR58:BA58" si="77">AR25+AR27+AR29+AR30+AR32</f>
        <v>#REF!</v>
      </c>
      <c r="AS58" s="70" t="e">
        <f t="shared" si="77"/>
        <v>#REF!</v>
      </c>
      <c r="AT58" s="70" t="e">
        <f t="shared" si="77"/>
        <v>#REF!</v>
      </c>
      <c r="AU58" s="70" t="e">
        <f t="shared" si="77"/>
        <v>#REF!</v>
      </c>
      <c r="AV58" s="70" t="e">
        <f t="shared" si="77"/>
        <v>#REF!</v>
      </c>
      <c r="AW58" s="70" t="e">
        <f t="shared" si="77"/>
        <v>#REF!</v>
      </c>
      <c r="AX58" s="70" t="e">
        <f t="shared" si="77"/>
        <v>#REF!</v>
      </c>
      <c r="AY58" s="70" t="e">
        <f t="shared" si="77"/>
        <v>#REF!</v>
      </c>
      <c r="AZ58" s="70" t="e">
        <f t="shared" si="77"/>
        <v>#REF!</v>
      </c>
      <c r="BA58" s="70" t="e">
        <f t="shared" si="77"/>
        <v>#REF!</v>
      </c>
    </row>
    <row r="59" spans="27:53" hidden="1">
      <c r="AA59" s="71" t="s">
        <v>41</v>
      </c>
      <c r="AB59" s="35"/>
      <c r="AF59" s="70" t="e">
        <f t="shared" ref="AF59:AO59" si="78">AF36+AF38+AF40+AF41+AF43</f>
        <v>#REF!</v>
      </c>
      <c r="AG59" s="70" t="e">
        <f t="shared" si="78"/>
        <v>#REF!</v>
      </c>
      <c r="AH59" s="70" t="e">
        <f t="shared" si="78"/>
        <v>#REF!</v>
      </c>
      <c r="AI59" s="70" t="e">
        <f t="shared" si="78"/>
        <v>#REF!</v>
      </c>
      <c r="AJ59" s="70" t="e">
        <f t="shared" si="78"/>
        <v>#REF!</v>
      </c>
      <c r="AK59" s="70" t="e">
        <f t="shared" si="78"/>
        <v>#REF!</v>
      </c>
      <c r="AL59" s="70" t="e">
        <f t="shared" si="78"/>
        <v>#REF!</v>
      </c>
      <c r="AM59" s="70" t="e">
        <f t="shared" si="78"/>
        <v>#REF!</v>
      </c>
      <c r="AN59" s="70" t="e">
        <f t="shared" si="78"/>
        <v>#REF!</v>
      </c>
      <c r="AO59" s="70" t="e">
        <f t="shared" si="78"/>
        <v>#REF!</v>
      </c>
      <c r="AP59" s="70"/>
      <c r="AQ59" s="70"/>
      <c r="AR59" s="70" t="e">
        <f t="shared" ref="AR59:BA59" si="79">AR36+AR38+AR40+AR41+AR43</f>
        <v>#REF!</v>
      </c>
      <c r="AS59" s="70" t="e">
        <f t="shared" si="79"/>
        <v>#REF!</v>
      </c>
      <c r="AT59" s="70" t="e">
        <f t="shared" si="79"/>
        <v>#REF!</v>
      </c>
      <c r="AU59" s="70" t="e">
        <f t="shared" si="79"/>
        <v>#REF!</v>
      </c>
      <c r="AV59" s="70" t="e">
        <f t="shared" si="79"/>
        <v>#REF!</v>
      </c>
      <c r="AW59" s="70" t="e">
        <f t="shared" si="79"/>
        <v>#REF!</v>
      </c>
      <c r="AX59" s="70" t="e">
        <f t="shared" si="79"/>
        <v>#REF!</v>
      </c>
      <c r="AY59" s="70" t="e">
        <f t="shared" si="79"/>
        <v>#REF!</v>
      </c>
      <c r="AZ59" s="70" t="e">
        <f t="shared" si="79"/>
        <v>#REF!</v>
      </c>
      <c r="BA59" s="70" t="e">
        <f t="shared" si="79"/>
        <v>#REF!</v>
      </c>
    </row>
    <row r="60" spans="27:53" hidden="1">
      <c r="AA60" s="71" t="s">
        <v>42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69" t="s">
        <v>47</v>
      </c>
      <c r="AB61" s="35"/>
      <c r="AF61" s="70" t="e">
        <f t="shared" ref="AF61:AO61" si="80">AF14+AF16+AF18+AF19+AF22</f>
        <v>#REF!</v>
      </c>
      <c r="AG61" s="70" t="e">
        <f t="shared" si="80"/>
        <v>#REF!</v>
      </c>
      <c r="AH61" s="70" t="e">
        <f t="shared" si="80"/>
        <v>#REF!</v>
      </c>
      <c r="AI61" s="70" t="e">
        <f t="shared" si="80"/>
        <v>#REF!</v>
      </c>
      <c r="AJ61" s="70" t="e">
        <f t="shared" si="80"/>
        <v>#REF!</v>
      </c>
      <c r="AK61" s="70" t="e">
        <f t="shared" si="80"/>
        <v>#REF!</v>
      </c>
      <c r="AL61" s="70" t="e">
        <f t="shared" si="80"/>
        <v>#REF!</v>
      </c>
      <c r="AM61" s="70" t="e">
        <f t="shared" si="80"/>
        <v>#REF!</v>
      </c>
      <c r="AN61" s="70" t="e">
        <f t="shared" si="80"/>
        <v>#REF!</v>
      </c>
      <c r="AO61" s="70" t="e">
        <f t="shared" si="80"/>
        <v>#REF!</v>
      </c>
      <c r="AP61" s="70"/>
      <c r="AQ61" s="70"/>
      <c r="AR61" s="70" t="e">
        <f t="shared" ref="AR61:BA61" si="81">AR14+AR16+AR18+AR19+AR22</f>
        <v>#REF!</v>
      </c>
      <c r="AS61" s="70" t="e">
        <f t="shared" si="81"/>
        <v>#REF!</v>
      </c>
      <c r="AT61" s="70" t="e">
        <f t="shared" si="81"/>
        <v>#REF!</v>
      </c>
      <c r="AU61" s="70" t="e">
        <f t="shared" si="81"/>
        <v>#REF!</v>
      </c>
      <c r="AV61" s="70" t="e">
        <f t="shared" si="81"/>
        <v>#REF!</v>
      </c>
      <c r="AW61" s="70" t="e">
        <f t="shared" si="81"/>
        <v>#REF!</v>
      </c>
      <c r="AX61" s="70" t="e">
        <f t="shared" si="81"/>
        <v>#REF!</v>
      </c>
      <c r="AY61" s="70" t="e">
        <f t="shared" si="81"/>
        <v>#REF!</v>
      </c>
      <c r="AZ61" s="70" t="e">
        <f t="shared" si="81"/>
        <v>#REF!</v>
      </c>
      <c r="BA61" s="70" t="e">
        <f t="shared" si="81"/>
        <v>#REF!</v>
      </c>
    </row>
    <row r="62" spans="27:53" hidden="1">
      <c r="AA62" s="71" t="s">
        <v>29</v>
      </c>
      <c r="AB62" s="35"/>
      <c r="AF62" s="70" t="e">
        <f t="shared" ref="AF62:AO62" si="82">AF25+AF27+AF29+AF30+AF33</f>
        <v>#REF!</v>
      </c>
      <c r="AG62" s="70" t="e">
        <f t="shared" si="82"/>
        <v>#REF!</v>
      </c>
      <c r="AH62" s="70" t="e">
        <f t="shared" si="82"/>
        <v>#REF!</v>
      </c>
      <c r="AI62" s="70" t="e">
        <f t="shared" si="82"/>
        <v>#REF!</v>
      </c>
      <c r="AJ62" s="70" t="e">
        <f t="shared" si="82"/>
        <v>#REF!</v>
      </c>
      <c r="AK62" s="70" t="e">
        <f t="shared" si="82"/>
        <v>#REF!</v>
      </c>
      <c r="AL62" s="70" t="e">
        <f t="shared" si="82"/>
        <v>#REF!</v>
      </c>
      <c r="AM62" s="70" t="e">
        <f t="shared" si="82"/>
        <v>#REF!</v>
      </c>
      <c r="AN62" s="70" t="e">
        <f t="shared" si="82"/>
        <v>#REF!</v>
      </c>
      <c r="AO62" s="70" t="e">
        <f t="shared" si="82"/>
        <v>#REF!</v>
      </c>
      <c r="AP62" s="70"/>
      <c r="AQ62" s="70"/>
      <c r="AR62" s="70" t="e">
        <f t="shared" ref="AR62:BA62" si="83">AR25+AR27+AR29+AR30+AR33</f>
        <v>#REF!</v>
      </c>
      <c r="AS62" s="70" t="e">
        <f t="shared" si="83"/>
        <v>#REF!</v>
      </c>
      <c r="AT62" s="70" t="e">
        <f t="shared" si="83"/>
        <v>#REF!</v>
      </c>
      <c r="AU62" s="70" t="e">
        <f t="shared" si="83"/>
        <v>#REF!</v>
      </c>
      <c r="AV62" s="70" t="e">
        <f t="shared" si="83"/>
        <v>#REF!</v>
      </c>
      <c r="AW62" s="70" t="e">
        <f t="shared" si="83"/>
        <v>#REF!</v>
      </c>
      <c r="AX62" s="70" t="e">
        <f t="shared" si="83"/>
        <v>#REF!</v>
      </c>
      <c r="AY62" s="70" t="e">
        <f t="shared" si="83"/>
        <v>#REF!</v>
      </c>
      <c r="AZ62" s="70" t="e">
        <f t="shared" si="83"/>
        <v>#REF!</v>
      </c>
      <c r="BA62" s="70" t="e">
        <f t="shared" si="83"/>
        <v>#REF!</v>
      </c>
    </row>
    <row r="63" spans="27:53" hidden="1">
      <c r="AA63" s="71" t="s">
        <v>41</v>
      </c>
      <c r="AB63" s="35"/>
      <c r="AF63" s="70" t="e">
        <f t="shared" ref="AF63:AO63" si="84">AF36+AF38+AF40+AF41+AF44</f>
        <v>#REF!</v>
      </c>
      <c r="AG63" s="70" t="e">
        <f t="shared" si="84"/>
        <v>#REF!</v>
      </c>
      <c r="AH63" s="70" t="e">
        <f t="shared" si="84"/>
        <v>#REF!</v>
      </c>
      <c r="AI63" s="70" t="e">
        <f t="shared" si="84"/>
        <v>#REF!</v>
      </c>
      <c r="AJ63" s="70" t="e">
        <f t="shared" si="84"/>
        <v>#REF!</v>
      </c>
      <c r="AK63" s="70" t="e">
        <f t="shared" si="84"/>
        <v>#REF!</v>
      </c>
      <c r="AL63" s="70" t="e">
        <f t="shared" si="84"/>
        <v>#REF!</v>
      </c>
      <c r="AM63" s="70" t="e">
        <f t="shared" si="84"/>
        <v>#REF!</v>
      </c>
      <c r="AN63" s="70" t="e">
        <f t="shared" si="84"/>
        <v>#REF!</v>
      </c>
      <c r="AO63" s="70" t="e">
        <f t="shared" si="84"/>
        <v>#REF!</v>
      </c>
      <c r="AP63" s="70"/>
      <c r="AQ63" s="70"/>
      <c r="AR63" s="70" t="e">
        <f t="shared" ref="AR63:BA63" si="85">AR36+AR38+AR40+AR41+AR44</f>
        <v>#REF!</v>
      </c>
      <c r="AS63" s="70" t="e">
        <f t="shared" si="85"/>
        <v>#REF!</v>
      </c>
      <c r="AT63" s="70" t="e">
        <f t="shared" si="85"/>
        <v>#REF!</v>
      </c>
      <c r="AU63" s="70" t="e">
        <f t="shared" si="85"/>
        <v>#REF!</v>
      </c>
      <c r="AV63" s="70" t="e">
        <f t="shared" si="85"/>
        <v>#REF!</v>
      </c>
      <c r="AW63" s="70" t="e">
        <f t="shared" si="85"/>
        <v>#REF!</v>
      </c>
      <c r="AX63" s="70" t="e">
        <f t="shared" si="85"/>
        <v>#REF!</v>
      </c>
      <c r="AY63" s="70" t="e">
        <f t="shared" si="85"/>
        <v>#REF!</v>
      </c>
      <c r="AZ63" s="70" t="e">
        <f t="shared" si="85"/>
        <v>#REF!</v>
      </c>
      <c r="BA63" s="70" t="e">
        <f t="shared" si="85"/>
        <v>#REF!</v>
      </c>
    </row>
    <row r="64" spans="27:53" hidden="1">
      <c r="AA64" s="71" t="s">
        <v>42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69" t="s">
        <v>48</v>
      </c>
      <c r="AB65" s="35"/>
      <c r="AF65" s="70" t="e">
        <f t="shared" ref="AF65:AO65" si="86">AF14+AF15+AF20</f>
        <v>#REF!</v>
      </c>
      <c r="AG65" s="70" t="e">
        <f t="shared" si="86"/>
        <v>#REF!</v>
      </c>
      <c r="AH65" s="70" t="e">
        <f t="shared" si="86"/>
        <v>#REF!</v>
      </c>
      <c r="AI65" s="70" t="e">
        <f t="shared" si="86"/>
        <v>#REF!</v>
      </c>
      <c r="AJ65" s="70" t="e">
        <f t="shared" si="86"/>
        <v>#REF!</v>
      </c>
      <c r="AK65" s="70" t="e">
        <f t="shared" si="86"/>
        <v>#REF!</v>
      </c>
      <c r="AL65" s="70" t="e">
        <f t="shared" si="86"/>
        <v>#REF!</v>
      </c>
      <c r="AM65" s="70" t="e">
        <f t="shared" si="86"/>
        <v>#REF!</v>
      </c>
      <c r="AN65" s="70" t="e">
        <f t="shared" si="86"/>
        <v>#REF!</v>
      </c>
      <c r="AO65" s="70" t="e">
        <f t="shared" si="86"/>
        <v>#REF!</v>
      </c>
      <c r="AP65" s="70"/>
      <c r="AQ65" s="70"/>
      <c r="AR65" s="70" t="e">
        <f t="shared" ref="AR65:BA65" si="87">AR14+AR15+AR20</f>
        <v>#REF!</v>
      </c>
      <c r="AS65" s="70" t="e">
        <f t="shared" si="87"/>
        <v>#REF!</v>
      </c>
      <c r="AT65" s="70" t="e">
        <f t="shared" si="87"/>
        <v>#REF!</v>
      </c>
      <c r="AU65" s="70" t="e">
        <f t="shared" si="87"/>
        <v>#REF!</v>
      </c>
      <c r="AV65" s="70" t="e">
        <f t="shared" si="87"/>
        <v>#REF!</v>
      </c>
      <c r="AW65" s="70" t="e">
        <f t="shared" si="87"/>
        <v>#REF!</v>
      </c>
      <c r="AX65" s="70" t="e">
        <f t="shared" si="87"/>
        <v>#REF!</v>
      </c>
      <c r="AY65" s="70" t="e">
        <f t="shared" si="87"/>
        <v>#REF!</v>
      </c>
      <c r="AZ65" s="70" t="e">
        <f t="shared" si="87"/>
        <v>#REF!</v>
      </c>
      <c r="BA65" s="70" t="e">
        <f t="shared" si="87"/>
        <v>#REF!</v>
      </c>
    </row>
    <row r="66" spans="27:53" hidden="1">
      <c r="AA66" s="71" t="s">
        <v>29</v>
      </c>
      <c r="AB66" s="35"/>
      <c r="AF66" s="70" t="e">
        <f t="shared" ref="AF66:AO66" si="88">AF25+AF26+AF31</f>
        <v>#REF!</v>
      </c>
      <c r="AG66" s="70" t="e">
        <f t="shared" si="88"/>
        <v>#REF!</v>
      </c>
      <c r="AH66" s="70" t="e">
        <f t="shared" si="88"/>
        <v>#REF!</v>
      </c>
      <c r="AI66" s="70" t="e">
        <f t="shared" si="88"/>
        <v>#REF!</v>
      </c>
      <c r="AJ66" s="70" t="e">
        <f t="shared" si="88"/>
        <v>#REF!</v>
      </c>
      <c r="AK66" s="70" t="e">
        <f t="shared" si="88"/>
        <v>#REF!</v>
      </c>
      <c r="AL66" s="70" t="e">
        <f t="shared" si="88"/>
        <v>#REF!</v>
      </c>
      <c r="AM66" s="70" t="e">
        <f t="shared" si="88"/>
        <v>#REF!</v>
      </c>
      <c r="AN66" s="70" t="e">
        <f t="shared" si="88"/>
        <v>#REF!</v>
      </c>
      <c r="AO66" s="70" t="e">
        <f t="shared" si="88"/>
        <v>#REF!</v>
      </c>
      <c r="AP66" s="70"/>
      <c r="AQ66" s="70"/>
      <c r="AR66" s="70" t="e">
        <f t="shared" ref="AR66:BA66" si="89">AR25+AR26+AR31</f>
        <v>#REF!</v>
      </c>
      <c r="AS66" s="70" t="e">
        <f t="shared" si="89"/>
        <v>#REF!</v>
      </c>
      <c r="AT66" s="70" t="e">
        <f t="shared" si="89"/>
        <v>#REF!</v>
      </c>
      <c r="AU66" s="70" t="e">
        <f t="shared" si="89"/>
        <v>#REF!</v>
      </c>
      <c r="AV66" s="70" t="e">
        <f t="shared" si="89"/>
        <v>#REF!</v>
      </c>
      <c r="AW66" s="70" t="e">
        <f t="shared" si="89"/>
        <v>#REF!</v>
      </c>
      <c r="AX66" s="70" t="e">
        <f t="shared" si="89"/>
        <v>#REF!</v>
      </c>
      <c r="AY66" s="70" t="e">
        <f t="shared" si="89"/>
        <v>#REF!</v>
      </c>
      <c r="AZ66" s="70" t="e">
        <f t="shared" si="89"/>
        <v>#REF!</v>
      </c>
      <c r="BA66" s="70" t="e">
        <f t="shared" si="89"/>
        <v>#REF!</v>
      </c>
    </row>
    <row r="67" spans="27:53" hidden="1">
      <c r="AA67" s="71" t="s">
        <v>41</v>
      </c>
      <c r="AB67" s="35"/>
      <c r="AF67" s="70" t="e">
        <f t="shared" ref="AF67:AO67" si="90">AF36+AF37+AF42</f>
        <v>#REF!</v>
      </c>
      <c r="AG67" s="70" t="e">
        <f t="shared" si="90"/>
        <v>#REF!</v>
      </c>
      <c r="AH67" s="70" t="e">
        <f t="shared" si="90"/>
        <v>#REF!</v>
      </c>
      <c r="AI67" s="70" t="e">
        <f t="shared" si="90"/>
        <v>#REF!</v>
      </c>
      <c r="AJ67" s="70" t="e">
        <f t="shared" si="90"/>
        <v>#REF!</v>
      </c>
      <c r="AK67" s="70" t="e">
        <f t="shared" si="90"/>
        <v>#REF!</v>
      </c>
      <c r="AL67" s="70" t="e">
        <f t="shared" si="90"/>
        <v>#REF!</v>
      </c>
      <c r="AM67" s="70" t="e">
        <f t="shared" si="90"/>
        <v>#REF!</v>
      </c>
      <c r="AN67" s="70" t="e">
        <f t="shared" si="90"/>
        <v>#REF!</v>
      </c>
      <c r="AO67" s="70" t="e">
        <f t="shared" si="90"/>
        <v>#REF!</v>
      </c>
      <c r="AP67" s="70"/>
      <c r="AQ67" s="70"/>
      <c r="AR67" s="70" t="e">
        <f t="shared" ref="AR67:BA67" si="91">AR36+AR37+AR42</f>
        <v>#REF!</v>
      </c>
      <c r="AS67" s="70" t="e">
        <f t="shared" si="91"/>
        <v>#REF!</v>
      </c>
      <c r="AT67" s="70" t="e">
        <f t="shared" si="91"/>
        <v>#REF!</v>
      </c>
      <c r="AU67" s="70" t="e">
        <f t="shared" si="91"/>
        <v>#REF!</v>
      </c>
      <c r="AV67" s="70" t="e">
        <f t="shared" si="91"/>
        <v>#REF!</v>
      </c>
      <c r="AW67" s="70" t="e">
        <f t="shared" si="91"/>
        <v>#REF!</v>
      </c>
      <c r="AX67" s="70" t="e">
        <f t="shared" si="91"/>
        <v>#REF!</v>
      </c>
      <c r="AY67" s="70" t="e">
        <f t="shared" si="91"/>
        <v>#REF!</v>
      </c>
      <c r="AZ67" s="70" t="e">
        <f t="shared" si="91"/>
        <v>#REF!</v>
      </c>
      <c r="BA67" s="70" t="e">
        <f t="shared" si="91"/>
        <v>#REF!</v>
      </c>
    </row>
    <row r="68" spans="27:53" hidden="1">
      <c r="AA68" s="71" t="s">
        <v>42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2" t="s">
        <v>49</v>
      </c>
      <c r="AB69" s="35"/>
      <c r="AF69" s="70" t="e">
        <f t="shared" ref="AF69:AO69" si="92">AF14+AF15+AF19+AF21</f>
        <v>#REF!</v>
      </c>
      <c r="AG69" s="70" t="e">
        <f t="shared" si="92"/>
        <v>#REF!</v>
      </c>
      <c r="AH69" s="70" t="e">
        <f t="shared" si="92"/>
        <v>#REF!</v>
      </c>
      <c r="AI69" s="70" t="e">
        <f t="shared" si="92"/>
        <v>#REF!</v>
      </c>
      <c r="AJ69" s="70" t="e">
        <f t="shared" si="92"/>
        <v>#REF!</v>
      </c>
      <c r="AK69" s="70" t="e">
        <f t="shared" si="92"/>
        <v>#REF!</v>
      </c>
      <c r="AL69" s="70" t="e">
        <f t="shared" si="92"/>
        <v>#REF!</v>
      </c>
      <c r="AM69" s="70" t="e">
        <f t="shared" si="92"/>
        <v>#REF!</v>
      </c>
      <c r="AN69" s="70" t="e">
        <f t="shared" si="92"/>
        <v>#REF!</v>
      </c>
      <c r="AO69" s="70" t="e">
        <f t="shared" si="92"/>
        <v>#REF!</v>
      </c>
      <c r="AP69" s="70"/>
      <c r="AQ69" s="70"/>
      <c r="AR69" s="70" t="e">
        <f t="shared" ref="AR69:BA69" si="93">AR14+AR15+AR19+AR21</f>
        <v>#REF!</v>
      </c>
      <c r="AS69" s="70" t="e">
        <f t="shared" si="93"/>
        <v>#REF!</v>
      </c>
      <c r="AT69" s="70" t="e">
        <f t="shared" si="93"/>
        <v>#REF!</v>
      </c>
      <c r="AU69" s="70" t="e">
        <f t="shared" si="93"/>
        <v>#REF!</v>
      </c>
      <c r="AV69" s="70" t="e">
        <f t="shared" si="93"/>
        <v>#REF!</v>
      </c>
      <c r="AW69" s="70" t="e">
        <f t="shared" si="93"/>
        <v>#REF!</v>
      </c>
      <c r="AX69" s="70" t="e">
        <f t="shared" si="93"/>
        <v>#REF!</v>
      </c>
      <c r="AY69" s="70" t="e">
        <f t="shared" si="93"/>
        <v>#REF!</v>
      </c>
      <c r="AZ69" s="70" t="e">
        <f t="shared" si="93"/>
        <v>#REF!</v>
      </c>
      <c r="BA69" s="70" t="e">
        <f t="shared" si="93"/>
        <v>#REF!</v>
      </c>
    </row>
    <row r="70" spans="27:53" hidden="1">
      <c r="AA70" s="71" t="s">
        <v>29</v>
      </c>
      <c r="AB70" s="35"/>
      <c r="AF70" s="70" t="e">
        <f t="shared" ref="AF70:AO70" si="94">AF25+AF26+AF30+AF32</f>
        <v>#REF!</v>
      </c>
      <c r="AG70" s="70" t="e">
        <f t="shared" si="94"/>
        <v>#REF!</v>
      </c>
      <c r="AH70" s="70" t="e">
        <f t="shared" si="94"/>
        <v>#REF!</v>
      </c>
      <c r="AI70" s="70" t="e">
        <f t="shared" si="94"/>
        <v>#REF!</v>
      </c>
      <c r="AJ70" s="70" t="e">
        <f t="shared" si="94"/>
        <v>#REF!</v>
      </c>
      <c r="AK70" s="70" t="e">
        <f t="shared" si="94"/>
        <v>#REF!</v>
      </c>
      <c r="AL70" s="70" t="e">
        <f t="shared" si="94"/>
        <v>#REF!</v>
      </c>
      <c r="AM70" s="70" t="e">
        <f t="shared" si="94"/>
        <v>#REF!</v>
      </c>
      <c r="AN70" s="70" t="e">
        <f t="shared" si="94"/>
        <v>#REF!</v>
      </c>
      <c r="AO70" s="70" t="e">
        <f t="shared" si="94"/>
        <v>#REF!</v>
      </c>
      <c r="AP70" s="70"/>
      <c r="AQ70" s="70"/>
      <c r="AR70" s="70" t="e">
        <f t="shared" ref="AR70:BA70" si="95">AR25+AR26+AR30+AR32</f>
        <v>#REF!</v>
      </c>
      <c r="AS70" s="70" t="e">
        <f t="shared" si="95"/>
        <v>#REF!</v>
      </c>
      <c r="AT70" s="70" t="e">
        <f t="shared" si="95"/>
        <v>#REF!</v>
      </c>
      <c r="AU70" s="70" t="e">
        <f t="shared" si="95"/>
        <v>#REF!</v>
      </c>
      <c r="AV70" s="70" t="e">
        <f t="shared" si="95"/>
        <v>#REF!</v>
      </c>
      <c r="AW70" s="70" t="e">
        <f t="shared" si="95"/>
        <v>#REF!</v>
      </c>
      <c r="AX70" s="70" t="e">
        <f t="shared" si="95"/>
        <v>#REF!</v>
      </c>
      <c r="AY70" s="70" t="e">
        <f t="shared" si="95"/>
        <v>#REF!</v>
      </c>
      <c r="AZ70" s="70" t="e">
        <f t="shared" si="95"/>
        <v>#REF!</v>
      </c>
      <c r="BA70" s="70" t="e">
        <f t="shared" si="95"/>
        <v>#REF!</v>
      </c>
    </row>
    <row r="71" spans="27:53" hidden="1">
      <c r="AA71" s="71" t="s">
        <v>41</v>
      </c>
      <c r="AB71" s="35"/>
      <c r="AF71" s="70" t="e">
        <f t="shared" ref="AF71:AO71" si="96">AF36+AF37+AF41+AF43</f>
        <v>#REF!</v>
      </c>
      <c r="AG71" s="70" t="e">
        <f t="shared" si="96"/>
        <v>#REF!</v>
      </c>
      <c r="AH71" s="70" t="e">
        <f t="shared" si="96"/>
        <v>#REF!</v>
      </c>
      <c r="AI71" s="70" t="e">
        <f t="shared" si="96"/>
        <v>#REF!</v>
      </c>
      <c r="AJ71" s="70" t="e">
        <f t="shared" si="96"/>
        <v>#REF!</v>
      </c>
      <c r="AK71" s="70" t="e">
        <f t="shared" si="96"/>
        <v>#REF!</v>
      </c>
      <c r="AL71" s="70" t="e">
        <f t="shared" si="96"/>
        <v>#REF!</v>
      </c>
      <c r="AM71" s="70" t="e">
        <f t="shared" si="96"/>
        <v>#REF!</v>
      </c>
      <c r="AN71" s="70" t="e">
        <f t="shared" si="96"/>
        <v>#REF!</v>
      </c>
      <c r="AO71" s="70" t="e">
        <f t="shared" si="96"/>
        <v>#REF!</v>
      </c>
      <c r="AP71" s="70"/>
      <c r="AQ71" s="70"/>
      <c r="AR71" s="70" t="e">
        <f t="shared" ref="AR71:BA71" si="97">AR36+AR37+AR41+AR43</f>
        <v>#REF!</v>
      </c>
      <c r="AS71" s="70" t="e">
        <f t="shared" si="97"/>
        <v>#REF!</v>
      </c>
      <c r="AT71" s="70" t="e">
        <f t="shared" si="97"/>
        <v>#REF!</v>
      </c>
      <c r="AU71" s="70" t="e">
        <f t="shared" si="97"/>
        <v>#REF!</v>
      </c>
      <c r="AV71" s="70" t="e">
        <f t="shared" si="97"/>
        <v>#REF!</v>
      </c>
      <c r="AW71" s="70" t="e">
        <f t="shared" si="97"/>
        <v>#REF!</v>
      </c>
      <c r="AX71" s="70" t="e">
        <f t="shared" si="97"/>
        <v>#REF!</v>
      </c>
      <c r="AY71" s="70" t="e">
        <f t="shared" si="97"/>
        <v>#REF!</v>
      </c>
      <c r="AZ71" s="70" t="e">
        <f t="shared" si="97"/>
        <v>#REF!</v>
      </c>
      <c r="BA71" s="70" t="e">
        <f t="shared" si="97"/>
        <v>#REF!</v>
      </c>
    </row>
    <row r="72" spans="27:53" hidden="1">
      <c r="AA72" s="71" t="s">
        <v>42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69" t="s">
        <v>50</v>
      </c>
      <c r="AB73" s="35"/>
      <c r="AF73" s="70" t="e">
        <f t="shared" ref="AF73:AO73" si="98">AF14+AF15+AF19+AF22</f>
        <v>#REF!</v>
      </c>
      <c r="AG73" s="70" t="e">
        <f t="shared" si="98"/>
        <v>#REF!</v>
      </c>
      <c r="AH73" s="70" t="e">
        <f t="shared" si="98"/>
        <v>#REF!</v>
      </c>
      <c r="AI73" s="70" t="e">
        <f t="shared" si="98"/>
        <v>#REF!</v>
      </c>
      <c r="AJ73" s="70" t="e">
        <f t="shared" si="98"/>
        <v>#REF!</v>
      </c>
      <c r="AK73" s="70" t="e">
        <f t="shared" si="98"/>
        <v>#REF!</v>
      </c>
      <c r="AL73" s="70" t="e">
        <f t="shared" si="98"/>
        <v>#REF!</v>
      </c>
      <c r="AM73" s="70" t="e">
        <f t="shared" si="98"/>
        <v>#REF!</v>
      </c>
      <c r="AN73" s="70" t="e">
        <f t="shared" si="98"/>
        <v>#REF!</v>
      </c>
      <c r="AO73" s="70" t="e">
        <f t="shared" si="98"/>
        <v>#REF!</v>
      </c>
      <c r="AP73" s="70"/>
      <c r="AQ73" s="70"/>
      <c r="AR73" s="70" t="e">
        <f t="shared" ref="AR73:BA73" si="99">AR14+AR15+AR19+AR22</f>
        <v>#REF!</v>
      </c>
      <c r="AS73" s="70" t="e">
        <f t="shared" si="99"/>
        <v>#REF!</v>
      </c>
      <c r="AT73" s="70" t="e">
        <f t="shared" si="99"/>
        <v>#REF!</v>
      </c>
      <c r="AU73" s="70" t="e">
        <f t="shared" si="99"/>
        <v>#REF!</v>
      </c>
      <c r="AV73" s="70" t="e">
        <f t="shared" si="99"/>
        <v>#REF!</v>
      </c>
      <c r="AW73" s="70" t="e">
        <f t="shared" si="99"/>
        <v>#REF!</v>
      </c>
      <c r="AX73" s="70" t="e">
        <f t="shared" si="99"/>
        <v>#REF!</v>
      </c>
      <c r="AY73" s="70" t="e">
        <f t="shared" si="99"/>
        <v>#REF!</v>
      </c>
      <c r="AZ73" s="70" t="e">
        <f t="shared" si="99"/>
        <v>#REF!</v>
      </c>
      <c r="BA73" s="70" t="e">
        <f t="shared" si="99"/>
        <v>#REF!</v>
      </c>
    </row>
    <row r="74" spans="27:53" hidden="1">
      <c r="AA74" s="71" t="s">
        <v>29</v>
      </c>
      <c r="AB74" s="35"/>
      <c r="AF74" s="70" t="e">
        <f t="shared" ref="AF74:AO74" si="100">AF25+AF26+AF30+AF33</f>
        <v>#REF!</v>
      </c>
      <c r="AG74" s="70" t="e">
        <f t="shared" si="100"/>
        <v>#REF!</v>
      </c>
      <c r="AH74" s="70" t="e">
        <f t="shared" si="100"/>
        <v>#REF!</v>
      </c>
      <c r="AI74" s="70" t="e">
        <f t="shared" si="100"/>
        <v>#REF!</v>
      </c>
      <c r="AJ74" s="70" t="e">
        <f t="shared" si="100"/>
        <v>#REF!</v>
      </c>
      <c r="AK74" s="70" t="e">
        <f t="shared" si="100"/>
        <v>#REF!</v>
      </c>
      <c r="AL74" s="70" t="e">
        <f t="shared" si="100"/>
        <v>#REF!</v>
      </c>
      <c r="AM74" s="70" t="e">
        <f t="shared" si="100"/>
        <v>#REF!</v>
      </c>
      <c r="AN74" s="70" t="e">
        <f t="shared" si="100"/>
        <v>#REF!</v>
      </c>
      <c r="AO74" s="70" t="e">
        <f t="shared" si="100"/>
        <v>#REF!</v>
      </c>
      <c r="AP74" s="70"/>
      <c r="AQ74" s="70"/>
      <c r="AR74" s="70" t="e">
        <f t="shared" ref="AR74:BA74" si="101">AR25+AR26+AR30+AR33</f>
        <v>#REF!</v>
      </c>
      <c r="AS74" s="70" t="e">
        <f t="shared" si="101"/>
        <v>#REF!</v>
      </c>
      <c r="AT74" s="70" t="e">
        <f t="shared" si="101"/>
        <v>#REF!</v>
      </c>
      <c r="AU74" s="70" t="e">
        <f t="shared" si="101"/>
        <v>#REF!</v>
      </c>
      <c r="AV74" s="70" t="e">
        <f t="shared" si="101"/>
        <v>#REF!</v>
      </c>
      <c r="AW74" s="70" t="e">
        <f t="shared" si="101"/>
        <v>#REF!</v>
      </c>
      <c r="AX74" s="70" t="e">
        <f t="shared" si="101"/>
        <v>#REF!</v>
      </c>
      <c r="AY74" s="70" t="e">
        <f t="shared" si="101"/>
        <v>#REF!</v>
      </c>
      <c r="AZ74" s="70" t="e">
        <f t="shared" si="101"/>
        <v>#REF!</v>
      </c>
      <c r="BA74" s="70" t="e">
        <f t="shared" si="101"/>
        <v>#REF!</v>
      </c>
    </row>
    <row r="75" spans="27:53" hidden="1">
      <c r="AA75" s="71" t="s">
        <v>41</v>
      </c>
      <c r="AB75" s="35"/>
      <c r="AF75" s="70" t="e">
        <f t="shared" ref="AF75:AO75" si="102">AF36+AF37+AF41+AF44</f>
        <v>#REF!</v>
      </c>
      <c r="AG75" s="70" t="e">
        <f t="shared" si="102"/>
        <v>#REF!</v>
      </c>
      <c r="AH75" s="70" t="e">
        <f t="shared" si="102"/>
        <v>#REF!</v>
      </c>
      <c r="AI75" s="70" t="e">
        <f t="shared" si="102"/>
        <v>#REF!</v>
      </c>
      <c r="AJ75" s="70" t="e">
        <f t="shared" si="102"/>
        <v>#REF!</v>
      </c>
      <c r="AK75" s="70" t="e">
        <f t="shared" si="102"/>
        <v>#REF!</v>
      </c>
      <c r="AL75" s="70" t="e">
        <f t="shared" si="102"/>
        <v>#REF!</v>
      </c>
      <c r="AM75" s="70" t="e">
        <f t="shared" si="102"/>
        <v>#REF!</v>
      </c>
      <c r="AN75" s="70" t="e">
        <f t="shared" si="102"/>
        <v>#REF!</v>
      </c>
      <c r="AO75" s="70" t="e">
        <f t="shared" si="102"/>
        <v>#REF!</v>
      </c>
      <c r="AP75" s="70"/>
      <c r="AQ75" s="70"/>
      <c r="AR75" s="70" t="e">
        <f t="shared" ref="AR75:BA75" si="103">AR36+AR37+AR41+AR44</f>
        <v>#REF!</v>
      </c>
      <c r="AS75" s="70" t="e">
        <f t="shared" si="103"/>
        <v>#REF!</v>
      </c>
      <c r="AT75" s="70" t="e">
        <f t="shared" si="103"/>
        <v>#REF!</v>
      </c>
      <c r="AU75" s="70" t="e">
        <f t="shared" si="103"/>
        <v>#REF!</v>
      </c>
      <c r="AV75" s="70" t="e">
        <f t="shared" si="103"/>
        <v>#REF!</v>
      </c>
      <c r="AW75" s="70" t="e">
        <f t="shared" si="103"/>
        <v>#REF!</v>
      </c>
      <c r="AX75" s="70" t="e">
        <f t="shared" si="103"/>
        <v>#REF!</v>
      </c>
      <c r="AY75" s="70" t="e">
        <f t="shared" si="103"/>
        <v>#REF!</v>
      </c>
      <c r="AZ75" s="70" t="e">
        <f t="shared" si="103"/>
        <v>#REF!</v>
      </c>
      <c r="BA75" s="70" t="e">
        <f t="shared" si="103"/>
        <v>#REF!</v>
      </c>
    </row>
    <row r="76" spans="27:53" hidden="1">
      <c r="AA76" s="71" t="s">
        <v>42</v>
      </c>
      <c r="AB76" s="35"/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N86" s="38"/>
      <c r="AZ86" s="36"/>
    </row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545" t="s">
        <v>55</v>
      </c>
      <c r="G88" s="545" t="s">
        <v>73</v>
      </c>
      <c r="H88" s="545" t="s">
        <v>74</v>
      </c>
      <c r="I88" s="545" t="s">
        <v>58</v>
      </c>
      <c r="J88" s="545" t="s">
        <v>59</v>
      </c>
      <c r="K88" s="545" t="s">
        <v>60</v>
      </c>
      <c r="L88" s="544" t="s">
        <v>75</v>
      </c>
      <c r="M88" s="544" t="s">
        <v>76</v>
      </c>
      <c r="N88" s="544" t="s">
        <v>61</v>
      </c>
      <c r="O88" s="544" t="s">
        <v>62</v>
      </c>
      <c r="P88" s="544" t="s">
        <v>63</v>
      </c>
      <c r="AN88" s="38"/>
      <c r="AZ88" s="36"/>
    </row>
    <row r="89" spans="1:52" ht="25.5">
      <c r="A89" s="44" t="str">
        <f t="shared" ref="A89:C90" si="104">A4</f>
        <v>Substation General Construction</v>
      </c>
      <c r="B89" s="45" t="str">
        <f t="shared" si="104"/>
        <v>Light-Duty Truck, catalyst</v>
      </c>
      <c r="C89" s="46">
        <f t="shared" si="104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105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si="104"/>
        <v>Substation Wiring</v>
      </c>
      <c r="B90" s="45" t="str">
        <f t="shared" si="104"/>
        <v>Light-Duty Truck, catalyst</v>
      </c>
      <c r="C90" s="46">
        <f t="shared" si="104"/>
        <v>1</v>
      </c>
      <c r="D90" s="46">
        <v>35</v>
      </c>
      <c r="E90" s="46">
        <v>80</v>
      </c>
      <c r="F90" s="50">
        <f>C5*($E5*$F5+($G5))/453.59</f>
        <v>0.48571938588092006</v>
      </c>
      <c r="G90" s="50">
        <f>C5*($E5*$H5+($I5))/453.59</f>
        <v>4.367065729437801E-2</v>
      </c>
      <c r="H90" s="50">
        <f>C5*(($E5*$J5)+($K5)+($L5)+($E5*$N5)+(($M5+$O5)))/453.59</f>
        <v>5.0499980323953329E-2</v>
      </c>
      <c r="I90" s="50">
        <f>C5*($E5*$P5+($Q5))/453.59</f>
        <v>7.2679702716061593E-4</v>
      </c>
      <c r="J90" s="50">
        <f>C5*(($E5*($R5+$T5+$U5))+($S5))/453.59</f>
        <v>8.5240904552078972E-3</v>
      </c>
      <c r="K90" s="50">
        <f>$C5*(($E5*($V5+$X5+$Y5))+($W5))/453.59</f>
        <v>3.7120053242531417E-3</v>
      </c>
      <c r="L90" s="50">
        <f>$B$22*C5*(E5+6)</f>
        <v>8.4385825860718994E-3</v>
      </c>
      <c r="M90" s="50">
        <f t="shared" si="105"/>
        <v>3.4598188602894785E-3</v>
      </c>
      <c r="N90" s="50">
        <f>C5*($E5*$Z5+($AA5))/453.59</f>
        <v>55.423576726038895</v>
      </c>
      <c r="O90" s="50">
        <f>C5*($E5*$AB5+($AC5))/453.59</f>
        <v>3.1704753890302493E-3</v>
      </c>
      <c r="P90" s="50">
        <f>C5*($E5*$AD5+($AE5))/453.59</f>
        <v>5.7711199138433603E-3</v>
      </c>
      <c r="AN90" s="38"/>
      <c r="AZ90" s="36"/>
    </row>
    <row r="91" spans="1:52">
      <c r="A91" s="61" t="s">
        <v>389</v>
      </c>
      <c r="B91" s="40"/>
      <c r="C91" s="40"/>
      <c r="D91" s="40"/>
      <c r="E91" s="40"/>
      <c r="F91" s="81">
        <f t="shared" ref="F91:P91" si="106">SUM(F89:F90)</f>
        <v>1.9428775435236803</v>
      </c>
      <c r="G91" s="81">
        <f t="shared" si="106"/>
        <v>0.17468262917751204</v>
      </c>
      <c r="H91" s="81">
        <f t="shared" si="106"/>
        <v>0.20199992129581332</v>
      </c>
      <c r="I91" s="81">
        <f t="shared" si="106"/>
        <v>2.9071881086424637E-3</v>
      </c>
      <c r="J91" s="81">
        <f t="shared" si="106"/>
        <v>3.4096361820831589E-2</v>
      </c>
      <c r="K91" s="81">
        <f t="shared" si="106"/>
        <v>1.4848021297012567E-2</v>
      </c>
      <c r="L91" s="81">
        <f t="shared" si="106"/>
        <v>3.3754330344287597E-2</v>
      </c>
      <c r="M91" s="81">
        <f t="shared" si="106"/>
        <v>1.3839275441157914E-2</v>
      </c>
      <c r="N91" s="81">
        <f t="shared" si="106"/>
        <v>221.69430690415561</v>
      </c>
      <c r="O91" s="81">
        <f t="shared" si="106"/>
        <v>1.2681901556120997E-2</v>
      </c>
      <c r="P91" s="81">
        <f t="shared" si="106"/>
        <v>2.3084479655373441E-2</v>
      </c>
    </row>
  </sheetData>
  <mergeCells count="16">
    <mergeCell ref="AR11:BA11"/>
    <mergeCell ref="A87:A88"/>
    <mergeCell ref="B87:B88"/>
    <mergeCell ref="F87:P87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0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693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317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24" t="s">
        <v>311</v>
      </c>
      <c r="B14" s="29" t="s">
        <v>27</v>
      </c>
      <c r="C14" s="22">
        <v>175</v>
      </c>
      <c r="D14" s="22"/>
      <c r="E14" s="102">
        <v>0.11792220738547983</v>
      </c>
      <c r="F14" s="102">
        <v>0.36512193352152528</v>
      </c>
      <c r="G14" s="102">
        <v>0.86781464282266541</v>
      </c>
      <c r="H14" s="102">
        <v>1.8739217498104396E-3</v>
      </c>
      <c r="I14" s="102">
        <v>2.9041712295589866E-2</v>
      </c>
      <c r="J14" s="100">
        <f t="shared" ref="J14" si="4">0.89*I14</f>
        <v>2.5847123943074982E-2</v>
      </c>
      <c r="K14" s="103">
        <v>166.54541562452522</v>
      </c>
      <c r="L14" s="102">
        <v>1.063993297769634E-2</v>
      </c>
      <c r="M14" s="104">
        <f t="shared" ref="M14" si="5">0.095*G14</f>
        <v>8.2442391068153209E-2</v>
      </c>
      <c r="N14" s="98">
        <v>1</v>
      </c>
      <c r="O14" s="87">
        <v>2</v>
      </c>
      <c r="P14" s="363">
        <v>280</v>
      </c>
      <c r="Q14" s="34">
        <f t="shared" ref="Q14:Y14" si="6">(E14*$N14*$O14)</f>
        <v>0.23584441477095966</v>
      </c>
      <c r="R14" s="26">
        <f t="shared" si="6"/>
        <v>0.73024386704305055</v>
      </c>
      <c r="S14" s="26">
        <f t="shared" si="6"/>
        <v>1.7356292856453308</v>
      </c>
      <c r="T14" s="26">
        <f t="shared" si="6"/>
        <v>3.7478434996208792E-3</v>
      </c>
      <c r="U14" s="26">
        <f t="shared" si="6"/>
        <v>5.8083424591179732E-2</v>
      </c>
      <c r="V14" s="26">
        <f t="shared" si="6"/>
        <v>5.1694247886149965E-2</v>
      </c>
      <c r="W14" s="26">
        <f t="shared" si="6"/>
        <v>333.09083124905044</v>
      </c>
      <c r="X14" s="26">
        <f t="shared" si="6"/>
        <v>2.127986595539268E-2</v>
      </c>
      <c r="Y14" s="26">
        <f t="shared" si="6"/>
        <v>0.16488478213630642</v>
      </c>
    </row>
    <row r="15" spans="1:25" s="3" customFormat="1">
      <c r="A15" s="17" t="s">
        <v>28</v>
      </c>
      <c r="B15" s="97"/>
      <c r="C15" s="22"/>
      <c r="D15" s="22"/>
      <c r="E15" s="23"/>
      <c r="F15" s="23"/>
      <c r="G15" s="23"/>
      <c r="H15" s="23"/>
      <c r="I15" s="23"/>
      <c r="J15" s="24"/>
      <c r="K15" s="25"/>
      <c r="L15" s="23"/>
      <c r="M15" s="23"/>
      <c r="N15" s="88"/>
      <c r="O15" s="88"/>
      <c r="P15" s="88"/>
      <c r="Q15" s="27">
        <f t="shared" ref="Q15:Y15" si="7">SUM(Q14:Q14)</f>
        <v>0.23584441477095966</v>
      </c>
      <c r="R15" s="27">
        <f t="shared" si="7"/>
        <v>0.73024386704305055</v>
      </c>
      <c r="S15" s="27">
        <f t="shared" si="7"/>
        <v>1.7356292856453308</v>
      </c>
      <c r="T15" s="27">
        <f t="shared" si="7"/>
        <v>3.7478434996208792E-3</v>
      </c>
      <c r="U15" s="27">
        <f t="shared" si="7"/>
        <v>5.8083424591179732E-2</v>
      </c>
      <c r="V15" s="27">
        <f t="shared" si="7"/>
        <v>5.1694247886149965E-2</v>
      </c>
      <c r="W15" s="27">
        <f t="shared" si="7"/>
        <v>333.09083124905044</v>
      </c>
      <c r="X15" s="27">
        <f t="shared" si="7"/>
        <v>2.127986595539268E-2</v>
      </c>
      <c r="Y15" s="27">
        <f t="shared" si="7"/>
        <v>0.16488478213630642</v>
      </c>
    </row>
    <row r="16" spans="1:25" s="3" customFormat="1">
      <c r="A16" s="24"/>
      <c r="B16" s="29"/>
      <c r="C16" s="22"/>
      <c r="D16" s="22"/>
      <c r="E16" s="108"/>
      <c r="F16" s="108"/>
      <c r="G16" s="108"/>
      <c r="H16" s="108"/>
      <c r="I16" s="108"/>
      <c r="J16" s="100"/>
      <c r="K16" s="365"/>
      <c r="L16" s="110"/>
      <c r="M16" s="102"/>
      <c r="N16" s="98"/>
      <c r="O16" s="98"/>
      <c r="P16" s="363"/>
      <c r="Q16" s="34"/>
      <c r="R16" s="26"/>
      <c r="S16" s="26"/>
      <c r="T16" s="26"/>
      <c r="U16" s="26"/>
      <c r="V16" s="26"/>
      <c r="W16" s="26"/>
      <c r="X16" s="26"/>
      <c r="Y16" s="26"/>
    </row>
    <row r="17" spans="1:32" s="3" customFormat="1">
      <c r="A17" s="11" t="s">
        <v>518</v>
      </c>
      <c r="B17" s="22"/>
      <c r="C17" s="18"/>
      <c r="D17" s="22"/>
      <c r="E17" s="19"/>
      <c r="F17" s="19"/>
      <c r="G17" s="19"/>
      <c r="H17" s="19"/>
      <c r="I17" s="19"/>
      <c r="J17" s="19"/>
      <c r="K17" s="19"/>
      <c r="L17" s="19"/>
      <c r="M17" s="19"/>
      <c r="N17" s="11"/>
      <c r="O17" s="11"/>
      <c r="P17" s="11"/>
      <c r="Q17" s="27"/>
      <c r="R17" s="27"/>
      <c r="S17" s="27"/>
      <c r="T17" s="27"/>
      <c r="U17" s="27"/>
      <c r="V17" s="27"/>
      <c r="W17" s="28"/>
      <c r="X17" s="27"/>
      <c r="Y17" s="27"/>
    </row>
    <row r="18" spans="1:32" s="6" customFormat="1">
      <c r="A18" s="17" t="s">
        <v>28</v>
      </c>
      <c r="B18" s="97"/>
      <c r="C18" s="22"/>
      <c r="D18" s="22"/>
      <c r="E18" s="102"/>
      <c r="F18" s="102"/>
      <c r="G18" s="102"/>
      <c r="H18" s="102"/>
      <c r="I18" s="102"/>
      <c r="J18" s="100"/>
      <c r="K18" s="103"/>
      <c r="L18" s="102"/>
      <c r="M18" s="104"/>
      <c r="N18" s="88"/>
      <c r="O18" s="88"/>
      <c r="P18" s="88"/>
      <c r="Q18" s="27"/>
      <c r="R18" s="27"/>
      <c r="S18" s="27"/>
      <c r="T18" s="27"/>
      <c r="U18" s="27"/>
      <c r="V18" s="27"/>
      <c r="W18" s="27"/>
      <c r="X18" s="27"/>
      <c r="Y18" s="27"/>
      <c r="AF18" s="7"/>
    </row>
    <row r="19" spans="1:32">
      <c r="A19" s="17"/>
      <c r="B19" s="29"/>
      <c r="C19" s="22"/>
      <c r="D19" s="22"/>
      <c r="E19" s="23"/>
      <c r="F19" s="23"/>
      <c r="G19" s="23"/>
      <c r="H19" s="23"/>
      <c r="I19" s="23"/>
      <c r="J19" s="24"/>
      <c r="K19" s="25"/>
      <c r="L19" s="23"/>
      <c r="M19" s="23"/>
      <c r="N19" s="99"/>
      <c r="O19" s="99"/>
      <c r="P19" s="99"/>
      <c r="Q19" s="27"/>
      <c r="R19" s="27"/>
      <c r="S19" s="27"/>
      <c r="T19" s="27"/>
      <c r="U19" s="27"/>
      <c r="V19" s="27"/>
      <c r="W19" s="27"/>
      <c r="X19" s="27"/>
      <c r="Y19" s="27"/>
    </row>
    <row r="20" spans="1:32">
      <c r="A20" s="17" t="s">
        <v>499</v>
      </c>
      <c r="B20" s="549"/>
      <c r="C20" s="18"/>
      <c r="D20" s="22"/>
      <c r="E20" s="19"/>
      <c r="F20" s="19"/>
      <c r="G20" s="19"/>
      <c r="H20" s="19"/>
      <c r="I20" s="19"/>
      <c r="J20" s="19"/>
      <c r="K20" s="19"/>
      <c r="L20" s="19"/>
      <c r="M20" s="19"/>
      <c r="N20" s="30"/>
      <c r="O20" s="30"/>
      <c r="P20" s="364"/>
      <c r="Q20" s="20">
        <f>Q11+Q15</f>
        <v>0.9504215378625569</v>
      </c>
      <c r="R20" s="20">
        <f t="shared" ref="R20:Y20" si="8">R11+R15</f>
        <v>3.6844030780014445</v>
      </c>
      <c r="S20" s="20">
        <f t="shared" si="8"/>
        <v>6.1566857317844876</v>
      </c>
      <c r="T20" s="20">
        <f t="shared" si="8"/>
        <v>1.207090973569876E-2</v>
      </c>
      <c r="U20" s="20">
        <f t="shared" si="8"/>
        <v>0.30389171690722716</v>
      </c>
      <c r="V20" s="20">
        <f t="shared" si="8"/>
        <v>0.27046362804743218</v>
      </c>
      <c r="W20" s="20">
        <f t="shared" si="8"/>
        <v>1029.5443237340787</v>
      </c>
      <c r="X20" s="20">
        <f t="shared" si="8"/>
        <v>9.3819672145962416E-2</v>
      </c>
      <c r="Y20" s="20">
        <f t="shared" si="8"/>
        <v>0.58488514451952633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4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694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315</v>
      </c>
      <c r="B8" s="74"/>
      <c r="C8" s="112"/>
      <c r="D8" s="112"/>
      <c r="E8" s="74"/>
      <c r="F8" s="74"/>
      <c r="G8" s="547"/>
      <c r="H8" s="41"/>
      <c r="I8" s="41"/>
      <c r="J8" s="41"/>
      <c r="K8" s="544"/>
      <c r="L8" s="544"/>
      <c r="M8" s="544"/>
      <c r="N8" s="544"/>
      <c r="O8" s="544"/>
      <c r="P8" s="544"/>
      <c r="Q8" s="41"/>
      <c r="R8" s="544"/>
      <c r="S8" s="54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C9*(F9)*$B$382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5" t="s">
        <v>28</v>
      </c>
      <c r="B10" s="74"/>
      <c r="C10" s="112"/>
      <c r="D10" s="112"/>
      <c r="E10" s="74"/>
      <c r="F10" s="74"/>
      <c r="G10" s="547"/>
      <c r="H10" s="41"/>
      <c r="I10" s="41"/>
      <c r="J10" s="41"/>
      <c r="K10" s="544"/>
      <c r="L10" s="544"/>
      <c r="M10" s="544"/>
      <c r="N10" s="544"/>
      <c r="O10" s="544"/>
      <c r="P10" s="544"/>
      <c r="Q10" s="41"/>
      <c r="R10" s="544"/>
      <c r="S10" s="544"/>
      <c r="T10" s="81">
        <f t="shared" ref="T10:AD10" si="0">SUM(T9:T9)</f>
        <v>9.9891275533645019E-2</v>
      </c>
      <c r="U10" s="81">
        <f t="shared" si="0"/>
        <v>0.18440937782971867</v>
      </c>
      <c r="V10" s="81">
        <f t="shared" si="0"/>
        <v>2.253067276294635E-2</v>
      </c>
      <c r="W10" s="81">
        <f t="shared" si="0"/>
        <v>1.3898613406074772E-3</v>
      </c>
      <c r="X10" s="81">
        <f t="shared" si="0"/>
        <v>3.6369464870151122E-2</v>
      </c>
      <c r="Y10" s="81">
        <f t="shared" si="0"/>
        <v>2.4166098982977401E-2</v>
      </c>
      <c r="Z10" s="81">
        <f t="shared" si="0"/>
        <v>1.7662149598755138E-2</v>
      </c>
      <c r="AA10" s="81">
        <f t="shared" si="0"/>
        <v>3.7090514157385786E-3</v>
      </c>
      <c r="AB10" s="81">
        <f t="shared" si="0"/>
        <v>96.814105590256631</v>
      </c>
      <c r="AC10" s="81">
        <f t="shared" si="0"/>
        <v>5.5322484357440338E-3</v>
      </c>
      <c r="AD10" s="81">
        <f t="shared" si="0"/>
        <v>2.4799901288000137E-3</v>
      </c>
    </row>
    <row r="11" spans="1:30">
      <c r="A11" s="75"/>
      <c r="B11" s="74"/>
      <c r="C11" s="112"/>
      <c r="D11" s="112"/>
      <c r="E11" s="74"/>
      <c r="F11" s="74"/>
      <c r="G11" s="547"/>
      <c r="H11" s="41"/>
      <c r="I11" s="41"/>
      <c r="J11" s="41"/>
      <c r="K11" s="544"/>
      <c r="L11" s="544"/>
      <c r="M11" s="544"/>
      <c r="N11" s="544"/>
      <c r="O11" s="544"/>
      <c r="P11" s="544"/>
      <c r="Q11" s="41"/>
      <c r="R11" s="544"/>
      <c r="S11" s="544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</row>
    <row r="12" spans="1:30">
      <c r="A12" s="114" t="s">
        <v>336</v>
      </c>
      <c r="B12" s="74"/>
      <c r="C12" s="112"/>
      <c r="D12" s="112"/>
      <c r="E12" s="74"/>
      <c r="F12" s="74"/>
      <c r="G12" s="547"/>
      <c r="H12" s="41"/>
      <c r="I12" s="41"/>
      <c r="J12" s="41"/>
      <c r="K12" s="544"/>
      <c r="L12" s="544"/>
      <c r="M12" s="544"/>
      <c r="N12" s="544"/>
      <c r="O12" s="544"/>
      <c r="P12" s="544"/>
      <c r="Q12" s="41"/>
      <c r="R12" s="544"/>
      <c r="S12" s="54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>
      <c r="A13" s="78" t="s">
        <v>320</v>
      </c>
      <c r="B13" s="76" t="s">
        <v>95</v>
      </c>
      <c r="C13" s="79">
        <v>3</v>
      </c>
      <c r="D13" s="77"/>
      <c r="E13" s="77">
        <v>35</v>
      </c>
      <c r="F13" s="77">
        <v>60</v>
      </c>
      <c r="G13" s="106">
        <v>0.25172046482947802</v>
      </c>
      <c r="H13" s="106">
        <v>0.464701387165456</v>
      </c>
      <c r="I13" s="106">
        <v>5.6776043658582402E-2</v>
      </c>
      <c r="J13" s="106">
        <v>3.5023733638119199E-3</v>
      </c>
      <c r="K13" s="106">
        <v>4.6899256897933901E-2</v>
      </c>
      <c r="L13" s="47">
        <v>7.99995847163921E-3</v>
      </c>
      <c r="M13" s="47">
        <v>3.6749815577381599E-2</v>
      </c>
      <c r="N13" s="106">
        <v>4.3147317248333997E-2</v>
      </c>
      <c r="O13" s="47">
        <v>1.9999896145790402E-3</v>
      </c>
      <c r="P13" s="47">
        <v>1.57499200131354E-2</v>
      </c>
      <c r="Q13" s="106">
        <v>243.966167526025</v>
      </c>
      <c r="R13" s="47">
        <f>0.000057143*Q13</f>
        <v>1.3940958710939646E-2</v>
      </c>
      <c r="S13" s="80">
        <f>0.000025616*Q13</f>
        <v>6.2494373473466567E-3</v>
      </c>
      <c r="T13" s="50">
        <f>C13*($F13*$G13)/453.59</f>
        <v>9.9891275533645019E-2</v>
      </c>
      <c r="U13" s="50">
        <f>C13*($F13*$H13)/453.59</f>
        <v>0.18440937782971867</v>
      </c>
      <c r="V13" s="50">
        <f>C13*(($F13*$I13))/453.59</f>
        <v>2.253067276294635E-2</v>
      </c>
      <c r="W13" s="50">
        <f>C13*($F13*$J13)/453.59</f>
        <v>1.3898613406074772E-3</v>
      </c>
      <c r="X13" s="50">
        <f>C13*(($F13*($K13+$L13+$M13)))/453.59</f>
        <v>3.6369464870151122E-2</v>
      </c>
      <c r="Y13" s="50">
        <f>C13*(($F13*($N13+$O13+$P13)))/453.59</f>
        <v>2.4166098982977401E-2</v>
      </c>
      <c r="Z13" s="50">
        <f>C13*(F13)*$B$343</f>
        <v>0</v>
      </c>
      <c r="AA13" s="50">
        <f>Z13*0.21</f>
        <v>0</v>
      </c>
      <c r="AB13" s="50">
        <f>C13*(($F13*($Q13)))/453.59</f>
        <v>96.814105590256631</v>
      </c>
      <c r="AC13" s="50">
        <f>C13*(($F13*($R13)))/453.59</f>
        <v>5.5322484357440338E-3</v>
      </c>
      <c r="AD13" s="50">
        <f>C13*(($F13*($S13)))/453.59</f>
        <v>2.4799901288000137E-3</v>
      </c>
    </row>
    <row r="14" spans="1:30">
      <c r="A14" s="75" t="s">
        <v>28</v>
      </c>
      <c r="B14" s="74"/>
      <c r="C14" s="112"/>
      <c r="D14" s="112"/>
      <c r="E14" s="74"/>
      <c r="F14" s="74"/>
      <c r="G14" s="547"/>
      <c r="H14" s="41"/>
      <c r="I14" s="41"/>
      <c r="J14" s="41"/>
      <c r="K14" s="544"/>
      <c r="L14" s="544"/>
      <c r="M14" s="544"/>
      <c r="N14" s="544"/>
      <c r="O14" s="544"/>
      <c r="P14" s="544"/>
      <c r="Q14" s="41"/>
      <c r="R14" s="544"/>
      <c r="S14" s="544"/>
      <c r="T14" s="81">
        <f t="shared" ref="T14:AD14" si="1">SUM(T13:T13)</f>
        <v>9.9891275533645019E-2</v>
      </c>
      <c r="U14" s="81">
        <f t="shared" si="1"/>
        <v>0.18440937782971867</v>
      </c>
      <c r="V14" s="81">
        <f t="shared" si="1"/>
        <v>2.253067276294635E-2</v>
      </c>
      <c r="W14" s="81">
        <f t="shared" si="1"/>
        <v>1.3898613406074772E-3</v>
      </c>
      <c r="X14" s="81">
        <f t="shared" si="1"/>
        <v>3.6369464870151122E-2</v>
      </c>
      <c r="Y14" s="81">
        <f t="shared" si="1"/>
        <v>2.4166098982977401E-2</v>
      </c>
      <c r="Z14" s="81">
        <f t="shared" si="1"/>
        <v>0</v>
      </c>
      <c r="AA14" s="81">
        <f t="shared" si="1"/>
        <v>0</v>
      </c>
      <c r="AB14" s="81">
        <f t="shared" si="1"/>
        <v>96.814105590256631</v>
      </c>
      <c r="AC14" s="81">
        <f t="shared" si="1"/>
        <v>5.5322484357440338E-3</v>
      </c>
      <c r="AD14" s="81">
        <f t="shared" si="1"/>
        <v>2.4799901288000137E-3</v>
      </c>
    </row>
    <row r="15" spans="1:30">
      <c r="A15" s="75"/>
      <c r="B15" s="74"/>
      <c r="C15" s="112"/>
      <c r="D15" s="112"/>
      <c r="E15" s="74"/>
      <c r="F15" s="74"/>
      <c r="G15" s="560"/>
      <c r="H15" s="41"/>
      <c r="I15" s="41"/>
      <c r="J15" s="41"/>
      <c r="K15" s="558"/>
      <c r="L15" s="558"/>
      <c r="M15" s="558"/>
      <c r="N15" s="558"/>
      <c r="O15" s="558"/>
      <c r="P15" s="558"/>
      <c r="Q15" s="41"/>
      <c r="R15" s="558"/>
      <c r="S15" s="558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</row>
    <row r="16" spans="1:30">
      <c r="A16" s="114" t="s">
        <v>319</v>
      </c>
      <c r="B16" s="74"/>
      <c r="C16" s="112"/>
      <c r="D16" s="112"/>
      <c r="E16" s="74"/>
      <c r="F16" s="74"/>
      <c r="G16" s="560"/>
      <c r="H16" s="41"/>
      <c r="I16" s="41"/>
      <c r="J16" s="41"/>
      <c r="K16" s="558"/>
      <c r="L16" s="558"/>
      <c r="M16" s="558"/>
      <c r="N16" s="558"/>
      <c r="O16" s="558"/>
      <c r="P16" s="558"/>
      <c r="Q16" s="41"/>
      <c r="R16" s="558"/>
      <c r="S16" s="558"/>
      <c r="T16" s="61"/>
      <c r="U16" s="61"/>
      <c r="V16" s="61"/>
      <c r="W16" s="61"/>
      <c r="X16" s="61"/>
      <c r="Y16" s="61"/>
      <c r="Z16" s="62"/>
      <c r="AA16" s="62"/>
      <c r="AB16" s="62"/>
      <c r="AC16" s="62"/>
      <c r="AD16" s="62"/>
    </row>
    <row r="17" spans="1:30">
      <c r="A17" s="78" t="s">
        <v>320</v>
      </c>
      <c r="B17" s="76" t="s">
        <v>95</v>
      </c>
      <c r="C17" s="79">
        <v>1</v>
      </c>
      <c r="D17" s="77"/>
      <c r="E17" s="77">
        <v>35</v>
      </c>
      <c r="F17" s="77">
        <v>60</v>
      </c>
      <c r="G17" s="106">
        <v>0.25172046482947802</v>
      </c>
      <c r="H17" s="106">
        <v>0.464701387165456</v>
      </c>
      <c r="I17" s="106">
        <v>5.6776043658582402E-2</v>
      </c>
      <c r="J17" s="106">
        <v>3.5023733638119199E-3</v>
      </c>
      <c r="K17" s="106">
        <v>4.6899256897933901E-2</v>
      </c>
      <c r="L17" s="47">
        <v>7.99995847163921E-3</v>
      </c>
      <c r="M17" s="47">
        <v>3.6749815577381599E-2</v>
      </c>
      <c r="N17" s="106">
        <v>4.3147317248333997E-2</v>
      </c>
      <c r="O17" s="47">
        <v>1.9999896145790402E-3</v>
      </c>
      <c r="P17" s="47">
        <v>1.57499200131354E-2</v>
      </c>
      <c r="Q17" s="106">
        <v>243.966167526025</v>
      </c>
      <c r="R17" s="47">
        <f>0.000057143*Q17</f>
        <v>1.3940958710939646E-2</v>
      </c>
      <c r="S17" s="80">
        <f>0.000025616*Q17</f>
        <v>6.2494373473466567E-3</v>
      </c>
      <c r="T17" s="50">
        <f>C17*($F17*$G17)/453.59</f>
        <v>3.3297091844548342E-2</v>
      </c>
      <c r="U17" s="50">
        <f>C17*($F17*$H17)/453.59</f>
        <v>6.1469792609906218E-2</v>
      </c>
      <c r="V17" s="50">
        <f>C17*(($F17*$I17))/453.59</f>
        <v>7.5102242543154491E-3</v>
      </c>
      <c r="W17" s="50">
        <f>C17*($F17*$J17)/453.59</f>
        <v>4.6328711353582576E-4</v>
      </c>
      <c r="X17" s="50">
        <f>C17*(($F17*($K17+$L17+$M17)))/453.59</f>
        <v>1.2123154956717041E-2</v>
      </c>
      <c r="Y17" s="50">
        <f>C17*(($F17*($N17+$O17+$P17)))/453.59</f>
        <v>8.0553663276591338E-3</v>
      </c>
      <c r="Z17" s="50">
        <f>C17*(F17)*$B$348</f>
        <v>0</v>
      </c>
      <c r="AA17" s="50">
        <f>Z17*0.21</f>
        <v>0</v>
      </c>
      <c r="AB17" s="50">
        <f>C17*(($F17*($Q17)))/453.59</f>
        <v>32.271368530085546</v>
      </c>
      <c r="AC17" s="50">
        <f>C17*(($F17*($R17)))/453.59</f>
        <v>1.844082811914678E-3</v>
      </c>
      <c r="AD17" s="50">
        <f>C17*(($F17*($S17)))/453.59</f>
        <v>8.2666337626667119E-4</v>
      </c>
    </row>
    <row r="18" spans="1:30">
      <c r="A18" s="78" t="s">
        <v>327</v>
      </c>
      <c r="B18" s="76" t="s">
        <v>105</v>
      </c>
      <c r="C18" s="374">
        <v>1</v>
      </c>
      <c r="D18" s="77"/>
      <c r="E18" s="77">
        <v>35</v>
      </c>
      <c r="F18" s="77">
        <v>80</v>
      </c>
      <c r="G18" s="106">
        <v>1.08263976628415</v>
      </c>
      <c r="H18" s="106">
        <v>4.9712718909585103</v>
      </c>
      <c r="I18" s="106">
        <v>0.26248012575016899</v>
      </c>
      <c r="J18" s="106">
        <v>1.0711818E-2</v>
      </c>
      <c r="K18" s="106">
        <v>7.1679901072141505E-2</v>
      </c>
      <c r="L18" s="576">
        <v>3.59998119015979E-2</v>
      </c>
      <c r="M18" s="576">
        <v>6.1739677411240299E-2</v>
      </c>
      <c r="N18" s="106">
        <v>6.5945508986370194E-2</v>
      </c>
      <c r="O18" s="576">
        <v>2.9999843251331498E-3</v>
      </c>
      <c r="P18" s="576">
        <v>5.5859708133979398E-2</v>
      </c>
      <c r="Q18" s="106">
        <v>1710.7260798814</v>
      </c>
      <c r="R18" s="47">
        <v>1.5235246282551899E-2</v>
      </c>
      <c r="S18" s="80">
        <f>0.000025616*Q18</f>
        <v>4.3821959262241944E-2</v>
      </c>
      <c r="T18" s="50">
        <f>C18*($F18*$G18)/453.59</f>
        <v>0.19094596728925242</v>
      </c>
      <c r="U18" s="50">
        <f>C18*($F18*$H18)/453.59</f>
        <v>0.87678685878586582</v>
      </c>
      <c r="V18" s="50">
        <f>C18*(($F18*$I18))/453.59</f>
        <v>4.6293811724274173E-2</v>
      </c>
      <c r="W18" s="50">
        <f>C18*($F18*$J18)/453.59</f>
        <v>1.8892511739676801E-3</v>
      </c>
      <c r="X18" s="50">
        <f>C18*(($F18*($K18+$L18+$M18)))/453.59</f>
        <v>2.9880621774726907E-2</v>
      </c>
      <c r="Y18" s="50">
        <f>C18*(($F18*($N18+$O18+$P18)))/453.59</f>
        <v>2.2011984646131133E-2</v>
      </c>
      <c r="Z18" s="50">
        <f>C18*(F18)*$B$147</f>
        <v>0</v>
      </c>
      <c r="AA18" s="50">
        <f>Z18*0.21</f>
        <v>0</v>
      </c>
      <c r="AB18" s="50">
        <f>C18*(($F18*($Q18)))/453.59</f>
        <v>301.72200972356535</v>
      </c>
      <c r="AC18" s="50">
        <f>C18*(($F18*($R18)))/453.59</f>
        <v>2.6870515280410772E-3</v>
      </c>
      <c r="AD18" s="50">
        <f>C18*(($F18*($S18)))/453.59</f>
        <v>7.7289110010788503E-3</v>
      </c>
    </row>
    <row r="19" spans="1:30">
      <c r="A19" s="75" t="s">
        <v>28</v>
      </c>
      <c r="B19" s="74"/>
      <c r="C19" s="112"/>
      <c r="D19" s="112"/>
      <c r="E19" s="74"/>
      <c r="F19" s="74"/>
      <c r="G19" s="560"/>
      <c r="H19" s="41"/>
      <c r="I19" s="41"/>
      <c r="J19" s="41"/>
      <c r="K19" s="558"/>
      <c r="L19" s="558"/>
      <c r="M19" s="558"/>
      <c r="N19" s="558"/>
      <c r="O19" s="558"/>
      <c r="P19" s="558"/>
      <c r="Q19" s="41"/>
      <c r="R19" s="558"/>
      <c r="S19" s="558"/>
      <c r="T19" s="81">
        <f>SUM(T17:T18)</f>
        <v>0.22424305913380077</v>
      </c>
      <c r="U19" s="81">
        <f t="shared" ref="U19:AD19" si="2">SUM(U17:U18)</f>
        <v>0.93825665139577208</v>
      </c>
      <c r="V19" s="81">
        <f t="shared" si="2"/>
        <v>5.3804035978589619E-2</v>
      </c>
      <c r="W19" s="81">
        <f t="shared" si="2"/>
        <v>2.3525382875035057E-3</v>
      </c>
      <c r="X19" s="81">
        <f t="shared" si="2"/>
        <v>4.2003776731443947E-2</v>
      </c>
      <c r="Y19" s="81">
        <f t="shared" si="2"/>
        <v>3.0067350973790267E-2</v>
      </c>
      <c r="Z19" s="81">
        <f t="shared" si="2"/>
        <v>0</v>
      </c>
      <c r="AA19" s="81">
        <f t="shared" si="2"/>
        <v>0</v>
      </c>
      <c r="AB19" s="81">
        <f t="shared" si="2"/>
        <v>333.99337825365092</v>
      </c>
      <c r="AC19" s="81">
        <f t="shared" si="2"/>
        <v>4.5311343399557554E-3</v>
      </c>
      <c r="AD19" s="81">
        <f t="shared" si="2"/>
        <v>8.555574377345521E-3</v>
      </c>
    </row>
    <row r="20" spans="1:30">
      <c r="A20" s="75" t="s">
        <v>388</v>
      </c>
      <c r="B20" s="74"/>
      <c r="C20" s="112"/>
      <c r="D20" s="112"/>
      <c r="E20" s="74"/>
      <c r="F20" s="74"/>
      <c r="G20" s="547"/>
      <c r="H20" s="41"/>
      <c r="I20" s="41"/>
      <c r="J20" s="41"/>
      <c r="K20" s="544"/>
      <c r="L20" s="544"/>
      <c r="M20" s="544"/>
      <c r="N20" s="544"/>
      <c r="O20" s="544"/>
      <c r="P20" s="544"/>
      <c r="Q20" s="41"/>
      <c r="R20" s="544"/>
      <c r="S20" s="544"/>
      <c r="T20" s="81">
        <f>T10+T14+T19</f>
        <v>0.42402561020109081</v>
      </c>
      <c r="U20" s="81">
        <f t="shared" ref="U20:AD20" si="3">U10+U14+U19</f>
        <v>1.3070754070552093</v>
      </c>
      <c r="V20" s="81">
        <f t="shared" si="3"/>
        <v>9.8865381504482319E-2</v>
      </c>
      <c r="W20" s="81">
        <f t="shared" si="3"/>
        <v>5.1322609687184601E-3</v>
      </c>
      <c r="X20" s="81">
        <f t="shared" si="3"/>
        <v>0.1147427064717462</v>
      </c>
      <c r="Y20" s="81">
        <f t="shared" si="3"/>
        <v>7.8399548939745073E-2</v>
      </c>
      <c r="Z20" s="81">
        <f t="shared" si="3"/>
        <v>1.7662149598755138E-2</v>
      </c>
      <c r="AA20" s="81">
        <f t="shared" si="3"/>
        <v>3.7090514157385786E-3</v>
      </c>
      <c r="AB20" s="81">
        <f t="shared" si="3"/>
        <v>527.62158943416421</v>
      </c>
      <c r="AC20" s="81">
        <f t="shared" si="3"/>
        <v>1.5595631211443823E-2</v>
      </c>
      <c r="AD20" s="81">
        <f t="shared" si="3"/>
        <v>1.3515554634945548E-2</v>
      </c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372" spans="1:2" ht="25.5">
      <c r="A372" s="82" t="s">
        <v>109</v>
      </c>
    </row>
    <row r="374" spans="1:2">
      <c r="A374" s="36" t="s">
        <v>81</v>
      </c>
    </row>
    <row r="375" spans="1:2">
      <c r="A375" s="36" t="s">
        <v>82</v>
      </c>
    </row>
    <row r="376" spans="1:2">
      <c r="A376" s="36" t="s">
        <v>83</v>
      </c>
    </row>
    <row r="377" spans="1:2">
      <c r="A377" s="37" t="s">
        <v>96</v>
      </c>
    </row>
    <row r="378" spans="1:2">
      <c r="A378" s="36" t="s">
        <v>85</v>
      </c>
    </row>
    <row r="379" spans="1:2">
      <c r="A379" s="36" t="s">
        <v>86</v>
      </c>
    </row>
    <row r="380" spans="1:2">
      <c r="A380" s="36" t="s">
        <v>87</v>
      </c>
    </row>
    <row r="381" spans="1:2">
      <c r="A381" s="36" t="s">
        <v>0</v>
      </c>
    </row>
    <row r="382" spans="1:2">
      <c r="A382" s="37" t="s">
        <v>97</v>
      </c>
      <c r="B382" s="36">
        <f>(0.016*(0.03/2)^0.65*(2/3)^1.5)-0.00047</f>
        <v>9.8123053326417428E-5</v>
      </c>
    </row>
    <row r="383" spans="1:2">
      <c r="A383" s="37" t="s">
        <v>98</v>
      </c>
      <c r="B383" s="36">
        <f>(0.016*(0.03/2)^0.65*(13/3)^1.5)-0.00047</f>
        <v>8.9448292388582783E-3</v>
      </c>
    </row>
    <row r="384" spans="1:2">
      <c r="A384" s="37" t="s">
        <v>99</v>
      </c>
      <c r="B384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695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67" ht="25.5">
      <c r="A5" s="44" t="s">
        <v>335</v>
      </c>
      <c r="B5" s="45" t="s">
        <v>102</v>
      </c>
      <c r="C5" s="46">
        <v>1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319</v>
      </c>
      <c r="B6" s="45" t="s">
        <v>102</v>
      </c>
      <c r="C6" s="46">
        <v>2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idden="1">
      <c r="A10" s="55" t="s">
        <v>78</v>
      </c>
      <c r="B10" s="37"/>
      <c r="C10" s="37"/>
      <c r="AA10" s="57"/>
      <c r="AB10" s="57"/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54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/>
      <c r="B14" s="37"/>
      <c r="C14" s="37"/>
      <c r="AQ14" s="38"/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F15" s="36" t="e">
        <f t="shared" ref="AF15:AF23" si="2">AF$10*$AC16</f>
        <v>#REF!</v>
      </c>
      <c r="AG15" s="36" t="e">
        <f t="shared" ref="AG15:AG23" si="3">AG$10*$AC16</f>
        <v>#REF!</v>
      </c>
      <c r="AH15" s="36" t="e">
        <f t="shared" ref="AH15:AH23" si="4">AH$10*$AC16</f>
        <v>#REF!</v>
      </c>
      <c r="AI15" s="36" t="e">
        <f t="shared" ref="AI15:AI23" si="5">AI$10*$AC16</f>
        <v>#REF!</v>
      </c>
      <c r="AJ15" s="36" t="e">
        <f t="shared" ref="AJ15:AJ23" si="6">AJ$10*$AC16</f>
        <v>#REF!</v>
      </c>
      <c r="AK15" s="36" t="e">
        <f t="shared" ref="AK15:AK23" si="7">AK$10*$AC16</f>
        <v>#REF!</v>
      </c>
      <c r="AL15" s="36" t="e">
        <f t="shared" ref="AL15:AL23" si="8">AL$10*$AC16</f>
        <v>#REF!</v>
      </c>
      <c r="AM15" s="36" t="e">
        <f t="shared" ref="AM15:AM23" si="9">AM$10*$AC16</f>
        <v>#REF!</v>
      </c>
      <c r="AN15" s="36" t="e">
        <f t="shared" ref="AN15:AN23" si="10">AN$10*$AC16</f>
        <v>#REF!</v>
      </c>
      <c r="AO15" s="36" t="e">
        <f t="shared" ref="AO15:AO23" si="11">AO$10*$AC16</f>
        <v>#REF!</v>
      </c>
      <c r="AQ15" s="38"/>
      <c r="AR15" s="36" t="e">
        <f t="shared" ref="AR15:AR23" si="12">AR$10*$AC16</f>
        <v>#REF!</v>
      </c>
      <c r="AS15" s="36" t="e">
        <f t="shared" ref="AS15:AS23" si="13">AS$10*$AC16</f>
        <v>#REF!</v>
      </c>
      <c r="AT15" s="36" t="e">
        <f t="shared" ref="AT15:AT23" si="14">AT$10*$AC16</f>
        <v>#REF!</v>
      </c>
      <c r="AU15" s="36" t="e">
        <f t="shared" ref="AU15:AU23" si="15">AU$10*$AC16</f>
        <v>#REF!</v>
      </c>
      <c r="AV15" s="36" t="e">
        <f t="shared" ref="AV15:AV23" si="16">AV$10*$AC16</f>
        <v>#REF!</v>
      </c>
      <c r="AW15" s="36" t="e">
        <f t="shared" ref="AW15:AW23" si="17">AW$10*$AC16</f>
        <v>#REF!</v>
      </c>
      <c r="AX15" s="36" t="e">
        <f t="shared" ref="AX15:AX23" si="18">AX$10*$AC16</f>
        <v>#REF!</v>
      </c>
      <c r="AY15" s="36" t="e">
        <f t="shared" ref="AY15:AY23" si="19">AY$10*$AC16</f>
        <v>#REF!</v>
      </c>
      <c r="AZ15" s="36" t="e">
        <f t="shared" ref="AZ15:AZ23" si="20">AZ$10*$AC16</f>
        <v>#REF!</v>
      </c>
      <c r="BA15" s="36" t="e">
        <f t="shared" ref="BA15:BA23" si="21">BA$10*$AC16</f>
        <v>#REF!</v>
      </c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 t="shared" si="2"/>
        <v>#REF!</v>
      </c>
      <c r="AG16" s="36" t="e">
        <f t="shared" si="3"/>
        <v>#REF!</v>
      </c>
      <c r="AH16" s="36" t="e">
        <f t="shared" si="4"/>
        <v>#REF!</v>
      </c>
      <c r="AI16" s="36" t="e">
        <f t="shared" si="5"/>
        <v>#REF!</v>
      </c>
      <c r="AJ16" s="36" t="e">
        <f t="shared" si="6"/>
        <v>#REF!</v>
      </c>
      <c r="AK16" s="36" t="e">
        <f t="shared" si="7"/>
        <v>#REF!</v>
      </c>
      <c r="AL16" s="36" t="e">
        <f t="shared" si="8"/>
        <v>#REF!</v>
      </c>
      <c r="AM16" s="36" t="e">
        <f t="shared" si="9"/>
        <v>#REF!</v>
      </c>
      <c r="AN16" s="36" t="e">
        <f t="shared" si="10"/>
        <v>#REF!</v>
      </c>
      <c r="AO16" s="36" t="e">
        <f t="shared" si="11"/>
        <v>#REF!</v>
      </c>
      <c r="AQ16" s="38"/>
      <c r="AR16" s="36" t="e">
        <f t="shared" si="12"/>
        <v>#REF!</v>
      </c>
      <c r="AS16" s="36" t="e">
        <f t="shared" si="13"/>
        <v>#REF!</v>
      </c>
      <c r="AT16" s="36" t="e">
        <f t="shared" si="14"/>
        <v>#REF!</v>
      </c>
      <c r="AU16" s="36" t="e">
        <f t="shared" si="15"/>
        <v>#REF!</v>
      </c>
      <c r="AV16" s="36" t="e">
        <f t="shared" si="16"/>
        <v>#REF!</v>
      </c>
      <c r="AW16" s="36" t="e">
        <f t="shared" si="17"/>
        <v>#REF!</v>
      </c>
      <c r="AX16" s="36" t="e">
        <f t="shared" si="18"/>
        <v>#REF!</v>
      </c>
      <c r="AY16" s="36" t="e">
        <f t="shared" si="19"/>
        <v>#REF!</v>
      </c>
      <c r="AZ16" s="36" t="e">
        <f t="shared" si="20"/>
        <v>#REF!</v>
      </c>
      <c r="BA16" s="36" t="e">
        <f t="shared" si="21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si="2"/>
        <v>#REF!</v>
      </c>
      <c r="AG17" s="36" t="e">
        <f t="shared" si="3"/>
        <v>#REF!</v>
      </c>
      <c r="AH17" s="36" t="e">
        <f t="shared" si="4"/>
        <v>#REF!</v>
      </c>
      <c r="AI17" s="36" t="e">
        <f t="shared" si="5"/>
        <v>#REF!</v>
      </c>
      <c r="AJ17" s="36" t="e">
        <f t="shared" si="6"/>
        <v>#REF!</v>
      </c>
      <c r="AK17" s="36" t="e">
        <f t="shared" si="7"/>
        <v>#REF!</v>
      </c>
      <c r="AL17" s="36" t="e">
        <f t="shared" si="8"/>
        <v>#REF!</v>
      </c>
      <c r="AM17" s="36" t="e">
        <f t="shared" si="9"/>
        <v>#REF!</v>
      </c>
      <c r="AN17" s="36" t="e">
        <f t="shared" si="10"/>
        <v>#REF!</v>
      </c>
      <c r="AO17" s="36" t="e">
        <f t="shared" si="11"/>
        <v>#REF!</v>
      </c>
      <c r="AQ17" s="38"/>
      <c r="AR17" s="36" t="e">
        <f t="shared" si="12"/>
        <v>#REF!</v>
      </c>
      <c r="AS17" s="36" t="e">
        <f t="shared" si="13"/>
        <v>#REF!</v>
      </c>
      <c r="AT17" s="36" t="e">
        <f t="shared" si="14"/>
        <v>#REF!</v>
      </c>
      <c r="AU17" s="36" t="e">
        <f t="shared" si="15"/>
        <v>#REF!</v>
      </c>
      <c r="AV17" s="36" t="e">
        <f t="shared" si="16"/>
        <v>#REF!</v>
      </c>
      <c r="AW17" s="36" t="e">
        <f t="shared" si="17"/>
        <v>#REF!</v>
      </c>
      <c r="AX17" s="36" t="e">
        <f t="shared" si="18"/>
        <v>#REF!</v>
      </c>
      <c r="AY17" s="36" t="e">
        <f t="shared" si="19"/>
        <v>#REF!</v>
      </c>
      <c r="AZ17" s="36" t="e">
        <f t="shared" si="20"/>
        <v>#REF!</v>
      </c>
      <c r="BA17" s="36" t="e">
        <f t="shared" si="21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2"/>
        <v>#REF!</v>
      </c>
      <c r="AG18" s="36" t="e">
        <f t="shared" si="3"/>
        <v>#REF!</v>
      </c>
      <c r="AH18" s="36" t="e">
        <f t="shared" si="4"/>
        <v>#REF!</v>
      </c>
      <c r="AI18" s="36" t="e">
        <f t="shared" si="5"/>
        <v>#REF!</v>
      </c>
      <c r="AJ18" s="36" t="e">
        <f t="shared" si="6"/>
        <v>#REF!</v>
      </c>
      <c r="AK18" s="36" t="e">
        <f t="shared" si="7"/>
        <v>#REF!</v>
      </c>
      <c r="AL18" s="36" t="e">
        <f t="shared" si="8"/>
        <v>#REF!</v>
      </c>
      <c r="AM18" s="36" t="e">
        <f t="shared" si="9"/>
        <v>#REF!</v>
      </c>
      <c r="AN18" s="36" t="e">
        <f t="shared" si="10"/>
        <v>#REF!</v>
      </c>
      <c r="AO18" s="36" t="e">
        <f t="shared" si="11"/>
        <v>#REF!</v>
      </c>
      <c r="AQ18" s="38"/>
      <c r="AR18" s="36" t="e">
        <f t="shared" si="12"/>
        <v>#REF!</v>
      </c>
      <c r="AS18" s="36" t="e">
        <f t="shared" si="13"/>
        <v>#REF!</v>
      </c>
      <c r="AT18" s="36" t="e">
        <f t="shared" si="14"/>
        <v>#REF!</v>
      </c>
      <c r="AU18" s="36" t="e">
        <f t="shared" si="15"/>
        <v>#REF!</v>
      </c>
      <c r="AV18" s="36" t="e">
        <f t="shared" si="16"/>
        <v>#REF!</v>
      </c>
      <c r="AW18" s="36" t="e">
        <f t="shared" si="17"/>
        <v>#REF!</v>
      </c>
      <c r="AX18" s="36" t="e">
        <f t="shared" si="18"/>
        <v>#REF!</v>
      </c>
      <c r="AY18" s="36" t="e">
        <f t="shared" si="19"/>
        <v>#REF!</v>
      </c>
      <c r="AZ18" s="36" t="e">
        <f t="shared" si="20"/>
        <v>#REF!</v>
      </c>
      <c r="BA18" s="36" t="e">
        <f t="shared" si="21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2"/>
        <v>#REF!</v>
      </c>
      <c r="AG19" s="36" t="e">
        <f t="shared" si="3"/>
        <v>#REF!</v>
      </c>
      <c r="AH19" s="36" t="e">
        <f t="shared" si="4"/>
        <v>#REF!</v>
      </c>
      <c r="AI19" s="36" t="e">
        <f t="shared" si="5"/>
        <v>#REF!</v>
      </c>
      <c r="AJ19" s="36" t="e">
        <f t="shared" si="6"/>
        <v>#REF!</v>
      </c>
      <c r="AK19" s="36" t="e">
        <f t="shared" si="7"/>
        <v>#REF!</v>
      </c>
      <c r="AL19" s="36" t="e">
        <f t="shared" si="8"/>
        <v>#REF!</v>
      </c>
      <c r="AM19" s="36" t="e">
        <f t="shared" si="9"/>
        <v>#REF!</v>
      </c>
      <c r="AN19" s="36" t="e">
        <f t="shared" si="10"/>
        <v>#REF!</v>
      </c>
      <c r="AO19" s="36" t="e">
        <f t="shared" si="11"/>
        <v>#REF!</v>
      </c>
      <c r="AQ19" s="38"/>
      <c r="AR19" s="36" t="e">
        <f t="shared" si="12"/>
        <v>#REF!</v>
      </c>
      <c r="AS19" s="36" t="e">
        <f t="shared" si="13"/>
        <v>#REF!</v>
      </c>
      <c r="AT19" s="36" t="e">
        <f t="shared" si="14"/>
        <v>#REF!</v>
      </c>
      <c r="AU19" s="36" t="e">
        <f t="shared" si="15"/>
        <v>#REF!</v>
      </c>
      <c r="AV19" s="36" t="e">
        <f t="shared" si="16"/>
        <v>#REF!</v>
      </c>
      <c r="AW19" s="36" t="e">
        <f t="shared" si="17"/>
        <v>#REF!</v>
      </c>
      <c r="AX19" s="36" t="e">
        <f t="shared" si="18"/>
        <v>#REF!</v>
      </c>
      <c r="AY19" s="36" t="e">
        <f t="shared" si="19"/>
        <v>#REF!</v>
      </c>
      <c r="AZ19" s="36" t="e">
        <f t="shared" si="20"/>
        <v>#REF!</v>
      </c>
      <c r="BA19" s="36" t="e">
        <f t="shared" si="21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2"/>
        <v>#REF!</v>
      </c>
      <c r="AG20" s="36" t="e">
        <f t="shared" si="3"/>
        <v>#REF!</v>
      </c>
      <c r="AH20" s="36" t="e">
        <f t="shared" si="4"/>
        <v>#REF!</v>
      </c>
      <c r="AI20" s="36" t="e">
        <f t="shared" si="5"/>
        <v>#REF!</v>
      </c>
      <c r="AJ20" s="36" t="e">
        <f t="shared" si="6"/>
        <v>#REF!</v>
      </c>
      <c r="AK20" s="36" t="e">
        <f t="shared" si="7"/>
        <v>#REF!</v>
      </c>
      <c r="AL20" s="36" t="e">
        <f t="shared" si="8"/>
        <v>#REF!</v>
      </c>
      <c r="AM20" s="36" t="e">
        <f t="shared" si="9"/>
        <v>#REF!</v>
      </c>
      <c r="AN20" s="36" t="e">
        <f t="shared" si="10"/>
        <v>#REF!</v>
      </c>
      <c r="AO20" s="36" t="e">
        <f t="shared" si="11"/>
        <v>#REF!</v>
      </c>
      <c r="AQ20" s="38"/>
      <c r="AR20" s="36" t="e">
        <f t="shared" si="12"/>
        <v>#REF!</v>
      </c>
      <c r="AS20" s="36" t="e">
        <f t="shared" si="13"/>
        <v>#REF!</v>
      </c>
      <c r="AT20" s="36" t="e">
        <f t="shared" si="14"/>
        <v>#REF!</v>
      </c>
      <c r="AU20" s="36" t="e">
        <f t="shared" si="15"/>
        <v>#REF!</v>
      </c>
      <c r="AV20" s="36" t="e">
        <f t="shared" si="16"/>
        <v>#REF!</v>
      </c>
      <c r="AW20" s="36" t="e">
        <f t="shared" si="17"/>
        <v>#REF!</v>
      </c>
      <c r="AX20" s="36" t="e">
        <f t="shared" si="18"/>
        <v>#REF!</v>
      </c>
      <c r="AY20" s="36" t="e">
        <f t="shared" si="19"/>
        <v>#REF!</v>
      </c>
      <c r="AZ20" s="36" t="e">
        <f t="shared" si="20"/>
        <v>#REF!</v>
      </c>
      <c r="BA20" s="36" t="e">
        <f t="shared" si="21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2"/>
        <v>#REF!</v>
      </c>
      <c r="AG21" s="36" t="e">
        <f t="shared" si="3"/>
        <v>#REF!</v>
      </c>
      <c r="AH21" s="36" t="e">
        <f t="shared" si="4"/>
        <v>#REF!</v>
      </c>
      <c r="AI21" s="36" t="e">
        <f t="shared" si="5"/>
        <v>#REF!</v>
      </c>
      <c r="AJ21" s="36" t="e">
        <f t="shared" si="6"/>
        <v>#REF!</v>
      </c>
      <c r="AK21" s="36" t="e">
        <f t="shared" si="7"/>
        <v>#REF!</v>
      </c>
      <c r="AL21" s="36" t="e">
        <f t="shared" si="8"/>
        <v>#REF!</v>
      </c>
      <c r="AM21" s="36" t="e">
        <f t="shared" si="9"/>
        <v>#REF!</v>
      </c>
      <c r="AN21" s="36" t="e">
        <f t="shared" si="10"/>
        <v>#REF!</v>
      </c>
      <c r="AO21" s="36" t="e">
        <f t="shared" si="11"/>
        <v>#REF!</v>
      </c>
      <c r="AQ21" s="38"/>
      <c r="AR21" s="36" t="e">
        <f t="shared" si="12"/>
        <v>#REF!</v>
      </c>
      <c r="AS21" s="36" t="e">
        <f t="shared" si="13"/>
        <v>#REF!</v>
      </c>
      <c r="AT21" s="36" t="e">
        <f t="shared" si="14"/>
        <v>#REF!</v>
      </c>
      <c r="AU21" s="36" t="e">
        <f t="shared" si="15"/>
        <v>#REF!</v>
      </c>
      <c r="AV21" s="36" t="e">
        <f t="shared" si="16"/>
        <v>#REF!</v>
      </c>
      <c r="AW21" s="36" t="e">
        <f t="shared" si="17"/>
        <v>#REF!</v>
      </c>
      <c r="AX21" s="36" t="e">
        <f t="shared" si="18"/>
        <v>#REF!</v>
      </c>
      <c r="AY21" s="36" t="e">
        <f t="shared" si="19"/>
        <v>#REF!</v>
      </c>
      <c r="AZ21" s="36" t="e">
        <f t="shared" si="20"/>
        <v>#REF!</v>
      </c>
      <c r="BA21" s="36" t="e">
        <f t="shared" si="21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2"/>
        <v>#REF!</v>
      </c>
      <c r="AG22" s="36" t="e">
        <f t="shared" si="3"/>
        <v>#REF!</v>
      </c>
      <c r="AH22" s="36" t="e">
        <f t="shared" si="4"/>
        <v>#REF!</v>
      </c>
      <c r="AI22" s="36" t="e">
        <f t="shared" si="5"/>
        <v>#REF!</v>
      </c>
      <c r="AJ22" s="36" t="e">
        <f t="shared" si="6"/>
        <v>#REF!</v>
      </c>
      <c r="AK22" s="36" t="e">
        <f t="shared" si="7"/>
        <v>#REF!</v>
      </c>
      <c r="AL22" s="36" t="e">
        <f t="shared" si="8"/>
        <v>#REF!</v>
      </c>
      <c r="AM22" s="36" t="e">
        <f t="shared" si="9"/>
        <v>#REF!</v>
      </c>
      <c r="AN22" s="36" t="e">
        <f t="shared" si="10"/>
        <v>#REF!</v>
      </c>
      <c r="AO22" s="36" t="e">
        <f t="shared" si="11"/>
        <v>#REF!</v>
      </c>
      <c r="AQ22" s="38"/>
      <c r="AR22" s="36" t="e">
        <f t="shared" si="12"/>
        <v>#REF!</v>
      </c>
      <c r="AS22" s="36" t="e">
        <f t="shared" si="13"/>
        <v>#REF!</v>
      </c>
      <c r="AT22" s="36" t="e">
        <f t="shared" si="14"/>
        <v>#REF!</v>
      </c>
      <c r="AU22" s="36" t="e">
        <f t="shared" si="15"/>
        <v>#REF!</v>
      </c>
      <c r="AV22" s="36" t="e">
        <f t="shared" si="16"/>
        <v>#REF!</v>
      </c>
      <c r="AW22" s="36" t="e">
        <f t="shared" si="17"/>
        <v>#REF!</v>
      </c>
      <c r="AX22" s="36" t="e">
        <f t="shared" si="18"/>
        <v>#REF!</v>
      </c>
      <c r="AY22" s="36" t="e">
        <f t="shared" si="19"/>
        <v>#REF!</v>
      </c>
      <c r="AZ22" s="36" t="e">
        <f t="shared" si="20"/>
        <v>#REF!</v>
      </c>
      <c r="BA22" s="36" t="e">
        <f t="shared" si="21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2"/>
        <v>#REF!</v>
      </c>
      <c r="AG23" s="36" t="e">
        <f t="shared" si="3"/>
        <v>#REF!</v>
      </c>
      <c r="AH23" s="36" t="e">
        <f t="shared" si="4"/>
        <v>#REF!</v>
      </c>
      <c r="AI23" s="36" t="e">
        <f t="shared" si="5"/>
        <v>#REF!</v>
      </c>
      <c r="AJ23" s="36" t="e">
        <f t="shared" si="6"/>
        <v>#REF!</v>
      </c>
      <c r="AK23" s="36" t="e">
        <f t="shared" si="7"/>
        <v>#REF!</v>
      </c>
      <c r="AL23" s="36" t="e">
        <f t="shared" si="8"/>
        <v>#REF!</v>
      </c>
      <c r="AM23" s="36" t="e">
        <f t="shared" si="9"/>
        <v>#REF!</v>
      </c>
      <c r="AN23" s="36" t="e">
        <f t="shared" si="10"/>
        <v>#REF!</v>
      </c>
      <c r="AO23" s="36" t="e">
        <f t="shared" si="11"/>
        <v>#REF!</v>
      </c>
      <c r="AQ23" s="38"/>
      <c r="AR23" s="36" t="e">
        <f t="shared" si="12"/>
        <v>#REF!</v>
      </c>
      <c r="AS23" s="36" t="e">
        <f t="shared" si="13"/>
        <v>#REF!</v>
      </c>
      <c r="AT23" s="36" t="e">
        <f t="shared" si="14"/>
        <v>#REF!</v>
      </c>
      <c r="AU23" s="36" t="e">
        <f t="shared" si="15"/>
        <v>#REF!</v>
      </c>
      <c r="AV23" s="36" t="e">
        <f t="shared" si="16"/>
        <v>#REF!</v>
      </c>
      <c r="AW23" s="36" t="e">
        <f t="shared" si="17"/>
        <v>#REF!</v>
      </c>
      <c r="AX23" s="36" t="e">
        <f t="shared" si="18"/>
        <v>#REF!</v>
      </c>
      <c r="AY23" s="36" t="e">
        <f t="shared" si="19"/>
        <v>#REF!</v>
      </c>
      <c r="AZ23" s="36" t="e">
        <f t="shared" si="20"/>
        <v>#REF!</v>
      </c>
      <c r="BA23" s="36" t="e">
        <f t="shared" si="21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Q24" s="38"/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F26" s="36" t="e">
        <f t="shared" ref="AF26:AF34" si="22">AF$10*$AC27</f>
        <v>#REF!</v>
      </c>
      <c r="AG26" s="36" t="e">
        <f t="shared" ref="AG26:AG34" si="23">AG$10*$AC27</f>
        <v>#REF!</v>
      </c>
      <c r="AH26" s="36" t="e">
        <f t="shared" ref="AH26:AH34" si="24">AH$10*$AC27</f>
        <v>#REF!</v>
      </c>
      <c r="AI26" s="36" t="e">
        <f t="shared" ref="AI26:AI34" si="25">AI$10*$AC27</f>
        <v>#REF!</v>
      </c>
      <c r="AJ26" s="36" t="e">
        <f t="shared" ref="AJ26:AJ34" si="26">AJ$10*$AC27</f>
        <v>#REF!</v>
      </c>
      <c r="AK26" s="36" t="e">
        <f t="shared" ref="AK26:AK34" si="27">AK$10*$AC27</f>
        <v>#REF!</v>
      </c>
      <c r="AL26" s="36" t="e">
        <f t="shared" ref="AL26:AL34" si="28">AL$10*$AC27</f>
        <v>#REF!</v>
      </c>
      <c r="AM26" s="36" t="e">
        <f t="shared" ref="AM26:AM34" si="29">AM$10*$AC27</f>
        <v>#REF!</v>
      </c>
      <c r="AN26" s="36" t="e">
        <f t="shared" ref="AN26:AN34" si="30">AN$10*$AC27</f>
        <v>#REF!</v>
      </c>
      <c r="AO26" s="36" t="e">
        <f t="shared" ref="AO26:AO34" si="31">AO$10*$AC27</f>
        <v>#REF!</v>
      </c>
      <c r="AQ26" s="38"/>
      <c r="AR26" s="36" t="e">
        <f t="shared" ref="AR26:AR34" si="32">AR$10*$AC27</f>
        <v>#REF!</v>
      </c>
      <c r="AS26" s="36" t="e">
        <f t="shared" ref="AS26:AS34" si="33">AS$10*$AC27</f>
        <v>#REF!</v>
      </c>
      <c r="AT26" s="36" t="e">
        <f t="shared" ref="AT26:AT34" si="34">AT$10*$AC27</f>
        <v>#REF!</v>
      </c>
      <c r="AU26" s="36" t="e">
        <f t="shared" ref="AU26:AU34" si="35">AU$10*$AC27</f>
        <v>#REF!</v>
      </c>
      <c r="AV26" s="36" t="e">
        <f t="shared" ref="AV26:AV34" si="36">AV$10*$AC27</f>
        <v>#REF!</v>
      </c>
      <c r="AW26" s="36" t="e">
        <f t="shared" ref="AW26:AW34" si="37">AW$10*$AC27</f>
        <v>#REF!</v>
      </c>
      <c r="AX26" s="36" t="e">
        <f t="shared" ref="AX26:AX34" si="38">AX$10*$AC27</f>
        <v>#REF!</v>
      </c>
      <c r="AY26" s="36" t="e">
        <f t="shared" ref="AY26:AY34" si="39">AY$10*$AC27</f>
        <v>#REF!</v>
      </c>
      <c r="AZ26" s="36" t="e">
        <f t="shared" ref="AZ26:AZ34" si="40">AZ$10*$AC27</f>
        <v>#REF!</v>
      </c>
      <c r="BA26" s="36" t="e">
        <f t="shared" ref="BA26:BA34" si="41">BA$10*$AC27</f>
        <v>#REF!</v>
      </c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si="22"/>
        <v>#REF!</v>
      </c>
      <c r="AG27" s="36" t="e">
        <f t="shared" si="23"/>
        <v>#REF!</v>
      </c>
      <c r="AH27" s="36" t="e">
        <f t="shared" si="24"/>
        <v>#REF!</v>
      </c>
      <c r="AI27" s="36" t="e">
        <f t="shared" si="25"/>
        <v>#REF!</v>
      </c>
      <c r="AJ27" s="36" t="e">
        <f t="shared" si="26"/>
        <v>#REF!</v>
      </c>
      <c r="AK27" s="36" t="e">
        <f t="shared" si="27"/>
        <v>#REF!</v>
      </c>
      <c r="AL27" s="36" t="e">
        <f t="shared" si="28"/>
        <v>#REF!</v>
      </c>
      <c r="AM27" s="36" t="e">
        <f t="shared" si="29"/>
        <v>#REF!</v>
      </c>
      <c r="AN27" s="36" t="e">
        <f t="shared" si="30"/>
        <v>#REF!</v>
      </c>
      <c r="AO27" s="36" t="e">
        <f t="shared" si="31"/>
        <v>#REF!</v>
      </c>
      <c r="AQ27" s="38"/>
      <c r="AR27" s="36" t="e">
        <f t="shared" si="32"/>
        <v>#REF!</v>
      </c>
      <c r="AS27" s="36" t="e">
        <f t="shared" si="33"/>
        <v>#REF!</v>
      </c>
      <c r="AT27" s="36" t="e">
        <f t="shared" si="34"/>
        <v>#REF!</v>
      </c>
      <c r="AU27" s="36" t="e">
        <f t="shared" si="35"/>
        <v>#REF!</v>
      </c>
      <c r="AV27" s="36" t="e">
        <f t="shared" si="36"/>
        <v>#REF!</v>
      </c>
      <c r="AW27" s="36" t="e">
        <f t="shared" si="37"/>
        <v>#REF!</v>
      </c>
      <c r="AX27" s="36" t="e">
        <f t="shared" si="38"/>
        <v>#REF!</v>
      </c>
      <c r="AY27" s="36" t="e">
        <f t="shared" si="39"/>
        <v>#REF!</v>
      </c>
      <c r="AZ27" s="36" t="e">
        <f t="shared" si="40"/>
        <v>#REF!</v>
      </c>
      <c r="BA27" s="36" t="e">
        <f t="shared" si="41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22"/>
        <v>#REF!</v>
      </c>
      <c r="AG28" s="36" t="e">
        <f t="shared" si="23"/>
        <v>#REF!</v>
      </c>
      <c r="AH28" s="36" t="e">
        <f t="shared" si="24"/>
        <v>#REF!</v>
      </c>
      <c r="AI28" s="36" t="e">
        <f t="shared" si="25"/>
        <v>#REF!</v>
      </c>
      <c r="AJ28" s="36" t="e">
        <f t="shared" si="26"/>
        <v>#REF!</v>
      </c>
      <c r="AK28" s="36" t="e">
        <f t="shared" si="27"/>
        <v>#REF!</v>
      </c>
      <c r="AL28" s="36" t="e">
        <f t="shared" si="28"/>
        <v>#REF!</v>
      </c>
      <c r="AM28" s="36" t="e">
        <f t="shared" si="29"/>
        <v>#REF!</v>
      </c>
      <c r="AN28" s="36" t="e">
        <f t="shared" si="30"/>
        <v>#REF!</v>
      </c>
      <c r="AO28" s="36" t="e">
        <f t="shared" si="31"/>
        <v>#REF!</v>
      </c>
      <c r="AQ28" s="38"/>
      <c r="AR28" s="36" t="e">
        <f t="shared" si="32"/>
        <v>#REF!</v>
      </c>
      <c r="AS28" s="36" t="e">
        <f t="shared" si="33"/>
        <v>#REF!</v>
      </c>
      <c r="AT28" s="36" t="e">
        <f t="shared" si="34"/>
        <v>#REF!</v>
      </c>
      <c r="AU28" s="36" t="e">
        <f t="shared" si="35"/>
        <v>#REF!</v>
      </c>
      <c r="AV28" s="36" t="e">
        <f t="shared" si="36"/>
        <v>#REF!</v>
      </c>
      <c r="AW28" s="36" t="e">
        <f t="shared" si="37"/>
        <v>#REF!</v>
      </c>
      <c r="AX28" s="36" t="e">
        <f t="shared" si="38"/>
        <v>#REF!</v>
      </c>
      <c r="AY28" s="36" t="e">
        <f t="shared" si="39"/>
        <v>#REF!</v>
      </c>
      <c r="AZ28" s="36" t="e">
        <f t="shared" si="40"/>
        <v>#REF!</v>
      </c>
      <c r="BA28" s="36" t="e">
        <f t="shared" si="41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22"/>
        <v>#REF!</v>
      </c>
      <c r="AG29" s="36" t="e">
        <f t="shared" si="23"/>
        <v>#REF!</v>
      </c>
      <c r="AH29" s="36" t="e">
        <f t="shared" si="24"/>
        <v>#REF!</v>
      </c>
      <c r="AI29" s="36" t="e">
        <f t="shared" si="25"/>
        <v>#REF!</v>
      </c>
      <c r="AJ29" s="36" t="e">
        <f t="shared" si="26"/>
        <v>#REF!</v>
      </c>
      <c r="AK29" s="36" t="e">
        <f t="shared" si="27"/>
        <v>#REF!</v>
      </c>
      <c r="AL29" s="36" t="e">
        <f t="shared" si="28"/>
        <v>#REF!</v>
      </c>
      <c r="AM29" s="36" t="e">
        <f t="shared" si="29"/>
        <v>#REF!</v>
      </c>
      <c r="AN29" s="36" t="e">
        <f t="shared" si="30"/>
        <v>#REF!</v>
      </c>
      <c r="AO29" s="36" t="e">
        <f t="shared" si="31"/>
        <v>#REF!</v>
      </c>
      <c r="AQ29" s="38"/>
      <c r="AR29" s="36" t="e">
        <f t="shared" si="32"/>
        <v>#REF!</v>
      </c>
      <c r="AS29" s="36" t="e">
        <f t="shared" si="33"/>
        <v>#REF!</v>
      </c>
      <c r="AT29" s="36" t="e">
        <f t="shared" si="34"/>
        <v>#REF!</v>
      </c>
      <c r="AU29" s="36" t="e">
        <f t="shared" si="35"/>
        <v>#REF!</v>
      </c>
      <c r="AV29" s="36" t="e">
        <f t="shared" si="36"/>
        <v>#REF!</v>
      </c>
      <c r="AW29" s="36" t="e">
        <f t="shared" si="37"/>
        <v>#REF!</v>
      </c>
      <c r="AX29" s="36" t="e">
        <f t="shared" si="38"/>
        <v>#REF!</v>
      </c>
      <c r="AY29" s="36" t="e">
        <f t="shared" si="39"/>
        <v>#REF!</v>
      </c>
      <c r="AZ29" s="36" t="e">
        <f t="shared" si="40"/>
        <v>#REF!</v>
      </c>
      <c r="BA29" s="36" t="e">
        <f t="shared" si="41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22"/>
        <v>#REF!</v>
      </c>
      <c r="AG30" s="36" t="e">
        <f t="shared" si="23"/>
        <v>#REF!</v>
      </c>
      <c r="AH30" s="36" t="e">
        <f t="shared" si="24"/>
        <v>#REF!</v>
      </c>
      <c r="AI30" s="36" t="e">
        <f t="shared" si="25"/>
        <v>#REF!</v>
      </c>
      <c r="AJ30" s="36" t="e">
        <f t="shared" si="26"/>
        <v>#REF!</v>
      </c>
      <c r="AK30" s="36" t="e">
        <f t="shared" si="27"/>
        <v>#REF!</v>
      </c>
      <c r="AL30" s="36" t="e">
        <f t="shared" si="28"/>
        <v>#REF!</v>
      </c>
      <c r="AM30" s="36" t="e">
        <f t="shared" si="29"/>
        <v>#REF!</v>
      </c>
      <c r="AN30" s="36" t="e">
        <f t="shared" si="30"/>
        <v>#REF!</v>
      </c>
      <c r="AO30" s="36" t="e">
        <f t="shared" si="31"/>
        <v>#REF!</v>
      </c>
      <c r="AQ30" s="38"/>
      <c r="AR30" s="36" t="e">
        <f t="shared" si="32"/>
        <v>#REF!</v>
      </c>
      <c r="AS30" s="36" t="e">
        <f t="shared" si="33"/>
        <v>#REF!</v>
      </c>
      <c r="AT30" s="36" t="e">
        <f t="shared" si="34"/>
        <v>#REF!</v>
      </c>
      <c r="AU30" s="36" t="e">
        <f t="shared" si="35"/>
        <v>#REF!</v>
      </c>
      <c r="AV30" s="36" t="e">
        <f t="shared" si="36"/>
        <v>#REF!</v>
      </c>
      <c r="AW30" s="36" t="e">
        <f t="shared" si="37"/>
        <v>#REF!</v>
      </c>
      <c r="AX30" s="36" t="e">
        <f t="shared" si="38"/>
        <v>#REF!</v>
      </c>
      <c r="AY30" s="36" t="e">
        <f t="shared" si="39"/>
        <v>#REF!</v>
      </c>
      <c r="AZ30" s="36" t="e">
        <f t="shared" si="40"/>
        <v>#REF!</v>
      </c>
      <c r="BA30" s="36" t="e">
        <f t="shared" si="41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22"/>
        <v>#REF!</v>
      </c>
      <c r="AG31" s="36" t="e">
        <f t="shared" si="23"/>
        <v>#REF!</v>
      </c>
      <c r="AH31" s="36" t="e">
        <f t="shared" si="24"/>
        <v>#REF!</v>
      </c>
      <c r="AI31" s="36" t="e">
        <f t="shared" si="25"/>
        <v>#REF!</v>
      </c>
      <c r="AJ31" s="36" t="e">
        <f t="shared" si="26"/>
        <v>#REF!</v>
      </c>
      <c r="AK31" s="36" t="e">
        <f t="shared" si="27"/>
        <v>#REF!</v>
      </c>
      <c r="AL31" s="36" t="e">
        <f t="shared" si="28"/>
        <v>#REF!</v>
      </c>
      <c r="AM31" s="36" t="e">
        <f t="shared" si="29"/>
        <v>#REF!</v>
      </c>
      <c r="AN31" s="36" t="e">
        <f t="shared" si="30"/>
        <v>#REF!</v>
      </c>
      <c r="AO31" s="36" t="e">
        <f t="shared" si="31"/>
        <v>#REF!</v>
      </c>
      <c r="AQ31" s="38"/>
      <c r="AR31" s="36" t="e">
        <f t="shared" si="32"/>
        <v>#REF!</v>
      </c>
      <c r="AS31" s="36" t="e">
        <f t="shared" si="33"/>
        <v>#REF!</v>
      </c>
      <c r="AT31" s="36" t="e">
        <f t="shared" si="34"/>
        <v>#REF!</v>
      </c>
      <c r="AU31" s="36" t="e">
        <f t="shared" si="35"/>
        <v>#REF!</v>
      </c>
      <c r="AV31" s="36" t="e">
        <f t="shared" si="36"/>
        <v>#REF!</v>
      </c>
      <c r="AW31" s="36" t="e">
        <f t="shared" si="37"/>
        <v>#REF!</v>
      </c>
      <c r="AX31" s="36" t="e">
        <f t="shared" si="38"/>
        <v>#REF!</v>
      </c>
      <c r="AY31" s="36" t="e">
        <f t="shared" si="39"/>
        <v>#REF!</v>
      </c>
      <c r="AZ31" s="36" t="e">
        <f t="shared" si="40"/>
        <v>#REF!</v>
      </c>
      <c r="BA31" s="36" t="e">
        <f t="shared" si="41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22"/>
        <v>#REF!</v>
      </c>
      <c r="AG32" s="36" t="e">
        <f t="shared" si="23"/>
        <v>#REF!</v>
      </c>
      <c r="AH32" s="36" t="e">
        <f t="shared" si="24"/>
        <v>#REF!</v>
      </c>
      <c r="AI32" s="36" t="e">
        <f t="shared" si="25"/>
        <v>#REF!</v>
      </c>
      <c r="AJ32" s="36" t="e">
        <f t="shared" si="26"/>
        <v>#REF!</v>
      </c>
      <c r="AK32" s="36" t="e">
        <f t="shared" si="27"/>
        <v>#REF!</v>
      </c>
      <c r="AL32" s="36" t="e">
        <f t="shared" si="28"/>
        <v>#REF!</v>
      </c>
      <c r="AM32" s="36" t="e">
        <f t="shared" si="29"/>
        <v>#REF!</v>
      </c>
      <c r="AN32" s="36" t="e">
        <f t="shared" si="30"/>
        <v>#REF!</v>
      </c>
      <c r="AO32" s="36" t="e">
        <f t="shared" si="31"/>
        <v>#REF!</v>
      </c>
      <c r="AQ32" s="38"/>
      <c r="AR32" s="36" t="e">
        <f t="shared" si="32"/>
        <v>#REF!</v>
      </c>
      <c r="AS32" s="36" t="e">
        <f t="shared" si="33"/>
        <v>#REF!</v>
      </c>
      <c r="AT32" s="36" t="e">
        <f t="shared" si="34"/>
        <v>#REF!</v>
      </c>
      <c r="AU32" s="36" t="e">
        <f t="shared" si="35"/>
        <v>#REF!</v>
      </c>
      <c r="AV32" s="36" t="e">
        <f t="shared" si="36"/>
        <v>#REF!</v>
      </c>
      <c r="AW32" s="36" t="e">
        <f t="shared" si="37"/>
        <v>#REF!</v>
      </c>
      <c r="AX32" s="36" t="e">
        <f t="shared" si="38"/>
        <v>#REF!</v>
      </c>
      <c r="AY32" s="36" t="e">
        <f t="shared" si="39"/>
        <v>#REF!</v>
      </c>
      <c r="AZ32" s="36" t="e">
        <f t="shared" si="40"/>
        <v>#REF!</v>
      </c>
      <c r="BA32" s="36" t="e">
        <f t="shared" si="41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22"/>
        <v>#REF!</v>
      </c>
      <c r="AG33" s="36" t="e">
        <f t="shared" si="23"/>
        <v>#REF!</v>
      </c>
      <c r="AH33" s="36" t="e">
        <f t="shared" si="24"/>
        <v>#REF!</v>
      </c>
      <c r="AI33" s="36" t="e">
        <f t="shared" si="25"/>
        <v>#REF!</v>
      </c>
      <c r="AJ33" s="36" t="e">
        <f t="shared" si="26"/>
        <v>#REF!</v>
      </c>
      <c r="AK33" s="36" t="e">
        <f t="shared" si="27"/>
        <v>#REF!</v>
      </c>
      <c r="AL33" s="36" t="e">
        <f t="shared" si="28"/>
        <v>#REF!</v>
      </c>
      <c r="AM33" s="36" t="e">
        <f t="shared" si="29"/>
        <v>#REF!</v>
      </c>
      <c r="AN33" s="36" t="e">
        <f t="shared" si="30"/>
        <v>#REF!</v>
      </c>
      <c r="AO33" s="36" t="e">
        <f t="shared" si="31"/>
        <v>#REF!</v>
      </c>
      <c r="AQ33" s="38"/>
      <c r="AR33" s="36" t="e">
        <f t="shared" si="32"/>
        <v>#REF!</v>
      </c>
      <c r="AS33" s="36" t="e">
        <f t="shared" si="33"/>
        <v>#REF!</v>
      </c>
      <c r="AT33" s="36" t="e">
        <f t="shared" si="34"/>
        <v>#REF!</v>
      </c>
      <c r="AU33" s="36" t="e">
        <f t="shared" si="35"/>
        <v>#REF!</v>
      </c>
      <c r="AV33" s="36" t="e">
        <f t="shared" si="36"/>
        <v>#REF!</v>
      </c>
      <c r="AW33" s="36" t="e">
        <f t="shared" si="37"/>
        <v>#REF!</v>
      </c>
      <c r="AX33" s="36" t="e">
        <f t="shared" si="38"/>
        <v>#REF!</v>
      </c>
      <c r="AY33" s="36" t="e">
        <f t="shared" si="39"/>
        <v>#REF!</v>
      </c>
      <c r="AZ33" s="36" t="e">
        <f t="shared" si="40"/>
        <v>#REF!</v>
      </c>
      <c r="BA33" s="36" t="e">
        <f t="shared" si="41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22"/>
        <v>#REF!</v>
      </c>
      <c r="AG34" s="36" t="e">
        <f t="shared" si="23"/>
        <v>#REF!</v>
      </c>
      <c r="AH34" s="36" t="e">
        <f t="shared" si="24"/>
        <v>#REF!</v>
      </c>
      <c r="AI34" s="36" t="e">
        <f t="shared" si="25"/>
        <v>#REF!</v>
      </c>
      <c r="AJ34" s="36" t="e">
        <f t="shared" si="26"/>
        <v>#REF!</v>
      </c>
      <c r="AK34" s="36" t="e">
        <f t="shared" si="27"/>
        <v>#REF!</v>
      </c>
      <c r="AL34" s="36" t="e">
        <f t="shared" si="28"/>
        <v>#REF!</v>
      </c>
      <c r="AM34" s="36" t="e">
        <f t="shared" si="29"/>
        <v>#REF!</v>
      </c>
      <c r="AN34" s="36" t="e">
        <f t="shared" si="30"/>
        <v>#REF!</v>
      </c>
      <c r="AO34" s="36" t="e">
        <f t="shared" si="31"/>
        <v>#REF!</v>
      </c>
      <c r="AQ34" s="38"/>
      <c r="AR34" s="36" t="e">
        <f t="shared" si="32"/>
        <v>#REF!</v>
      </c>
      <c r="AS34" s="36" t="e">
        <f t="shared" si="33"/>
        <v>#REF!</v>
      </c>
      <c r="AT34" s="36" t="e">
        <f t="shared" si="34"/>
        <v>#REF!</v>
      </c>
      <c r="AU34" s="36" t="e">
        <f t="shared" si="35"/>
        <v>#REF!</v>
      </c>
      <c r="AV34" s="36" t="e">
        <f t="shared" si="36"/>
        <v>#REF!</v>
      </c>
      <c r="AW34" s="36" t="e">
        <f t="shared" si="37"/>
        <v>#REF!</v>
      </c>
      <c r="AX34" s="36" t="e">
        <f t="shared" si="38"/>
        <v>#REF!</v>
      </c>
      <c r="AY34" s="36" t="e">
        <f t="shared" si="39"/>
        <v>#REF!</v>
      </c>
      <c r="AZ34" s="36" t="e">
        <f t="shared" si="40"/>
        <v>#REF!</v>
      </c>
      <c r="BA34" s="36" t="e">
        <f t="shared" si="41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Q35" s="38"/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F37" s="36" t="e">
        <f t="shared" ref="AF37:AF45" si="42">AF$10*$AC38</f>
        <v>#REF!</v>
      </c>
      <c r="AG37" s="36" t="e">
        <f t="shared" ref="AG37:AG45" si="43">AG$10*$AC38</f>
        <v>#REF!</v>
      </c>
      <c r="AH37" s="36" t="e">
        <f t="shared" ref="AH37:AH45" si="44">AH$10*$AC38</f>
        <v>#REF!</v>
      </c>
      <c r="AI37" s="36" t="e">
        <f t="shared" ref="AI37:AI45" si="45">AI$10*$AC38</f>
        <v>#REF!</v>
      </c>
      <c r="AJ37" s="36" t="e">
        <f t="shared" ref="AJ37:AJ45" si="46">AJ$10*$AC38</f>
        <v>#REF!</v>
      </c>
      <c r="AK37" s="36" t="e">
        <f t="shared" ref="AK37:AK45" si="47">AK$10*$AC38</f>
        <v>#REF!</v>
      </c>
      <c r="AL37" s="36" t="e">
        <f t="shared" ref="AL37:AL45" si="48">AL$10*$AC38</f>
        <v>#REF!</v>
      </c>
      <c r="AM37" s="36" t="e">
        <f t="shared" ref="AM37:AM45" si="49">AM$10*$AC38</f>
        <v>#REF!</v>
      </c>
      <c r="AN37" s="36" t="e">
        <f t="shared" ref="AN37:AN45" si="50">AN$10*$AC38</f>
        <v>#REF!</v>
      </c>
      <c r="AO37" s="36" t="e">
        <f t="shared" ref="AO37:AO45" si="51">AO$10*$AC38</f>
        <v>#REF!</v>
      </c>
      <c r="AQ37" s="38"/>
      <c r="AR37" s="36" t="e">
        <f t="shared" ref="AR37:AR45" si="52">AR$10*$AC38</f>
        <v>#REF!</v>
      </c>
      <c r="AS37" s="36" t="e">
        <f t="shared" ref="AS37:AS45" si="53">AS$10*$AC38</f>
        <v>#REF!</v>
      </c>
      <c r="AT37" s="36" t="e">
        <f t="shared" ref="AT37:AT45" si="54">AT$10*$AC38</f>
        <v>#REF!</v>
      </c>
      <c r="AU37" s="36" t="e">
        <f t="shared" ref="AU37:AU45" si="55">AU$10*$AC38</f>
        <v>#REF!</v>
      </c>
      <c r="AV37" s="36" t="e">
        <f t="shared" ref="AV37:AV45" si="56">AV$10*$AC38</f>
        <v>#REF!</v>
      </c>
      <c r="AW37" s="36" t="e">
        <f t="shared" ref="AW37:AW45" si="57">AW$10*$AC38</f>
        <v>#REF!</v>
      </c>
      <c r="AX37" s="36" t="e">
        <f t="shared" ref="AX37:AX45" si="58">AX$10*$AC38</f>
        <v>#REF!</v>
      </c>
      <c r="AY37" s="36" t="e">
        <f t="shared" ref="AY37:AY45" si="59">AY$10*$AC38</f>
        <v>#REF!</v>
      </c>
      <c r="AZ37" s="36" t="e">
        <f t="shared" ref="AZ37:AZ45" si="60">AZ$10*$AC38</f>
        <v>#REF!</v>
      </c>
      <c r="BA37" s="36" t="e">
        <f t="shared" ref="BA37:BA45" si="61">BA$10*$AC38</f>
        <v>#REF!</v>
      </c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si="42"/>
        <v>#REF!</v>
      </c>
      <c r="AG38" s="36" t="e">
        <f t="shared" si="43"/>
        <v>#REF!</v>
      </c>
      <c r="AH38" s="36" t="e">
        <f t="shared" si="44"/>
        <v>#REF!</v>
      </c>
      <c r="AI38" s="36" t="e">
        <f t="shared" si="45"/>
        <v>#REF!</v>
      </c>
      <c r="AJ38" s="36" t="e">
        <f t="shared" si="46"/>
        <v>#REF!</v>
      </c>
      <c r="AK38" s="36" t="e">
        <f t="shared" si="47"/>
        <v>#REF!</v>
      </c>
      <c r="AL38" s="36" t="e">
        <f t="shared" si="48"/>
        <v>#REF!</v>
      </c>
      <c r="AM38" s="36" t="e">
        <f t="shared" si="49"/>
        <v>#REF!</v>
      </c>
      <c r="AN38" s="36" t="e">
        <f t="shared" si="50"/>
        <v>#REF!</v>
      </c>
      <c r="AO38" s="36" t="e">
        <f t="shared" si="51"/>
        <v>#REF!</v>
      </c>
      <c r="AQ38" s="38"/>
      <c r="AR38" s="36" t="e">
        <f t="shared" si="52"/>
        <v>#REF!</v>
      </c>
      <c r="AS38" s="36" t="e">
        <f t="shared" si="53"/>
        <v>#REF!</v>
      </c>
      <c r="AT38" s="36" t="e">
        <f t="shared" si="54"/>
        <v>#REF!</v>
      </c>
      <c r="AU38" s="36" t="e">
        <f t="shared" si="55"/>
        <v>#REF!</v>
      </c>
      <c r="AV38" s="36" t="e">
        <f t="shared" si="56"/>
        <v>#REF!</v>
      </c>
      <c r="AW38" s="36" t="e">
        <f t="shared" si="57"/>
        <v>#REF!</v>
      </c>
      <c r="AX38" s="36" t="e">
        <f t="shared" si="58"/>
        <v>#REF!</v>
      </c>
      <c r="AY38" s="36" t="e">
        <f t="shared" si="59"/>
        <v>#REF!</v>
      </c>
      <c r="AZ38" s="36" t="e">
        <f t="shared" si="60"/>
        <v>#REF!</v>
      </c>
      <c r="BA38" s="36" t="e">
        <f t="shared" si="61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42"/>
        <v>#REF!</v>
      </c>
      <c r="AG39" s="36" t="e">
        <f t="shared" si="43"/>
        <v>#REF!</v>
      </c>
      <c r="AH39" s="36" t="e">
        <f t="shared" si="44"/>
        <v>#REF!</v>
      </c>
      <c r="AI39" s="36" t="e">
        <f t="shared" si="45"/>
        <v>#REF!</v>
      </c>
      <c r="AJ39" s="36" t="e">
        <f t="shared" si="46"/>
        <v>#REF!</v>
      </c>
      <c r="AK39" s="36" t="e">
        <f t="shared" si="47"/>
        <v>#REF!</v>
      </c>
      <c r="AL39" s="36" t="e">
        <f t="shared" si="48"/>
        <v>#REF!</v>
      </c>
      <c r="AM39" s="36" t="e">
        <f t="shared" si="49"/>
        <v>#REF!</v>
      </c>
      <c r="AN39" s="36" t="e">
        <f t="shared" si="50"/>
        <v>#REF!</v>
      </c>
      <c r="AO39" s="36" t="e">
        <f t="shared" si="51"/>
        <v>#REF!</v>
      </c>
      <c r="AQ39" s="38"/>
      <c r="AR39" s="36" t="e">
        <f t="shared" si="52"/>
        <v>#REF!</v>
      </c>
      <c r="AS39" s="36" t="e">
        <f t="shared" si="53"/>
        <v>#REF!</v>
      </c>
      <c r="AT39" s="36" t="e">
        <f t="shared" si="54"/>
        <v>#REF!</v>
      </c>
      <c r="AU39" s="36" t="e">
        <f t="shared" si="55"/>
        <v>#REF!</v>
      </c>
      <c r="AV39" s="36" t="e">
        <f t="shared" si="56"/>
        <v>#REF!</v>
      </c>
      <c r="AW39" s="36" t="e">
        <f t="shared" si="57"/>
        <v>#REF!</v>
      </c>
      <c r="AX39" s="36" t="e">
        <f t="shared" si="58"/>
        <v>#REF!</v>
      </c>
      <c r="AY39" s="36" t="e">
        <f t="shared" si="59"/>
        <v>#REF!</v>
      </c>
      <c r="AZ39" s="36" t="e">
        <f t="shared" si="60"/>
        <v>#REF!</v>
      </c>
      <c r="BA39" s="36" t="e">
        <f t="shared" si="61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42"/>
        <v>#REF!</v>
      </c>
      <c r="AG40" s="36" t="e">
        <f t="shared" si="43"/>
        <v>#REF!</v>
      </c>
      <c r="AH40" s="36" t="e">
        <f t="shared" si="44"/>
        <v>#REF!</v>
      </c>
      <c r="AI40" s="36" t="e">
        <f t="shared" si="45"/>
        <v>#REF!</v>
      </c>
      <c r="AJ40" s="36" t="e">
        <f t="shared" si="46"/>
        <v>#REF!</v>
      </c>
      <c r="AK40" s="36" t="e">
        <f t="shared" si="47"/>
        <v>#REF!</v>
      </c>
      <c r="AL40" s="36" t="e">
        <f t="shared" si="48"/>
        <v>#REF!</v>
      </c>
      <c r="AM40" s="36" t="e">
        <f t="shared" si="49"/>
        <v>#REF!</v>
      </c>
      <c r="AN40" s="36" t="e">
        <f t="shared" si="50"/>
        <v>#REF!</v>
      </c>
      <c r="AO40" s="36" t="e">
        <f t="shared" si="51"/>
        <v>#REF!</v>
      </c>
      <c r="AQ40" s="38"/>
      <c r="AR40" s="36" t="e">
        <f t="shared" si="52"/>
        <v>#REF!</v>
      </c>
      <c r="AS40" s="36" t="e">
        <f t="shared" si="53"/>
        <v>#REF!</v>
      </c>
      <c r="AT40" s="36" t="e">
        <f t="shared" si="54"/>
        <v>#REF!</v>
      </c>
      <c r="AU40" s="36" t="e">
        <f t="shared" si="55"/>
        <v>#REF!</v>
      </c>
      <c r="AV40" s="36" t="e">
        <f t="shared" si="56"/>
        <v>#REF!</v>
      </c>
      <c r="AW40" s="36" t="e">
        <f t="shared" si="57"/>
        <v>#REF!</v>
      </c>
      <c r="AX40" s="36" t="e">
        <f t="shared" si="58"/>
        <v>#REF!</v>
      </c>
      <c r="AY40" s="36" t="e">
        <f t="shared" si="59"/>
        <v>#REF!</v>
      </c>
      <c r="AZ40" s="36" t="e">
        <f t="shared" si="60"/>
        <v>#REF!</v>
      </c>
      <c r="BA40" s="36" t="e">
        <f t="shared" si="61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42"/>
        <v>#REF!</v>
      </c>
      <c r="AG41" s="36" t="e">
        <f t="shared" si="43"/>
        <v>#REF!</v>
      </c>
      <c r="AH41" s="36" t="e">
        <f t="shared" si="44"/>
        <v>#REF!</v>
      </c>
      <c r="AI41" s="36" t="e">
        <f t="shared" si="45"/>
        <v>#REF!</v>
      </c>
      <c r="AJ41" s="36" t="e">
        <f t="shared" si="46"/>
        <v>#REF!</v>
      </c>
      <c r="AK41" s="36" t="e">
        <f t="shared" si="47"/>
        <v>#REF!</v>
      </c>
      <c r="AL41" s="36" t="e">
        <f t="shared" si="48"/>
        <v>#REF!</v>
      </c>
      <c r="AM41" s="36" t="e">
        <f t="shared" si="49"/>
        <v>#REF!</v>
      </c>
      <c r="AN41" s="36" t="e">
        <f t="shared" si="50"/>
        <v>#REF!</v>
      </c>
      <c r="AO41" s="36" t="e">
        <f t="shared" si="51"/>
        <v>#REF!</v>
      </c>
      <c r="AQ41" s="38"/>
      <c r="AR41" s="36" t="e">
        <f t="shared" si="52"/>
        <v>#REF!</v>
      </c>
      <c r="AS41" s="36" t="e">
        <f t="shared" si="53"/>
        <v>#REF!</v>
      </c>
      <c r="AT41" s="36" t="e">
        <f t="shared" si="54"/>
        <v>#REF!</v>
      </c>
      <c r="AU41" s="36" t="e">
        <f t="shared" si="55"/>
        <v>#REF!</v>
      </c>
      <c r="AV41" s="36" t="e">
        <f t="shared" si="56"/>
        <v>#REF!</v>
      </c>
      <c r="AW41" s="36" t="e">
        <f t="shared" si="57"/>
        <v>#REF!</v>
      </c>
      <c r="AX41" s="36" t="e">
        <f t="shared" si="58"/>
        <v>#REF!</v>
      </c>
      <c r="AY41" s="36" t="e">
        <f t="shared" si="59"/>
        <v>#REF!</v>
      </c>
      <c r="AZ41" s="36" t="e">
        <f t="shared" si="60"/>
        <v>#REF!</v>
      </c>
      <c r="BA41" s="36" t="e">
        <f t="shared" si="61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42"/>
        <v>#REF!</v>
      </c>
      <c r="AG42" s="36" t="e">
        <f t="shared" si="43"/>
        <v>#REF!</v>
      </c>
      <c r="AH42" s="36" t="e">
        <f t="shared" si="44"/>
        <v>#REF!</v>
      </c>
      <c r="AI42" s="36" t="e">
        <f t="shared" si="45"/>
        <v>#REF!</v>
      </c>
      <c r="AJ42" s="36" t="e">
        <f t="shared" si="46"/>
        <v>#REF!</v>
      </c>
      <c r="AK42" s="36" t="e">
        <f t="shared" si="47"/>
        <v>#REF!</v>
      </c>
      <c r="AL42" s="36" t="e">
        <f t="shared" si="48"/>
        <v>#REF!</v>
      </c>
      <c r="AM42" s="36" t="e">
        <f t="shared" si="49"/>
        <v>#REF!</v>
      </c>
      <c r="AN42" s="36" t="e">
        <f t="shared" si="50"/>
        <v>#REF!</v>
      </c>
      <c r="AO42" s="36" t="e">
        <f t="shared" si="51"/>
        <v>#REF!</v>
      </c>
      <c r="AQ42" s="38"/>
      <c r="AR42" s="36" t="e">
        <f t="shared" si="52"/>
        <v>#REF!</v>
      </c>
      <c r="AS42" s="36" t="e">
        <f t="shared" si="53"/>
        <v>#REF!</v>
      </c>
      <c r="AT42" s="36" t="e">
        <f t="shared" si="54"/>
        <v>#REF!</v>
      </c>
      <c r="AU42" s="36" t="e">
        <f t="shared" si="55"/>
        <v>#REF!</v>
      </c>
      <c r="AV42" s="36" t="e">
        <f t="shared" si="56"/>
        <v>#REF!</v>
      </c>
      <c r="AW42" s="36" t="e">
        <f t="shared" si="57"/>
        <v>#REF!</v>
      </c>
      <c r="AX42" s="36" t="e">
        <f t="shared" si="58"/>
        <v>#REF!</v>
      </c>
      <c r="AY42" s="36" t="e">
        <f t="shared" si="59"/>
        <v>#REF!</v>
      </c>
      <c r="AZ42" s="36" t="e">
        <f t="shared" si="60"/>
        <v>#REF!</v>
      </c>
      <c r="BA42" s="36" t="e">
        <f t="shared" si="61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42"/>
        <v>#REF!</v>
      </c>
      <c r="AG43" s="36" t="e">
        <f t="shared" si="43"/>
        <v>#REF!</v>
      </c>
      <c r="AH43" s="36" t="e">
        <f t="shared" si="44"/>
        <v>#REF!</v>
      </c>
      <c r="AI43" s="36" t="e">
        <f t="shared" si="45"/>
        <v>#REF!</v>
      </c>
      <c r="AJ43" s="36" t="e">
        <f t="shared" si="46"/>
        <v>#REF!</v>
      </c>
      <c r="AK43" s="36" t="e">
        <f t="shared" si="47"/>
        <v>#REF!</v>
      </c>
      <c r="AL43" s="36" t="e">
        <f t="shared" si="48"/>
        <v>#REF!</v>
      </c>
      <c r="AM43" s="36" t="e">
        <f t="shared" si="49"/>
        <v>#REF!</v>
      </c>
      <c r="AN43" s="36" t="e">
        <f t="shared" si="50"/>
        <v>#REF!</v>
      </c>
      <c r="AO43" s="36" t="e">
        <f t="shared" si="51"/>
        <v>#REF!</v>
      </c>
      <c r="AQ43" s="38"/>
      <c r="AR43" s="36" t="e">
        <f t="shared" si="52"/>
        <v>#REF!</v>
      </c>
      <c r="AS43" s="36" t="e">
        <f t="shared" si="53"/>
        <v>#REF!</v>
      </c>
      <c r="AT43" s="36" t="e">
        <f t="shared" si="54"/>
        <v>#REF!</v>
      </c>
      <c r="AU43" s="36" t="e">
        <f t="shared" si="55"/>
        <v>#REF!</v>
      </c>
      <c r="AV43" s="36" t="e">
        <f t="shared" si="56"/>
        <v>#REF!</v>
      </c>
      <c r="AW43" s="36" t="e">
        <f t="shared" si="57"/>
        <v>#REF!</v>
      </c>
      <c r="AX43" s="36" t="e">
        <f t="shared" si="58"/>
        <v>#REF!</v>
      </c>
      <c r="AY43" s="36" t="e">
        <f t="shared" si="59"/>
        <v>#REF!</v>
      </c>
      <c r="AZ43" s="36" t="e">
        <f t="shared" si="60"/>
        <v>#REF!</v>
      </c>
      <c r="BA43" s="36" t="e">
        <f t="shared" si="61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42"/>
        <v>#REF!</v>
      </c>
      <c r="AG44" s="36" t="e">
        <f t="shared" si="43"/>
        <v>#REF!</v>
      </c>
      <c r="AH44" s="36" t="e">
        <f t="shared" si="44"/>
        <v>#REF!</v>
      </c>
      <c r="AI44" s="36" t="e">
        <f t="shared" si="45"/>
        <v>#REF!</v>
      </c>
      <c r="AJ44" s="36" t="e">
        <f t="shared" si="46"/>
        <v>#REF!</v>
      </c>
      <c r="AK44" s="36" t="e">
        <f t="shared" si="47"/>
        <v>#REF!</v>
      </c>
      <c r="AL44" s="36" t="e">
        <f t="shared" si="48"/>
        <v>#REF!</v>
      </c>
      <c r="AM44" s="36" t="e">
        <f t="shared" si="49"/>
        <v>#REF!</v>
      </c>
      <c r="AN44" s="36" t="e">
        <f t="shared" si="50"/>
        <v>#REF!</v>
      </c>
      <c r="AO44" s="36" t="e">
        <f t="shared" si="51"/>
        <v>#REF!</v>
      </c>
      <c r="AQ44" s="38"/>
      <c r="AR44" s="36" t="e">
        <f t="shared" si="52"/>
        <v>#REF!</v>
      </c>
      <c r="AS44" s="36" t="e">
        <f t="shared" si="53"/>
        <v>#REF!</v>
      </c>
      <c r="AT44" s="36" t="e">
        <f t="shared" si="54"/>
        <v>#REF!</v>
      </c>
      <c r="AU44" s="36" t="e">
        <f t="shared" si="55"/>
        <v>#REF!</v>
      </c>
      <c r="AV44" s="36" t="e">
        <f t="shared" si="56"/>
        <v>#REF!</v>
      </c>
      <c r="AW44" s="36" t="e">
        <f t="shared" si="57"/>
        <v>#REF!</v>
      </c>
      <c r="AX44" s="36" t="e">
        <f t="shared" si="58"/>
        <v>#REF!</v>
      </c>
      <c r="AY44" s="36" t="e">
        <f t="shared" si="59"/>
        <v>#REF!</v>
      </c>
      <c r="AZ44" s="36" t="e">
        <f t="shared" si="60"/>
        <v>#REF!</v>
      </c>
      <c r="BA44" s="36" t="e">
        <f t="shared" si="61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42"/>
        <v>#REF!</v>
      </c>
      <c r="AG45" s="36" t="e">
        <f t="shared" si="43"/>
        <v>#REF!</v>
      </c>
      <c r="AH45" s="36" t="e">
        <f t="shared" si="44"/>
        <v>#REF!</v>
      </c>
      <c r="AI45" s="36" t="e">
        <f t="shared" si="45"/>
        <v>#REF!</v>
      </c>
      <c r="AJ45" s="36" t="e">
        <f t="shared" si="46"/>
        <v>#REF!</v>
      </c>
      <c r="AK45" s="36" t="e">
        <f t="shared" si="47"/>
        <v>#REF!</v>
      </c>
      <c r="AL45" s="36" t="e">
        <f t="shared" si="48"/>
        <v>#REF!</v>
      </c>
      <c r="AM45" s="36" t="e">
        <f t="shared" si="49"/>
        <v>#REF!</v>
      </c>
      <c r="AN45" s="36" t="e">
        <f t="shared" si="50"/>
        <v>#REF!</v>
      </c>
      <c r="AO45" s="36" t="e">
        <f t="shared" si="51"/>
        <v>#REF!</v>
      </c>
      <c r="AQ45" s="38"/>
      <c r="AR45" s="36" t="e">
        <f t="shared" si="52"/>
        <v>#REF!</v>
      </c>
      <c r="AS45" s="36" t="e">
        <f t="shared" si="53"/>
        <v>#REF!</v>
      </c>
      <c r="AT45" s="36" t="e">
        <f t="shared" si="54"/>
        <v>#REF!</v>
      </c>
      <c r="AU45" s="36" t="e">
        <f t="shared" si="55"/>
        <v>#REF!</v>
      </c>
      <c r="AV45" s="36" t="e">
        <f t="shared" si="56"/>
        <v>#REF!</v>
      </c>
      <c r="AW45" s="36" t="e">
        <f t="shared" si="57"/>
        <v>#REF!</v>
      </c>
      <c r="AX45" s="36" t="e">
        <f t="shared" si="58"/>
        <v>#REF!</v>
      </c>
      <c r="AY45" s="36" t="e">
        <f t="shared" si="59"/>
        <v>#REF!</v>
      </c>
      <c r="AZ45" s="36" t="e">
        <f t="shared" si="60"/>
        <v>#REF!</v>
      </c>
      <c r="BA45" s="36" t="e">
        <f t="shared" si="61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Q46" s="38"/>
    </row>
    <row r="47" spans="1:53" hidden="1">
      <c r="AQ47" s="38"/>
    </row>
    <row r="48" spans="1:53" ht="63.75" hidden="1"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6" t="s">
        <v>43</v>
      </c>
      <c r="AB49" s="67"/>
      <c r="AC49" s="68"/>
      <c r="AD49" s="68"/>
      <c r="AE49" s="68"/>
      <c r="AG49" s="70"/>
      <c r="AQ49" s="38"/>
    </row>
    <row r="50" spans="27:53" hidden="1">
      <c r="AA50" s="69" t="s">
        <v>44</v>
      </c>
      <c r="AB50" s="35"/>
      <c r="AF50" s="70" t="e">
        <f t="shared" ref="AF50:AO50" si="62">AF15+AF17+AF18</f>
        <v>#REF!</v>
      </c>
      <c r="AG50" s="70" t="e">
        <f t="shared" si="62"/>
        <v>#REF!</v>
      </c>
      <c r="AH50" s="70" t="e">
        <f t="shared" si="62"/>
        <v>#REF!</v>
      </c>
      <c r="AI50" s="70" t="e">
        <f t="shared" si="62"/>
        <v>#REF!</v>
      </c>
      <c r="AJ50" s="70" t="e">
        <f t="shared" si="62"/>
        <v>#REF!</v>
      </c>
      <c r="AK50" s="70" t="e">
        <f t="shared" si="62"/>
        <v>#REF!</v>
      </c>
      <c r="AL50" s="70" t="e">
        <f t="shared" si="62"/>
        <v>#REF!</v>
      </c>
      <c r="AM50" s="70" t="e">
        <f t="shared" si="62"/>
        <v>#REF!</v>
      </c>
      <c r="AN50" s="70" t="e">
        <f t="shared" si="62"/>
        <v>#REF!</v>
      </c>
      <c r="AO50" s="70" t="e">
        <f t="shared" si="62"/>
        <v>#REF!</v>
      </c>
      <c r="AP50" s="70"/>
      <c r="AQ50" s="70"/>
      <c r="AR50" s="70" t="e">
        <f t="shared" ref="AR50:BA50" si="63">AR15+AR17+AR18</f>
        <v>#REF!</v>
      </c>
      <c r="AS50" s="70" t="e">
        <f t="shared" si="63"/>
        <v>#REF!</v>
      </c>
      <c r="AT50" s="70" t="e">
        <f t="shared" si="63"/>
        <v>#REF!</v>
      </c>
      <c r="AU50" s="70" t="e">
        <f t="shared" si="63"/>
        <v>#REF!</v>
      </c>
      <c r="AV50" s="70" t="e">
        <f t="shared" si="63"/>
        <v>#REF!</v>
      </c>
      <c r="AW50" s="70" t="e">
        <f t="shared" si="63"/>
        <v>#REF!</v>
      </c>
      <c r="AX50" s="70" t="e">
        <f t="shared" si="63"/>
        <v>#REF!</v>
      </c>
      <c r="AY50" s="70" t="e">
        <f t="shared" si="63"/>
        <v>#REF!</v>
      </c>
      <c r="AZ50" s="70" t="e">
        <f t="shared" si="63"/>
        <v>#REF!</v>
      </c>
      <c r="BA50" s="70" t="e">
        <f t="shared" si="63"/>
        <v>#REF!</v>
      </c>
    </row>
    <row r="51" spans="27:53" hidden="1">
      <c r="AA51" s="71" t="s">
        <v>29</v>
      </c>
      <c r="AB51" s="35"/>
      <c r="AF51" s="70" t="e">
        <f t="shared" ref="AF51:AO51" si="64">AF26+AF28+AF29</f>
        <v>#REF!</v>
      </c>
      <c r="AG51" s="70" t="e">
        <f t="shared" si="64"/>
        <v>#REF!</v>
      </c>
      <c r="AH51" s="70" t="e">
        <f t="shared" si="64"/>
        <v>#REF!</v>
      </c>
      <c r="AI51" s="70" t="e">
        <f t="shared" si="64"/>
        <v>#REF!</v>
      </c>
      <c r="AJ51" s="70" t="e">
        <f t="shared" si="64"/>
        <v>#REF!</v>
      </c>
      <c r="AK51" s="70" t="e">
        <f t="shared" si="64"/>
        <v>#REF!</v>
      </c>
      <c r="AL51" s="70" t="e">
        <f t="shared" si="64"/>
        <v>#REF!</v>
      </c>
      <c r="AM51" s="70" t="e">
        <f t="shared" si="64"/>
        <v>#REF!</v>
      </c>
      <c r="AN51" s="70" t="e">
        <f t="shared" si="64"/>
        <v>#REF!</v>
      </c>
      <c r="AO51" s="70" t="e">
        <f t="shared" si="64"/>
        <v>#REF!</v>
      </c>
      <c r="AP51" s="70"/>
      <c r="AQ51" s="70"/>
      <c r="AR51" s="70" t="e">
        <f t="shared" ref="AR51:BA51" si="65">AR26+AR28+AR29</f>
        <v>#REF!</v>
      </c>
      <c r="AS51" s="70" t="e">
        <f t="shared" si="65"/>
        <v>#REF!</v>
      </c>
      <c r="AT51" s="70" t="e">
        <f t="shared" si="65"/>
        <v>#REF!</v>
      </c>
      <c r="AU51" s="70" t="e">
        <f t="shared" si="65"/>
        <v>#REF!</v>
      </c>
      <c r="AV51" s="70" t="e">
        <f t="shared" si="65"/>
        <v>#REF!</v>
      </c>
      <c r="AW51" s="70" t="e">
        <f t="shared" si="65"/>
        <v>#REF!</v>
      </c>
      <c r="AX51" s="70" t="e">
        <f t="shared" si="65"/>
        <v>#REF!</v>
      </c>
      <c r="AY51" s="70" t="e">
        <f t="shared" si="65"/>
        <v>#REF!</v>
      </c>
      <c r="AZ51" s="70" t="e">
        <f t="shared" si="65"/>
        <v>#REF!</v>
      </c>
      <c r="BA51" s="70" t="e">
        <f t="shared" si="65"/>
        <v>#REF!</v>
      </c>
    </row>
    <row r="52" spans="27:53" hidden="1">
      <c r="AA52" s="71" t="s">
        <v>41</v>
      </c>
      <c r="AB52" s="35"/>
      <c r="AF52" s="70" t="e">
        <f t="shared" ref="AF52:AO52" si="66">AF37+AF39+AF40</f>
        <v>#REF!</v>
      </c>
      <c r="AG52" s="70" t="e">
        <f t="shared" si="66"/>
        <v>#REF!</v>
      </c>
      <c r="AH52" s="70" t="e">
        <f t="shared" si="66"/>
        <v>#REF!</v>
      </c>
      <c r="AI52" s="70" t="e">
        <f t="shared" si="66"/>
        <v>#REF!</v>
      </c>
      <c r="AJ52" s="70" t="e">
        <f t="shared" si="66"/>
        <v>#REF!</v>
      </c>
      <c r="AK52" s="70" t="e">
        <f t="shared" si="66"/>
        <v>#REF!</v>
      </c>
      <c r="AL52" s="70" t="e">
        <f t="shared" si="66"/>
        <v>#REF!</v>
      </c>
      <c r="AM52" s="70" t="e">
        <f t="shared" si="66"/>
        <v>#REF!</v>
      </c>
      <c r="AN52" s="70" t="e">
        <f t="shared" si="66"/>
        <v>#REF!</v>
      </c>
      <c r="AO52" s="70" t="e">
        <f t="shared" si="66"/>
        <v>#REF!</v>
      </c>
      <c r="AP52" s="70"/>
      <c r="AQ52" s="70"/>
      <c r="AR52" s="70" t="e">
        <f t="shared" ref="AR52:BA52" si="67">AR37+AR39+AR40</f>
        <v>#REF!</v>
      </c>
      <c r="AS52" s="70" t="e">
        <f t="shared" si="67"/>
        <v>#REF!</v>
      </c>
      <c r="AT52" s="70" t="e">
        <f t="shared" si="67"/>
        <v>#REF!</v>
      </c>
      <c r="AU52" s="70" t="e">
        <f t="shared" si="67"/>
        <v>#REF!</v>
      </c>
      <c r="AV52" s="70" t="e">
        <f t="shared" si="67"/>
        <v>#REF!</v>
      </c>
      <c r="AW52" s="70" t="e">
        <f t="shared" si="67"/>
        <v>#REF!</v>
      </c>
      <c r="AX52" s="70" t="e">
        <f t="shared" si="67"/>
        <v>#REF!</v>
      </c>
      <c r="AY52" s="70" t="e">
        <f t="shared" si="67"/>
        <v>#REF!</v>
      </c>
      <c r="AZ52" s="70" t="e">
        <f t="shared" si="67"/>
        <v>#REF!</v>
      </c>
      <c r="BA52" s="70" t="e">
        <f t="shared" si="67"/>
        <v>#REF!</v>
      </c>
    </row>
    <row r="53" spans="27:53" hidden="1">
      <c r="AA53" s="71" t="s">
        <v>42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69" t="s">
        <v>45</v>
      </c>
      <c r="AB54" s="35"/>
      <c r="AF54" s="70" t="e">
        <f t="shared" ref="AF54:AO54" si="68">AF15+AF17+AF19+AF21</f>
        <v>#REF!</v>
      </c>
      <c r="AG54" s="70" t="e">
        <f t="shared" si="68"/>
        <v>#REF!</v>
      </c>
      <c r="AH54" s="70" t="e">
        <f t="shared" si="68"/>
        <v>#REF!</v>
      </c>
      <c r="AI54" s="70" t="e">
        <f t="shared" si="68"/>
        <v>#REF!</v>
      </c>
      <c r="AJ54" s="70" t="e">
        <f t="shared" si="68"/>
        <v>#REF!</v>
      </c>
      <c r="AK54" s="70" t="e">
        <f t="shared" si="68"/>
        <v>#REF!</v>
      </c>
      <c r="AL54" s="70" t="e">
        <f t="shared" si="68"/>
        <v>#REF!</v>
      </c>
      <c r="AM54" s="70" t="e">
        <f t="shared" si="68"/>
        <v>#REF!</v>
      </c>
      <c r="AN54" s="70" t="e">
        <f t="shared" si="68"/>
        <v>#REF!</v>
      </c>
      <c r="AO54" s="70" t="e">
        <f t="shared" si="68"/>
        <v>#REF!</v>
      </c>
      <c r="AP54" s="70"/>
      <c r="AQ54" s="70"/>
      <c r="AR54" s="70" t="e">
        <f t="shared" ref="AR54:BA54" si="69">AR15+AR17+AR19+AR21</f>
        <v>#REF!</v>
      </c>
      <c r="AS54" s="70" t="e">
        <f t="shared" si="69"/>
        <v>#REF!</v>
      </c>
      <c r="AT54" s="70" t="e">
        <f t="shared" si="69"/>
        <v>#REF!</v>
      </c>
      <c r="AU54" s="70" t="e">
        <f t="shared" si="69"/>
        <v>#REF!</v>
      </c>
      <c r="AV54" s="70" t="e">
        <f t="shared" si="69"/>
        <v>#REF!</v>
      </c>
      <c r="AW54" s="70" t="e">
        <f t="shared" si="69"/>
        <v>#REF!</v>
      </c>
      <c r="AX54" s="70" t="e">
        <f t="shared" si="69"/>
        <v>#REF!</v>
      </c>
      <c r="AY54" s="70" t="e">
        <f t="shared" si="69"/>
        <v>#REF!</v>
      </c>
      <c r="AZ54" s="70" t="e">
        <f t="shared" si="69"/>
        <v>#REF!</v>
      </c>
      <c r="BA54" s="70" t="e">
        <f t="shared" si="69"/>
        <v>#REF!</v>
      </c>
    </row>
    <row r="55" spans="27:53" hidden="1">
      <c r="AA55" s="71" t="s">
        <v>29</v>
      </c>
      <c r="AB55" s="35"/>
      <c r="AF55" s="70" t="e">
        <f t="shared" ref="AF55:AO55" si="70">AF26+AF28+AF30+AF32</f>
        <v>#REF!</v>
      </c>
      <c r="AG55" s="70" t="e">
        <f t="shared" si="70"/>
        <v>#REF!</v>
      </c>
      <c r="AH55" s="70" t="e">
        <f t="shared" si="70"/>
        <v>#REF!</v>
      </c>
      <c r="AI55" s="70" t="e">
        <f t="shared" si="70"/>
        <v>#REF!</v>
      </c>
      <c r="AJ55" s="70" t="e">
        <f t="shared" si="70"/>
        <v>#REF!</v>
      </c>
      <c r="AK55" s="70" t="e">
        <f t="shared" si="70"/>
        <v>#REF!</v>
      </c>
      <c r="AL55" s="70" t="e">
        <f t="shared" si="70"/>
        <v>#REF!</v>
      </c>
      <c r="AM55" s="70" t="e">
        <f t="shared" si="70"/>
        <v>#REF!</v>
      </c>
      <c r="AN55" s="70" t="e">
        <f t="shared" si="70"/>
        <v>#REF!</v>
      </c>
      <c r="AO55" s="70" t="e">
        <f t="shared" si="70"/>
        <v>#REF!</v>
      </c>
      <c r="AP55" s="70"/>
      <c r="AQ55" s="70"/>
      <c r="AR55" s="70" t="e">
        <f t="shared" ref="AR55:BA55" si="71">AR26+AR28+AR30+AR32</f>
        <v>#REF!</v>
      </c>
      <c r="AS55" s="70" t="e">
        <f t="shared" si="71"/>
        <v>#REF!</v>
      </c>
      <c r="AT55" s="70" t="e">
        <f t="shared" si="71"/>
        <v>#REF!</v>
      </c>
      <c r="AU55" s="70" t="e">
        <f t="shared" si="71"/>
        <v>#REF!</v>
      </c>
      <c r="AV55" s="70" t="e">
        <f t="shared" si="71"/>
        <v>#REF!</v>
      </c>
      <c r="AW55" s="70" t="e">
        <f t="shared" si="71"/>
        <v>#REF!</v>
      </c>
      <c r="AX55" s="70" t="e">
        <f t="shared" si="71"/>
        <v>#REF!</v>
      </c>
      <c r="AY55" s="70" t="e">
        <f t="shared" si="71"/>
        <v>#REF!</v>
      </c>
      <c r="AZ55" s="70" t="e">
        <f t="shared" si="71"/>
        <v>#REF!</v>
      </c>
      <c r="BA55" s="70" t="e">
        <f t="shared" si="71"/>
        <v>#REF!</v>
      </c>
    </row>
    <row r="56" spans="27:53" hidden="1">
      <c r="AA56" s="71" t="s">
        <v>41</v>
      </c>
      <c r="AB56" s="35"/>
      <c r="AF56" s="70" t="e">
        <f t="shared" ref="AF56:AO56" si="72">AF37+AF39+AF41+AF43</f>
        <v>#REF!</v>
      </c>
      <c r="AG56" s="70" t="e">
        <f t="shared" si="72"/>
        <v>#REF!</v>
      </c>
      <c r="AH56" s="70" t="e">
        <f t="shared" si="72"/>
        <v>#REF!</v>
      </c>
      <c r="AI56" s="70" t="e">
        <f t="shared" si="72"/>
        <v>#REF!</v>
      </c>
      <c r="AJ56" s="70" t="e">
        <f t="shared" si="72"/>
        <v>#REF!</v>
      </c>
      <c r="AK56" s="70" t="e">
        <f t="shared" si="72"/>
        <v>#REF!</v>
      </c>
      <c r="AL56" s="70" t="e">
        <f t="shared" si="72"/>
        <v>#REF!</v>
      </c>
      <c r="AM56" s="70" t="e">
        <f t="shared" si="72"/>
        <v>#REF!</v>
      </c>
      <c r="AN56" s="70" t="e">
        <f t="shared" si="72"/>
        <v>#REF!</v>
      </c>
      <c r="AO56" s="70" t="e">
        <f t="shared" si="72"/>
        <v>#REF!</v>
      </c>
      <c r="AP56" s="70"/>
      <c r="AQ56" s="70"/>
      <c r="AR56" s="70" t="e">
        <f t="shared" ref="AR56:BA56" si="73">AR37+AR39+AR41+AR43</f>
        <v>#REF!</v>
      </c>
      <c r="AS56" s="70" t="e">
        <f t="shared" si="73"/>
        <v>#REF!</v>
      </c>
      <c r="AT56" s="70" t="e">
        <f t="shared" si="73"/>
        <v>#REF!</v>
      </c>
      <c r="AU56" s="70" t="e">
        <f t="shared" si="73"/>
        <v>#REF!</v>
      </c>
      <c r="AV56" s="70" t="e">
        <f t="shared" si="73"/>
        <v>#REF!</v>
      </c>
      <c r="AW56" s="70" t="e">
        <f t="shared" si="73"/>
        <v>#REF!</v>
      </c>
      <c r="AX56" s="70" t="e">
        <f t="shared" si="73"/>
        <v>#REF!</v>
      </c>
      <c r="AY56" s="70" t="e">
        <f t="shared" si="73"/>
        <v>#REF!</v>
      </c>
      <c r="AZ56" s="70" t="e">
        <f t="shared" si="73"/>
        <v>#REF!</v>
      </c>
      <c r="BA56" s="70" t="e">
        <f t="shared" si="73"/>
        <v>#REF!</v>
      </c>
    </row>
    <row r="57" spans="27:53" hidden="1">
      <c r="AA57" s="71" t="s">
        <v>42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69" t="s">
        <v>46</v>
      </c>
      <c r="AB58" s="35"/>
      <c r="AF58" s="70" t="e">
        <f t="shared" ref="AF58:AO58" si="74">AF15+AF17+AF19+AF20+AF22</f>
        <v>#REF!</v>
      </c>
      <c r="AG58" s="70" t="e">
        <f t="shared" si="74"/>
        <v>#REF!</v>
      </c>
      <c r="AH58" s="70" t="e">
        <f t="shared" si="74"/>
        <v>#REF!</v>
      </c>
      <c r="AI58" s="70" t="e">
        <f t="shared" si="74"/>
        <v>#REF!</v>
      </c>
      <c r="AJ58" s="70" t="e">
        <f t="shared" si="74"/>
        <v>#REF!</v>
      </c>
      <c r="AK58" s="70" t="e">
        <f t="shared" si="74"/>
        <v>#REF!</v>
      </c>
      <c r="AL58" s="70" t="e">
        <f t="shared" si="74"/>
        <v>#REF!</v>
      </c>
      <c r="AM58" s="70" t="e">
        <f t="shared" si="74"/>
        <v>#REF!</v>
      </c>
      <c r="AN58" s="70" t="e">
        <f t="shared" si="74"/>
        <v>#REF!</v>
      </c>
      <c r="AO58" s="70" t="e">
        <f t="shared" si="74"/>
        <v>#REF!</v>
      </c>
      <c r="AP58" s="70"/>
      <c r="AQ58" s="70"/>
      <c r="AR58" s="70" t="e">
        <f t="shared" ref="AR58:BA58" si="75">AR15+AR17+AR19+AR20+AR22</f>
        <v>#REF!</v>
      </c>
      <c r="AS58" s="70" t="e">
        <f t="shared" si="75"/>
        <v>#REF!</v>
      </c>
      <c r="AT58" s="70" t="e">
        <f t="shared" si="75"/>
        <v>#REF!</v>
      </c>
      <c r="AU58" s="70" t="e">
        <f t="shared" si="75"/>
        <v>#REF!</v>
      </c>
      <c r="AV58" s="70" t="e">
        <f t="shared" si="75"/>
        <v>#REF!</v>
      </c>
      <c r="AW58" s="70" t="e">
        <f t="shared" si="75"/>
        <v>#REF!</v>
      </c>
      <c r="AX58" s="70" t="e">
        <f t="shared" si="75"/>
        <v>#REF!</v>
      </c>
      <c r="AY58" s="70" t="e">
        <f t="shared" si="75"/>
        <v>#REF!</v>
      </c>
      <c r="AZ58" s="70" t="e">
        <f t="shared" si="75"/>
        <v>#REF!</v>
      </c>
      <c r="BA58" s="70" t="e">
        <f t="shared" si="75"/>
        <v>#REF!</v>
      </c>
    </row>
    <row r="59" spans="27:53" hidden="1">
      <c r="AA59" s="71" t="s">
        <v>29</v>
      </c>
      <c r="AB59" s="35"/>
      <c r="AF59" s="70" t="e">
        <f t="shared" ref="AF59:AO59" si="76">AF26+AF28+AF30+AF31+AF33</f>
        <v>#REF!</v>
      </c>
      <c r="AG59" s="70" t="e">
        <f t="shared" si="76"/>
        <v>#REF!</v>
      </c>
      <c r="AH59" s="70" t="e">
        <f t="shared" si="76"/>
        <v>#REF!</v>
      </c>
      <c r="AI59" s="70" t="e">
        <f t="shared" si="76"/>
        <v>#REF!</v>
      </c>
      <c r="AJ59" s="70" t="e">
        <f t="shared" si="76"/>
        <v>#REF!</v>
      </c>
      <c r="AK59" s="70" t="e">
        <f t="shared" si="76"/>
        <v>#REF!</v>
      </c>
      <c r="AL59" s="70" t="e">
        <f t="shared" si="76"/>
        <v>#REF!</v>
      </c>
      <c r="AM59" s="70" t="e">
        <f t="shared" si="76"/>
        <v>#REF!</v>
      </c>
      <c r="AN59" s="70" t="e">
        <f t="shared" si="76"/>
        <v>#REF!</v>
      </c>
      <c r="AO59" s="70" t="e">
        <f t="shared" si="76"/>
        <v>#REF!</v>
      </c>
      <c r="AP59" s="70"/>
      <c r="AQ59" s="70"/>
      <c r="AR59" s="70" t="e">
        <f t="shared" ref="AR59:BA59" si="77">AR26+AR28+AR30+AR31+AR33</f>
        <v>#REF!</v>
      </c>
      <c r="AS59" s="70" t="e">
        <f t="shared" si="77"/>
        <v>#REF!</v>
      </c>
      <c r="AT59" s="70" t="e">
        <f t="shared" si="77"/>
        <v>#REF!</v>
      </c>
      <c r="AU59" s="70" t="e">
        <f t="shared" si="77"/>
        <v>#REF!</v>
      </c>
      <c r="AV59" s="70" t="e">
        <f t="shared" si="77"/>
        <v>#REF!</v>
      </c>
      <c r="AW59" s="70" t="e">
        <f t="shared" si="77"/>
        <v>#REF!</v>
      </c>
      <c r="AX59" s="70" t="e">
        <f t="shared" si="77"/>
        <v>#REF!</v>
      </c>
      <c r="AY59" s="70" t="e">
        <f t="shared" si="77"/>
        <v>#REF!</v>
      </c>
      <c r="AZ59" s="70" t="e">
        <f t="shared" si="77"/>
        <v>#REF!</v>
      </c>
      <c r="BA59" s="70" t="e">
        <f t="shared" si="77"/>
        <v>#REF!</v>
      </c>
    </row>
    <row r="60" spans="27:53" hidden="1">
      <c r="AA60" s="71" t="s">
        <v>41</v>
      </c>
      <c r="AB60" s="35"/>
      <c r="AF60" s="70" t="e">
        <f t="shared" ref="AF60:AO60" si="78">AF37+AF39+AF41+AF42+AF44</f>
        <v>#REF!</v>
      </c>
      <c r="AG60" s="70" t="e">
        <f t="shared" si="78"/>
        <v>#REF!</v>
      </c>
      <c r="AH60" s="70" t="e">
        <f t="shared" si="78"/>
        <v>#REF!</v>
      </c>
      <c r="AI60" s="70" t="e">
        <f t="shared" si="78"/>
        <v>#REF!</v>
      </c>
      <c r="AJ60" s="70" t="e">
        <f t="shared" si="78"/>
        <v>#REF!</v>
      </c>
      <c r="AK60" s="70" t="e">
        <f t="shared" si="78"/>
        <v>#REF!</v>
      </c>
      <c r="AL60" s="70" t="e">
        <f t="shared" si="78"/>
        <v>#REF!</v>
      </c>
      <c r="AM60" s="70" t="e">
        <f t="shared" si="78"/>
        <v>#REF!</v>
      </c>
      <c r="AN60" s="70" t="e">
        <f t="shared" si="78"/>
        <v>#REF!</v>
      </c>
      <c r="AO60" s="70" t="e">
        <f t="shared" si="78"/>
        <v>#REF!</v>
      </c>
      <c r="AP60" s="70"/>
      <c r="AQ60" s="70"/>
      <c r="AR60" s="70" t="e">
        <f t="shared" ref="AR60:BA60" si="79">AR37+AR39+AR41+AR42+AR44</f>
        <v>#REF!</v>
      </c>
      <c r="AS60" s="70" t="e">
        <f t="shared" si="79"/>
        <v>#REF!</v>
      </c>
      <c r="AT60" s="70" t="e">
        <f t="shared" si="79"/>
        <v>#REF!</v>
      </c>
      <c r="AU60" s="70" t="e">
        <f t="shared" si="79"/>
        <v>#REF!</v>
      </c>
      <c r="AV60" s="70" t="e">
        <f t="shared" si="79"/>
        <v>#REF!</v>
      </c>
      <c r="AW60" s="70" t="e">
        <f t="shared" si="79"/>
        <v>#REF!</v>
      </c>
      <c r="AX60" s="70" t="e">
        <f t="shared" si="79"/>
        <v>#REF!</v>
      </c>
      <c r="AY60" s="70" t="e">
        <f t="shared" si="79"/>
        <v>#REF!</v>
      </c>
      <c r="AZ60" s="70" t="e">
        <f t="shared" si="79"/>
        <v>#REF!</v>
      </c>
      <c r="BA60" s="70" t="e">
        <f t="shared" si="79"/>
        <v>#REF!</v>
      </c>
    </row>
    <row r="61" spans="27:53" hidden="1">
      <c r="AA61" s="71" t="s">
        <v>42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69" t="s">
        <v>47</v>
      </c>
      <c r="AB62" s="35"/>
      <c r="AF62" s="70" t="e">
        <f t="shared" ref="AF62:AO62" si="80">AF15+AF17+AF19+AF20+AF23</f>
        <v>#REF!</v>
      </c>
      <c r="AG62" s="70" t="e">
        <f t="shared" si="80"/>
        <v>#REF!</v>
      </c>
      <c r="AH62" s="70" t="e">
        <f t="shared" si="80"/>
        <v>#REF!</v>
      </c>
      <c r="AI62" s="70" t="e">
        <f t="shared" si="80"/>
        <v>#REF!</v>
      </c>
      <c r="AJ62" s="70" t="e">
        <f t="shared" si="80"/>
        <v>#REF!</v>
      </c>
      <c r="AK62" s="70" t="e">
        <f t="shared" si="80"/>
        <v>#REF!</v>
      </c>
      <c r="AL62" s="70" t="e">
        <f t="shared" si="80"/>
        <v>#REF!</v>
      </c>
      <c r="AM62" s="70" t="e">
        <f t="shared" si="80"/>
        <v>#REF!</v>
      </c>
      <c r="AN62" s="70" t="e">
        <f t="shared" si="80"/>
        <v>#REF!</v>
      </c>
      <c r="AO62" s="70" t="e">
        <f t="shared" si="80"/>
        <v>#REF!</v>
      </c>
      <c r="AP62" s="70"/>
      <c r="AQ62" s="70"/>
      <c r="AR62" s="70" t="e">
        <f t="shared" ref="AR62:BA62" si="81">AR15+AR17+AR19+AR20+AR23</f>
        <v>#REF!</v>
      </c>
      <c r="AS62" s="70" t="e">
        <f t="shared" si="81"/>
        <v>#REF!</v>
      </c>
      <c r="AT62" s="70" t="e">
        <f t="shared" si="81"/>
        <v>#REF!</v>
      </c>
      <c r="AU62" s="70" t="e">
        <f t="shared" si="81"/>
        <v>#REF!</v>
      </c>
      <c r="AV62" s="70" t="e">
        <f t="shared" si="81"/>
        <v>#REF!</v>
      </c>
      <c r="AW62" s="70" t="e">
        <f t="shared" si="81"/>
        <v>#REF!</v>
      </c>
      <c r="AX62" s="70" t="e">
        <f t="shared" si="81"/>
        <v>#REF!</v>
      </c>
      <c r="AY62" s="70" t="e">
        <f t="shared" si="81"/>
        <v>#REF!</v>
      </c>
      <c r="AZ62" s="70" t="e">
        <f t="shared" si="81"/>
        <v>#REF!</v>
      </c>
      <c r="BA62" s="70" t="e">
        <f t="shared" si="81"/>
        <v>#REF!</v>
      </c>
    </row>
    <row r="63" spans="27:53" hidden="1">
      <c r="AA63" s="71" t="s">
        <v>29</v>
      </c>
      <c r="AB63" s="35"/>
      <c r="AF63" s="70" t="e">
        <f t="shared" ref="AF63:AO63" si="82">AF26+AF28+AF30+AF31+AF34</f>
        <v>#REF!</v>
      </c>
      <c r="AG63" s="70" t="e">
        <f t="shared" si="82"/>
        <v>#REF!</v>
      </c>
      <c r="AH63" s="70" t="e">
        <f t="shared" si="82"/>
        <v>#REF!</v>
      </c>
      <c r="AI63" s="70" t="e">
        <f t="shared" si="82"/>
        <v>#REF!</v>
      </c>
      <c r="AJ63" s="70" t="e">
        <f t="shared" si="82"/>
        <v>#REF!</v>
      </c>
      <c r="AK63" s="70" t="e">
        <f t="shared" si="82"/>
        <v>#REF!</v>
      </c>
      <c r="AL63" s="70" t="e">
        <f t="shared" si="82"/>
        <v>#REF!</v>
      </c>
      <c r="AM63" s="70" t="e">
        <f t="shared" si="82"/>
        <v>#REF!</v>
      </c>
      <c r="AN63" s="70" t="e">
        <f t="shared" si="82"/>
        <v>#REF!</v>
      </c>
      <c r="AO63" s="70" t="e">
        <f t="shared" si="82"/>
        <v>#REF!</v>
      </c>
      <c r="AP63" s="70"/>
      <c r="AQ63" s="70"/>
      <c r="AR63" s="70" t="e">
        <f t="shared" ref="AR63:BA63" si="83">AR26+AR28+AR30+AR31+AR34</f>
        <v>#REF!</v>
      </c>
      <c r="AS63" s="70" t="e">
        <f t="shared" si="83"/>
        <v>#REF!</v>
      </c>
      <c r="AT63" s="70" t="e">
        <f t="shared" si="83"/>
        <v>#REF!</v>
      </c>
      <c r="AU63" s="70" t="e">
        <f t="shared" si="83"/>
        <v>#REF!</v>
      </c>
      <c r="AV63" s="70" t="e">
        <f t="shared" si="83"/>
        <v>#REF!</v>
      </c>
      <c r="AW63" s="70" t="e">
        <f t="shared" si="83"/>
        <v>#REF!</v>
      </c>
      <c r="AX63" s="70" t="e">
        <f t="shared" si="83"/>
        <v>#REF!</v>
      </c>
      <c r="AY63" s="70" t="e">
        <f t="shared" si="83"/>
        <v>#REF!</v>
      </c>
      <c r="AZ63" s="70" t="e">
        <f t="shared" si="83"/>
        <v>#REF!</v>
      </c>
      <c r="BA63" s="70" t="e">
        <f t="shared" si="83"/>
        <v>#REF!</v>
      </c>
    </row>
    <row r="64" spans="27:53" hidden="1">
      <c r="AA64" s="71" t="s">
        <v>41</v>
      </c>
      <c r="AB64" s="35"/>
      <c r="AF64" s="70" t="e">
        <f t="shared" ref="AF64:AO64" si="84">AF37+AF39+AF41+AF42+AF45</f>
        <v>#REF!</v>
      </c>
      <c r="AG64" s="70" t="e">
        <f t="shared" si="84"/>
        <v>#REF!</v>
      </c>
      <c r="AH64" s="70" t="e">
        <f t="shared" si="84"/>
        <v>#REF!</v>
      </c>
      <c r="AI64" s="70" t="e">
        <f t="shared" si="84"/>
        <v>#REF!</v>
      </c>
      <c r="AJ64" s="70" t="e">
        <f t="shared" si="84"/>
        <v>#REF!</v>
      </c>
      <c r="AK64" s="70" t="e">
        <f t="shared" si="84"/>
        <v>#REF!</v>
      </c>
      <c r="AL64" s="70" t="e">
        <f t="shared" si="84"/>
        <v>#REF!</v>
      </c>
      <c r="AM64" s="70" t="e">
        <f t="shared" si="84"/>
        <v>#REF!</v>
      </c>
      <c r="AN64" s="70" t="e">
        <f t="shared" si="84"/>
        <v>#REF!</v>
      </c>
      <c r="AO64" s="70" t="e">
        <f t="shared" si="84"/>
        <v>#REF!</v>
      </c>
      <c r="AP64" s="70"/>
      <c r="AQ64" s="70"/>
      <c r="AR64" s="70" t="e">
        <f t="shared" ref="AR64:BA64" si="85">AR37+AR39+AR41+AR42+AR45</f>
        <v>#REF!</v>
      </c>
      <c r="AS64" s="70" t="e">
        <f t="shared" si="85"/>
        <v>#REF!</v>
      </c>
      <c r="AT64" s="70" t="e">
        <f t="shared" si="85"/>
        <v>#REF!</v>
      </c>
      <c r="AU64" s="70" t="e">
        <f t="shared" si="85"/>
        <v>#REF!</v>
      </c>
      <c r="AV64" s="70" t="e">
        <f t="shared" si="85"/>
        <v>#REF!</v>
      </c>
      <c r="AW64" s="70" t="e">
        <f t="shared" si="85"/>
        <v>#REF!</v>
      </c>
      <c r="AX64" s="70" t="e">
        <f t="shared" si="85"/>
        <v>#REF!</v>
      </c>
      <c r="AY64" s="70" t="e">
        <f t="shared" si="85"/>
        <v>#REF!</v>
      </c>
      <c r="AZ64" s="70" t="e">
        <f t="shared" si="85"/>
        <v>#REF!</v>
      </c>
      <c r="BA64" s="70" t="e">
        <f t="shared" si="85"/>
        <v>#REF!</v>
      </c>
    </row>
    <row r="65" spans="27:53" hidden="1">
      <c r="AA65" s="71" t="s">
        <v>42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69" t="s">
        <v>48</v>
      </c>
      <c r="AB66" s="35"/>
      <c r="AF66" s="70" t="e">
        <f t="shared" ref="AF66:AO66" si="86">AF15+AF16+AF21</f>
        <v>#REF!</v>
      </c>
      <c r="AG66" s="70" t="e">
        <f t="shared" si="86"/>
        <v>#REF!</v>
      </c>
      <c r="AH66" s="70" t="e">
        <f t="shared" si="86"/>
        <v>#REF!</v>
      </c>
      <c r="AI66" s="70" t="e">
        <f t="shared" si="86"/>
        <v>#REF!</v>
      </c>
      <c r="AJ66" s="70" t="e">
        <f t="shared" si="86"/>
        <v>#REF!</v>
      </c>
      <c r="AK66" s="70" t="e">
        <f t="shared" si="86"/>
        <v>#REF!</v>
      </c>
      <c r="AL66" s="70" t="e">
        <f t="shared" si="86"/>
        <v>#REF!</v>
      </c>
      <c r="AM66" s="70" t="e">
        <f t="shared" si="86"/>
        <v>#REF!</v>
      </c>
      <c r="AN66" s="70" t="e">
        <f t="shared" si="86"/>
        <v>#REF!</v>
      </c>
      <c r="AO66" s="70" t="e">
        <f t="shared" si="86"/>
        <v>#REF!</v>
      </c>
      <c r="AP66" s="70"/>
      <c r="AQ66" s="70"/>
      <c r="AR66" s="70" t="e">
        <f t="shared" ref="AR66:BA66" si="87">AR15+AR16+AR21</f>
        <v>#REF!</v>
      </c>
      <c r="AS66" s="70" t="e">
        <f t="shared" si="87"/>
        <v>#REF!</v>
      </c>
      <c r="AT66" s="70" t="e">
        <f t="shared" si="87"/>
        <v>#REF!</v>
      </c>
      <c r="AU66" s="70" t="e">
        <f t="shared" si="87"/>
        <v>#REF!</v>
      </c>
      <c r="AV66" s="70" t="e">
        <f t="shared" si="87"/>
        <v>#REF!</v>
      </c>
      <c r="AW66" s="70" t="e">
        <f t="shared" si="87"/>
        <v>#REF!</v>
      </c>
      <c r="AX66" s="70" t="e">
        <f t="shared" si="87"/>
        <v>#REF!</v>
      </c>
      <c r="AY66" s="70" t="e">
        <f t="shared" si="87"/>
        <v>#REF!</v>
      </c>
      <c r="AZ66" s="70" t="e">
        <f t="shared" si="87"/>
        <v>#REF!</v>
      </c>
      <c r="BA66" s="70" t="e">
        <f t="shared" si="87"/>
        <v>#REF!</v>
      </c>
    </row>
    <row r="67" spans="27:53" hidden="1">
      <c r="AA67" s="71" t="s">
        <v>29</v>
      </c>
      <c r="AB67" s="35"/>
      <c r="AF67" s="70" t="e">
        <f t="shared" ref="AF67:AO67" si="88">AF26+AF27+AF32</f>
        <v>#REF!</v>
      </c>
      <c r="AG67" s="70" t="e">
        <f t="shared" si="88"/>
        <v>#REF!</v>
      </c>
      <c r="AH67" s="70" t="e">
        <f t="shared" si="88"/>
        <v>#REF!</v>
      </c>
      <c r="AI67" s="70" t="e">
        <f t="shared" si="88"/>
        <v>#REF!</v>
      </c>
      <c r="AJ67" s="70" t="e">
        <f t="shared" si="88"/>
        <v>#REF!</v>
      </c>
      <c r="AK67" s="70" t="e">
        <f t="shared" si="88"/>
        <v>#REF!</v>
      </c>
      <c r="AL67" s="70" t="e">
        <f t="shared" si="88"/>
        <v>#REF!</v>
      </c>
      <c r="AM67" s="70" t="e">
        <f t="shared" si="88"/>
        <v>#REF!</v>
      </c>
      <c r="AN67" s="70" t="e">
        <f t="shared" si="88"/>
        <v>#REF!</v>
      </c>
      <c r="AO67" s="70" t="e">
        <f t="shared" si="88"/>
        <v>#REF!</v>
      </c>
      <c r="AP67" s="70"/>
      <c r="AQ67" s="70"/>
      <c r="AR67" s="70" t="e">
        <f t="shared" ref="AR67:BA67" si="89">AR26+AR27+AR32</f>
        <v>#REF!</v>
      </c>
      <c r="AS67" s="70" t="e">
        <f t="shared" si="89"/>
        <v>#REF!</v>
      </c>
      <c r="AT67" s="70" t="e">
        <f t="shared" si="89"/>
        <v>#REF!</v>
      </c>
      <c r="AU67" s="70" t="e">
        <f t="shared" si="89"/>
        <v>#REF!</v>
      </c>
      <c r="AV67" s="70" t="e">
        <f t="shared" si="89"/>
        <v>#REF!</v>
      </c>
      <c r="AW67" s="70" t="e">
        <f t="shared" si="89"/>
        <v>#REF!</v>
      </c>
      <c r="AX67" s="70" t="e">
        <f t="shared" si="89"/>
        <v>#REF!</v>
      </c>
      <c r="AY67" s="70" t="e">
        <f t="shared" si="89"/>
        <v>#REF!</v>
      </c>
      <c r="AZ67" s="70" t="e">
        <f t="shared" si="89"/>
        <v>#REF!</v>
      </c>
      <c r="BA67" s="70" t="e">
        <f t="shared" si="89"/>
        <v>#REF!</v>
      </c>
    </row>
    <row r="68" spans="27:53" hidden="1">
      <c r="AA68" s="71" t="s">
        <v>41</v>
      </c>
      <c r="AB68" s="35"/>
      <c r="AF68" s="70" t="e">
        <f t="shared" ref="AF68:AO68" si="90">AF37+AF38+AF43</f>
        <v>#REF!</v>
      </c>
      <c r="AG68" s="70" t="e">
        <f t="shared" si="90"/>
        <v>#REF!</v>
      </c>
      <c r="AH68" s="70" t="e">
        <f t="shared" si="90"/>
        <v>#REF!</v>
      </c>
      <c r="AI68" s="70" t="e">
        <f t="shared" si="90"/>
        <v>#REF!</v>
      </c>
      <c r="AJ68" s="70" t="e">
        <f t="shared" si="90"/>
        <v>#REF!</v>
      </c>
      <c r="AK68" s="70" t="e">
        <f t="shared" si="90"/>
        <v>#REF!</v>
      </c>
      <c r="AL68" s="70" t="e">
        <f t="shared" si="90"/>
        <v>#REF!</v>
      </c>
      <c r="AM68" s="70" t="e">
        <f t="shared" si="90"/>
        <v>#REF!</v>
      </c>
      <c r="AN68" s="70" t="e">
        <f t="shared" si="90"/>
        <v>#REF!</v>
      </c>
      <c r="AO68" s="70" t="e">
        <f t="shared" si="90"/>
        <v>#REF!</v>
      </c>
      <c r="AP68" s="70"/>
      <c r="AQ68" s="70"/>
      <c r="AR68" s="70" t="e">
        <f t="shared" ref="AR68:BA68" si="91">AR37+AR38+AR43</f>
        <v>#REF!</v>
      </c>
      <c r="AS68" s="70" t="e">
        <f t="shared" si="91"/>
        <v>#REF!</v>
      </c>
      <c r="AT68" s="70" t="e">
        <f t="shared" si="91"/>
        <v>#REF!</v>
      </c>
      <c r="AU68" s="70" t="e">
        <f t="shared" si="91"/>
        <v>#REF!</v>
      </c>
      <c r="AV68" s="70" t="e">
        <f t="shared" si="91"/>
        <v>#REF!</v>
      </c>
      <c r="AW68" s="70" t="e">
        <f t="shared" si="91"/>
        <v>#REF!</v>
      </c>
      <c r="AX68" s="70" t="e">
        <f t="shared" si="91"/>
        <v>#REF!</v>
      </c>
      <c r="AY68" s="70" t="e">
        <f t="shared" si="91"/>
        <v>#REF!</v>
      </c>
      <c r="AZ68" s="70" t="e">
        <f t="shared" si="91"/>
        <v>#REF!</v>
      </c>
      <c r="BA68" s="70" t="e">
        <f t="shared" si="91"/>
        <v>#REF!</v>
      </c>
    </row>
    <row r="69" spans="27:53" hidden="1">
      <c r="AA69" s="71" t="s">
        <v>42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2" t="s">
        <v>49</v>
      </c>
      <c r="AB70" s="35"/>
      <c r="AF70" s="70" t="e">
        <f t="shared" ref="AF70:AO70" si="92">AF15+AF16+AF20+AF22</f>
        <v>#REF!</v>
      </c>
      <c r="AG70" s="70" t="e">
        <f t="shared" si="92"/>
        <v>#REF!</v>
      </c>
      <c r="AH70" s="70" t="e">
        <f t="shared" si="92"/>
        <v>#REF!</v>
      </c>
      <c r="AI70" s="70" t="e">
        <f t="shared" si="92"/>
        <v>#REF!</v>
      </c>
      <c r="AJ70" s="70" t="e">
        <f t="shared" si="92"/>
        <v>#REF!</v>
      </c>
      <c r="AK70" s="70" t="e">
        <f t="shared" si="92"/>
        <v>#REF!</v>
      </c>
      <c r="AL70" s="70" t="e">
        <f t="shared" si="92"/>
        <v>#REF!</v>
      </c>
      <c r="AM70" s="70" t="e">
        <f t="shared" si="92"/>
        <v>#REF!</v>
      </c>
      <c r="AN70" s="70" t="e">
        <f t="shared" si="92"/>
        <v>#REF!</v>
      </c>
      <c r="AO70" s="70" t="e">
        <f t="shared" si="92"/>
        <v>#REF!</v>
      </c>
      <c r="AP70" s="70"/>
      <c r="AQ70" s="70"/>
      <c r="AR70" s="70" t="e">
        <f t="shared" ref="AR70:BA70" si="93">AR15+AR16+AR20+AR22</f>
        <v>#REF!</v>
      </c>
      <c r="AS70" s="70" t="e">
        <f t="shared" si="93"/>
        <v>#REF!</v>
      </c>
      <c r="AT70" s="70" t="e">
        <f t="shared" si="93"/>
        <v>#REF!</v>
      </c>
      <c r="AU70" s="70" t="e">
        <f t="shared" si="93"/>
        <v>#REF!</v>
      </c>
      <c r="AV70" s="70" t="e">
        <f t="shared" si="93"/>
        <v>#REF!</v>
      </c>
      <c r="AW70" s="70" t="e">
        <f t="shared" si="93"/>
        <v>#REF!</v>
      </c>
      <c r="AX70" s="70" t="e">
        <f t="shared" si="93"/>
        <v>#REF!</v>
      </c>
      <c r="AY70" s="70" t="e">
        <f t="shared" si="93"/>
        <v>#REF!</v>
      </c>
      <c r="AZ70" s="70" t="e">
        <f t="shared" si="93"/>
        <v>#REF!</v>
      </c>
      <c r="BA70" s="70" t="e">
        <f t="shared" si="93"/>
        <v>#REF!</v>
      </c>
    </row>
    <row r="71" spans="27:53" hidden="1">
      <c r="AA71" s="71" t="s">
        <v>29</v>
      </c>
      <c r="AB71" s="35"/>
      <c r="AF71" s="70" t="e">
        <f t="shared" ref="AF71:AO71" si="94">AF26+AF27+AF31+AF33</f>
        <v>#REF!</v>
      </c>
      <c r="AG71" s="70" t="e">
        <f t="shared" si="94"/>
        <v>#REF!</v>
      </c>
      <c r="AH71" s="70" t="e">
        <f t="shared" si="94"/>
        <v>#REF!</v>
      </c>
      <c r="AI71" s="70" t="e">
        <f t="shared" si="94"/>
        <v>#REF!</v>
      </c>
      <c r="AJ71" s="70" t="e">
        <f t="shared" si="94"/>
        <v>#REF!</v>
      </c>
      <c r="AK71" s="70" t="e">
        <f t="shared" si="94"/>
        <v>#REF!</v>
      </c>
      <c r="AL71" s="70" t="e">
        <f t="shared" si="94"/>
        <v>#REF!</v>
      </c>
      <c r="AM71" s="70" t="e">
        <f t="shared" si="94"/>
        <v>#REF!</v>
      </c>
      <c r="AN71" s="70" t="e">
        <f t="shared" si="94"/>
        <v>#REF!</v>
      </c>
      <c r="AO71" s="70" t="e">
        <f t="shared" si="94"/>
        <v>#REF!</v>
      </c>
      <c r="AP71" s="70"/>
      <c r="AQ71" s="70"/>
      <c r="AR71" s="70" t="e">
        <f t="shared" ref="AR71:BA71" si="95">AR26+AR27+AR31+AR33</f>
        <v>#REF!</v>
      </c>
      <c r="AS71" s="70" t="e">
        <f t="shared" si="95"/>
        <v>#REF!</v>
      </c>
      <c r="AT71" s="70" t="e">
        <f t="shared" si="95"/>
        <v>#REF!</v>
      </c>
      <c r="AU71" s="70" t="e">
        <f t="shared" si="95"/>
        <v>#REF!</v>
      </c>
      <c r="AV71" s="70" t="e">
        <f t="shared" si="95"/>
        <v>#REF!</v>
      </c>
      <c r="AW71" s="70" t="e">
        <f t="shared" si="95"/>
        <v>#REF!</v>
      </c>
      <c r="AX71" s="70" t="e">
        <f t="shared" si="95"/>
        <v>#REF!</v>
      </c>
      <c r="AY71" s="70" t="e">
        <f t="shared" si="95"/>
        <v>#REF!</v>
      </c>
      <c r="AZ71" s="70" t="e">
        <f t="shared" si="95"/>
        <v>#REF!</v>
      </c>
      <c r="BA71" s="70" t="e">
        <f t="shared" si="95"/>
        <v>#REF!</v>
      </c>
    </row>
    <row r="72" spans="27:53" hidden="1">
      <c r="AA72" s="71" t="s">
        <v>41</v>
      </c>
      <c r="AB72" s="35"/>
      <c r="AF72" s="70" t="e">
        <f t="shared" ref="AF72:AO72" si="96">AF37+AF38+AF42+AF44</f>
        <v>#REF!</v>
      </c>
      <c r="AG72" s="70" t="e">
        <f t="shared" si="96"/>
        <v>#REF!</v>
      </c>
      <c r="AH72" s="70" t="e">
        <f t="shared" si="96"/>
        <v>#REF!</v>
      </c>
      <c r="AI72" s="70" t="e">
        <f t="shared" si="96"/>
        <v>#REF!</v>
      </c>
      <c r="AJ72" s="70" t="e">
        <f t="shared" si="96"/>
        <v>#REF!</v>
      </c>
      <c r="AK72" s="70" t="e">
        <f t="shared" si="96"/>
        <v>#REF!</v>
      </c>
      <c r="AL72" s="70" t="e">
        <f t="shared" si="96"/>
        <v>#REF!</v>
      </c>
      <c r="AM72" s="70" t="e">
        <f t="shared" si="96"/>
        <v>#REF!</v>
      </c>
      <c r="AN72" s="70" t="e">
        <f t="shared" si="96"/>
        <v>#REF!</v>
      </c>
      <c r="AO72" s="70" t="e">
        <f t="shared" si="96"/>
        <v>#REF!</v>
      </c>
      <c r="AP72" s="70"/>
      <c r="AQ72" s="70"/>
      <c r="AR72" s="70" t="e">
        <f t="shared" ref="AR72:BA72" si="97">AR37+AR38+AR42+AR44</f>
        <v>#REF!</v>
      </c>
      <c r="AS72" s="70" t="e">
        <f t="shared" si="97"/>
        <v>#REF!</v>
      </c>
      <c r="AT72" s="70" t="e">
        <f t="shared" si="97"/>
        <v>#REF!</v>
      </c>
      <c r="AU72" s="70" t="e">
        <f t="shared" si="97"/>
        <v>#REF!</v>
      </c>
      <c r="AV72" s="70" t="e">
        <f t="shared" si="97"/>
        <v>#REF!</v>
      </c>
      <c r="AW72" s="70" t="e">
        <f t="shared" si="97"/>
        <v>#REF!</v>
      </c>
      <c r="AX72" s="70" t="e">
        <f t="shared" si="97"/>
        <v>#REF!</v>
      </c>
      <c r="AY72" s="70" t="e">
        <f t="shared" si="97"/>
        <v>#REF!</v>
      </c>
      <c r="AZ72" s="70" t="e">
        <f t="shared" si="97"/>
        <v>#REF!</v>
      </c>
      <c r="BA72" s="70" t="e">
        <f t="shared" si="97"/>
        <v>#REF!</v>
      </c>
    </row>
    <row r="73" spans="27:53" hidden="1">
      <c r="AA73" s="71" t="s">
        <v>42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69" t="s">
        <v>50</v>
      </c>
      <c r="AB74" s="35"/>
      <c r="AF74" s="70" t="e">
        <f t="shared" ref="AF74:AO74" si="98">AF15+AF16+AF20+AF23</f>
        <v>#REF!</v>
      </c>
      <c r="AG74" s="70" t="e">
        <f t="shared" si="98"/>
        <v>#REF!</v>
      </c>
      <c r="AH74" s="70" t="e">
        <f t="shared" si="98"/>
        <v>#REF!</v>
      </c>
      <c r="AI74" s="70" t="e">
        <f t="shared" si="98"/>
        <v>#REF!</v>
      </c>
      <c r="AJ74" s="70" t="e">
        <f t="shared" si="98"/>
        <v>#REF!</v>
      </c>
      <c r="AK74" s="70" t="e">
        <f t="shared" si="98"/>
        <v>#REF!</v>
      </c>
      <c r="AL74" s="70" t="e">
        <f t="shared" si="98"/>
        <v>#REF!</v>
      </c>
      <c r="AM74" s="70" t="e">
        <f t="shared" si="98"/>
        <v>#REF!</v>
      </c>
      <c r="AN74" s="70" t="e">
        <f t="shared" si="98"/>
        <v>#REF!</v>
      </c>
      <c r="AO74" s="70" t="e">
        <f t="shared" si="98"/>
        <v>#REF!</v>
      </c>
      <c r="AP74" s="70"/>
      <c r="AQ74" s="70"/>
      <c r="AR74" s="70" t="e">
        <f t="shared" ref="AR74:BA74" si="99">AR15+AR16+AR20+AR23</f>
        <v>#REF!</v>
      </c>
      <c r="AS74" s="70" t="e">
        <f t="shared" si="99"/>
        <v>#REF!</v>
      </c>
      <c r="AT74" s="70" t="e">
        <f t="shared" si="99"/>
        <v>#REF!</v>
      </c>
      <c r="AU74" s="70" t="e">
        <f t="shared" si="99"/>
        <v>#REF!</v>
      </c>
      <c r="AV74" s="70" t="e">
        <f t="shared" si="99"/>
        <v>#REF!</v>
      </c>
      <c r="AW74" s="70" t="e">
        <f t="shared" si="99"/>
        <v>#REF!</v>
      </c>
      <c r="AX74" s="70" t="e">
        <f t="shared" si="99"/>
        <v>#REF!</v>
      </c>
      <c r="AY74" s="70" t="e">
        <f t="shared" si="99"/>
        <v>#REF!</v>
      </c>
      <c r="AZ74" s="70" t="e">
        <f t="shared" si="99"/>
        <v>#REF!</v>
      </c>
      <c r="BA74" s="70" t="e">
        <f t="shared" si="99"/>
        <v>#REF!</v>
      </c>
    </row>
    <row r="75" spans="27:53" hidden="1">
      <c r="AA75" s="71" t="s">
        <v>29</v>
      </c>
      <c r="AB75" s="35"/>
      <c r="AF75" s="70" t="e">
        <f t="shared" ref="AF75:AO75" si="100">AF26+AF27+AF31+AF34</f>
        <v>#REF!</v>
      </c>
      <c r="AG75" s="70" t="e">
        <f t="shared" si="100"/>
        <v>#REF!</v>
      </c>
      <c r="AH75" s="70" t="e">
        <f t="shared" si="100"/>
        <v>#REF!</v>
      </c>
      <c r="AI75" s="70" t="e">
        <f t="shared" si="100"/>
        <v>#REF!</v>
      </c>
      <c r="AJ75" s="70" t="e">
        <f t="shared" si="100"/>
        <v>#REF!</v>
      </c>
      <c r="AK75" s="70" t="e">
        <f t="shared" si="100"/>
        <v>#REF!</v>
      </c>
      <c r="AL75" s="70" t="e">
        <f t="shared" si="100"/>
        <v>#REF!</v>
      </c>
      <c r="AM75" s="70" t="e">
        <f t="shared" si="100"/>
        <v>#REF!</v>
      </c>
      <c r="AN75" s="70" t="e">
        <f t="shared" si="100"/>
        <v>#REF!</v>
      </c>
      <c r="AO75" s="70" t="e">
        <f t="shared" si="100"/>
        <v>#REF!</v>
      </c>
      <c r="AP75" s="70"/>
      <c r="AQ75" s="70"/>
      <c r="AR75" s="70" t="e">
        <f t="shared" ref="AR75:BA75" si="101">AR26+AR27+AR31+AR34</f>
        <v>#REF!</v>
      </c>
      <c r="AS75" s="70" t="e">
        <f t="shared" si="101"/>
        <v>#REF!</v>
      </c>
      <c r="AT75" s="70" t="e">
        <f t="shared" si="101"/>
        <v>#REF!</v>
      </c>
      <c r="AU75" s="70" t="e">
        <f t="shared" si="101"/>
        <v>#REF!</v>
      </c>
      <c r="AV75" s="70" t="e">
        <f t="shared" si="101"/>
        <v>#REF!</v>
      </c>
      <c r="AW75" s="70" t="e">
        <f t="shared" si="101"/>
        <v>#REF!</v>
      </c>
      <c r="AX75" s="70" t="e">
        <f t="shared" si="101"/>
        <v>#REF!</v>
      </c>
      <c r="AY75" s="70" t="e">
        <f t="shared" si="101"/>
        <v>#REF!</v>
      </c>
      <c r="AZ75" s="70" t="e">
        <f t="shared" si="101"/>
        <v>#REF!</v>
      </c>
      <c r="BA75" s="70" t="e">
        <f t="shared" si="101"/>
        <v>#REF!</v>
      </c>
    </row>
    <row r="76" spans="27:53" hidden="1">
      <c r="AA76" s="71" t="s">
        <v>41</v>
      </c>
      <c r="AB76" s="35"/>
      <c r="AF76" s="70" t="e">
        <f t="shared" ref="AF76:AO76" si="102">AF37+AF38+AF42+AF45</f>
        <v>#REF!</v>
      </c>
      <c r="AG76" s="70" t="e">
        <f t="shared" si="102"/>
        <v>#REF!</v>
      </c>
      <c r="AH76" s="70" t="e">
        <f t="shared" si="102"/>
        <v>#REF!</v>
      </c>
      <c r="AI76" s="70" t="e">
        <f t="shared" si="102"/>
        <v>#REF!</v>
      </c>
      <c r="AJ76" s="70" t="e">
        <f t="shared" si="102"/>
        <v>#REF!</v>
      </c>
      <c r="AK76" s="70" t="e">
        <f t="shared" si="102"/>
        <v>#REF!</v>
      </c>
      <c r="AL76" s="70" t="e">
        <f t="shared" si="102"/>
        <v>#REF!</v>
      </c>
      <c r="AM76" s="70" t="e">
        <f t="shared" si="102"/>
        <v>#REF!</v>
      </c>
      <c r="AN76" s="70" t="e">
        <f t="shared" si="102"/>
        <v>#REF!</v>
      </c>
      <c r="AO76" s="70" t="e">
        <f t="shared" si="102"/>
        <v>#REF!</v>
      </c>
      <c r="AP76" s="70"/>
      <c r="AQ76" s="70"/>
      <c r="AR76" s="70" t="e">
        <f t="shared" ref="AR76:BA76" si="103">AR37+AR38+AR42+AR45</f>
        <v>#REF!</v>
      </c>
      <c r="AS76" s="70" t="e">
        <f t="shared" si="103"/>
        <v>#REF!</v>
      </c>
      <c r="AT76" s="70" t="e">
        <f t="shared" si="103"/>
        <v>#REF!</v>
      </c>
      <c r="AU76" s="70" t="e">
        <f t="shared" si="103"/>
        <v>#REF!</v>
      </c>
      <c r="AV76" s="70" t="e">
        <f t="shared" si="103"/>
        <v>#REF!</v>
      </c>
      <c r="AW76" s="70" t="e">
        <f t="shared" si="103"/>
        <v>#REF!</v>
      </c>
      <c r="AX76" s="70" t="e">
        <f t="shared" si="103"/>
        <v>#REF!</v>
      </c>
      <c r="AY76" s="70" t="e">
        <f t="shared" si="103"/>
        <v>#REF!</v>
      </c>
      <c r="AZ76" s="70" t="e">
        <f t="shared" si="103"/>
        <v>#REF!</v>
      </c>
      <c r="BA76" s="70" t="e">
        <f t="shared" si="103"/>
        <v>#REF!</v>
      </c>
    </row>
    <row r="77" spans="27:53" hidden="1">
      <c r="AA77" s="71" t="s">
        <v>42</v>
      </c>
      <c r="AB77" s="35"/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N87" s="38"/>
      <c r="AZ87" s="36"/>
    </row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45" t="s">
        <v>55</v>
      </c>
      <c r="G89" s="545" t="s">
        <v>73</v>
      </c>
      <c r="H89" s="545" t="s">
        <v>74</v>
      </c>
      <c r="I89" s="545" t="s">
        <v>58</v>
      </c>
      <c r="J89" s="545" t="s">
        <v>59</v>
      </c>
      <c r="K89" s="545" t="s">
        <v>60</v>
      </c>
      <c r="L89" s="544" t="s">
        <v>75</v>
      </c>
      <c r="M89" s="544" t="s">
        <v>76</v>
      </c>
      <c r="N89" s="544" t="s">
        <v>61</v>
      </c>
      <c r="O89" s="544" t="s">
        <v>62</v>
      </c>
      <c r="P89" s="544" t="s">
        <v>63</v>
      </c>
      <c r="AN89" s="38"/>
      <c r="AZ89" s="36"/>
    </row>
    <row r="90" spans="1:52" ht="25.5">
      <c r="A90" s="44" t="str">
        <f t="shared" ref="A90:C91" si="104">A4</f>
        <v>Substation General Construction</v>
      </c>
      <c r="B90" s="45" t="str">
        <f t="shared" si="104"/>
        <v>Light-Duty Truck, catalyst</v>
      </c>
      <c r="C90" s="46">
        <f t="shared" si="104"/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1" si="105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si="104"/>
        <v>Substation Wiring</v>
      </c>
      <c r="B91" s="45" t="str">
        <f t="shared" si="104"/>
        <v>Light-Duty Truck, catalyst</v>
      </c>
      <c r="C91" s="46">
        <f t="shared" si="104"/>
        <v>1</v>
      </c>
      <c r="D91" s="46">
        <v>35</v>
      </c>
      <c r="E91" s="46">
        <v>80</v>
      </c>
      <c r="F91" s="50">
        <f>C5*($E5*$F5+($G5))/453.59</f>
        <v>0.48571938588092006</v>
      </c>
      <c r="G91" s="50">
        <f>C5*($E5*$H5+($I5))/453.59</f>
        <v>4.367065729437801E-2</v>
      </c>
      <c r="H91" s="50">
        <f>C5*(($E5*$J5)+($K5)+($L5)+($E5*$N5)+(($M5+$O5)))/453.59</f>
        <v>5.0499980323953329E-2</v>
      </c>
      <c r="I91" s="50">
        <f>C5*($E5*$P5+($Q5))/453.59</f>
        <v>7.2679702716061593E-4</v>
      </c>
      <c r="J91" s="50">
        <f>C5*(($E5*($R5+$T5+$U5))+($S5))/453.59</f>
        <v>8.5240904552078972E-3</v>
      </c>
      <c r="K91" s="50">
        <f>$C5*(($E5*($V5+$X5+$Y5))+($W5))/453.59</f>
        <v>3.7120053242531417E-3</v>
      </c>
      <c r="L91" s="50">
        <f>$B$23*C5*(E5+6)</f>
        <v>8.4385825860718994E-3</v>
      </c>
      <c r="M91" s="50">
        <f t="shared" si="105"/>
        <v>3.4598188602894785E-3</v>
      </c>
      <c r="N91" s="50">
        <f>C5*($E5*$Z5+($AA5))/453.59</f>
        <v>55.423576726038895</v>
      </c>
      <c r="O91" s="50">
        <f>C5*($E5*$AB5+($AC5))/453.59</f>
        <v>3.1704753890302493E-3</v>
      </c>
      <c r="P91" s="50">
        <f>C5*($E5*$AD5+($AE5))/453.59</f>
        <v>5.7711199138433603E-3</v>
      </c>
      <c r="AN91" s="38"/>
      <c r="AZ91" s="36"/>
    </row>
    <row r="92" spans="1:52" ht="25.5">
      <c r="A92" s="44" t="str">
        <f t="shared" ref="A92:C92" si="106">A6</f>
        <v>Telecom</v>
      </c>
      <c r="B92" s="45" t="str">
        <f t="shared" si="106"/>
        <v>Light-Duty Truck, catalyst</v>
      </c>
      <c r="C92" s="46">
        <f t="shared" si="106"/>
        <v>2</v>
      </c>
      <c r="D92" s="46">
        <v>35</v>
      </c>
      <c r="E92" s="46">
        <v>80</v>
      </c>
      <c r="F92" s="50">
        <f>C6*($E6*$F6+($G6))/453.59</f>
        <v>0.97143877176184013</v>
      </c>
      <c r="G92" s="50">
        <f>C6*($E6*$H6+($I6))/453.59</f>
        <v>8.7341314588756019E-2</v>
      </c>
      <c r="H92" s="50">
        <f t="shared" ref="H92" si="107">C6*(($E6*$J6)+($K6)+($L6)+($E6*$N6)+(($M6+$O6)))/453.59</f>
        <v>0.10099996064790666</v>
      </c>
      <c r="I92" s="50">
        <f>C6*($E6*$P6+($Q6))/453.59</f>
        <v>1.4535940543212319E-3</v>
      </c>
      <c r="J92" s="50">
        <f>C6*(($E6*($R6+$T6+$U6))+($S6))/453.59</f>
        <v>1.7048180910415794E-2</v>
      </c>
      <c r="K92" s="50">
        <f>$C6*(($E6*($V6+$X6+$Y6))+($W6))/453.59</f>
        <v>7.4240106485062834E-3</v>
      </c>
      <c r="L92" s="50">
        <f>$B$23*C6*(E6+6)</f>
        <v>1.6877165172143799E-2</v>
      </c>
      <c r="M92" s="50">
        <f t="shared" ref="M92" si="108">0.41*L92</f>
        <v>6.9196377205789569E-3</v>
      </c>
      <c r="N92" s="50">
        <f>C6*($E6*$Z6+($AA6))/453.59</f>
        <v>110.84715345207779</v>
      </c>
      <c r="O92" s="50">
        <f>C6*($E6*$AB6+($AC6))/453.59</f>
        <v>6.3409507780604986E-3</v>
      </c>
      <c r="P92" s="50">
        <f>C6*($E6*$AD6+($AE6))/453.59</f>
        <v>1.1542239827686721E-2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 t="shared" ref="F93:P93" si="109">SUM(F90:F92)</f>
        <v>2.9143163152855203</v>
      </c>
      <c r="G93" s="81">
        <f t="shared" si="109"/>
        <v>0.26202394376626803</v>
      </c>
      <c r="H93" s="81">
        <f t="shared" si="109"/>
        <v>0.30299988194371996</v>
      </c>
      <c r="I93" s="81">
        <f t="shared" si="109"/>
        <v>4.3607821629636952E-3</v>
      </c>
      <c r="J93" s="81">
        <f t="shared" si="109"/>
        <v>5.1144542731247383E-2</v>
      </c>
      <c r="K93" s="81">
        <f t="shared" si="109"/>
        <v>2.2272031945518848E-2</v>
      </c>
      <c r="L93" s="81">
        <f t="shared" si="109"/>
        <v>5.0631495516431396E-2</v>
      </c>
      <c r="M93" s="81">
        <f t="shared" si="109"/>
        <v>2.0758913161736871E-2</v>
      </c>
      <c r="N93" s="81">
        <f t="shared" si="109"/>
        <v>332.54146035623342</v>
      </c>
      <c r="O93" s="81">
        <f t="shared" si="109"/>
        <v>1.9022852334181495E-2</v>
      </c>
      <c r="P93" s="81">
        <f t="shared" si="109"/>
        <v>3.4626719483060162E-2</v>
      </c>
    </row>
  </sheetData>
  <mergeCells count="16">
    <mergeCell ref="AR12:BA12"/>
    <mergeCell ref="A88:A89"/>
    <mergeCell ref="B88:B89"/>
    <mergeCell ref="F88:P88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0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696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317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24" t="s">
        <v>311</v>
      </c>
      <c r="B14" s="29" t="s">
        <v>27</v>
      </c>
      <c r="C14" s="22">
        <v>175</v>
      </c>
      <c r="D14" s="22"/>
      <c r="E14" s="102">
        <v>0.11792220738547983</v>
      </c>
      <c r="F14" s="102">
        <v>0.36512193352152528</v>
      </c>
      <c r="G14" s="102">
        <v>0.86781464282266541</v>
      </c>
      <c r="H14" s="102">
        <v>1.8739217498104396E-3</v>
      </c>
      <c r="I14" s="102">
        <v>2.9041712295589866E-2</v>
      </c>
      <c r="J14" s="100">
        <f t="shared" ref="J14" si="4">0.89*I14</f>
        <v>2.5847123943074982E-2</v>
      </c>
      <c r="K14" s="103">
        <v>166.54541562452522</v>
      </c>
      <c r="L14" s="102">
        <v>1.063993297769634E-2</v>
      </c>
      <c r="M14" s="104">
        <f t="shared" ref="M14" si="5">0.095*G14</f>
        <v>8.2442391068153209E-2</v>
      </c>
      <c r="N14" s="98">
        <v>1</v>
      </c>
      <c r="O14" s="87">
        <v>2</v>
      </c>
      <c r="P14" s="363">
        <v>280</v>
      </c>
      <c r="Q14" s="34">
        <f t="shared" ref="Q14:Y14" si="6">(E14*$N14*$O14)</f>
        <v>0.23584441477095966</v>
      </c>
      <c r="R14" s="26">
        <f t="shared" si="6"/>
        <v>0.73024386704305055</v>
      </c>
      <c r="S14" s="26">
        <f t="shared" si="6"/>
        <v>1.7356292856453308</v>
      </c>
      <c r="T14" s="26">
        <f t="shared" si="6"/>
        <v>3.7478434996208792E-3</v>
      </c>
      <c r="U14" s="26">
        <f t="shared" si="6"/>
        <v>5.8083424591179732E-2</v>
      </c>
      <c r="V14" s="26">
        <f t="shared" si="6"/>
        <v>5.1694247886149965E-2</v>
      </c>
      <c r="W14" s="26">
        <f t="shared" si="6"/>
        <v>333.09083124905044</v>
      </c>
      <c r="X14" s="26">
        <f t="shared" si="6"/>
        <v>2.127986595539268E-2</v>
      </c>
      <c r="Y14" s="26">
        <f t="shared" si="6"/>
        <v>0.16488478213630642</v>
      </c>
    </row>
    <row r="15" spans="1:25" s="3" customFormat="1">
      <c r="A15" s="17" t="s">
        <v>28</v>
      </c>
      <c r="B15" s="97"/>
      <c r="C15" s="22"/>
      <c r="D15" s="22"/>
      <c r="E15" s="23"/>
      <c r="F15" s="23"/>
      <c r="G15" s="23"/>
      <c r="H15" s="23"/>
      <c r="I15" s="23"/>
      <c r="J15" s="24"/>
      <c r="K15" s="25"/>
      <c r="L15" s="23"/>
      <c r="M15" s="23"/>
      <c r="N15" s="88"/>
      <c r="O15" s="88"/>
      <c r="P15" s="88"/>
      <c r="Q15" s="27">
        <f t="shared" ref="Q15:Y15" si="7">SUM(Q14:Q14)</f>
        <v>0.23584441477095966</v>
      </c>
      <c r="R15" s="27">
        <f t="shared" si="7"/>
        <v>0.73024386704305055</v>
      </c>
      <c r="S15" s="27">
        <f t="shared" si="7"/>
        <v>1.7356292856453308</v>
      </c>
      <c r="T15" s="27">
        <f t="shared" si="7"/>
        <v>3.7478434996208792E-3</v>
      </c>
      <c r="U15" s="27">
        <f t="shared" si="7"/>
        <v>5.8083424591179732E-2</v>
      </c>
      <c r="V15" s="27">
        <f t="shared" si="7"/>
        <v>5.1694247886149965E-2</v>
      </c>
      <c r="W15" s="27">
        <f t="shared" si="7"/>
        <v>333.09083124905044</v>
      </c>
      <c r="X15" s="27">
        <f t="shared" si="7"/>
        <v>2.127986595539268E-2</v>
      </c>
      <c r="Y15" s="27">
        <f t="shared" si="7"/>
        <v>0.16488478213630642</v>
      </c>
    </row>
    <row r="16" spans="1:25" s="3" customFormat="1">
      <c r="A16" s="24"/>
      <c r="B16" s="29"/>
      <c r="C16" s="22"/>
      <c r="D16" s="22"/>
      <c r="E16" s="108"/>
      <c r="F16" s="108"/>
      <c r="G16" s="108"/>
      <c r="H16" s="108"/>
      <c r="I16" s="108"/>
      <c r="J16" s="100"/>
      <c r="K16" s="365"/>
      <c r="L16" s="110"/>
      <c r="M16" s="102"/>
      <c r="N16" s="98"/>
      <c r="O16" s="98"/>
      <c r="P16" s="363"/>
      <c r="Q16" s="34"/>
      <c r="R16" s="26"/>
      <c r="S16" s="26"/>
      <c r="T16" s="26"/>
      <c r="U16" s="26"/>
      <c r="V16" s="26"/>
      <c r="W16" s="26"/>
      <c r="X16" s="26"/>
      <c r="Y16" s="26"/>
    </row>
    <row r="17" spans="1:25" s="3" customFormat="1">
      <c r="A17" s="11" t="s">
        <v>518</v>
      </c>
      <c r="B17" s="22"/>
      <c r="C17" s="18"/>
      <c r="D17" s="22"/>
      <c r="E17" s="19"/>
      <c r="F17" s="19"/>
      <c r="G17" s="19"/>
      <c r="H17" s="19"/>
      <c r="I17" s="19"/>
      <c r="J17" s="19"/>
      <c r="K17" s="19"/>
      <c r="L17" s="19"/>
      <c r="M17" s="19"/>
      <c r="N17" s="11"/>
      <c r="O17" s="11"/>
      <c r="P17" s="11"/>
      <c r="Q17" s="27"/>
      <c r="R17" s="27"/>
      <c r="S17" s="27"/>
      <c r="T17" s="27"/>
      <c r="U17" s="27"/>
      <c r="V17" s="27"/>
      <c r="W17" s="28"/>
      <c r="X17" s="27"/>
      <c r="Y17" s="27"/>
    </row>
    <row r="18" spans="1:25" s="3" customFormat="1">
      <c r="A18" s="17" t="s">
        <v>28</v>
      </c>
      <c r="B18" s="97"/>
      <c r="C18" s="22"/>
      <c r="D18" s="22"/>
      <c r="E18" s="102"/>
      <c r="F18" s="102"/>
      <c r="G18" s="102"/>
      <c r="H18" s="102"/>
      <c r="I18" s="102"/>
      <c r="J18" s="100"/>
      <c r="K18" s="103"/>
      <c r="L18" s="102"/>
      <c r="M18" s="104"/>
      <c r="N18" s="88"/>
      <c r="O18" s="88"/>
      <c r="P18" s="88"/>
      <c r="Q18" s="27"/>
      <c r="R18" s="27"/>
      <c r="S18" s="27"/>
      <c r="T18" s="27"/>
      <c r="U18" s="27"/>
      <c r="V18" s="27"/>
      <c r="W18" s="27"/>
      <c r="X18" s="27"/>
      <c r="Y18" s="27"/>
    </row>
    <row r="19" spans="1:25" s="3" customFormat="1">
      <c r="A19" s="17"/>
      <c r="B19" s="29"/>
      <c r="C19" s="22"/>
      <c r="D19" s="22"/>
      <c r="E19" s="23"/>
      <c r="F19" s="23"/>
      <c r="G19" s="23"/>
      <c r="H19" s="23"/>
      <c r="I19" s="23"/>
      <c r="J19" s="24"/>
      <c r="K19" s="25"/>
      <c r="L19" s="23"/>
      <c r="M19" s="23"/>
      <c r="N19" s="99"/>
      <c r="O19" s="99"/>
      <c r="P19" s="99"/>
      <c r="Q19" s="27"/>
      <c r="R19" s="27"/>
      <c r="S19" s="27"/>
      <c r="T19" s="27"/>
      <c r="U19" s="27"/>
      <c r="V19" s="27"/>
      <c r="W19" s="27"/>
      <c r="X19" s="27"/>
      <c r="Y19" s="27"/>
    </row>
    <row r="20" spans="1:25">
      <c r="A20" s="17" t="s">
        <v>499</v>
      </c>
      <c r="B20" s="549"/>
      <c r="C20" s="18"/>
      <c r="D20" s="22"/>
      <c r="E20" s="19"/>
      <c r="F20" s="19"/>
      <c r="G20" s="19"/>
      <c r="H20" s="19"/>
      <c r="I20" s="19"/>
      <c r="J20" s="19"/>
      <c r="K20" s="19"/>
      <c r="L20" s="19"/>
      <c r="M20" s="19"/>
      <c r="N20" s="30"/>
      <c r="O20" s="30"/>
      <c r="P20" s="364"/>
      <c r="Q20" s="20">
        <f>Q11+Q15</f>
        <v>0.9504215378625569</v>
      </c>
      <c r="R20" s="20">
        <f t="shared" ref="R20:Y20" si="8">R11+R15</f>
        <v>3.6844030780014445</v>
      </c>
      <c r="S20" s="20">
        <f t="shared" si="8"/>
        <v>6.1566857317844876</v>
      </c>
      <c r="T20" s="20">
        <f t="shared" si="8"/>
        <v>1.207090973569876E-2</v>
      </c>
      <c r="U20" s="20">
        <f t="shared" si="8"/>
        <v>0.30389171690722716</v>
      </c>
      <c r="V20" s="20">
        <f t="shared" si="8"/>
        <v>0.27046362804743218</v>
      </c>
      <c r="W20" s="20">
        <f t="shared" si="8"/>
        <v>1029.5443237340787</v>
      </c>
      <c r="X20" s="20">
        <f t="shared" si="8"/>
        <v>9.3819672145962416E-2</v>
      </c>
      <c r="Y20" s="20">
        <f t="shared" si="8"/>
        <v>0.58488514451952633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3"/>
  <sheetViews>
    <sheetView zoomScale="75" workbookViewId="0">
      <selection activeCell="C21" sqref="C21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697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315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C9*(F9)*$B$370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5" t="s">
        <v>28</v>
      </c>
      <c r="B10" s="74"/>
      <c r="C10" s="112"/>
      <c r="D10" s="112"/>
      <c r="E10" s="74"/>
      <c r="F10" s="74"/>
      <c r="G10" s="577"/>
      <c r="H10" s="41"/>
      <c r="I10" s="41"/>
      <c r="J10" s="41"/>
      <c r="K10" s="574"/>
      <c r="L10" s="574"/>
      <c r="M10" s="574"/>
      <c r="N10" s="574"/>
      <c r="O10" s="574"/>
      <c r="P10" s="574"/>
      <c r="Q10" s="41"/>
      <c r="R10" s="574"/>
      <c r="S10" s="574"/>
      <c r="T10" s="81">
        <f t="shared" ref="T10:AD10" si="0">SUM(T9:T9)</f>
        <v>9.9891275533645019E-2</v>
      </c>
      <c r="U10" s="81">
        <f t="shared" si="0"/>
        <v>0.18440937782971867</v>
      </c>
      <c r="V10" s="81">
        <f t="shared" si="0"/>
        <v>2.253067276294635E-2</v>
      </c>
      <c r="W10" s="81">
        <f t="shared" si="0"/>
        <v>1.3898613406074772E-3</v>
      </c>
      <c r="X10" s="81">
        <f t="shared" si="0"/>
        <v>3.6369464870151122E-2</v>
      </c>
      <c r="Y10" s="81">
        <f t="shared" si="0"/>
        <v>2.4166098982977401E-2</v>
      </c>
      <c r="Z10" s="81">
        <f t="shared" si="0"/>
        <v>0</v>
      </c>
      <c r="AA10" s="81">
        <f t="shared" si="0"/>
        <v>0</v>
      </c>
      <c r="AB10" s="81">
        <f t="shared" si="0"/>
        <v>96.814105590256631</v>
      </c>
      <c r="AC10" s="81">
        <f t="shared" si="0"/>
        <v>5.5322484357440338E-3</v>
      </c>
      <c r="AD10" s="81">
        <f t="shared" si="0"/>
        <v>2.4799901288000137E-3</v>
      </c>
    </row>
    <row r="11" spans="1:30">
      <c r="A11" s="75"/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</row>
    <row r="12" spans="1:30">
      <c r="A12" s="114" t="s">
        <v>336</v>
      </c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>
      <c r="A13" s="78" t="s">
        <v>320</v>
      </c>
      <c r="B13" s="76" t="s">
        <v>95</v>
      </c>
      <c r="C13" s="79">
        <v>3</v>
      </c>
      <c r="D13" s="77"/>
      <c r="E13" s="77">
        <v>35</v>
      </c>
      <c r="F13" s="77">
        <v>60</v>
      </c>
      <c r="G13" s="106">
        <v>0.25172046482947802</v>
      </c>
      <c r="H13" s="106">
        <v>0.464701387165456</v>
      </c>
      <c r="I13" s="106">
        <v>5.6776043658582402E-2</v>
      </c>
      <c r="J13" s="106">
        <v>3.5023733638119199E-3</v>
      </c>
      <c r="K13" s="106">
        <v>4.6899256897933901E-2</v>
      </c>
      <c r="L13" s="47">
        <v>7.99995847163921E-3</v>
      </c>
      <c r="M13" s="47">
        <v>3.6749815577381599E-2</v>
      </c>
      <c r="N13" s="106">
        <v>4.3147317248333997E-2</v>
      </c>
      <c r="O13" s="47">
        <v>1.9999896145790402E-3</v>
      </c>
      <c r="P13" s="47">
        <v>1.57499200131354E-2</v>
      </c>
      <c r="Q13" s="106">
        <v>243.966167526025</v>
      </c>
      <c r="R13" s="47">
        <f>0.000057143*Q13</f>
        <v>1.3940958710939646E-2</v>
      </c>
      <c r="S13" s="80">
        <f>0.000025616*Q13</f>
        <v>6.2494373473466567E-3</v>
      </c>
      <c r="T13" s="50">
        <f>C13*($F13*$G13)/453.59</f>
        <v>9.9891275533645019E-2</v>
      </c>
      <c r="U13" s="50">
        <f>C13*($F13*$H13)/453.59</f>
        <v>0.18440937782971867</v>
      </c>
      <c r="V13" s="50">
        <f>C13*(($F13*$I13))/453.59</f>
        <v>2.253067276294635E-2</v>
      </c>
      <c r="W13" s="50">
        <f>C13*($F13*$J13)/453.59</f>
        <v>1.3898613406074772E-3</v>
      </c>
      <c r="X13" s="50">
        <f>C13*(($F13*($K13+$L13+$M13)))/453.59</f>
        <v>3.6369464870151122E-2</v>
      </c>
      <c r="Y13" s="50">
        <f>C13*(($F13*($N13+$O13+$P13)))/453.59</f>
        <v>2.4166098982977401E-2</v>
      </c>
      <c r="Z13" s="50">
        <f>C13*(F13)*$B$331</f>
        <v>0</v>
      </c>
      <c r="AA13" s="50">
        <f>Z13*0.21</f>
        <v>0</v>
      </c>
      <c r="AB13" s="50">
        <f>C13*(($F13*($Q13)))/453.59</f>
        <v>96.814105590256631</v>
      </c>
      <c r="AC13" s="50">
        <f>C13*(($F13*($R13)))/453.59</f>
        <v>5.5322484357440338E-3</v>
      </c>
      <c r="AD13" s="50">
        <f>C13*(($F13*($S13)))/453.59</f>
        <v>2.4799901288000137E-3</v>
      </c>
    </row>
    <row r="14" spans="1:30">
      <c r="A14" s="75" t="s">
        <v>28</v>
      </c>
      <c r="B14" s="74"/>
      <c r="C14" s="112"/>
      <c r="D14" s="112"/>
      <c r="E14" s="74"/>
      <c r="F14" s="74"/>
      <c r="G14" s="577"/>
      <c r="H14" s="41"/>
      <c r="I14" s="41"/>
      <c r="J14" s="41"/>
      <c r="K14" s="574"/>
      <c r="L14" s="574"/>
      <c r="M14" s="574"/>
      <c r="N14" s="574"/>
      <c r="O14" s="574"/>
      <c r="P14" s="574"/>
      <c r="Q14" s="41"/>
      <c r="R14" s="574"/>
      <c r="S14" s="574"/>
      <c r="T14" s="81">
        <f t="shared" ref="T14:AD14" si="1">SUM(T13:T13)</f>
        <v>9.9891275533645019E-2</v>
      </c>
      <c r="U14" s="81">
        <f t="shared" si="1"/>
        <v>0.18440937782971867</v>
      </c>
      <c r="V14" s="81">
        <f t="shared" si="1"/>
        <v>2.253067276294635E-2</v>
      </c>
      <c r="W14" s="81">
        <f t="shared" si="1"/>
        <v>1.3898613406074772E-3</v>
      </c>
      <c r="X14" s="81">
        <f t="shared" si="1"/>
        <v>3.6369464870151122E-2</v>
      </c>
      <c r="Y14" s="81">
        <f t="shared" si="1"/>
        <v>2.4166098982977401E-2</v>
      </c>
      <c r="Z14" s="81">
        <f t="shared" si="1"/>
        <v>0</v>
      </c>
      <c r="AA14" s="81">
        <f t="shared" si="1"/>
        <v>0</v>
      </c>
      <c r="AB14" s="81">
        <f t="shared" si="1"/>
        <v>96.814105590256631</v>
      </c>
      <c r="AC14" s="81">
        <f t="shared" si="1"/>
        <v>5.5322484357440338E-3</v>
      </c>
      <c r="AD14" s="81">
        <f t="shared" si="1"/>
        <v>2.4799901288000137E-3</v>
      </c>
    </row>
    <row r="15" spans="1:30">
      <c r="A15" s="75"/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</row>
    <row r="16" spans="1:30">
      <c r="A16" s="114" t="s">
        <v>319</v>
      </c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61"/>
      <c r="U16" s="61"/>
      <c r="V16" s="61"/>
      <c r="W16" s="61"/>
      <c r="X16" s="61"/>
      <c r="Y16" s="61"/>
      <c r="Z16" s="62"/>
      <c r="AA16" s="62"/>
      <c r="AB16" s="62"/>
      <c r="AC16" s="62"/>
      <c r="AD16" s="62"/>
    </row>
    <row r="17" spans="1:30">
      <c r="A17" s="78" t="s">
        <v>320</v>
      </c>
      <c r="B17" s="76" t="s">
        <v>95</v>
      </c>
      <c r="C17" s="79">
        <v>1</v>
      </c>
      <c r="D17" s="77"/>
      <c r="E17" s="77">
        <v>35</v>
      </c>
      <c r="F17" s="77">
        <v>60</v>
      </c>
      <c r="G17" s="106">
        <v>0.25172046482947802</v>
      </c>
      <c r="H17" s="106">
        <v>0.464701387165456</v>
      </c>
      <c r="I17" s="106">
        <v>5.6776043658582402E-2</v>
      </c>
      <c r="J17" s="106">
        <v>3.5023733638119199E-3</v>
      </c>
      <c r="K17" s="106">
        <v>4.6899256897933901E-2</v>
      </c>
      <c r="L17" s="47">
        <v>7.99995847163921E-3</v>
      </c>
      <c r="M17" s="47">
        <v>3.6749815577381599E-2</v>
      </c>
      <c r="N17" s="106">
        <v>4.3147317248333997E-2</v>
      </c>
      <c r="O17" s="47">
        <v>1.9999896145790402E-3</v>
      </c>
      <c r="P17" s="47">
        <v>1.57499200131354E-2</v>
      </c>
      <c r="Q17" s="106">
        <v>243.966167526025</v>
      </c>
      <c r="R17" s="47">
        <f>0.000057143*Q17</f>
        <v>1.3940958710939646E-2</v>
      </c>
      <c r="S17" s="80">
        <f>0.000025616*Q17</f>
        <v>6.2494373473466567E-3</v>
      </c>
      <c r="T17" s="50">
        <f>C17*($F17*$G17)/453.59</f>
        <v>3.3297091844548342E-2</v>
      </c>
      <c r="U17" s="50">
        <f>C17*($F17*$H17)/453.59</f>
        <v>6.1469792609906218E-2</v>
      </c>
      <c r="V17" s="50">
        <f>C17*(($F17*$I17))/453.59</f>
        <v>7.5102242543154491E-3</v>
      </c>
      <c r="W17" s="50">
        <f>C17*($F17*$J17)/453.59</f>
        <v>4.6328711353582576E-4</v>
      </c>
      <c r="X17" s="50">
        <f>C17*(($F17*($K17+$L17+$M17)))/453.59</f>
        <v>1.2123154956717041E-2</v>
      </c>
      <c r="Y17" s="50">
        <f>C17*(($F17*($N17+$O17+$P17)))/453.59</f>
        <v>8.0553663276591338E-3</v>
      </c>
      <c r="Z17" s="50">
        <f>C17*(F17)*$B$336</f>
        <v>0</v>
      </c>
      <c r="AA17" s="50">
        <f>Z17*0.21</f>
        <v>0</v>
      </c>
      <c r="AB17" s="50">
        <f>C17*(($F17*($Q17)))/453.59</f>
        <v>32.271368530085546</v>
      </c>
      <c r="AC17" s="50">
        <f>C17*(($F17*($R17)))/453.59</f>
        <v>1.844082811914678E-3</v>
      </c>
      <c r="AD17" s="50">
        <f>C17*(($F17*($S17)))/453.59</f>
        <v>8.2666337626667119E-4</v>
      </c>
    </row>
    <row r="18" spans="1:30">
      <c r="A18" s="75" t="s">
        <v>28</v>
      </c>
      <c r="B18" s="74"/>
      <c r="C18" s="112"/>
      <c r="D18" s="112"/>
      <c r="E18" s="74"/>
      <c r="F18" s="74"/>
      <c r="G18" s="577"/>
      <c r="H18" s="41"/>
      <c r="I18" s="41"/>
      <c r="J18" s="41"/>
      <c r="K18" s="574"/>
      <c r="L18" s="574"/>
      <c r="M18" s="574"/>
      <c r="N18" s="574"/>
      <c r="O18" s="574"/>
      <c r="P18" s="574"/>
      <c r="Q18" s="41"/>
      <c r="R18" s="574"/>
      <c r="S18" s="574"/>
      <c r="T18" s="81">
        <f t="shared" ref="T18:AD18" si="2">SUM(T17:T17)</f>
        <v>3.3297091844548342E-2</v>
      </c>
      <c r="U18" s="81">
        <f t="shared" si="2"/>
        <v>6.1469792609906218E-2</v>
      </c>
      <c r="V18" s="81">
        <f t="shared" si="2"/>
        <v>7.5102242543154491E-3</v>
      </c>
      <c r="W18" s="81">
        <f t="shared" si="2"/>
        <v>4.6328711353582576E-4</v>
      </c>
      <c r="X18" s="81">
        <f t="shared" si="2"/>
        <v>1.2123154956717041E-2</v>
      </c>
      <c r="Y18" s="81">
        <f t="shared" si="2"/>
        <v>8.0553663276591338E-3</v>
      </c>
      <c r="Z18" s="81">
        <f t="shared" si="2"/>
        <v>0</v>
      </c>
      <c r="AA18" s="81">
        <f t="shared" si="2"/>
        <v>0</v>
      </c>
      <c r="AB18" s="81">
        <f t="shared" si="2"/>
        <v>32.271368530085546</v>
      </c>
      <c r="AC18" s="81">
        <f t="shared" si="2"/>
        <v>1.844082811914678E-3</v>
      </c>
      <c r="AD18" s="81">
        <f t="shared" si="2"/>
        <v>8.2666337626667119E-4</v>
      </c>
    </row>
    <row r="19" spans="1:30">
      <c r="A19" s="75" t="s">
        <v>388</v>
      </c>
      <c r="B19" s="74"/>
      <c r="C19" s="112"/>
      <c r="D19" s="112"/>
      <c r="E19" s="74"/>
      <c r="F19" s="74"/>
      <c r="G19" s="547"/>
      <c r="H19" s="41"/>
      <c r="I19" s="41"/>
      <c r="J19" s="41"/>
      <c r="K19" s="544"/>
      <c r="L19" s="544"/>
      <c r="M19" s="544"/>
      <c r="N19" s="544"/>
      <c r="O19" s="544"/>
      <c r="P19" s="544"/>
      <c r="Q19" s="41"/>
      <c r="R19" s="544"/>
      <c r="S19" s="544"/>
      <c r="T19" s="81">
        <f>T10+T14+T18</f>
        <v>0.23307964291183839</v>
      </c>
      <c r="U19" s="81">
        <f t="shared" ref="U19:AD19" si="3">U10+U14+U18</f>
        <v>0.43028854826934354</v>
      </c>
      <c r="V19" s="81">
        <f t="shared" si="3"/>
        <v>5.2571569780208147E-2</v>
      </c>
      <c r="W19" s="81">
        <f t="shared" si="3"/>
        <v>3.2430097947507802E-3</v>
      </c>
      <c r="X19" s="81">
        <f t="shared" si="3"/>
        <v>8.486208469701928E-2</v>
      </c>
      <c r="Y19" s="81">
        <f t="shared" si="3"/>
        <v>5.638756429361394E-2</v>
      </c>
      <c r="Z19" s="81">
        <f t="shared" si="3"/>
        <v>0</v>
      </c>
      <c r="AA19" s="81">
        <f t="shared" si="3"/>
        <v>0</v>
      </c>
      <c r="AB19" s="81">
        <f t="shared" si="3"/>
        <v>225.8995797105988</v>
      </c>
      <c r="AC19" s="81">
        <f t="shared" si="3"/>
        <v>1.2908579683402746E-2</v>
      </c>
      <c r="AD19" s="81">
        <f t="shared" si="3"/>
        <v>5.7866436338666989E-3</v>
      </c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371" spans="1:2" ht="25.5">
      <c r="A371" s="82" t="s">
        <v>109</v>
      </c>
    </row>
    <row r="373" spans="1:2">
      <c r="A373" s="36" t="s">
        <v>81</v>
      </c>
    </row>
    <row r="374" spans="1:2">
      <c r="A374" s="36" t="s">
        <v>82</v>
      </c>
    </row>
    <row r="375" spans="1:2">
      <c r="A375" s="36" t="s">
        <v>83</v>
      </c>
    </row>
    <row r="376" spans="1:2">
      <c r="A376" s="37" t="s">
        <v>96</v>
      </c>
    </row>
    <row r="377" spans="1:2">
      <c r="A377" s="36" t="s">
        <v>85</v>
      </c>
    </row>
    <row r="378" spans="1:2">
      <c r="A378" s="36" t="s">
        <v>86</v>
      </c>
    </row>
    <row r="379" spans="1:2">
      <c r="A379" s="36" t="s">
        <v>87</v>
      </c>
    </row>
    <row r="380" spans="1:2">
      <c r="A380" s="36" t="s">
        <v>0</v>
      </c>
    </row>
    <row r="381" spans="1:2">
      <c r="A381" s="37" t="s">
        <v>97</v>
      </c>
      <c r="B381" s="36">
        <f>(0.016*(0.03/2)^0.65*(2/3)^1.5)-0.00047</f>
        <v>9.8123053326417428E-5</v>
      </c>
    </row>
    <row r="382" spans="1:2">
      <c r="A382" s="37" t="s">
        <v>98</v>
      </c>
      <c r="B382" s="36">
        <f>(0.016*(0.03/2)^0.65*(13/3)^1.5)-0.00047</f>
        <v>8.9448292388582783E-3</v>
      </c>
    </row>
    <row r="383" spans="1:2">
      <c r="A383" s="37" t="s">
        <v>99</v>
      </c>
      <c r="B383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C99" sqref="C99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536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69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66" t="s">
        <v>69</v>
      </c>
      <c r="S3" s="42" t="s">
        <v>118</v>
      </c>
      <c r="T3" s="566" t="s">
        <v>71</v>
      </c>
      <c r="U3" s="566" t="s">
        <v>72</v>
      </c>
      <c r="V3" s="566" t="s">
        <v>69</v>
      </c>
      <c r="W3" s="42" t="s">
        <v>118</v>
      </c>
      <c r="X3" s="566" t="s">
        <v>71</v>
      </c>
      <c r="Y3" s="566" t="s">
        <v>72</v>
      </c>
      <c r="Z3" s="41" t="s">
        <v>69</v>
      </c>
      <c r="AA3" s="42" t="s">
        <v>118</v>
      </c>
      <c r="AB3" s="566" t="s">
        <v>69</v>
      </c>
      <c r="AC3" s="42" t="s">
        <v>118</v>
      </c>
      <c r="AD3" s="566" t="s">
        <v>69</v>
      </c>
      <c r="AE3" s="42" t="s">
        <v>118</v>
      </c>
    </row>
    <row r="4" spans="1:67" ht="25.5">
      <c r="A4" s="44" t="s">
        <v>346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67" ht="25.5">
      <c r="A5" s="44" t="s">
        <v>330</v>
      </c>
      <c r="B5" s="45" t="s">
        <v>102</v>
      </c>
      <c r="C5" s="46">
        <v>20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337</v>
      </c>
      <c r="B6" s="45" t="s">
        <v>102</v>
      </c>
      <c r="C6" s="46">
        <v>12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568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2">AG$11*$AC16</f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>AR$11*$AC16</f>
        <v>#REF!</v>
      </c>
      <c r="AS16" s="36" t="e">
        <f t="shared" ref="AS16:BA24" si="3">AS$11*$AC16</f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4">AF$11*$AC17</f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ref="AR17:AR24" si="5">AR$11*$AC17</f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6">AF$11*$AC27</f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ref="AR27:BA35" si="7">AR$11*$AC27</f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8">AF$11*$AC38</f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ref="AR38:BA46" si="9">AR$11*$AC38</f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0">AF16+AF18+AF19</f>
        <v>#REF!</v>
      </c>
      <c r="AG51" s="70" t="e">
        <f t="shared" si="10"/>
        <v>#REF!</v>
      </c>
      <c r="AH51" s="70" t="e">
        <f t="shared" si="10"/>
        <v>#REF!</v>
      </c>
      <c r="AI51" s="70" t="e">
        <f t="shared" si="10"/>
        <v>#REF!</v>
      </c>
      <c r="AJ51" s="70" t="e">
        <f t="shared" si="10"/>
        <v>#REF!</v>
      </c>
      <c r="AK51" s="70" t="e">
        <f t="shared" si="10"/>
        <v>#REF!</v>
      </c>
      <c r="AL51" s="70" t="e">
        <f t="shared" si="10"/>
        <v>#REF!</v>
      </c>
      <c r="AM51" s="70" t="e">
        <f t="shared" si="10"/>
        <v>#REF!</v>
      </c>
      <c r="AN51" s="70" t="e">
        <f t="shared" si="10"/>
        <v>#REF!</v>
      </c>
      <c r="AO51" s="70" t="e">
        <f t="shared" si="10"/>
        <v>#REF!</v>
      </c>
      <c r="AP51" s="70"/>
      <c r="AQ51" s="70"/>
      <c r="AR51" s="70" t="e">
        <f t="shared" ref="AR51:BA51" si="11">AR16+AR18+AR19</f>
        <v>#REF!</v>
      </c>
      <c r="AS51" s="70" t="e">
        <f t="shared" si="11"/>
        <v>#REF!</v>
      </c>
      <c r="AT51" s="70" t="e">
        <f t="shared" si="11"/>
        <v>#REF!</v>
      </c>
      <c r="AU51" s="70" t="e">
        <f t="shared" si="11"/>
        <v>#REF!</v>
      </c>
      <c r="AV51" s="70" t="e">
        <f t="shared" si="11"/>
        <v>#REF!</v>
      </c>
      <c r="AW51" s="70" t="e">
        <f t="shared" si="11"/>
        <v>#REF!</v>
      </c>
      <c r="AX51" s="70" t="e">
        <f t="shared" si="11"/>
        <v>#REF!</v>
      </c>
      <c r="AY51" s="70" t="e">
        <f t="shared" si="11"/>
        <v>#REF!</v>
      </c>
      <c r="AZ51" s="70" t="e">
        <f t="shared" si="11"/>
        <v>#REF!</v>
      </c>
      <c r="BA51" s="70" t="e">
        <f t="shared" si="11"/>
        <v>#REF!</v>
      </c>
    </row>
    <row r="52" spans="27:53" hidden="1">
      <c r="AA52" s="71" t="s">
        <v>41</v>
      </c>
      <c r="AB52" s="35"/>
      <c r="AF52" s="70" t="e">
        <f t="shared" ref="AF52:AO52" si="12">AF27+AF29+AF30</f>
        <v>#REF!</v>
      </c>
      <c r="AG52" s="70" t="e">
        <f t="shared" si="12"/>
        <v>#REF!</v>
      </c>
      <c r="AH52" s="70" t="e">
        <f t="shared" si="12"/>
        <v>#REF!</v>
      </c>
      <c r="AI52" s="70" t="e">
        <f t="shared" si="12"/>
        <v>#REF!</v>
      </c>
      <c r="AJ52" s="70" t="e">
        <f t="shared" si="12"/>
        <v>#REF!</v>
      </c>
      <c r="AK52" s="70" t="e">
        <f t="shared" si="12"/>
        <v>#REF!</v>
      </c>
      <c r="AL52" s="70" t="e">
        <f t="shared" si="12"/>
        <v>#REF!</v>
      </c>
      <c r="AM52" s="70" t="e">
        <f t="shared" si="12"/>
        <v>#REF!</v>
      </c>
      <c r="AN52" s="70" t="e">
        <f t="shared" si="12"/>
        <v>#REF!</v>
      </c>
      <c r="AO52" s="70" t="e">
        <f t="shared" si="12"/>
        <v>#REF!</v>
      </c>
      <c r="AP52" s="70"/>
      <c r="AQ52" s="70"/>
      <c r="AR52" s="70" t="e">
        <f t="shared" ref="AR52:BA52" si="13">AR27+AR29+AR30</f>
        <v>#REF!</v>
      </c>
      <c r="AS52" s="70" t="e">
        <f t="shared" si="13"/>
        <v>#REF!</v>
      </c>
      <c r="AT52" s="70" t="e">
        <f t="shared" si="13"/>
        <v>#REF!</v>
      </c>
      <c r="AU52" s="70" t="e">
        <f t="shared" si="13"/>
        <v>#REF!</v>
      </c>
      <c r="AV52" s="70" t="e">
        <f t="shared" si="13"/>
        <v>#REF!</v>
      </c>
      <c r="AW52" s="70" t="e">
        <f t="shared" si="13"/>
        <v>#REF!</v>
      </c>
      <c r="AX52" s="70" t="e">
        <f t="shared" si="13"/>
        <v>#REF!</v>
      </c>
      <c r="AY52" s="70" t="e">
        <f t="shared" si="13"/>
        <v>#REF!</v>
      </c>
      <c r="AZ52" s="70" t="e">
        <f t="shared" si="13"/>
        <v>#REF!</v>
      </c>
      <c r="BA52" s="70" t="e">
        <f t="shared" si="13"/>
        <v>#REF!</v>
      </c>
    </row>
    <row r="53" spans="27:53" hidden="1">
      <c r="AA53" s="71" t="s">
        <v>42</v>
      </c>
      <c r="AB53" s="35"/>
      <c r="AF53" s="70" t="e">
        <f t="shared" ref="AF53:AO53" si="14">AF38+AF40+AF41</f>
        <v>#REF!</v>
      </c>
      <c r="AG53" s="70" t="e">
        <f t="shared" si="14"/>
        <v>#REF!</v>
      </c>
      <c r="AH53" s="70" t="e">
        <f t="shared" si="14"/>
        <v>#REF!</v>
      </c>
      <c r="AI53" s="70" t="e">
        <f t="shared" si="14"/>
        <v>#REF!</v>
      </c>
      <c r="AJ53" s="70" t="e">
        <f t="shared" si="14"/>
        <v>#REF!</v>
      </c>
      <c r="AK53" s="70" t="e">
        <f t="shared" si="14"/>
        <v>#REF!</v>
      </c>
      <c r="AL53" s="70" t="e">
        <f t="shared" si="14"/>
        <v>#REF!</v>
      </c>
      <c r="AM53" s="70" t="e">
        <f t="shared" si="14"/>
        <v>#REF!</v>
      </c>
      <c r="AN53" s="70" t="e">
        <f t="shared" si="14"/>
        <v>#REF!</v>
      </c>
      <c r="AO53" s="70" t="e">
        <f t="shared" si="14"/>
        <v>#REF!</v>
      </c>
      <c r="AP53" s="70"/>
      <c r="AQ53" s="70"/>
      <c r="AR53" s="70" t="e">
        <f t="shared" ref="AR53:BA53" si="15">AR38+AR40+AR41</f>
        <v>#REF!</v>
      </c>
      <c r="AS53" s="70" t="e">
        <f t="shared" si="15"/>
        <v>#REF!</v>
      </c>
      <c r="AT53" s="70" t="e">
        <f t="shared" si="15"/>
        <v>#REF!</v>
      </c>
      <c r="AU53" s="70" t="e">
        <f t="shared" si="15"/>
        <v>#REF!</v>
      </c>
      <c r="AV53" s="70" t="e">
        <f t="shared" si="15"/>
        <v>#REF!</v>
      </c>
      <c r="AW53" s="70" t="e">
        <f t="shared" si="15"/>
        <v>#REF!</v>
      </c>
      <c r="AX53" s="70" t="e">
        <f t="shared" si="15"/>
        <v>#REF!</v>
      </c>
      <c r="AY53" s="70" t="e">
        <f t="shared" si="15"/>
        <v>#REF!</v>
      </c>
      <c r="AZ53" s="70" t="e">
        <f t="shared" si="15"/>
        <v>#REF!</v>
      </c>
      <c r="BA53" s="70" t="e">
        <f t="shared" si="15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6">AF16+AF18+AF20+AF22</f>
        <v>#REF!</v>
      </c>
      <c r="AG55" s="70" t="e">
        <f t="shared" si="16"/>
        <v>#REF!</v>
      </c>
      <c r="AH55" s="70" t="e">
        <f t="shared" si="16"/>
        <v>#REF!</v>
      </c>
      <c r="AI55" s="70" t="e">
        <f t="shared" si="16"/>
        <v>#REF!</v>
      </c>
      <c r="AJ55" s="70" t="e">
        <f t="shared" si="16"/>
        <v>#REF!</v>
      </c>
      <c r="AK55" s="70" t="e">
        <f t="shared" si="16"/>
        <v>#REF!</v>
      </c>
      <c r="AL55" s="70" t="e">
        <f t="shared" si="16"/>
        <v>#REF!</v>
      </c>
      <c r="AM55" s="70" t="e">
        <f t="shared" si="16"/>
        <v>#REF!</v>
      </c>
      <c r="AN55" s="70" t="e">
        <f t="shared" si="16"/>
        <v>#REF!</v>
      </c>
      <c r="AO55" s="70" t="e">
        <f t="shared" si="16"/>
        <v>#REF!</v>
      </c>
      <c r="AP55" s="70"/>
      <c r="AQ55" s="70"/>
      <c r="AR55" s="70" t="e">
        <f t="shared" ref="AR55:BA55" si="17">AR16+AR18+AR20+AR22</f>
        <v>#REF!</v>
      </c>
      <c r="AS55" s="70" t="e">
        <f t="shared" si="17"/>
        <v>#REF!</v>
      </c>
      <c r="AT55" s="70" t="e">
        <f t="shared" si="17"/>
        <v>#REF!</v>
      </c>
      <c r="AU55" s="70" t="e">
        <f t="shared" si="17"/>
        <v>#REF!</v>
      </c>
      <c r="AV55" s="70" t="e">
        <f t="shared" si="17"/>
        <v>#REF!</v>
      </c>
      <c r="AW55" s="70" t="e">
        <f t="shared" si="17"/>
        <v>#REF!</v>
      </c>
      <c r="AX55" s="70" t="e">
        <f t="shared" si="17"/>
        <v>#REF!</v>
      </c>
      <c r="AY55" s="70" t="e">
        <f t="shared" si="17"/>
        <v>#REF!</v>
      </c>
      <c r="AZ55" s="70" t="e">
        <f t="shared" si="17"/>
        <v>#REF!</v>
      </c>
      <c r="BA55" s="70" t="e">
        <f t="shared" si="17"/>
        <v>#REF!</v>
      </c>
    </row>
    <row r="56" spans="27:53" hidden="1">
      <c r="AA56" s="71" t="s">
        <v>41</v>
      </c>
      <c r="AB56" s="35"/>
      <c r="AF56" s="70" t="e">
        <f t="shared" ref="AF56:AO56" si="18">AF27+AF29+AF31+AF33</f>
        <v>#REF!</v>
      </c>
      <c r="AG56" s="70" t="e">
        <f t="shared" si="18"/>
        <v>#REF!</v>
      </c>
      <c r="AH56" s="70" t="e">
        <f t="shared" si="18"/>
        <v>#REF!</v>
      </c>
      <c r="AI56" s="70" t="e">
        <f t="shared" si="18"/>
        <v>#REF!</v>
      </c>
      <c r="AJ56" s="70" t="e">
        <f t="shared" si="18"/>
        <v>#REF!</v>
      </c>
      <c r="AK56" s="70" t="e">
        <f t="shared" si="18"/>
        <v>#REF!</v>
      </c>
      <c r="AL56" s="70" t="e">
        <f t="shared" si="18"/>
        <v>#REF!</v>
      </c>
      <c r="AM56" s="70" t="e">
        <f t="shared" si="18"/>
        <v>#REF!</v>
      </c>
      <c r="AN56" s="70" t="e">
        <f t="shared" si="18"/>
        <v>#REF!</v>
      </c>
      <c r="AO56" s="70" t="e">
        <f t="shared" si="18"/>
        <v>#REF!</v>
      </c>
      <c r="AP56" s="70"/>
      <c r="AQ56" s="70"/>
      <c r="AR56" s="70" t="e">
        <f t="shared" ref="AR56:BA56" si="19">AR27+AR29+AR31+AR33</f>
        <v>#REF!</v>
      </c>
      <c r="AS56" s="70" t="e">
        <f t="shared" si="19"/>
        <v>#REF!</v>
      </c>
      <c r="AT56" s="70" t="e">
        <f t="shared" si="19"/>
        <v>#REF!</v>
      </c>
      <c r="AU56" s="70" t="e">
        <f t="shared" si="19"/>
        <v>#REF!</v>
      </c>
      <c r="AV56" s="70" t="e">
        <f t="shared" si="19"/>
        <v>#REF!</v>
      </c>
      <c r="AW56" s="70" t="e">
        <f t="shared" si="19"/>
        <v>#REF!</v>
      </c>
      <c r="AX56" s="70" t="e">
        <f t="shared" si="19"/>
        <v>#REF!</v>
      </c>
      <c r="AY56" s="70" t="e">
        <f t="shared" si="19"/>
        <v>#REF!</v>
      </c>
      <c r="AZ56" s="70" t="e">
        <f t="shared" si="19"/>
        <v>#REF!</v>
      </c>
      <c r="BA56" s="70" t="e">
        <f t="shared" si="19"/>
        <v>#REF!</v>
      </c>
    </row>
    <row r="57" spans="27:53" hidden="1">
      <c r="AA57" s="71" t="s">
        <v>42</v>
      </c>
      <c r="AB57" s="35"/>
      <c r="AF57" s="70" t="e">
        <f t="shared" ref="AF57:AO57" si="20">AF38+AF40+AF42+AF44</f>
        <v>#REF!</v>
      </c>
      <c r="AG57" s="70" t="e">
        <f t="shared" si="20"/>
        <v>#REF!</v>
      </c>
      <c r="AH57" s="70" t="e">
        <f t="shared" si="20"/>
        <v>#REF!</v>
      </c>
      <c r="AI57" s="70" t="e">
        <f t="shared" si="20"/>
        <v>#REF!</v>
      </c>
      <c r="AJ57" s="70" t="e">
        <f t="shared" si="20"/>
        <v>#REF!</v>
      </c>
      <c r="AK57" s="70" t="e">
        <f t="shared" si="20"/>
        <v>#REF!</v>
      </c>
      <c r="AL57" s="70" t="e">
        <f t="shared" si="20"/>
        <v>#REF!</v>
      </c>
      <c r="AM57" s="70" t="e">
        <f t="shared" si="20"/>
        <v>#REF!</v>
      </c>
      <c r="AN57" s="70" t="e">
        <f t="shared" si="20"/>
        <v>#REF!</v>
      </c>
      <c r="AO57" s="70" t="e">
        <f t="shared" si="20"/>
        <v>#REF!</v>
      </c>
      <c r="AP57" s="70"/>
      <c r="AQ57" s="70"/>
      <c r="AR57" s="70" t="e">
        <f t="shared" ref="AR57:BA57" si="21">AR38+AR40+AR42+AR44</f>
        <v>#REF!</v>
      </c>
      <c r="AS57" s="70" t="e">
        <f t="shared" si="21"/>
        <v>#REF!</v>
      </c>
      <c r="AT57" s="70" t="e">
        <f t="shared" si="21"/>
        <v>#REF!</v>
      </c>
      <c r="AU57" s="70" t="e">
        <f t="shared" si="21"/>
        <v>#REF!</v>
      </c>
      <c r="AV57" s="70" t="e">
        <f t="shared" si="21"/>
        <v>#REF!</v>
      </c>
      <c r="AW57" s="70" t="e">
        <f t="shared" si="21"/>
        <v>#REF!</v>
      </c>
      <c r="AX57" s="70" t="e">
        <f t="shared" si="21"/>
        <v>#REF!</v>
      </c>
      <c r="AY57" s="70" t="e">
        <f t="shared" si="21"/>
        <v>#REF!</v>
      </c>
      <c r="AZ57" s="70" t="e">
        <f t="shared" si="21"/>
        <v>#REF!</v>
      </c>
      <c r="BA57" s="70" t="e">
        <f t="shared" si="21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2">AF16+AF18+AF20+AF21+AF23</f>
        <v>#REF!</v>
      </c>
      <c r="AG59" s="70" t="e">
        <f t="shared" si="22"/>
        <v>#REF!</v>
      </c>
      <c r="AH59" s="70" t="e">
        <f t="shared" si="22"/>
        <v>#REF!</v>
      </c>
      <c r="AI59" s="70" t="e">
        <f t="shared" si="22"/>
        <v>#REF!</v>
      </c>
      <c r="AJ59" s="70" t="e">
        <f t="shared" si="22"/>
        <v>#REF!</v>
      </c>
      <c r="AK59" s="70" t="e">
        <f t="shared" si="22"/>
        <v>#REF!</v>
      </c>
      <c r="AL59" s="70" t="e">
        <f t="shared" si="22"/>
        <v>#REF!</v>
      </c>
      <c r="AM59" s="70" t="e">
        <f t="shared" si="22"/>
        <v>#REF!</v>
      </c>
      <c r="AN59" s="70" t="e">
        <f t="shared" si="22"/>
        <v>#REF!</v>
      </c>
      <c r="AO59" s="70" t="e">
        <f t="shared" si="22"/>
        <v>#REF!</v>
      </c>
      <c r="AP59" s="70"/>
      <c r="AQ59" s="70"/>
      <c r="AR59" s="70" t="e">
        <f t="shared" ref="AR59:BA59" si="23">AR16+AR18+AR20+AR21+AR23</f>
        <v>#REF!</v>
      </c>
      <c r="AS59" s="70" t="e">
        <f t="shared" si="23"/>
        <v>#REF!</v>
      </c>
      <c r="AT59" s="70" t="e">
        <f t="shared" si="23"/>
        <v>#REF!</v>
      </c>
      <c r="AU59" s="70" t="e">
        <f t="shared" si="23"/>
        <v>#REF!</v>
      </c>
      <c r="AV59" s="70" t="e">
        <f t="shared" si="23"/>
        <v>#REF!</v>
      </c>
      <c r="AW59" s="70" t="e">
        <f t="shared" si="23"/>
        <v>#REF!</v>
      </c>
      <c r="AX59" s="70" t="e">
        <f t="shared" si="23"/>
        <v>#REF!</v>
      </c>
      <c r="AY59" s="70" t="e">
        <f t="shared" si="23"/>
        <v>#REF!</v>
      </c>
      <c r="AZ59" s="70" t="e">
        <f t="shared" si="23"/>
        <v>#REF!</v>
      </c>
      <c r="BA59" s="70" t="e">
        <f t="shared" si="23"/>
        <v>#REF!</v>
      </c>
    </row>
    <row r="60" spans="27:53" hidden="1">
      <c r="AA60" s="71" t="s">
        <v>41</v>
      </c>
      <c r="AB60" s="35"/>
      <c r="AF60" s="70" t="e">
        <f t="shared" ref="AF60:AO60" si="24">AF27+AF29+AF31+AF32+AF34</f>
        <v>#REF!</v>
      </c>
      <c r="AG60" s="70" t="e">
        <f t="shared" si="24"/>
        <v>#REF!</v>
      </c>
      <c r="AH60" s="70" t="e">
        <f t="shared" si="24"/>
        <v>#REF!</v>
      </c>
      <c r="AI60" s="70" t="e">
        <f t="shared" si="24"/>
        <v>#REF!</v>
      </c>
      <c r="AJ60" s="70" t="e">
        <f t="shared" si="24"/>
        <v>#REF!</v>
      </c>
      <c r="AK60" s="70" t="e">
        <f t="shared" si="24"/>
        <v>#REF!</v>
      </c>
      <c r="AL60" s="70" t="e">
        <f t="shared" si="24"/>
        <v>#REF!</v>
      </c>
      <c r="AM60" s="70" t="e">
        <f t="shared" si="24"/>
        <v>#REF!</v>
      </c>
      <c r="AN60" s="70" t="e">
        <f t="shared" si="24"/>
        <v>#REF!</v>
      </c>
      <c r="AO60" s="70" t="e">
        <f t="shared" si="24"/>
        <v>#REF!</v>
      </c>
      <c r="AP60" s="70"/>
      <c r="AQ60" s="70"/>
      <c r="AR60" s="70" t="e">
        <f t="shared" ref="AR60:BA60" si="25">AR27+AR29+AR31+AR32+AR34</f>
        <v>#REF!</v>
      </c>
      <c r="AS60" s="70" t="e">
        <f t="shared" si="25"/>
        <v>#REF!</v>
      </c>
      <c r="AT60" s="70" t="e">
        <f t="shared" si="25"/>
        <v>#REF!</v>
      </c>
      <c r="AU60" s="70" t="e">
        <f t="shared" si="25"/>
        <v>#REF!</v>
      </c>
      <c r="AV60" s="70" t="e">
        <f t="shared" si="25"/>
        <v>#REF!</v>
      </c>
      <c r="AW60" s="70" t="e">
        <f t="shared" si="25"/>
        <v>#REF!</v>
      </c>
      <c r="AX60" s="70" t="e">
        <f t="shared" si="25"/>
        <v>#REF!</v>
      </c>
      <c r="AY60" s="70" t="e">
        <f t="shared" si="25"/>
        <v>#REF!</v>
      </c>
      <c r="AZ60" s="70" t="e">
        <f t="shared" si="25"/>
        <v>#REF!</v>
      </c>
      <c r="BA60" s="70" t="e">
        <f t="shared" si="25"/>
        <v>#REF!</v>
      </c>
    </row>
    <row r="61" spans="27:53" hidden="1">
      <c r="AA61" s="71" t="s">
        <v>42</v>
      </c>
      <c r="AB61" s="35"/>
      <c r="AF61" s="70" t="e">
        <f t="shared" ref="AF61:AO61" si="26">AF38+AF40+AF42+AF43+AF45</f>
        <v>#REF!</v>
      </c>
      <c r="AG61" s="70" t="e">
        <f t="shared" si="26"/>
        <v>#REF!</v>
      </c>
      <c r="AH61" s="70" t="e">
        <f t="shared" si="26"/>
        <v>#REF!</v>
      </c>
      <c r="AI61" s="70" t="e">
        <f t="shared" si="26"/>
        <v>#REF!</v>
      </c>
      <c r="AJ61" s="70" t="e">
        <f t="shared" si="26"/>
        <v>#REF!</v>
      </c>
      <c r="AK61" s="70" t="e">
        <f t="shared" si="26"/>
        <v>#REF!</v>
      </c>
      <c r="AL61" s="70" t="e">
        <f t="shared" si="26"/>
        <v>#REF!</v>
      </c>
      <c r="AM61" s="70" t="e">
        <f t="shared" si="26"/>
        <v>#REF!</v>
      </c>
      <c r="AN61" s="70" t="e">
        <f t="shared" si="26"/>
        <v>#REF!</v>
      </c>
      <c r="AO61" s="70" t="e">
        <f t="shared" si="26"/>
        <v>#REF!</v>
      </c>
      <c r="AP61" s="70"/>
      <c r="AQ61" s="70"/>
      <c r="AR61" s="70" t="e">
        <f t="shared" ref="AR61:BA61" si="27">AR38+AR40+AR42+AR43+AR45</f>
        <v>#REF!</v>
      </c>
      <c r="AS61" s="70" t="e">
        <f t="shared" si="27"/>
        <v>#REF!</v>
      </c>
      <c r="AT61" s="70" t="e">
        <f t="shared" si="27"/>
        <v>#REF!</v>
      </c>
      <c r="AU61" s="70" t="e">
        <f t="shared" si="27"/>
        <v>#REF!</v>
      </c>
      <c r="AV61" s="70" t="e">
        <f t="shared" si="27"/>
        <v>#REF!</v>
      </c>
      <c r="AW61" s="70" t="e">
        <f t="shared" si="27"/>
        <v>#REF!</v>
      </c>
      <c r="AX61" s="70" t="e">
        <f t="shared" si="27"/>
        <v>#REF!</v>
      </c>
      <c r="AY61" s="70" t="e">
        <f t="shared" si="27"/>
        <v>#REF!</v>
      </c>
      <c r="AZ61" s="70" t="e">
        <f t="shared" si="27"/>
        <v>#REF!</v>
      </c>
      <c r="BA61" s="70" t="e">
        <f t="shared" si="27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28">AF16+AF18+AF20+AF21+AF24</f>
        <v>#REF!</v>
      </c>
      <c r="AG63" s="70" t="e">
        <f t="shared" si="28"/>
        <v>#REF!</v>
      </c>
      <c r="AH63" s="70" t="e">
        <f t="shared" si="28"/>
        <v>#REF!</v>
      </c>
      <c r="AI63" s="70" t="e">
        <f t="shared" si="28"/>
        <v>#REF!</v>
      </c>
      <c r="AJ63" s="70" t="e">
        <f t="shared" si="28"/>
        <v>#REF!</v>
      </c>
      <c r="AK63" s="70" t="e">
        <f t="shared" si="28"/>
        <v>#REF!</v>
      </c>
      <c r="AL63" s="70" t="e">
        <f t="shared" si="28"/>
        <v>#REF!</v>
      </c>
      <c r="AM63" s="70" t="e">
        <f t="shared" si="28"/>
        <v>#REF!</v>
      </c>
      <c r="AN63" s="70" t="e">
        <f t="shared" si="28"/>
        <v>#REF!</v>
      </c>
      <c r="AO63" s="70" t="e">
        <f t="shared" si="28"/>
        <v>#REF!</v>
      </c>
      <c r="AP63" s="70"/>
      <c r="AQ63" s="70"/>
      <c r="AR63" s="70" t="e">
        <f t="shared" ref="AR63:BA63" si="29">AR16+AR18+AR20+AR21+AR24</f>
        <v>#REF!</v>
      </c>
      <c r="AS63" s="70" t="e">
        <f t="shared" si="29"/>
        <v>#REF!</v>
      </c>
      <c r="AT63" s="70" t="e">
        <f t="shared" si="29"/>
        <v>#REF!</v>
      </c>
      <c r="AU63" s="70" t="e">
        <f t="shared" si="29"/>
        <v>#REF!</v>
      </c>
      <c r="AV63" s="70" t="e">
        <f t="shared" si="29"/>
        <v>#REF!</v>
      </c>
      <c r="AW63" s="70" t="e">
        <f t="shared" si="29"/>
        <v>#REF!</v>
      </c>
      <c r="AX63" s="70" t="e">
        <f t="shared" si="29"/>
        <v>#REF!</v>
      </c>
      <c r="AY63" s="70" t="e">
        <f t="shared" si="29"/>
        <v>#REF!</v>
      </c>
      <c r="AZ63" s="70" t="e">
        <f t="shared" si="29"/>
        <v>#REF!</v>
      </c>
      <c r="BA63" s="70" t="e">
        <f t="shared" si="29"/>
        <v>#REF!</v>
      </c>
    </row>
    <row r="64" spans="27:53" hidden="1">
      <c r="AA64" s="71" t="s">
        <v>41</v>
      </c>
      <c r="AB64" s="35"/>
      <c r="AF64" s="70" t="e">
        <f t="shared" ref="AF64:AO64" si="30">AF27+AF29+AF31+AF32+AF35</f>
        <v>#REF!</v>
      </c>
      <c r="AG64" s="70" t="e">
        <f t="shared" si="30"/>
        <v>#REF!</v>
      </c>
      <c r="AH64" s="70" t="e">
        <f t="shared" si="30"/>
        <v>#REF!</v>
      </c>
      <c r="AI64" s="70" t="e">
        <f t="shared" si="30"/>
        <v>#REF!</v>
      </c>
      <c r="AJ64" s="70" t="e">
        <f t="shared" si="30"/>
        <v>#REF!</v>
      </c>
      <c r="AK64" s="70" t="e">
        <f t="shared" si="30"/>
        <v>#REF!</v>
      </c>
      <c r="AL64" s="70" t="e">
        <f t="shared" si="30"/>
        <v>#REF!</v>
      </c>
      <c r="AM64" s="70" t="e">
        <f t="shared" si="30"/>
        <v>#REF!</v>
      </c>
      <c r="AN64" s="70" t="e">
        <f t="shared" si="30"/>
        <v>#REF!</v>
      </c>
      <c r="AO64" s="70" t="e">
        <f t="shared" si="30"/>
        <v>#REF!</v>
      </c>
      <c r="AP64" s="70"/>
      <c r="AQ64" s="70"/>
      <c r="AR64" s="70" t="e">
        <f t="shared" ref="AR64:BA64" si="31">AR27+AR29+AR31+AR32+AR35</f>
        <v>#REF!</v>
      </c>
      <c r="AS64" s="70" t="e">
        <f t="shared" si="31"/>
        <v>#REF!</v>
      </c>
      <c r="AT64" s="70" t="e">
        <f t="shared" si="31"/>
        <v>#REF!</v>
      </c>
      <c r="AU64" s="70" t="e">
        <f t="shared" si="31"/>
        <v>#REF!</v>
      </c>
      <c r="AV64" s="70" t="e">
        <f t="shared" si="31"/>
        <v>#REF!</v>
      </c>
      <c r="AW64" s="70" t="e">
        <f t="shared" si="31"/>
        <v>#REF!</v>
      </c>
      <c r="AX64" s="70" t="e">
        <f t="shared" si="31"/>
        <v>#REF!</v>
      </c>
      <c r="AY64" s="70" t="e">
        <f t="shared" si="31"/>
        <v>#REF!</v>
      </c>
      <c r="AZ64" s="70" t="e">
        <f t="shared" si="31"/>
        <v>#REF!</v>
      </c>
      <c r="BA64" s="70" t="e">
        <f t="shared" si="31"/>
        <v>#REF!</v>
      </c>
    </row>
    <row r="65" spans="27:53" hidden="1">
      <c r="AA65" s="71" t="s">
        <v>42</v>
      </c>
      <c r="AB65" s="35"/>
      <c r="AF65" s="70" t="e">
        <f t="shared" ref="AF65:AO65" si="32">AF38+AF40+AF42+AF43+AF46</f>
        <v>#REF!</v>
      </c>
      <c r="AG65" s="70" t="e">
        <f t="shared" si="32"/>
        <v>#REF!</v>
      </c>
      <c r="AH65" s="70" t="e">
        <f t="shared" si="32"/>
        <v>#REF!</v>
      </c>
      <c r="AI65" s="70" t="e">
        <f t="shared" si="32"/>
        <v>#REF!</v>
      </c>
      <c r="AJ65" s="70" t="e">
        <f t="shared" si="32"/>
        <v>#REF!</v>
      </c>
      <c r="AK65" s="70" t="e">
        <f t="shared" si="32"/>
        <v>#REF!</v>
      </c>
      <c r="AL65" s="70" t="e">
        <f t="shared" si="32"/>
        <v>#REF!</v>
      </c>
      <c r="AM65" s="70" t="e">
        <f t="shared" si="32"/>
        <v>#REF!</v>
      </c>
      <c r="AN65" s="70" t="e">
        <f t="shared" si="32"/>
        <v>#REF!</v>
      </c>
      <c r="AO65" s="70" t="e">
        <f t="shared" si="32"/>
        <v>#REF!</v>
      </c>
      <c r="AP65" s="70"/>
      <c r="AQ65" s="70"/>
      <c r="AR65" s="70" t="e">
        <f t="shared" ref="AR65:BA65" si="33">AR38+AR40+AR42+AR43+AR46</f>
        <v>#REF!</v>
      </c>
      <c r="AS65" s="70" t="e">
        <f t="shared" si="33"/>
        <v>#REF!</v>
      </c>
      <c r="AT65" s="70" t="e">
        <f t="shared" si="33"/>
        <v>#REF!</v>
      </c>
      <c r="AU65" s="70" t="e">
        <f t="shared" si="33"/>
        <v>#REF!</v>
      </c>
      <c r="AV65" s="70" t="e">
        <f t="shared" si="33"/>
        <v>#REF!</v>
      </c>
      <c r="AW65" s="70" t="e">
        <f t="shared" si="33"/>
        <v>#REF!</v>
      </c>
      <c r="AX65" s="70" t="e">
        <f t="shared" si="33"/>
        <v>#REF!</v>
      </c>
      <c r="AY65" s="70" t="e">
        <f t="shared" si="33"/>
        <v>#REF!</v>
      </c>
      <c r="AZ65" s="70" t="e">
        <f t="shared" si="33"/>
        <v>#REF!</v>
      </c>
      <c r="BA65" s="70" t="e">
        <f t="shared" si="33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4">AF16+AF17+AF22</f>
        <v>#REF!</v>
      </c>
      <c r="AG67" s="70" t="e">
        <f t="shared" si="34"/>
        <v>#REF!</v>
      </c>
      <c r="AH67" s="70" t="e">
        <f t="shared" si="34"/>
        <v>#REF!</v>
      </c>
      <c r="AI67" s="70" t="e">
        <f t="shared" si="34"/>
        <v>#REF!</v>
      </c>
      <c r="AJ67" s="70" t="e">
        <f t="shared" si="34"/>
        <v>#REF!</v>
      </c>
      <c r="AK67" s="70" t="e">
        <f t="shared" si="34"/>
        <v>#REF!</v>
      </c>
      <c r="AL67" s="70" t="e">
        <f t="shared" si="34"/>
        <v>#REF!</v>
      </c>
      <c r="AM67" s="70" t="e">
        <f t="shared" si="34"/>
        <v>#REF!</v>
      </c>
      <c r="AN67" s="70" t="e">
        <f t="shared" si="34"/>
        <v>#REF!</v>
      </c>
      <c r="AO67" s="70" t="e">
        <f t="shared" si="34"/>
        <v>#REF!</v>
      </c>
      <c r="AP67" s="70"/>
      <c r="AQ67" s="70"/>
      <c r="AR67" s="70" t="e">
        <f t="shared" ref="AR67:BA67" si="35">AR16+AR17+AR22</f>
        <v>#REF!</v>
      </c>
      <c r="AS67" s="70" t="e">
        <f t="shared" si="35"/>
        <v>#REF!</v>
      </c>
      <c r="AT67" s="70" t="e">
        <f t="shared" si="35"/>
        <v>#REF!</v>
      </c>
      <c r="AU67" s="70" t="e">
        <f t="shared" si="35"/>
        <v>#REF!</v>
      </c>
      <c r="AV67" s="70" t="e">
        <f t="shared" si="35"/>
        <v>#REF!</v>
      </c>
      <c r="AW67" s="70" t="e">
        <f t="shared" si="35"/>
        <v>#REF!</v>
      </c>
      <c r="AX67" s="70" t="e">
        <f t="shared" si="35"/>
        <v>#REF!</v>
      </c>
      <c r="AY67" s="70" t="e">
        <f t="shared" si="35"/>
        <v>#REF!</v>
      </c>
      <c r="AZ67" s="70" t="e">
        <f t="shared" si="35"/>
        <v>#REF!</v>
      </c>
      <c r="BA67" s="70" t="e">
        <f t="shared" si="35"/>
        <v>#REF!</v>
      </c>
    </row>
    <row r="68" spans="27:53" hidden="1">
      <c r="AA68" s="71" t="s">
        <v>41</v>
      </c>
      <c r="AB68" s="35"/>
      <c r="AF68" s="70" t="e">
        <f t="shared" ref="AF68:AO68" si="36">AF27+AF28+AF33</f>
        <v>#REF!</v>
      </c>
      <c r="AG68" s="70" t="e">
        <f t="shared" si="36"/>
        <v>#REF!</v>
      </c>
      <c r="AH68" s="70" t="e">
        <f t="shared" si="36"/>
        <v>#REF!</v>
      </c>
      <c r="AI68" s="70" t="e">
        <f t="shared" si="36"/>
        <v>#REF!</v>
      </c>
      <c r="AJ68" s="70" t="e">
        <f t="shared" si="36"/>
        <v>#REF!</v>
      </c>
      <c r="AK68" s="70" t="e">
        <f t="shared" si="36"/>
        <v>#REF!</v>
      </c>
      <c r="AL68" s="70" t="e">
        <f t="shared" si="36"/>
        <v>#REF!</v>
      </c>
      <c r="AM68" s="70" t="e">
        <f t="shared" si="36"/>
        <v>#REF!</v>
      </c>
      <c r="AN68" s="70" t="e">
        <f t="shared" si="36"/>
        <v>#REF!</v>
      </c>
      <c r="AO68" s="70" t="e">
        <f t="shared" si="36"/>
        <v>#REF!</v>
      </c>
      <c r="AP68" s="70"/>
      <c r="AQ68" s="70"/>
      <c r="AR68" s="70" t="e">
        <f t="shared" ref="AR68:BA68" si="37">AR27+AR28+AR33</f>
        <v>#REF!</v>
      </c>
      <c r="AS68" s="70" t="e">
        <f t="shared" si="37"/>
        <v>#REF!</v>
      </c>
      <c r="AT68" s="70" t="e">
        <f t="shared" si="37"/>
        <v>#REF!</v>
      </c>
      <c r="AU68" s="70" t="e">
        <f t="shared" si="37"/>
        <v>#REF!</v>
      </c>
      <c r="AV68" s="70" t="e">
        <f t="shared" si="37"/>
        <v>#REF!</v>
      </c>
      <c r="AW68" s="70" t="e">
        <f t="shared" si="37"/>
        <v>#REF!</v>
      </c>
      <c r="AX68" s="70" t="e">
        <f t="shared" si="37"/>
        <v>#REF!</v>
      </c>
      <c r="AY68" s="70" t="e">
        <f t="shared" si="37"/>
        <v>#REF!</v>
      </c>
      <c r="AZ68" s="70" t="e">
        <f t="shared" si="37"/>
        <v>#REF!</v>
      </c>
      <c r="BA68" s="70" t="e">
        <f t="shared" si="37"/>
        <v>#REF!</v>
      </c>
    </row>
    <row r="69" spans="27:53" hidden="1">
      <c r="AA69" s="71" t="s">
        <v>42</v>
      </c>
      <c r="AB69" s="35"/>
      <c r="AF69" s="70" t="e">
        <f t="shared" ref="AF69:AO69" si="38">AF38+AF39+AF44</f>
        <v>#REF!</v>
      </c>
      <c r="AG69" s="70" t="e">
        <f t="shared" si="38"/>
        <v>#REF!</v>
      </c>
      <c r="AH69" s="70" t="e">
        <f t="shared" si="38"/>
        <v>#REF!</v>
      </c>
      <c r="AI69" s="70" t="e">
        <f t="shared" si="38"/>
        <v>#REF!</v>
      </c>
      <c r="AJ69" s="70" t="e">
        <f t="shared" si="38"/>
        <v>#REF!</v>
      </c>
      <c r="AK69" s="70" t="e">
        <f t="shared" si="38"/>
        <v>#REF!</v>
      </c>
      <c r="AL69" s="70" t="e">
        <f t="shared" si="38"/>
        <v>#REF!</v>
      </c>
      <c r="AM69" s="70" t="e">
        <f t="shared" si="38"/>
        <v>#REF!</v>
      </c>
      <c r="AN69" s="70" t="e">
        <f t="shared" si="38"/>
        <v>#REF!</v>
      </c>
      <c r="AO69" s="70" t="e">
        <f t="shared" si="38"/>
        <v>#REF!</v>
      </c>
      <c r="AP69" s="70"/>
      <c r="AQ69" s="70"/>
      <c r="AR69" s="70" t="e">
        <f t="shared" ref="AR69:BA69" si="39">AR38+AR39+AR44</f>
        <v>#REF!</v>
      </c>
      <c r="AS69" s="70" t="e">
        <f t="shared" si="39"/>
        <v>#REF!</v>
      </c>
      <c r="AT69" s="70" t="e">
        <f t="shared" si="39"/>
        <v>#REF!</v>
      </c>
      <c r="AU69" s="70" t="e">
        <f t="shared" si="39"/>
        <v>#REF!</v>
      </c>
      <c r="AV69" s="70" t="e">
        <f t="shared" si="39"/>
        <v>#REF!</v>
      </c>
      <c r="AW69" s="70" t="e">
        <f t="shared" si="39"/>
        <v>#REF!</v>
      </c>
      <c r="AX69" s="70" t="e">
        <f t="shared" si="39"/>
        <v>#REF!</v>
      </c>
      <c r="AY69" s="70" t="e">
        <f t="shared" si="39"/>
        <v>#REF!</v>
      </c>
      <c r="AZ69" s="70" t="e">
        <f t="shared" si="39"/>
        <v>#REF!</v>
      </c>
      <c r="BA69" s="70" t="e">
        <f t="shared" si="39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0">AF16+AF17+AF21+AF23</f>
        <v>#REF!</v>
      </c>
      <c r="AG71" s="70" t="e">
        <f t="shared" si="40"/>
        <v>#REF!</v>
      </c>
      <c r="AH71" s="70" t="e">
        <f t="shared" si="40"/>
        <v>#REF!</v>
      </c>
      <c r="AI71" s="70" t="e">
        <f t="shared" si="40"/>
        <v>#REF!</v>
      </c>
      <c r="AJ71" s="70" t="e">
        <f t="shared" si="40"/>
        <v>#REF!</v>
      </c>
      <c r="AK71" s="70" t="e">
        <f t="shared" si="40"/>
        <v>#REF!</v>
      </c>
      <c r="AL71" s="70" t="e">
        <f t="shared" si="40"/>
        <v>#REF!</v>
      </c>
      <c r="AM71" s="70" t="e">
        <f t="shared" si="40"/>
        <v>#REF!</v>
      </c>
      <c r="AN71" s="70" t="e">
        <f t="shared" si="40"/>
        <v>#REF!</v>
      </c>
      <c r="AO71" s="70" t="e">
        <f t="shared" si="40"/>
        <v>#REF!</v>
      </c>
      <c r="AP71" s="70"/>
      <c r="AQ71" s="70"/>
      <c r="AR71" s="70" t="e">
        <f t="shared" ref="AR71:BA71" si="41">AR16+AR17+AR21+AR23</f>
        <v>#REF!</v>
      </c>
      <c r="AS71" s="70" t="e">
        <f t="shared" si="41"/>
        <v>#REF!</v>
      </c>
      <c r="AT71" s="70" t="e">
        <f t="shared" si="41"/>
        <v>#REF!</v>
      </c>
      <c r="AU71" s="70" t="e">
        <f t="shared" si="41"/>
        <v>#REF!</v>
      </c>
      <c r="AV71" s="70" t="e">
        <f t="shared" si="41"/>
        <v>#REF!</v>
      </c>
      <c r="AW71" s="70" t="e">
        <f t="shared" si="41"/>
        <v>#REF!</v>
      </c>
      <c r="AX71" s="70" t="e">
        <f t="shared" si="41"/>
        <v>#REF!</v>
      </c>
      <c r="AY71" s="70" t="e">
        <f t="shared" si="41"/>
        <v>#REF!</v>
      </c>
      <c r="AZ71" s="70" t="e">
        <f t="shared" si="41"/>
        <v>#REF!</v>
      </c>
      <c r="BA71" s="70" t="e">
        <f t="shared" si="41"/>
        <v>#REF!</v>
      </c>
    </row>
    <row r="72" spans="27:53" hidden="1">
      <c r="AA72" s="71" t="s">
        <v>41</v>
      </c>
      <c r="AB72" s="35"/>
      <c r="AF72" s="70" t="e">
        <f t="shared" ref="AF72:AO72" si="42">AF27+AF28+AF32+AF34</f>
        <v>#REF!</v>
      </c>
      <c r="AG72" s="70" t="e">
        <f t="shared" si="42"/>
        <v>#REF!</v>
      </c>
      <c r="AH72" s="70" t="e">
        <f t="shared" si="42"/>
        <v>#REF!</v>
      </c>
      <c r="AI72" s="70" t="e">
        <f t="shared" si="42"/>
        <v>#REF!</v>
      </c>
      <c r="AJ72" s="70" t="e">
        <f t="shared" si="42"/>
        <v>#REF!</v>
      </c>
      <c r="AK72" s="70" t="e">
        <f t="shared" si="42"/>
        <v>#REF!</v>
      </c>
      <c r="AL72" s="70" t="e">
        <f t="shared" si="42"/>
        <v>#REF!</v>
      </c>
      <c r="AM72" s="70" t="e">
        <f t="shared" si="42"/>
        <v>#REF!</v>
      </c>
      <c r="AN72" s="70" t="e">
        <f t="shared" si="42"/>
        <v>#REF!</v>
      </c>
      <c r="AO72" s="70" t="e">
        <f t="shared" si="42"/>
        <v>#REF!</v>
      </c>
      <c r="AP72" s="70"/>
      <c r="AQ72" s="70"/>
      <c r="AR72" s="70" t="e">
        <f t="shared" ref="AR72:BA72" si="43">AR27+AR28+AR32+AR34</f>
        <v>#REF!</v>
      </c>
      <c r="AS72" s="70" t="e">
        <f t="shared" si="43"/>
        <v>#REF!</v>
      </c>
      <c r="AT72" s="70" t="e">
        <f t="shared" si="43"/>
        <v>#REF!</v>
      </c>
      <c r="AU72" s="70" t="e">
        <f t="shared" si="43"/>
        <v>#REF!</v>
      </c>
      <c r="AV72" s="70" t="e">
        <f t="shared" si="43"/>
        <v>#REF!</v>
      </c>
      <c r="AW72" s="70" t="e">
        <f t="shared" si="43"/>
        <v>#REF!</v>
      </c>
      <c r="AX72" s="70" t="e">
        <f t="shared" si="43"/>
        <v>#REF!</v>
      </c>
      <c r="AY72" s="70" t="e">
        <f t="shared" si="43"/>
        <v>#REF!</v>
      </c>
      <c r="AZ72" s="70" t="e">
        <f t="shared" si="43"/>
        <v>#REF!</v>
      </c>
      <c r="BA72" s="70" t="e">
        <f t="shared" si="43"/>
        <v>#REF!</v>
      </c>
    </row>
    <row r="73" spans="27:53" hidden="1">
      <c r="AA73" s="71" t="s">
        <v>42</v>
      </c>
      <c r="AB73" s="35"/>
      <c r="AF73" s="70" t="e">
        <f t="shared" ref="AF73:AO73" si="44">AF38+AF39+AF43+AF45</f>
        <v>#REF!</v>
      </c>
      <c r="AG73" s="70" t="e">
        <f t="shared" si="44"/>
        <v>#REF!</v>
      </c>
      <c r="AH73" s="70" t="e">
        <f t="shared" si="44"/>
        <v>#REF!</v>
      </c>
      <c r="AI73" s="70" t="e">
        <f t="shared" si="44"/>
        <v>#REF!</v>
      </c>
      <c r="AJ73" s="70" t="e">
        <f t="shared" si="44"/>
        <v>#REF!</v>
      </c>
      <c r="AK73" s="70" t="e">
        <f t="shared" si="44"/>
        <v>#REF!</v>
      </c>
      <c r="AL73" s="70" t="e">
        <f t="shared" si="44"/>
        <v>#REF!</v>
      </c>
      <c r="AM73" s="70" t="e">
        <f t="shared" si="44"/>
        <v>#REF!</v>
      </c>
      <c r="AN73" s="70" t="e">
        <f t="shared" si="44"/>
        <v>#REF!</v>
      </c>
      <c r="AO73" s="70" t="e">
        <f t="shared" si="44"/>
        <v>#REF!</v>
      </c>
      <c r="AP73" s="70"/>
      <c r="AQ73" s="70"/>
      <c r="AR73" s="70" t="e">
        <f t="shared" ref="AR73:BA73" si="45">AR38+AR39+AR43+AR45</f>
        <v>#REF!</v>
      </c>
      <c r="AS73" s="70" t="e">
        <f t="shared" si="45"/>
        <v>#REF!</v>
      </c>
      <c r="AT73" s="70" t="e">
        <f t="shared" si="45"/>
        <v>#REF!</v>
      </c>
      <c r="AU73" s="70" t="e">
        <f t="shared" si="45"/>
        <v>#REF!</v>
      </c>
      <c r="AV73" s="70" t="e">
        <f t="shared" si="45"/>
        <v>#REF!</v>
      </c>
      <c r="AW73" s="70" t="e">
        <f t="shared" si="45"/>
        <v>#REF!</v>
      </c>
      <c r="AX73" s="70" t="e">
        <f t="shared" si="45"/>
        <v>#REF!</v>
      </c>
      <c r="AY73" s="70" t="e">
        <f t="shared" si="45"/>
        <v>#REF!</v>
      </c>
      <c r="AZ73" s="70" t="e">
        <f t="shared" si="45"/>
        <v>#REF!</v>
      </c>
      <c r="BA73" s="70" t="e">
        <f t="shared" si="45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6">AF16+AF17+AF21+AF24</f>
        <v>#REF!</v>
      </c>
      <c r="AG75" s="70" t="e">
        <f t="shared" si="46"/>
        <v>#REF!</v>
      </c>
      <c r="AH75" s="70" t="e">
        <f t="shared" si="46"/>
        <v>#REF!</v>
      </c>
      <c r="AI75" s="70" t="e">
        <f t="shared" si="46"/>
        <v>#REF!</v>
      </c>
      <c r="AJ75" s="70" t="e">
        <f t="shared" si="46"/>
        <v>#REF!</v>
      </c>
      <c r="AK75" s="70" t="e">
        <f t="shared" si="46"/>
        <v>#REF!</v>
      </c>
      <c r="AL75" s="70" t="e">
        <f t="shared" si="46"/>
        <v>#REF!</v>
      </c>
      <c r="AM75" s="70" t="e">
        <f t="shared" si="46"/>
        <v>#REF!</v>
      </c>
      <c r="AN75" s="70" t="e">
        <f t="shared" si="46"/>
        <v>#REF!</v>
      </c>
      <c r="AO75" s="70" t="e">
        <f t="shared" si="46"/>
        <v>#REF!</v>
      </c>
      <c r="AP75" s="70"/>
      <c r="AQ75" s="70"/>
      <c r="AR75" s="70" t="e">
        <f t="shared" ref="AR75:BA75" si="47">AR16+AR17+AR21+AR24</f>
        <v>#REF!</v>
      </c>
      <c r="AS75" s="70" t="e">
        <f t="shared" si="47"/>
        <v>#REF!</v>
      </c>
      <c r="AT75" s="70" t="e">
        <f t="shared" si="47"/>
        <v>#REF!</v>
      </c>
      <c r="AU75" s="70" t="e">
        <f t="shared" si="47"/>
        <v>#REF!</v>
      </c>
      <c r="AV75" s="70" t="e">
        <f t="shared" si="47"/>
        <v>#REF!</v>
      </c>
      <c r="AW75" s="70" t="e">
        <f t="shared" si="47"/>
        <v>#REF!</v>
      </c>
      <c r="AX75" s="70" t="e">
        <f t="shared" si="47"/>
        <v>#REF!</v>
      </c>
      <c r="AY75" s="70" t="e">
        <f t="shared" si="47"/>
        <v>#REF!</v>
      </c>
      <c r="AZ75" s="70" t="e">
        <f t="shared" si="47"/>
        <v>#REF!</v>
      </c>
      <c r="BA75" s="70" t="e">
        <f t="shared" si="47"/>
        <v>#REF!</v>
      </c>
    </row>
    <row r="76" spans="27:53" hidden="1">
      <c r="AA76" s="71" t="s">
        <v>41</v>
      </c>
      <c r="AB76" s="35"/>
      <c r="AF76" s="70" t="e">
        <f t="shared" ref="AF76:AO76" si="48">AF27+AF28+AF32+AF35</f>
        <v>#REF!</v>
      </c>
      <c r="AG76" s="70" t="e">
        <f t="shared" si="48"/>
        <v>#REF!</v>
      </c>
      <c r="AH76" s="70" t="e">
        <f t="shared" si="48"/>
        <v>#REF!</v>
      </c>
      <c r="AI76" s="70" t="e">
        <f t="shared" si="48"/>
        <v>#REF!</v>
      </c>
      <c r="AJ76" s="70" t="e">
        <f t="shared" si="48"/>
        <v>#REF!</v>
      </c>
      <c r="AK76" s="70" t="e">
        <f t="shared" si="48"/>
        <v>#REF!</v>
      </c>
      <c r="AL76" s="70" t="e">
        <f t="shared" si="48"/>
        <v>#REF!</v>
      </c>
      <c r="AM76" s="70" t="e">
        <f t="shared" si="48"/>
        <v>#REF!</v>
      </c>
      <c r="AN76" s="70" t="e">
        <f t="shared" si="48"/>
        <v>#REF!</v>
      </c>
      <c r="AO76" s="70" t="e">
        <f t="shared" si="48"/>
        <v>#REF!</v>
      </c>
      <c r="AP76" s="70"/>
      <c r="AQ76" s="70"/>
      <c r="AR76" s="70" t="e">
        <f t="shared" ref="AR76:BA76" si="49">AR27+AR28+AR32+AR35</f>
        <v>#REF!</v>
      </c>
      <c r="AS76" s="70" t="e">
        <f t="shared" si="49"/>
        <v>#REF!</v>
      </c>
      <c r="AT76" s="70" t="e">
        <f t="shared" si="49"/>
        <v>#REF!</v>
      </c>
      <c r="AU76" s="70" t="e">
        <f t="shared" si="49"/>
        <v>#REF!</v>
      </c>
      <c r="AV76" s="70" t="e">
        <f t="shared" si="49"/>
        <v>#REF!</v>
      </c>
      <c r="AW76" s="70" t="e">
        <f t="shared" si="49"/>
        <v>#REF!</v>
      </c>
      <c r="AX76" s="70" t="e">
        <f t="shared" si="49"/>
        <v>#REF!</v>
      </c>
      <c r="AY76" s="70" t="e">
        <f t="shared" si="49"/>
        <v>#REF!</v>
      </c>
      <c r="AZ76" s="70" t="e">
        <f t="shared" si="49"/>
        <v>#REF!</v>
      </c>
      <c r="BA76" s="70" t="e">
        <f t="shared" si="49"/>
        <v>#REF!</v>
      </c>
    </row>
    <row r="77" spans="27:53" hidden="1">
      <c r="AA77" s="71" t="s">
        <v>42</v>
      </c>
      <c r="AB77" s="35"/>
      <c r="AF77" s="70" t="e">
        <f t="shared" ref="AF77:AO77" si="50">AF38+AF39+AF43+AF46</f>
        <v>#REF!</v>
      </c>
      <c r="AG77" s="70" t="e">
        <f t="shared" si="50"/>
        <v>#REF!</v>
      </c>
      <c r="AH77" s="70" t="e">
        <f t="shared" si="50"/>
        <v>#REF!</v>
      </c>
      <c r="AI77" s="70" t="e">
        <f t="shared" si="50"/>
        <v>#REF!</v>
      </c>
      <c r="AJ77" s="70" t="e">
        <f t="shared" si="50"/>
        <v>#REF!</v>
      </c>
      <c r="AK77" s="70" t="e">
        <f t="shared" si="50"/>
        <v>#REF!</v>
      </c>
      <c r="AL77" s="70" t="e">
        <f t="shared" si="50"/>
        <v>#REF!</v>
      </c>
      <c r="AM77" s="70" t="e">
        <f t="shared" si="50"/>
        <v>#REF!</v>
      </c>
      <c r="AN77" s="70" t="e">
        <f t="shared" si="50"/>
        <v>#REF!</v>
      </c>
      <c r="AO77" s="70" t="e">
        <f t="shared" si="50"/>
        <v>#REF!</v>
      </c>
      <c r="AP77" s="70"/>
      <c r="AQ77" s="70"/>
      <c r="AR77" s="70" t="e">
        <f t="shared" ref="AR77:BA77" si="51">AR38+AR39+AR43+AR46</f>
        <v>#REF!</v>
      </c>
      <c r="AS77" s="70" t="e">
        <f t="shared" si="51"/>
        <v>#REF!</v>
      </c>
      <c r="AT77" s="70" t="e">
        <f t="shared" si="51"/>
        <v>#REF!</v>
      </c>
      <c r="AU77" s="70" t="e">
        <f t="shared" si="51"/>
        <v>#REF!</v>
      </c>
      <c r="AV77" s="70" t="e">
        <f t="shared" si="51"/>
        <v>#REF!</v>
      </c>
      <c r="AW77" s="70" t="e">
        <f t="shared" si="51"/>
        <v>#REF!</v>
      </c>
      <c r="AX77" s="70" t="e">
        <f t="shared" si="51"/>
        <v>#REF!</v>
      </c>
      <c r="AY77" s="70" t="e">
        <f t="shared" si="51"/>
        <v>#REF!</v>
      </c>
      <c r="AZ77" s="70" t="e">
        <f t="shared" si="51"/>
        <v>#REF!</v>
      </c>
      <c r="BA77" s="70" t="e">
        <f t="shared" si="51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67" t="s">
        <v>55</v>
      </c>
      <c r="G89" s="567" t="s">
        <v>73</v>
      </c>
      <c r="H89" s="567" t="s">
        <v>74</v>
      </c>
      <c r="I89" s="567" t="s">
        <v>58</v>
      </c>
      <c r="J89" s="567" t="s">
        <v>59</v>
      </c>
      <c r="K89" s="567" t="s">
        <v>60</v>
      </c>
      <c r="L89" s="566" t="s">
        <v>75</v>
      </c>
      <c r="M89" s="566" t="s">
        <v>76</v>
      </c>
      <c r="N89" s="566" t="s">
        <v>61</v>
      </c>
      <c r="O89" s="566" t="s">
        <v>62</v>
      </c>
      <c r="P89" s="566" t="s">
        <v>63</v>
      </c>
      <c r="AN89" s="38"/>
      <c r="AZ89" s="36"/>
    </row>
    <row r="90" spans="1:52" ht="25.5">
      <c r="A90" s="44" t="str">
        <f>A4</f>
        <v>General Construction</v>
      </c>
      <c r="B90" s="45" t="str">
        <f>B4</f>
        <v>Light-Duty Truck, catalyst</v>
      </c>
      <c r="C90" s="46">
        <f>C4</f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2" si="52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ref="A91:C92" si="53">A5</f>
        <v>Site and Access Road Grading</v>
      </c>
      <c r="B91" s="45" t="str">
        <f t="shared" si="53"/>
        <v>Light-Duty Truck, catalyst</v>
      </c>
      <c r="C91" s="46">
        <f t="shared" si="53"/>
        <v>20</v>
      </c>
      <c r="D91" s="46">
        <v>35</v>
      </c>
      <c r="E91" s="46">
        <v>80</v>
      </c>
      <c r="F91" s="50">
        <f>C5*($E5*$F5+($G5))/453.59</f>
        <v>9.7143877176184024</v>
      </c>
      <c r="G91" s="50">
        <f>C5*($E5*$H5+($I5))/453.59</f>
        <v>0.87341314588756025</v>
      </c>
      <c r="H91" s="50">
        <f>C5*(($E5*$J5)+($K5)+($L5)+($E5*$N5)+(($M5+$O5)))/453.59</f>
        <v>1.0099996064790666</v>
      </c>
      <c r="I91" s="50">
        <f>C5*($E5*$P5+($Q5))/453.59</f>
        <v>1.453594054321232E-2</v>
      </c>
      <c r="J91" s="50">
        <f>C5*(($E5*($R5+$T5+$U5))+($S5))/453.59</f>
        <v>0.17048180910415792</v>
      </c>
      <c r="K91" s="50">
        <f>$C5*(($E5*($V5+$X5+$Y5))+($W5))/453.59</f>
        <v>7.4240106485062823E-2</v>
      </c>
      <c r="L91" s="50">
        <f>$B$23*C5*(E5+6)</f>
        <v>0.16877165172143796</v>
      </c>
      <c r="M91" s="50">
        <f t="shared" si="52"/>
        <v>6.9196377205789555E-2</v>
      </c>
      <c r="N91" s="50">
        <f>C5*($E5*$Z5+($AA5))/453.59</f>
        <v>1108.4715345207778</v>
      </c>
      <c r="O91" s="50">
        <f>C5*($E5*$AB5+($AC5))/453.59</f>
        <v>6.3409507780604987E-2</v>
      </c>
      <c r="P91" s="50">
        <f>C5*($E5*$AD5+($AE5))/453.59</f>
        <v>0.11542239827686719</v>
      </c>
      <c r="AN91" s="38"/>
      <c r="AZ91" s="36"/>
    </row>
    <row r="92" spans="1:52" ht="25.5">
      <c r="A92" s="44" t="str">
        <f t="shared" si="53"/>
        <v>Retaining Walls</v>
      </c>
      <c r="B92" s="45" t="str">
        <f t="shared" si="53"/>
        <v>Light-Duty Truck, catalyst</v>
      </c>
      <c r="C92" s="46">
        <f t="shared" si="53"/>
        <v>12</v>
      </c>
      <c r="D92" s="46">
        <v>35</v>
      </c>
      <c r="E92" s="46">
        <v>80</v>
      </c>
      <c r="F92" s="50">
        <f>C6*($E6*$F6+($G6))/453.59</f>
        <v>5.8286326305710405</v>
      </c>
      <c r="G92" s="50">
        <f>C6*($E6*$H6+($I6))/453.59</f>
        <v>0.52404788753253606</v>
      </c>
      <c r="H92" s="50">
        <f>C6*(($E6*$J6)+($K6)+($L6)+($E6*$N6)+(($M6+$O6)))/453.59</f>
        <v>0.60599976388743992</v>
      </c>
      <c r="I92" s="50">
        <f>C6*($E6*$P6+($Q6))/453.59</f>
        <v>8.7215643259273903E-3</v>
      </c>
      <c r="J92" s="50">
        <f>C6*(($E6*($R6+$T6+$U6))+($S6))/453.59</f>
        <v>0.10228908546249475</v>
      </c>
      <c r="K92" s="50">
        <f>$C6*(($E6*($V6+$X6+$Y6))+($W6))/453.59</f>
        <v>4.4544063891037704E-2</v>
      </c>
      <c r="L92" s="50">
        <f>$B$23*C6*(E6+6)</f>
        <v>0.10126299103286279</v>
      </c>
      <c r="M92" s="50">
        <f t="shared" si="52"/>
        <v>4.1517826323473742E-2</v>
      </c>
      <c r="N92" s="50">
        <f>C6*($E6*$Z6+($AA6))/453.59</f>
        <v>665.08292071246683</v>
      </c>
      <c r="O92" s="50">
        <f>C6*($E6*$AB6+($AC6))/453.59</f>
        <v>3.804570466836299E-2</v>
      </c>
      <c r="P92" s="50">
        <f>C6*($E6*$AD6+($AE6))/453.59</f>
        <v>6.9253438966120323E-2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 t="shared" ref="F93:P93" si="54">SUM(F90:F92)</f>
        <v>17.000178505832203</v>
      </c>
      <c r="G93" s="81">
        <f t="shared" si="54"/>
        <v>1.5284730053032303</v>
      </c>
      <c r="H93" s="81">
        <f t="shared" si="54"/>
        <v>1.7674993113383666</v>
      </c>
      <c r="I93" s="81">
        <f t="shared" si="54"/>
        <v>2.5437895950621556E-2</v>
      </c>
      <c r="J93" s="81">
        <f t="shared" si="54"/>
        <v>0.29834316593227633</v>
      </c>
      <c r="K93" s="81">
        <f t="shared" si="54"/>
        <v>0.12992018634885996</v>
      </c>
      <c r="L93" s="81">
        <f t="shared" si="54"/>
        <v>0.29535039051251644</v>
      </c>
      <c r="M93" s="81">
        <f t="shared" si="54"/>
        <v>0.12109366011013173</v>
      </c>
      <c r="N93" s="81">
        <f t="shared" si="54"/>
        <v>1939.8251854113614</v>
      </c>
      <c r="O93" s="81">
        <f t="shared" si="54"/>
        <v>0.11096663861605872</v>
      </c>
      <c r="P93" s="81">
        <f t="shared" si="54"/>
        <v>0.20198919698451759</v>
      </c>
      <c r="AN93" s="38"/>
      <c r="AZ93" s="36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698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67" ht="25.5">
      <c r="A5" s="44" t="s">
        <v>335</v>
      </c>
      <c r="B5" s="45" t="s">
        <v>102</v>
      </c>
      <c r="C5" s="46">
        <v>1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319</v>
      </c>
      <c r="B6" s="45" t="s">
        <v>102</v>
      </c>
      <c r="C6" s="46">
        <v>2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idden="1">
      <c r="A10" s="55" t="s">
        <v>78</v>
      </c>
      <c r="B10" s="37"/>
      <c r="C10" s="37"/>
      <c r="AA10" s="57"/>
      <c r="AB10" s="57"/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54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/>
      <c r="B14" s="37"/>
      <c r="C14" s="37"/>
      <c r="AQ14" s="38"/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F15" s="36" t="e">
        <f t="shared" ref="AF15:AF23" si="2">AF$10*$AC16</f>
        <v>#REF!</v>
      </c>
      <c r="AG15" s="36" t="e">
        <f t="shared" ref="AG15:AG23" si="3">AG$10*$AC16</f>
        <v>#REF!</v>
      </c>
      <c r="AH15" s="36" t="e">
        <f t="shared" ref="AH15:AH23" si="4">AH$10*$AC16</f>
        <v>#REF!</v>
      </c>
      <c r="AI15" s="36" t="e">
        <f t="shared" ref="AI15:AI23" si="5">AI$10*$AC16</f>
        <v>#REF!</v>
      </c>
      <c r="AJ15" s="36" t="e">
        <f t="shared" ref="AJ15:AJ23" si="6">AJ$10*$AC16</f>
        <v>#REF!</v>
      </c>
      <c r="AK15" s="36" t="e">
        <f t="shared" ref="AK15:AK23" si="7">AK$10*$AC16</f>
        <v>#REF!</v>
      </c>
      <c r="AL15" s="36" t="e">
        <f t="shared" ref="AL15:AL23" si="8">AL$10*$AC16</f>
        <v>#REF!</v>
      </c>
      <c r="AM15" s="36" t="e">
        <f t="shared" ref="AM15:AM23" si="9">AM$10*$AC16</f>
        <v>#REF!</v>
      </c>
      <c r="AN15" s="36" t="e">
        <f t="shared" ref="AN15:AN23" si="10">AN$10*$AC16</f>
        <v>#REF!</v>
      </c>
      <c r="AO15" s="36" t="e">
        <f t="shared" ref="AO15:AO23" si="11">AO$10*$AC16</f>
        <v>#REF!</v>
      </c>
      <c r="AQ15" s="38"/>
      <c r="AR15" s="36" t="e">
        <f t="shared" ref="AR15:AR23" si="12">AR$10*$AC16</f>
        <v>#REF!</v>
      </c>
      <c r="AS15" s="36" t="e">
        <f t="shared" ref="AS15:AS23" si="13">AS$10*$AC16</f>
        <v>#REF!</v>
      </c>
      <c r="AT15" s="36" t="e">
        <f t="shared" ref="AT15:AT23" si="14">AT$10*$AC16</f>
        <v>#REF!</v>
      </c>
      <c r="AU15" s="36" t="e">
        <f t="shared" ref="AU15:AU23" si="15">AU$10*$AC16</f>
        <v>#REF!</v>
      </c>
      <c r="AV15" s="36" t="e">
        <f t="shared" ref="AV15:AV23" si="16">AV$10*$AC16</f>
        <v>#REF!</v>
      </c>
      <c r="AW15" s="36" t="e">
        <f t="shared" ref="AW15:AW23" si="17">AW$10*$AC16</f>
        <v>#REF!</v>
      </c>
      <c r="AX15" s="36" t="e">
        <f t="shared" ref="AX15:AX23" si="18">AX$10*$AC16</f>
        <v>#REF!</v>
      </c>
      <c r="AY15" s="36" t="e">
        <f t="shared" ref="AY15:AY23" si="19">AY$10*$AC16</f>
        <v>#REF!</v>
      </c>
      <c r="AZ15" s="36" t="e">
        <f t="shared" ref="AZ15:AZ23" si="20">AZ$10*$AC16</f>
        <v>#REF!</v>
      </c>
      <c r="BA15" s="36" t="e">
        <f t="shared" ref="BA15:BA23" si="21">BA$10*$AC16</f>
        <v>#REF!</v>
      </c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 t="shared" si="2"/>
        <v>#REF!</v>
      </c>
      <c r="AG16" s="36" t="e">
        <f t="shared" si="3"/>
        <v>#REF!</v>
      </c>
      <c r="AH16" s="36" t="e">
        <f t="shared" si="4"/>
        <v>#REF!</v>
      </c>
      <c r="AI16" s="36" t="e">
        <f t="shared" si="5"/>
        <v>#REF!</v>
      </c>
      <c r="AJ16" s="36" t="e">
        <f t="shared" si="6"/>
        <v>#REF!</v>
      </c>
      <c r="AK16" s="36" t="e">
        <f t="shared" si="7"/>
        <v>#REF!</v>
      </c>
      <c r="AL16" s="36" t="e">
        <f t="shared" si="8"/>
        <v>#REF!</v>
      </c>
      <c r="AM16" s="36" t="e">
        <f t="shared" si="9"/>
        <v>#REF!</v>
      </c>
      <c r="AN16" s="36" t="e">
        <f t="shared" si="10"/>
        <v>#REF!</v>
      </c>
      <c r="AO16" s="36" t="e">
        <f t="shared" si="11"/>
        <v>#REF!</v>
      </c>
      <c r="AQ16" s="38"/>
      <c r="AR16" s="36" t="e">
        <f t="shared" si="12"/>
        <v>#REF!</v>
      </c>
      <c r="AS16" s="36" t="e">
        <f t="shared" si="13"/>
        <v>#REF!</v>
      </c>
      <c r="AT16" s="36" t="e">
        <f t="shared" si="14"/>
        <v>#REF!</v>
      </c>
      <c r="AU16" s="36" t="e">
        <f t="shared" si="15"/>
        <v>#REF!</v>
      </c>
      <c r="AV16" s="36" t="e">
        <f t="shared" si="16"/>
        <v>#REF!</v>
      </c>
      <c r="AW16" s="36" t="e">
        <f t="shared" si="17"/>
        <v>#REF!</v>
      </c>
      <c r="AX16" s="36" t="e">
        <f t="shared" si="18"/>
        <v>#REF!</v>
      </c>
      <c r="AY16" s="36" t="e">
        <f t="shared" si="19"/>
        <v>#REF!</v>
      </c>
      <c r="AZ16" s="36" t="e">
        <f t="shared" si="20"/>
        <v>#REF!</v>
      </c>
      <c r="BA16" s="36" t="e">
        <f t="shared" si="21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si="2"/>
        <v>#REF!</v>
      </c>
      <c r="AG17" s="36" t="e">
        <f t="shared" si="3"/>
        <v>#REF!</v>
      </c>
      <c r="AH17" s="36" t="e">
        <f t="shared" si="4"/>
        <v>#REF!</v>
      </c>
      <c r="AI17" s="36" t="e">
        <f t="shared" si="5"/>
        <v>#REF!</v>
      </c>
      <c r="AJ17" s="36" t="e">
        <f t="shared" si="6"/>
        <v>#REF!</v>
      </c>
      <c r="AK17" s="36" t="e">
        <f t="shared" si="7"/>
        <v>#REF!</v>
      </c>
      <c r="AL17" s="36" t="e">
        <f t="shared" si="8"/>
        <v>#REF!</v>
      </c>
      <c r="AM17" s="36" t="e">
        <f t="shared" si="9"/>
        <v>#REF!</v>
      </c>
      <c r="AN17" s="36" t="e">
        <f t="shared" si="10"/>
        <v>#REF!</v>
      </c>
      <c r="AO17" s="36" t="e">
        <f t="shared" si="11"/>
        <v>#REF!</v>
      </c>
      <c r="AQ17" s="38"/>
      <c r="AR17" s="36" t="e">
        <f t="shared" si="12"/>
        <v>#REF!</v>
      </c>
      <c r="AS17" s="36" t="e">
        <f t="shared" si="13"/>
        <v>#REF!</v>
      </c>
      <c r="AT17" s="36" t="e">
        <f t="shared" si="14"/>
        <v>#REF!</v>
      </c>
      <c r="AU17" s="36" t="e">
        <f t="shared" si="15"/>
        <v>#REF!</v>
      </c>
      <c r="AV17" s="36" t="e">
        <f t="shared" si="16"/>
        <v>#REF!</v>
      </c>
      <c r="AW17" s="36" t="e">
        <f t="shared" si="17"/>
        <v>#REF!</v>
      </c>
      <c r="AX17" s="36" t="e">
        <f t="shared" si="18"/>
        <v>#REF!</v>
      </c>
      <c r="AY17" s="36" t="e">
        <f t="shared" si="19"/>
        <v>#REF!</v>
      </c>
      <c r="AZ17" s="36" t="e">
        <f t="shared" si="20"/>
        <v>#REF!</v>
      </c>
      <c r="BA17" s="36" t="e">
        <f t="shared" si="21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2"/>
        <v>#REF!</v>
      </c>
      <c r="AG18" s="36" t="e">
        <f t="shared" si="3"/>
        <v>#REF!</v>
      </c>
      <c r="AH18" s="36" t="e">
        <f t="shared" si="4"/>
        <v>#REF!</v>
      </c>
      <c r="AI18" s="36" t="e">
        <f t="shared" si="5"/>
        <v>#REF!</v>
      </c>
      <c r="AJ18" s="36" t="e">
        <f t="shared" si="6"/>
        <v>#REF!</v>
      </c>
      <c r="AK18" s="36" t="e">
        <f t="shared" si="7"/>
        <v>#REF!</v>
      </c>
      <c r="AL18" s="36" t="e">
        <f t="shared" si="8"/>
        <v>#REF!</v>
      </c>
      <c r="AM18" s="36" t="e">
        <f t="shared" si="9"/>
        <v>#REF!</v>
      </c>
      <c r="AN18" s="36" t="e">
        <f t="shared" si="10"/>
        <v>#REF!</v>
      </c>
      <c r="AO18" s="36" t="e">
        <f t="shared" si="11"/>
        <v>#REF!</v>
      </c>
      <c r="AQ18" s="38"/>
      <c r="AR18" s="36" t="e">
        <f t="shared" si="12"/>
        <v>#REF!</v>
      </c>
      <c r="AS18" s="36" t="e">
        <f t="shared" si="13"/>
        <v>#REF!</v>
      </c>
      <c r="AT18" s="36" t="e">
        <f t="shared" si="14"/>
        <v>#REF!</v>
      </c>
      <c r="AU18" s="36" t="e">
        <f t="shared" si="15"/>
        <v>#REF!</v>
      </c>
      <c r="AV18" s="36" t="e">
        <f t="shared" si="16"/>
        <v>#REF!</v>
      </c>
      <c r="AW18" s="36" t="e">
        <f t="shared" si="17"/>
        <v>#REF!</v>
      </c>
      <c r="AX18" s="36" t="e">
        <f t="shared" si="18"/>
        <v>#REF!</v>
      </c>
      <c r="AY18" s="36" t="e">
        <f t="shared" si="19"/>
        <v>#REF!</v>
      </c>
      <c r="AZ18" s="36" t="e">
        <f t="shared" si="20"/>
        <v>#REF!</v>
      </c>
      <c r="BA18" s="36" t="e">
        <f t="shared" si="21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2"/>
        <v>#REF!</v>
      </c>
      <c r="AG19" s="36" t="e">
        <f t="shared" si="3"/>
        <v>#REF!</v>
      </c>
      <c r="AH19" s="36" t="e">
        <f t="shared" si="4"/>
        <v>#REF!</v>
      </c>
      <c r="AI19" s="36" t="e">
        <f t="shared" si="5"/>
        <v>#REF!</v>
      </c>
      <c r="AJ19" s="36" t="e">
        <f t="shared" si="6"/>
        <v>#REF!</v>
      </c>
      <c r="AK19" s="36" t="e">
        <f t="shared" si="7"/>
        <v>#REF!</v>
      </c>
      <c r="AL19" s="36" t="e">
        <f t="shared" si="8"/>
        <v>#REF!</v>
      </c>
      <c r="AM19" s="36" t="e">
        <f t="shared" si="9"/>
        <v>#REF!</v>
      </c>
      <c r="AN19" s="36" t="e">
        <f t="shared" si="10"/>
        <v>#REF!</v>
      </c>
      <c r="AO19" s="36" t="e">
        <f t="shared" si="11"/>
        <v>#REF!</v>
      </c>
      <c r="AQ19" s="38"/>
      <c r="AR19" s="36" t="e">
        <f t="shared" si="12"/>
        <v>#REF!</v>
      </c>
      <c r="AS19" s="36" t="e">
        <f t="shared" si="13"/>
        <v>#REF!</v>
      </c>
      <c r="AT19" s="36" t="e">
        <f t="shared" si="14"/>
        <v>#REF!</v>
      </c>
      <c r="AU19" s="36" t="e">
        <f t="shared" si="15"/>
        <v>#REF!</v>
      </c>
      <c r="AV19" s="36" t="e">
        <f t="shared" si="16"/>
        <v>#REF!</v>
      </c>
      <c r="AW19" s="36" t="e">
        <f t="shared" si="17"/>
        <v>#REF!</v>
      </c>
      <c r="AX19" s="36" t="e">
        <f t="shared" si="18"/>
        <v>#REF!</v>
      </c>
      <c r="AY19" s="36" t="e">
        <f t="shared" si="19"/>
        <v>#REF!</v>
      </c>
      <c r="AZ19" s="36" t="e">
        <f t="shared" si="20"/>
        <v>#REF!</v>
      </c>
      <c r="BA19" s="36" t="e">
        <f t="shared" si="21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2"/>
        <v>#REF!</v>
      </c>
      <c r="AG20" s="36" t="e">
        <f t="shared" si="3"/>
        <v>#REF!</v>
      </c>
      <c r="AH20" s="36" t="e">
        <f t="shared" si="4"/>
        <v>#REF!</v>
      </c>
      <c r="AI20" s="36" t="e">
        <f t="shared" si="5"/>
        <v>#REF!</v>
      </c>
      <c r="AJ20" s="36" t="e">
        <f t="shared" si="6"/>
        <v>#REF!</v>
      </c>
      <c r="AK20" s="36" t="e">
        <f t="shared" si="7"/>
        <v>#REF!</v>
      </c>
      <c r="AL20" s="36" t="e">
        <f t="shared" si="8"/>
        <v>#REF!</v>
      </c>
      <c r="AM20" s="36" t="e">
        <f t="shared" si="9"/>
        <v>#REF!</v>
      </c>
      <c r="AN20" s="36" t="e">
        <f t="shared" si="10"/>
        <v>#REF!</v>
      </c>
      <c r="AO20" s="36" t="e">
        <f t="shared" si="11"/>
        <v>#REF!</v>
      </c>
      <c r="AQ20" s="38"/>
      <c r="AR20" s="36" t="e">
        <f t="shared" si="12"/>
        <v>#REF!</v>
      </c>
      <c r="AS20" s="36" t="e">
        <f t="shared" si="13"/>
        <v>#REF!</v>
      </c>
      <c r="AT20" s="36" t="e">
        <f t="shared" si="14"/>
        <v>#REF!</v>
      </c>
      <c r="AU20" s="36" t="e">
        <f t="shared" si="15"/>
        <v>#REF!</v>
      </c>
      <c r="AV20" s="36" t="e">
        <f t="shared" si="16"/>
        <v>#REF!</v>
      </c>
      <c r="AW20" s="36" t="e">
        <f t="shared" si="17"/>
        <v>#REF!</v>
      </c>
      <c r="AX20" s="36" t="e">
        <f t="shared" si="18"/>
        <v>#REF!</v>
      </c>
      <c r="AY20" s="36" t="e">
        <f t="shared" si="19"/>
        <v>#REF!</v>
      </c>
      <c r="AZ20" s="36" t="e">
        <f t="shared" si="20"/>
        <v>#REF!</v>
      </c>
      <c r="BA20" s="36" t="e">
        <f t="shared" si="21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2"/>
        <v>#REF!</v>
      </c>
      <c r="AG21" s="36" t="e">
        <f t="shared" si="3"/>
        <v>#REF!</v>
      </c>
      <c r="AH21" s="36" t="e">
        <f t="shared" si="4"/>
        <v>#REF!</v>
      </c>
      <c r="AI21" s="36" t="e">
        <f t="shared" si="5"/>
        <v>#REF!</v>
      </c>
      <c r="AJ21" s="36" t="e">
        <f t="shared" si="6"/>
        <v>#REF!</v>
      </c>
      <c r="AK21" s="36" t="e">
        <f t="shared" si="7"/>
        <v>#REF!</v>
      </c>
      <c r="AL21" s="36" t="e">
        <f t="shared" si="8"/>
        <v>#REF!</v>
      </c>
      <c r="AM21" s="36" t="e">
        <f t="shared" si="9"/>
        <v>#REF!</v>
      </c>
      <c r="AN21" s="36" t="e">
        <f t="shared" si="10"/>
        <v>#REF!</v>
      </c>
      <c r="AO21" s="36" t="e">
        <f t="shared" si="11"/>
        <v>#REF!</v>
      </c>
      <c r="AQ21" s="38"/>
      <c r="AR21" s="36" t="e">
        <f t="shared" si="12"/>
        <v>#REF!</v>
      </c>
      <c r="AS21" s="36" t="e">
        <f t="shared" si="13"/>
        <v>#REF!</v>
      </c>
      <c r="AT21" s="36" t="e">
        <f t="shared" si="14"/>
        <v>#REF!</v>
      </c>
      <c r="AU21" s="36" t="e">
        <f t="shared" si="15"/>
        <v>#REF!</v>
      </c>
      <c r="AV21" s="36" t="e">
        <f t="shared" si="16"/>
        <v>#REF!</v>
      </c>
      <c r="AW21" s="36" t="e">
        <f t="shared" si="17"/>
        <v>#REF!</v>
      </c>
      <c r="AX21" s="36" t="e">
        <f t="shared" si="18"/>
        <v>#REF!</v>
      </c>
      <c r="AY21" s="36" t="e">
        <f t="shared" si="19"/>
        <v>#REF!</v>
      </c>
      <c r="AZ21" s="36" t="e">
        <f t="shared" si="20"/>
        <v>#REF!</v>
      </c>
      <c r="BA21" s="36" t="e">
        <f t="shared" si="21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2"/>
        <v>#REF!</v>
      </c>
      <c r="AG22" s="36" t="e">
        <f t="shared" si="3"/>
        <v>#REF!</v>
      </c>
      <c r="AH22" s="36" t="e">
        <f t="shared" si="4"/>
        <v>#REF!</v>
      </c>
      <c r="AI22" s="36" t="e">
        <f t="shared" si="5"/>
        <v>#REF!</v>
      </c>
      <c r="AJ22" s="36" t="e">
        <f t="shared" si="6"/>
        <v>#REF!</v>
      </c>
      <c r="AK22" s="36" t="e">
        <f t="shared" si="7"/>
        <v>#REF!</v>
      </c>
      <c r="AL22" s="36" t="e">
        <f t="shared" si="8"/>
        <v>#REF!</v>
      </c>
      <c r="AM22" s="36" t="e">
        <f t="shared" si="9"/>
        <v>#REF!</v>
      </c>
      <c r="AN22" s="36" t="e">
        <f t="shared" si="10"/>
        <v>#REF!</v>
      </c>
      <c r="AO22" s="36" t="e">
        <f t="shared" si="11"/>
        <v>#REF!</v>
      </c>
      <c r="AQ22" s="38"/>
      <c r="AR22" s="36" t="e">
        <f t="shared" si="12"/>
        <v>#REF!</v>
      </c>
      <c r="AS22" s="36" t="e">
        <f t="shared" si="13"/>
        <v>#REF!</v>
      </c>
      <c r="AT22" s="36" t="e">
        <f t="shared" si="14"/>
        <v>#REF!</v>
      </c>
      <c r="AU22" s="36" t="e">
        <f t="shared" si="15"/>
        <v>#REF!</v>
      </c>
      <c r="AV22" s="36" t="e">
        <f t="shared" si="16"/>
        <v>#REF!</v>
      </c>
      <c r="AW22" s="36" t="e">
        <f t="shared" si="17"/>
        <v>#REF!</v>
      </c>
      <c r="AX22" s="36" t="e">
        <f t="shared" si="18"/>
        <v>#REF!</v>
      </c>
      <c r="AY22" s="36" t="e">
        <f t="shared" si="19"/>
        <v>#REF!</v>
      </c>
      <c r="AZ22" s="36" t="e">
        <f t="shared" si="20"/>
        <v>#REF!</v>
      </c>
      <c r="BA22" s="36" t="e">
        <f t="shared" si="21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2"/>
        <v>#REF!</v>
      </c>
      <c r="AG23" s="36" t="e">
        <f t="shared" si="3"/>
        <v>#REF!</v>
      </c>
      <c r="AH23" s="36" t="e">
        <f t="shared" si="4"/>
        <v>#REF!</v>
      </c>
      <c r="AI23" s="36" t="e">
        <f t="shared" si="5"/>
        <v>#REF!</v>
      </c>
      <c r="AJ23" s="36" t="e">
        <f t="shared" si="6"/>
        <v>#REF!</v>
      </c>
      <c r="AK23" s="36" t="e">
        <f t="shared" si="7"/>
        <v>#REF!</v>
      </c>
      <c r="AL23" s="36" t="e">
        <f t="shared" si="8"/>
        <v>#REF!</v>
      </c>
      <c r="AM23" s="36" t="e">
        <f t="shared" si="9"/>
        <v>#REF!</v>
      </c>
      <c r="AN23" s="36" t="e">
        <f t="shared" si="10"/>
        <v>#REF!</v>
      </c>
      <c r="AO23" s="36" t="e">
        <f t="shared" si="11"/>
        <v>#REF!</v>
      </c>
      <c r="AQ23" s="38"/>
      <c r="AR23" s="36" t="e">
        <f t="shared" si="12"/>
        <v>#REF!</v>
      </c>
      <c r="AS23" s="36" t="e">
        <f t="shared" si="13"/>
        <v>#REF!</v>
      </c>
      <c r="AT23" s="36" t="e">
        <f t="shared" si="14"/>
        <v>#REF!</v>
      </c>
      <c r="AU23" s="36" t="e">
        <f t="shared" si="15"/>
        <v>#REF!</v>
      </c>
      <c r="AV23" s="36" t="e">
        <f t="shared" si="16"/>
        <v>#REF!</v>
      </c>
      <c r="AW23" s="36" t="e">
        <f t="shared" si="17"/>
        <v>#REF!</v>
      </c>
      <c r="AX23" s="36" t="e">
        <f t="shared" si="18"/>
        <v>#REF!</v>
      </c>
      <c r="AY23" s="36" t="e">
        <f t="shared" si="19"/>
        <v>#REF!</v>
      </c>
      <c r="AZ23" s="36" t="e">
        <f t="shared" si="20"/>
        <v>#REF!</v>
      </c>
      <c r="BA23" s="36" t="e">
        <f t="shared" si="21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Q24" s="38"/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F26" s="36" t="e">
        <f t="shared" ref="AF26:AF34" si="22">AF$10*$AC27</f>
        <v>#REF!</v>
      </c>
      <c r="AG26" s="36" t="e">
        <f t="shared" ref="AG26:AG34" si="23">AG$10*$AC27</f>
        <v>#REF!</v>
      </c>
      <c r="AH26" s="36" t="e">
        <f t="shared" ref="AH26:AH34" si="24">AH$10*$AC27</f>
        <v>#REF!</v>
      </c>
      <c r="AI26" s="36" t="e">
        <f t="shared" ref="AI26:AI34" si="25">AI$10*$AC27</f>
        <v>#REF!</v>
      </c>
      <c r="AJ26" s="36" t="e">
        <f t="shared" ref="AJ26:AJ34" si="26">AJ$10*$AC27</f>
        <v>#REF!</v>
      </c>
      <c r="AK26" s="36" t="e">
        <f t="shared" ref="AK26:AK34" si="27">AK$10*$AC27</f>
        <v>#REF!</v>
      </c>
      <c r="AL26" s="36" t="e">
        <f t="shared" ref="AL26:AL34" si="28">AL$10*$AC27</f>
        <v>#REF!</v>
      </c>
      <c r="AM26" s="36" t="e">
        <f t="shared" ref="AM26:AM34" si="29">AM$10*$AC27</f>
        <v>#REF!</v>
      </c>
      <c r="AN26" s="36" t="e">
        <f t="shared" ref="AN26:AN34" si="30">AN$10*$AC27</f>
        <v>#REF!</v>
      </c>
      <c r="AO26" s="36" t="e">
        <f t="shared" ref="AO26:AO34" si="31">AO$10*$AC27</f>
        <v>#REF!</v>
      </c>
      <c r="AQ26" s="38"/>
      <c r="AR26" s="36" t="e">
        <f t="shared" ref="AR26:AR34" si="32">AR$10*$AC27</f>
        <v>#REF!</v>
      </c>
      <c r="AS26" s="36" t="e">
        <f t="shared" ref="AS26:AS34" si="33">AS$10*$AC27</f>
        <v>#REF!</v>
      </c>
      <c r="AT26" s="36" t="e">
        <f t="shared" ref="AT26:AT34" si="34">AT$10*$AC27</f>
        <v>#REF!</v>
      </c>
      <c r="AU26" s="36" t="e">
        <f t="shared" ref="AU26:AU34" si="35">AU$10*$AC27</f>
        <v>#REF!</v>
      </c>
      <c r="AV26" s="36" t="e">
        <f t="shared" ref="AV26:AV34" si="36">AV$10*$AC27</f>
        <v>#REF!</v>
      </c>
      <c r="AW26" s="36" t="e">
        <f t="shared" ref="AW26:AW34" si="37">AW$10*$AC27</f>
        <v>#REF!</v>
      </c>
      <c r="AX26" s="36" t="e">
        <f t="shared" ref="AX26:AX34" si="38">AX$10*$AC27</f>
        <v>#REF!</v>
      </c>
      <c r="AY26" s="36" t="e">
        <f t="shared" ref="AY26:AY34" si="39">AY$10*$AC27</f>
        <v>#REF!</v>
      </c>
      <c r="AZ26" s="36" t="e">
        <f t="shared" ref="AZ26:AZ34" si="40">AZ$10*$AC27</f>
        <v>#REF!</v>
      </c>
      <c r="BA26" s="36" t="e">
        <f t="shared" ref="BA26:BA34" si="41">BA$10*$AC27</f>
        <v>#REF!</v>
      </c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si="22"/>
        <v>#REF!</v>
      </c>
      <c r="AG27" s="36" t="e">
        <f t="shared" si="23"/>
        <v>#REF!</v>
      </c>
      <c r="AH27" s="36" t="e">
        <f t="shared" si="24"/>
        <v>#REF!</v>
      </c>
      <c r="AI27" s="36" t="e">
        <f t="shared" si="25"/>
        <v>#REF!</v>
      </c>
      <c r="AJ27" s="36" t="e">
        <f t="shared" si="26"/>
        <v>#REF!</v>
      </c>
      <c r="AK27" s="36" t="e">
        <f t="shared" si="27"/>
        <v>#REF!</v>
      </c>
      <c r="AL27" s="36" t="e">
        <f t="shared" si="28"/>
        <v>#REF!</v>
      </c>
      <c r="AM27" s="36" t="e">
        <f t="shared" si="29"/>
        <v>#REF!</v>
      </c>
      <c r="AN27" s="36" t="e">
        <f t="shared" si="30"/>
        <v>#REF!</v>
      </c>
      <c r="AO27" s="36" t="e">
        <f t="shared" si="31"/>
        <v>#REF!</v>
      </c>
      <c r="AQ27" s="38"/>
      <c r="AR27" s="36" t="e">
        <f t="shared" si="32"/>
        <v>#REF!</v>
      </c>
      <c r="AS27" s="36" t="e">
        <f t="shared" si="33"/>
        <v>#REF!</v>
      </c>
      <c r="AT27" s="36" t="e">
        <f t="shared" si="34"/>
        <v>#REF!</v>
      </c>
      <c r="AU27" s="36" t="e">
        <f t="shared" si="35"/>
        <v>#REF!</v>
      </c>
      <c r="AV27" s="36" t="e">
        <f t="shared" si="36"/>
        <v>#REF!</v>
      </c>
      <c r="AW27" s="36" t="e">
        <f t="shared" si="37"/>
        <v>#REF!</v>
      </c>
      <c r="AX27" s="36" t="e">
        <f t="shared" si="38"/>
        <v>#REF!</v>
      </c>
      <c r="AY27" s="36" t="e">
        <f t="shared" si="39"/>
        <v>#REF!</v>
      </c>
      <c r="AZ27" s="36" t="e">
        <f t="shared" si="40"/>
        <v>#REF!</v>
      </c>
      <c r="BA27" s="36" t="e">
        <f t="shared" si="41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22"/>
        <v>#REF!</v>
      </c>
      <c r="AG28" s="36" t="e">
        <f t="shared" si="23"/>
        <v>#REF!</v>
      </c>
      <c r="AH28" s="36" t="e">
        <f t="shared" si="24"/>
        <v>#REF!</v>
      </c>
      <c r="AI28" s="36" t="e">
        <f t="shared" si="25"/>
        <v>#REF!</v>
      </c>
      <c r="AJ28" s="36" t="e">
        <f t="shared" si="26"/>
        <v>#REF!</v>
      </c>
      <c r="AK28" s="36" t="e">
        <f t="shared" si="27"/>
        <v>#REF!</v>
      </c>
      <c r="AL28" s="36" t="e">
        <f t="shared" si="28"/>
        <v>#REF!</v>
      </c>
      <c r="AM28" s="36" t="e">
        <f t="shared" si="29"/>
        <v>#REF!</v>
      </c>
      <c r="AN28" s="36" t="e">
        <f t="shared" si="30"/>
        <v>#REF!</v>
      </c>
      <c r="AO28" s="36" t="e">
        <f t="shared" si="31"/>
        <v>#REF!</v>
      </c>
      <c r="AQ28" s="38"/>
      <c r="AR28" s="36" t="e">
        <f t="shared" si="32"/>
        <v>#REF!</v>
      </c>
      <c r="AS28" s="36" t="e">
        <f t="shared" si="33"/>
        <v>#REF!</v>
      </c>
      <c r="AT28" s="36" t="e">
        <f t="shared" si="34"/>
        <v>#REF!</v>
      </c>
      <c r="AU28" s="36" t="e">
        <f t="shared" si="35"/>
        <v>#REF!</v>
      </c>
      <c r="AV28" s="36" t="e">
        <f t="shared" si="36"/>
        <v>#REF!</v>
      </c>
      <c r="AW28" s="36" t="e">
        <f t="shared" si="37"/>
        <v>#REF!</v>
      </c>
      <c r="AX28" s="36" t="e">
        <f t="shared" si="38"/>
        <v>#REF!</v>
      </c>
      <c r="AY28" s="36" t="e">
        <f t="shared" si="39"/>
        <v>#REF!</v>
      </c>
      <c r="AZ28" s="36" t="e">
        <f t="shared" si="40"/>
        <v>#REF!</v>
      </c>
      <c r="BA28" s="36" t="e">
        <f t="shared" si="41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22"/>
        <v>#REF!</v>
      </c>
      <c r="AG29" s="36" t="e">
        <f t="shared" si="23"/>
        <v>#REF!</v>
      </c>
      <c r="AH29" s="36" t="e">
        <f t="shared" si="24"/>
        <v>#REF!</v>
      </c>
      <c r="AI29" s="36" t="e">
        <f t="shared" si="25"/>
        <v>#REF!</v>
      </c>
      <c r="AJ29" s="36" t="e">
        <f t="shared" si="26"/>
        <v>#REF!</v>
      </c>
      <c r="AK29" s="36" t="e">
        <f t="shared" si="27"/>
        <v>#REF!</v>
      </c>
      <c r="AL29" s="36" t="e">
        <f t="shared" si="28"/>
        <v>#REF!</v>
      </c>
      <c r="AM29" s="36" t="e">
        <f t="shared" si="29"/>
        <v>#REF!</v>
      </c>
      <c r="AN29" s="36" t="e">
        <f t="shared" si="30"/>
        <v>#REF!</v>
      </c>
      <c r="AO29" s="36" t="e">
        <f t="shared" si="31"/>
        <v>#REF!</v>
      </c>
      <c r="AQ29" s="38"/>
      <c r="AR29" s="36" t="e">
        <f t="shared" si="32"/>
        <v>#REF!</v>
      </c>
      <c r="AS29" s="36" t="e">
        <f t="shared" si="33"/>
        <v>#REF!</v>
      </c>
      <c r="AT29" s="36" t="e">
        <f t="shared" si="34"/>
        <v>#REF!</v>
      </c>
      <c r="AU29" s="36" t="e">
        <f t="shared" si="35"/>
        <v>#REF!</v>
      </c>
      <c r="AV29" s="36" t="e">
        <f t="shared" si="36"/>
        <v>#REF!</v>
      </c>
      <c r="AW29" s="36" t="e">
        <f t="shared" si="37"/>
        <v>#REF!</v>
      </c>
      <c r="AX29" s="36" t="e">
        <f t="shared" si="38"/>
        <v>#REF!</v>
      </c>
      <c r="AY29" s="36" t="e">
        <f t="shared" si="39"/>
        <v>#REF!</v>
      </c>
      <c r="AZ29" s="36" t="e">
        <f t="shared" si="40"/>
        <v>#REF!</v>
      </c>
      <c r="BA29" s="36" t="e">
        <f t="shared" si="41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22"/>
        <v>#REF!</v>
      </c>
      <c r="AG30" s="36" t="e">
        <f t="shared" si="23"/>
        <v>#REF!</v>
      </c>
      <c r="AH30" s="36" t="e">
        <f t="shared" si="24"/>
        <v>#REF!</v>
      </c>
      <c r="AI30" s="36" t="e">
        <f t="shared" si="25"/>
        <v>#REF!</v>
      </c>
      <c r="AJ30" s="36" t="e">
        <f t="shared" si="26"/>
        <v>#REF!</v>
      </c>
      <c r="AK30" s="36" t="e">
        <f t="shared" si="27"/>
        <v>#REF!</v>
      </c>
      <c r="AL30" s="36" t="e">
        <f t="shared" si="28"/>
        <v>#REF!</v>
      </c>
      <c r="AM30" s="36" t="e">
        <f t="shared" si="29"/>
        <v>#REF!</v>
      </c>
      <c r="AN30" s="36" t="e">
        <f t="shared" si="30"/>
        <v>#REF!</v>
      </c>
      <c r="AO30" s="36" t="e">
        <f t="shared" si="31"/>
        <v>#REF!</v>
      </c>
      <c r="AQ30" s="38"/>
      <c r="AR30" s="36" t="e">
        <f t="shared" si="32"/>
        <v>#REF!</v>
      </c>
      <c r="AS30" s="36" t="e">
        <f t="shared" si="33"/>
        <v>#REF!</v>
      </c>
      <c r="AT30" s="36" t="e">
        <f t="shared" si="34"/>
        <v>#REF!</v>
      </c>
      <c r="AU30" s="36" t="e">
        <f t="shared" si="35"/>
        <v>#REF!</v>
      </c>
      <c r="AV30" s="36" t="e">
        <f t="shared" si="36"/>
        <v>#REF!</v>
      </c>
      <c r="AW30" s="36" t="e">
        <f t="shared" si="37"/>
        <v>#REF!</v>
      </c>
      <c r="AX30" s="36" t="e">
        <f t="shared" si="38"/>
        <v>#REF!</v>
      </c>
      <c r="AY30" s="36" t="e">
        <f t="shared" si="39"/>
        <v>#REF!</v>
      </c>
      <c r="AZ30" s="36" t="e">
        <f t="shared" si="40"/>
        <v>#REF!</v>
      </c>
      <c r="BA30" s="36" t="e">
        <f t="shared" si="41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22"/>
        <v>#REF!</v>
      </c>
      <c r="AG31" s="36" t="e">
        <f t="shared" si="23"/>
        <v>#REF!</v>
      </c>
      <c r="AH31" s="36" t="e">
        <f t="shared" si="24"/>
        <v>#REF!</v>
      </c>
      <c r="AI31" s="36" t="e">
        <f t="shared" si="25"/>
        <v>#REF!</v>
      </c>
      <c r="AJ31" s="36" t="e">
        <f t="shared" si="26"/>
        <v>#REF!</v>
      </c>
      <c r="AK31" s="36" t="e">
        <f t="shared" si="27"/>
        <v>#REF!</v>
      </c>
      <c r="AL31" s="36" t="e">
        <f t="shared" si="28"/>
        <v>#REF!</v>
      </c>
      <c r="AM31" s="36" t="e">
        <f t="shared" si="29"/>
        <v>#REF!</v>
      </c>
      <c r="AN31" s="36" t="e">
        <f t="shared" si="30"/>
        <v>#REF!</v>
      </c>
      <c r="AO31" s="36" t="e">
        <f t="shared" si="31"/>
        <v>#REF!</v>
      </c>
      <c r="AQ31" s="38"/>
      <c r="AR31" s="36" t="e">
        <f t="shared" si="32"/>
        <v>#REF!</v>
      </c>
      <c r="AS31" s="36" t="e">
        <f t="shared" si="33"/>
        <v>#REF!</v>
      </c>
      <c r="AT31" s="36" t="e">
        <f t="shared" si="34"/>
        <v>#REF!</v>
      </c>
      <c r="AU31" s="36" t="e">
        <f t="shared" si="35"/>
        <v>#REF!</v>
      </c>
      <c r="AV31" s="36" t="e">
        <f t="shared" si="36"/>
        <v>#REF!</v>
      </c>
      <c r="AW31" s="36" t="e">
        <f t="shared" si="37"/>
        <v>#REF!</v>
      </c>
      <c r="AX31" s="36" t="e">
        <f t="shared" si="38"/>
        <v>#REF!</v>
      </c>
      <c r="AY31" s="36" t="e">
        <f t="shared" si="39"/>
        <v>#REF!</v>
      </c>
      <c r="AZ31" s="36" t="e">
        <f t="shared" si="40"/>
        <v>#REF!</v>
      </c>
      <c r="BA31" s="36" t="e">
        <f t="shared" si="41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22"/>
        <v>#REF!</v>
      </c>
      <c r="AG32" s="36" t="e">
        <f t="shared" si="23"/>
        <v>#REF!</v>
      </c>
      <c r="AH32" s="36" t="e">
        <f t="shared" si="24"/>
        <v>#REF!</v>
      </c>
      <c r="AI32" s="36" t="e">
        <f t="shared" si="25"/>
        <v>#REF!</v>
      </c>
      <c r="AJ32" s="36" t="e">
        <f t="shared" si="26"/>
        <v>#REF!</v>
      </c>
      <c r="AK32" s="36" t="e">
        <f t="shared" si="27"/>
        <v>#REF!</v>
      </c>
      <c r="AL32" s="36" t="e">
        <f t="shared" si="28"/>
        <v>#REF!</v>
      </c>
      <c r="AM32" s="36" t="e">
        <f t="shared" si="29"/>
        <v>#REF!</v>
      </c>
      <c r="AN32" s="36" t="e">
        <f t="shared" si="30"/>
        <v>#REF!</v>
      </c>
      <c r="AO32" s="36" t="e">
        <f t="shared" si="31"/>
        <v>#REF!</v>
      </c>
      <c r="AQ32" s="38"/>
      <c r="AR32" s="36" t="e">
        <f t="shared" si="32"/>
        <v>#REF!</v>
      </c>
      <c r="AS32" s="36" t="e">
        <f t="shared" si="33"/>
        <v>#REF!</v>
      </c>
      <c r="AT32" s="36" t="e">
        <f t="shared" si="34"/>
        <v>#REF!</v>
      </c>
      <c r="AU32" s="36" t="e">
        <f t="shared" si="35"/>
        <v>#REF!</v>
      </c>
      <c r="AV32" s="36" t="e">
        <f t="shared" si="36"/>
        <v>#REF!</v>
      </c>
      <c r="AW32" s="36" t="e">
        <f t="shared" si="37"/>
        <v>#REF!</v>
      </c>
      <c r="AX32" s="36" t="e">
        <f t="shared" si="38"/>
        <v>#REF!</v>
      </c>
      <c r="AY32" s="36" t="e">
        <f t="shared" si="39"/>
        <v>#REF!</v>
      </c>
      <c r="AZ32" s="36" t="e">
        <f t="shared" si="40"/>
        <v>#REF!</v>
      </c>
      <c r="BA32" s="36" t="e">
        <f t="shared" si="41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22"/>
        <v>#REF!</v>
      </c>
      <c r="AG33" s="36" t="e">
        <f t="shared" si="23"/>
        <v>#REF!</v>
      </c>
      <c r="AH33" s="36" t="e">
        <f t="shared" si="24"/>
        <v>#REF!</v>
      </c>
      <c r="AI33" s="36" t="e">
        <f t="shared" si="25"/>
        <v>#REF!</v>
      </c>
      <c r="AJ33" s="36" t="e">
        <f t="shared" si="26"/>
        <v>#REF!</v>
      </c>
      <c r="AK33" s="36" t="e">
        <f t="shared" si="27"/>
        <v>#REF!</v>
      </c>
      <c r="AL33" s="36" t="e">
        <f t="shared" si="28"/>
        <v>#REF!</v>
      </c>
      <c r="AM33" s="36" t="e">
        <f t="shared" si="29"/>
        <v>#REF!</v>
      </c>
      <c r="AN33" s="36" t="e">
        <f t="shared" si="30"/>
        <v>#REF!</v>
      </c>
      <c r="AO33" s="36" t="e">
        <f t="shared" si="31"/>
        <v>#REF!</v>
      </c>
      <c r="AQ33" s="38"/>
      <c r="AR33" s="36" t="e">
        <f t="shared" si="32"/>
        <v>#REF!</v>
      </c>
      <c r="AS33" s="36" t="e">
        <f t="shared" si="33"/>
        <v>#REF!</v>
      </c>
      <c r="AT33" s="36" t="e">
        <f t="shared" si="34"/>
        <v>#REF!</v>
      </c>
      <c r="AU33" s="36" t="e">
        <f t="shared" si="35"/>
        <v>#REF!</v>
      </c>
      <c r="AV33" s="36" t="e">
        <f t="shared" si="36"/>
        <v>#REF!</v>
      </c>
      <c r="AW33" s="36" t="e">
        <f t="shared" si="37"/>
        <v>#REF!</v>
      </c>
      <c r="AX33" s="36" t="e">
        <f t="shared" si="38"/>
        <v>#REF!</v>
      </c>
      <c r="AY33" s="36" t="e">
        <f t="shared" si="39"/>
        <v>#REF!</v>
      </c>
      <c r="AZ33" s="36" t="e">
        <f t="shared" si="40"/>
        <v>#REF!</v>
      </c>
      <c r="BA33" s="36" t="e">
        <f t="shared" si="41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22"/>
        <v>#REF!</v>
      </c>
      <c r="AG34" s="36" t="e">
        <f t="shared" si="23"/>
        <v>#REF!</v>
      </c>
      <c r="AH34" s="36" t="e">
        <f t="shared" si="24"/>
        <v>#REF!</v>
      </c>
      <c r="AI34" s="36" t="e">
        <f t="shared" si="25"/>
        <v>#REF!</v>
      </c>
      <c r="AJ34" s="36" t="e">
        <f t="shared" si="26"/>
        <v>#REF!</v>
      </c>
      <c r="AK34" s="36" t="e">
        <f t="shared" si="27"/>
        <v>#REF!</v>
      </c>
      <c r="AL34" s="36" t="e">
        <f t="shared" si="28"/>
        <v>#REF!</v>
      </c>
      <c r="AM34" s="36" t="e">
        <f t="shared" si="29"/>
        <v>#REF!</v>
      </c>
      <c r="AN34" s="36" t="e">
        <f t="shared" si="30"/>
        <v>#REF!</v>
      </c>
      <c r="AO34" s="36" t="e">
        <f t="shared" si="31"/>
        <v>#REF!</v>
      </c>
      <c r="AQ34" s="38"/>
      <c r="AR34" s="36" t="e">
        <f t="shared" si="32"/>
        <v>#REF!</v>
      </c>
      <c r="AS34" s="36" t="e">
        <f t="shared" si="33"/>
        <v>#REF!</v>
      </c>
      <c r="AT34" s="36" t="e">
        <f t="shared" si="34"/>
        <v>#REF!</v>
      </c>
      <c r="AU34" s="36" t="e">
        <f t="shared" si="35"/>
        <v>#REF!</v>
      </c>
      <c r="AV34" s="36" t="e">
        <f t="shared" si="36"/>
        <v>#REF!</v>
      </c>
      <c r="AW34" s="36" t="e">
        <f t="shared" si="37"/>
        <v>#REF!</v>
      </c>
      <c r="AX34" s="36" t="e">
        <f t="shared" si="38"/>
        <v>#REF!</v>
      </c>
      <c r="AY34" s="36" t="e">
        <f t="shared" si="39"/>
        <v>#REF!</v>
      </c>
      <c r="AZ34" s="36" t="e">
        <f t="shared" si="40"/>
        <v>#REF!</v>
      </c>
      <c r="BA34" s="36" t="e">
        <f t="shared" si="41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Q35" s="38"/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F37" s="36" t="e">
        <f t="shared" ref="AF37:AF45" si="42">AF$10*$AC38</f>
        <v>#REF!</v>
      </c>
      <c r="AG37" s="36" t="e">
        <f t="shared" ref="AG37:AG45" si="43">AG$10*$AC38</f>
        <v>#REF!</v>
      </c>
      <c r="AH37" s="36" t="e">
        <f t="shared" ref="AH37:AH45" si="44">AH$10*$AC38</f>
        <v>#REF!</v>
      </c>
      <c r="AI37" s="36" t="e">
        <f t="shared" ref="AI37:AI45" si="45">AI$10*$AC38</f>
        <v>#REF!</v>
      </c>
      <c r="AJ37" s="36" t="e">
        <f t="shared" ref="AJ37:AJ45" si="46">AJ$10*$AC38</f>
        <v>#REF!</v>
      </c>
      <c r="AK37" s="36" t="e">
        <f t="shared" ref="AK37:AK45" si="47">AK$10*$AC38</f>
        <v>#REF!</v>
      </c>
      <c r="AL37" s="36" t="e">
        <f t="shared" ref="AL37:AL45" si="48">AL$10*$AC38</f>
        <v>#REF!</v>
      </c>
      <c r="AM37" s="36" t="e">
        <f t="shared" ref="AM37:AM45" si="49">AM$10*$AC38</f>
        <v>#REF!</v>
      </c>
      <c r="AN37" s="36" t="e">
        <f t="shared" ref="AN37:AN45" si="50">AN$10*$AC38</f>
        <v>#REF!</v>
      </c>
      <c r="AO37" s="36" t="e">
        <f t="shared" ref="AO37:AO45" si="51">AO$10*$AC38</f>
        <v>#REF!</v>
      </c>
      <c r="AQ37" s="38"/>
      <c r="AR37" s="36" t="e">
        <f t="shared" ref="AR37:AR45" si="52">AR$10*$AC38</f>
        <v>#REF!</v>
      </c>
      <c r="AS37" s="36" t="e">
        <f t="shared" ref="AS37:AS45" si="53">AS$10*$AC38</f>
        <v>#REF!</v>
      </c>
      <c r="AT37" s="36" t="e">
        <f t="shared" ref="AT37:AT45" si="54">AT$10*$AC38</f>
        <v>#REF!</v>
      </c>
      <c r="AU37" s="36" t="e">
        <f t="shared" ref="AU37:AU45" si="55">AU$10*$AC38</f>
        <v>#REF!</v>
      </c>
      <c r="AV37" s="36" t="e">
        <f t="shared" ref="AV37:AV45" si="56">AV$10*$AC38</f>
        <v>#REF!</v>
      </c>
      <c r="AW37" s="36" t="e">
        <f t="shared" ref="AW37:AW45" si="57">AW$10*$AC38</f>
        <v>#REF!</v>
      </c>
      <c r="AX37" s="36" t="e">
        <f t="shared" ref="AX37:AX45" si="58">AX$10*$AC38</f>
        <v>#REF!</v>
      </c>
      <c r="AY37" s="36" t="e">
        <f t="shared" ref="AY37:AY45" si="59">AY$10*$AC38</f>
        <v>#REF!</v>
      </c>
      <c r="AZ37" s="36" t="e">
        <f t="shared" ref="AZ37:AZ45" si="60">AZ$10*$AC38</f>
        <v>#REF!</v>
      </c>
      <c r="BA37" s="36" t="e">
        <f t="shared" ref="BA37:BA45" si="61">BA$10*$AC38</f>
        <v>#REF!</v>
      </c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si="42"/>
        <v>#REF!</v>
      </c>
      <c r="AG38" s="36" t="e">
        <f t="shared" si="43"/>
        <v>#REF!</v>
      </c>
      <c r="AH38" s="36" t="e">
        <f t="shared" si="44"/>
        <v>#REF!</v>
      </c>
      <c r="AI38" s="36" t="e">
        <f t="shared" si="45"/>
        <v>#REF!</v>
      </c>
      <c r="AJ38" s="36" t="e">
        <f t="shared" si="46"/>
        <v>#REF!</v>
      </c>
      <c r="AK38" s="36" t="e">
        <f t="shared" si="47"/>
        <v>#REF!</v>
      </c>
      <c r="AL38" s="36" t="e">
        <f t="shared" si="48"/>
        <v>#REF!</v>
      </c>
      <c r="AM38" s="36" t="e">
        <f t="shared" si="49"/>
        <v>#REF!</v>
      </c>
      <c r="AN38" s="36" t="e">
        <f t="shared" si="50"/>
        <v>#REF!</v>
      </c>
      <c r="AO38" s="36" t="e">
        <f t="shared" si="51"/>
        <v>#REF!</v>
      </c>
      <c r="AQ38" s="38"/>
      <c r="AR38" s="36" t="e">
        <f t="shared" si="52"/>
        <v>#REF!</v>
      </c>
      <c r="AS38" s="36" t="e">
        <f t="shared" si="53"/>
        <v>#REF!</v>
      </c>
      <c r="AT38" s="36" t="e">
        <f t="shared" si="54"/>
        <v>#REF!</v>
      </c>
      <c r="AU38" s="36" t="e">
        <f t="shared" si="55"/>
        <v>#REF!</v>
      </c>
      <c r="AV38" s="36" t="e">
        <f t="shared" si="56"/>
        <v>#REF!</v>
      </c>
      <c r="AW38" s="36" t="e">
        <f t="shared" si="57"/>
        <v>#REF!</v>
      </c>
      <c r="AX38" s="36" t="e">
        <f t="shared" si="58"/>
        <v>#REF!</v>
      </c>
      <c r="AY38" s="36" t="e">
        <f t="shared" si="59"/>
        <v>#REF!</v>
      </c>
      <c r="AZ38" s="36" t="e">
        <f t="shared" si="60"/>
        <v>#REF!</v>
      </c>
      <c r="BA38" s="36" t="e">
        <f t="shared" si="61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42"/>
        <v>#REF!</v>
      </c>
      <c r="AG39" s="36" t="e">
        <f t="shared" si="43"/>
        <v>#REF!</v>
      </c>
      <c r="AH39" s="36" t="e">
        <f t="shared" si="44"/>
        <v>#REF!</v>
      </c>
      <c r="AI39" s="36" t="e">
        <f t="shared" si="45"/>
        <v>#REF!</v>
      </c>
      <c r="AJ39" s="36" t="e">
        <f t="shared" si="46"/>
        <v>#REF!</v>
      </c>
      <c r="AK39" s="36" t="e">
        <f t="shared" si="47"/>
        <v>#REF!</v>
      </c>
      <c r="AL39" s="36" t="e">
        <f t="shared" si="48"/>
        <v>#REF!</v>
      </c>
      <c r="AM39" s="36" t="e">
        <f t="shared" si="49"/>
        <v>#REF!</v>
      </c>
      <c r="AN39" s="36" t="e">
        <f t="shared" si="50"/>
        <v>#REF!</v>
      </c>
      <c r="AO39" s="36" t="e">
        <f t="shared" si="51"/>
        <v>#REF!</v>
      </c>
      <c r="AQ39" s="38"/>
      <c r="AR39" s="36" t="e">
        <f t="shared" si="52"/>
        <v>#REF!</v>
      </c>
      <c r="AS39" s="36" t="e">
        <f t="shared" si="53"/>
        <v>#REF!</v>
      </c>
      <c r="AT39" s="36" t="e">
        <f t="shared" si="54"/>
        <v>#REF!</v>
      </c>
      <c r="AU39" s="36" t="e">
        <f t="shared" si="55"/>
        <v>#REF!</v>
      </c>
      <c r="AV39" s="36" t="e">
        <f t="shared" si="56"/>
        <v>#REF!</v>
      </c>
      <c r="AW39" s="36" t="e">
        <f t="shared" si="57"/>
        <v>#REF!</v>
      </c>
      <c r="AX39" s="36" t="e">
        <f t="shared" si="58"/>
        <v>#REF!</v>
      </c>
      <c r="AY39" s="36" t="e">
        <f t="shared" si="59"/>
        <v>#REF!</v>
      </c>
      <c r="AZ39" s="36" t="e">
        <f t="shared" si="60"/>
        <v>#REF!</v>
      </c>
      <c r="BA39" s="36" t="e">
        <f t="shared" si="61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42"/>
        <v>#REF!</v>
      </c>
      <c r="AG40" s="36" t="e">
        <f t="shared" si="43"/>
        <v>#REF!</v>
      </c>
      <c r="AH40" s="36" t="e">
        <f t="shared" si="44"/>
        <v>#REF!</v>
      </c>
      <c r="AI40" s="36" t="e">
        <f t="shared" si="45"/>
        <v>#REF!</v>
      </c>
      <c r="AJ40" s="36" t="e">
        <f t="shared" si="46"/>
        <v>#REF!</v>
      </c>
      <c r="AK40" s="36" t="e">
        <f t="shared" si="47"/>
        <v>#REF!</v>
      </c>
      <c r="AL40" s="36" t="e">
        <f t="shared" si="48"/>
        <v>#REF!</v>
      </c>
      <c r="AM40" s="36" t="e">
        <f t="shared" si="49"/>
        <v>#REF!</v>
      </c>
      <c r="AN40" s="36" t="e">
        <f t="shared" si="50"/>
        <v>#REF!</v>
      </c>
      <c r="AO40" s="36" t="e">
        <f t="shared" si="51"/>
        <v>#REF!</v>
      </c>
      <c r="AQ40" s="38"/>
      <c r="AR40" s="36" t="e">
        <f t="shared" si="52"/>
        <v>#REF!</v>
      </c>
      <c r="AS40" s="36" t="e">
        <f t="shared" si="53"/>
        <v>#REF!</v>
      </c>
      <c r="AT40" s="36" t="e">
        <f t="shared" si="54"/>
        <v>#REF!</v>
      </c>
      <c r="AU40" s="36" t="e">
        <f t="shared" si="55"/>
        <v>#REF!</v>
      </c>
      <c r="AV40" s="36" t="e">
        <f t="shared" si="56"/>
        <v>#REF!</v>
      </c>
      <c r="AW40" s="36" t="e">
        <f t="shared" si="57"/>
        <v>#REF!</v>
      </c>
      <c r="AX40" s="36" t="e">
        <f t="shared" si="58"/>
        <v>#REF!</v>
      </c>
      <c r="AY40" s="36" t="e">
        <f t="shared" si="59"/>
        <v>#REF!</v>
      </c>
      <c r="AZ40" s="36" t="e">
        <f t="shared" si="60"/>
        <v>#REF!</v>
      </c>
      <c r="BA40" s="36" t="e">
        <f t="shared" si="61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42"/>
        <v>#REF!</v>
      </c>
      <c r="AG41" s="36" t="e">
        <f t="shared" si="43"/>
        <v>#REF!</v>
      </c>
      <c r="AH41" s="36" t="e">
        <f t="shared" si="44"/>
        <v>#REF!</v>
      </c>
      <c r="AI41" s="36" t="e">
        <f t="shared" si="45"/>
        <v>#REF!</v>
      </c>
      <c r="AJ41" s="36" t="e">
        <f t="shared" si="46"/>
        <v>#REF!</v>
      </c>
      <c r="AK41" s="36" t="e">
        <f t="shared" si="47"/>
        <v>#REF!</v>
      </c>
      <c r="AL41" s="36" t="e">
        <f t="shared" si="48"/>
        <v>#REF!</v>
      </c>
      <c r="AM41" s="36" t="e">
        <f t="shared" si="49"/>
        <v>#REF!</v>
      </c>
      <c r="AN41" s="36" t="e">
        <f t="shared" si="50"/>
        <v>#REF!</v>
      </c>
      <c r="AO41" s="36" t="e">
        <f t="shared" si="51"/>
        <v>#REF!</v>
      </c>
      <c r="AQ41" s="38"/>
      <c r="AR41" s="36" t="e">
        <f t="shared" si="52"/>
        <v>#REF!</v>
      </c>
      <c r="AS41" s="36" t="e">
        <f t="shared" si="53"/>
        <v>#REF!</v>
      </c>
      <c r="AT41" s="36" t="e">
        <f t="shared" si="54"/>
        <v>#REF!</v>
      </c>
      <c r="AU41" s="36" t="e">
        <f t="shared" si="55"/>
        <v>#REF!</v>
      </c>
      <c r="AV41" s="36" t="e">
        <f t="shared" si="56"/>
        <v>#REF!</v>
      </c>
      <c r="AW41" s="36" t="e">
        <f t="shared" si="57"/>
        <v>#REF!</v>
      </c>
      <c r="AX41" s="36" t="e">
        <f t="shared" si="58"/>
        <v>#REF!</v>
      </c>
      <c r="AY41" s="36" t="e">
        <f t="shared" si="59"/>
        <v>#REF!</v>
      </c>
      <c r="AZ41" s="36" t="e">
        <f t="shared" si="60"/>
        <v>#REF!</v>
      </c>
      <c r="BA41" s="36" t="e">
        <f t="shared" si="61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42"/>
        <v>#REF!</v>
      </c>
      <c r="AG42" s="36" t="e">
        <f t="shared" si="43"/>
        <v>#REF!</v>
      </c>
      <c r="AH42" s="36" t="e">
        <f t="shared" si="44"/>
        <v>#REF!</v>
      </c>
      <c r="AI42" s="36" t="e">
        <f t="shared" si="45"/>
        <v>#REF!</v>
      </c>
      <c r="AJ42" s="36" t="e">
        <f t="shared" si="46"/>
        <v>#REF!</v>
      </c>
      <c r="AK42" s="36" t="e">
        <f t="shared" si="47"/>
        <v>#REF!</v>
      </c>
      <c r="AL42" s="36" t="e">
        <f t="shared" si="48"/>
        <v>#REF!</v>
      </c>
      <c r="AM42" s="36" t="e">
        <f t="shared" si="49"/>
        <v>#REF!</v>
      </c>
      <c r="AN42" s="36" t="e">
        <f t="shared" si="50"/>
        <v>#REF!</v>
      </c>
      <c r="AO42" s="36" t="e">
        <f t="shared" si="51"/>
        <v>#REF!</v>
      </c>
      <c r="AQ42" s="38"/>
      <c r="AR42" s="36" t="e">
        <f t="shared" si="52"/>
        <v>#REF!</v>
      </c>
      <c r="AS42" s="36" t="e">
        <f t="shared" si="53"/>
        <v>#REF!</v>
      </c>
      <c r="AT42" s="36" t="e">
        <f t="shared" si="54"/>
        <v>#REF!</v>
      </c>
      <c r="AU42" s="36" t="e">
        <f t="shared" si="55"/>
        <v>#REF!</v>
      </c>
      <c r="AV42" s="36" t="e">
        <f t="shared" si="56"/>
        <v>#REF!</v>
      </c>
      <c r="AW42" s="36" t="e">
        <f t="shared" si="57"/>
        <v>#REF!</v>
      </c>
      <c r="AX42" s="36" t="e">
        <f t="shared" si="58"/>
        <v>#REF!</v>
      </c>
      <c r="AY42" s="36" t="e">
        <f t="shared" si="59"/>
        <v>#REF!</v>
      </c>
      <c r="AZ42" s="36" t="e">
        <f t="shared" si="60"/>
        <v>#REF!</v>
      </c>
      <c r="BA42" s="36" t="e">
        <f t="shared" si="61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42"/>
        <v>#REF!</v>
      </c>
      <c r="AG43" s="36" t="e">
        <f t="shared" si="43"/>
        <v>#REF!</v>
      </c>
      <c r="AH43" s="36" t="e">
        <f t="shared" si="44"/>
        <v>#REF!</v>
      </c>
      <c r="AI43" s="36" t="e">
        <f t="shared" si="45"/>
        <v>#REF!</v>
      </c>
      <c r="AJ43" s="36" t="e">
        <f t="shared" si="46"/>
        <v>#REF!</v>
      </c>
      <c r="AK43" s="36" t="e">
        <f t="shared" si="47"/>
        <v>#REF!</v>
      </c>
      <c r="AL43" s="36" t="e">
        <f t="shared" si="48"/>
        <v>#REF!</v>
      </c>
      <c r="AM43" s="36" t="e">
        <f t="shared" si="49"/>
        <v>#REF!</v>
      </c>
      <c r="AN43" s="36" t="e">
        <f t="shared" si="50"/>
        <v>#REF!</v>
      </c>
      <c r="AO43" s="36" t="e">
        <f t="shared" si="51"/>
        <v>#REF!</v>
      </c>
      <c r="AQ43" s="38"/>
      <c r="AR43" s="36" t="e">
        <f t="shared" si="52"/>
        <v>#REF!</v>
      </c>
      <c r="AS43" s="36" t="e">
        <f t="shared" si="53"/>
        <v>#REF!</v>
      </c>
      <c r="AT43" s="36" t="e">
        <f t="shared" si="54"/>
        <v>#REF!</v>
      </c>
      <c r="AU43" s="36" t="e">
        <f t="shared" si="55"/>
        <v>#REF!</v>
      </c>
      <c r="AV43" s="36" t="e">
        <f t="shared" si="56"/>
        <v>#REF!</v>
      </c>
      <c r="AW43" s="36" t="e">
        <f t="shared" si="57"/>
        <v>#REF!</v>
      </c>
      <c r="AX43" s="36" t="e">
        <f t="shared" si="58"/>
        <v>#REF!</v>
      </c>
      <c r="AY43" s="36" t="e">
        <f t="shared" si="59"/>
        <v>#REF!</v>
      </c>
      <c r="AZ43" s="36" t="e">
        <f t="shared" si="60"/>
        <v>#REF!</v>
      </c>
      <c r="BA43" s="36" t="e">
        <f t="shared" si="61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42"/>
        <v>#REF!</v>
      </c>
      <c r="AG44" s="36" t="e">
        <f t="shared" si="43"/>
        <v>#REF!</v>
      </c>
      <c r="AH44" s="36" t="e">
        <f t="shared" si="44"/>
        <v>#REF!</v>
      </c>
      <c r="AI44" s="36" t="e">
        <f t="shared" si="45"/>
        <v>#REF!</v>
      </c>
      <c r="AJ44" s="36" t="e">
        <f t="shared" si="46"/>
        <v>#REF!</v>
      </c>
      <c r="AK44" s="36" t="e">
        <f t="shared" si="47"/>
        <v>#REF!</v>
      </c>
      <c r="AL44" s="36" t="e">
        <f t="shared" si="48"/>
        <v>#REF!</v>
      </c>
      <c r="AM44" s="36" t="e">
        <f t="shared" si="49"/>
        <v>#REF!</v>
      </c>
      <c r="AN44" s="36" t="e">
        <f t="shared" si="50"/>
        <v>#REF!</v>
      </c>
      <c r="AO44" s="36" t="e">
        <f t="shared" si="51"/>
        <v>#REF!</v>
      </c>
      <c r="AQ44" s="38"/>
      <c r="AR44" s="36" t="e">
        <f t="shared" si="52"/>
        <v>#REF!</v>
      </c>
      <c r="AS44" s="36" t="e">
        <f t="shared" si="53"/>
        <v>#REF!</v>
      </c>
      <c r="AT44" s="36" t="e">
        <f t="shared" si="54"/>
        <v>#REF!</v>
      </c>
      <c r="AU44" s="36" t="e">
        <f t="shared" si="55"/>
        <v>#REF!</v>
      </c>
      <c r="AV44" s="36" t="e">
        <f t="shared" si="56"/>
        <v>#REF!</v>
      </c>
      <c r="AW44" s="36" t="e">
        <f t="shared" si="57"/>
        <v>#REF!</v>
      </c>
      <c r="AX44" s="36" t="e">
        <f t="shared" si="58"/>
        <v>#REF!</v>
      </c>
      <c r="AY44" s="36" t="e">
        <f t="shared" si="59"/>
        <v>#REF!</v>
      </c>
      <c r="AZ44" s="36" t="e">
        <f t="shared" si="60"/>
        <v>#REF!</v>
      </c>
      <c r="BA44" s="36" t="e">
        <f t="shared" si="61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42"/>
        <v>#REF!</v>
      </c>
      <c r="AG45" s="36" t="e">
        <f t="shared" si="43"/>
        <v>#REF!</v>
      </c>
      <c r="AH45" s="36" t="e">
        <f t="shared" si="44"/>
        <v>#REF!</v>
      </c>
      <c r="AI45" s="36" t="e">
        <f t="shared" si="45"/>
        <v>#REF!</v>
      </c>
      <c r="AJ45" s="36" t="e">
        <f t="shared" si="46"/>
        <v>#REF!</v>
      </c>
      <c r="AK45" s="36" t="e">
        <f t="shared" si="47"/>
        <v>#REF!</v>
      </c>
      <c r="AL45" s="36" t="e">
        <f t="shared" si="48"/>
        <v>#REF!</v>
      </c>
      <c r="AM45" s="36" t="e">
        <f t="shared" si="49"/>
        <v>#REF!</v>
      </c>
      <c r="AN45" s="36" t="e">
        <f t="shared" si="50"/>
        <v>#REF!</v>
      </c>
      <c r="AO45" s="36" t="e">
        <f t="shared" si="51"/>
        <v>#REF!</v>
      </c>
      <c r="AQ45" s="38"/>
      <c r="AR45" s="36" t="e">
        <f t="shared" si="52"/>
        <v>#REF!</v>
      </c>
      <c r="AS45" s="36" t="e">
        <f t="shared" si="53"/>
        <v>#REF!</v>
      </c>
      <c r="AT45" s="36" t="e">
        <f t="shared" si="54"/>
        <v>#REF!</v>
      </c>
      <c r="AU45" s="36" t="e">
        <f t="shared" si="55"/>
        <v>#REF!</v>
      </c>
      <c r="AV45" s="36" t="e">
        <f t="shared" si="56"/>
        <v>#REF!</v>
      </c>
      <c r="AW45" s="36" t="e">
        <f t="shared" si="57"/>
        <v>#REF!</v>
      </c>
      <c r="AX45" s="36" t="e">
        <f t="shared" si="58"/>
        <v>#REF!</v>
      </c>
      <c r="AY45" s="36" t="e">
        <f t="shared" si="59"/>
        <v>#REF!</v>
      </c>
      <c r="AZ45" s="36" t="e">
        <f t="shared" si="60"/>
        <v>#REF!</v>
      </c>
      <c r="BA45" s="36" t="e">
        <f t="shared" si="61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Q46" s="38"/>
    </row>
    <row r="47" spans="1:53" hidden="1">
      <c r="AQ47" s="38"/>
    </row>
    <row r="48" spans="1:53" ht="63.75" hidden="1"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6" t="s">
        <v>43</v>
      </c>
      <c r="AB49" s="67"/>
      <c r="AC49" s="68"/>
      <c r="AD49" s="68"/>
      <c r="AE49" s="68"/>
      <c r="AG49" s="70"/>
      <c r="AQ49" s="38"/>
    </row>
    <row r="50" spans="27:53" hidden="1">
      <c r="AA50" s="69" t="s">
        <v>44</v>
      </c>
      <c r="AB50" s="35"/>
      <c r="AF50" s="70" t="e">
        <f t="shared" ref="AF50:AO50" si="62">AF15+AF17+AF18</f>
        <v>#REF!</v>
      </c>
      <c r="AG50" s="70" t="e">
        <f t="shared" si="62"/>
        <v>#REF!</v>
      </c>
      <c r="AH50" s="70" t="e">
        <f t="shared" si="62"/>
        <v>#REF!</v>
      </c>
      <c r="AI50" s="70" t="e">
        <f t="shared" si="62"/>
        <v>#REF!</v>
      </c>
      <c r="AJ50" s="70" t="e">
        <f t="shared" si="62"/>
        <v>#REF!</v>
      </c>
      <c r="AK50" s="70" t="e">
        <f t="shared" si="62"/>
        <v>#REF!</v>
      </c>
      <c r="AL50" s="70" t="e">
        <f t="shared" si="62"/>
        <v>#REF!</v>
      </c>
      <c r="AM50" s="70" t="e">
        <f t="shared" si="62"/>
        <v>#REF!</v>
      </c>
      <c r="AN50" s="70" t="e">
        <f t="shared" si="62"/>
        <v>#REF!</v>
      </c>
      <c r="AO50" s="70" t="e">
        <f t="shared" si="62"/>
        <v>#REF!</v>
      </c>
      <c r="AP50" s="70"/>
      <c r="AQ50" s="70"/>
      <c r="AR50" s="70" t="e">
        <f t="shared" ref="AR50:BA50" si="63">AR15+AR17+AR18</f>
        <v>#REF!</v>
      </c>
      <c r="AS50" s="70" t="e">
        <f t="shared" si="63"/>
        <v>#REF!</v>
      </c>
      <c r="AT50" s="70" t="e">
        <f t="shared" si="63"/>
        <v>#REF!</v>
      </c>
      <c r="AU50" s="70" t="e">
        <f t="shared" si="63"/>
        <v>#REF!</v>
      </c>
      <c r="AV50" s="70" t="e">
        <f t="shared" si="63"/>
        <v>#REF!</v>
      </c>
      <c r="AW50" s="70" t="e">
        <f t="shared" si="63"/>
        <v>#REF!</v>
      </c>
      <c r="AX50" s="70" t="e">
        <f t="shared" si="63"/>
        <v>#REF!</v>
      </c>
      <c r="AY50" s="70" t="e">
        <f t="shared" si="63"/>
        <v>#REF!</v>
      </c>
      <c r="AZ50" s="70" t="e">
        <f t="shared" si="63"/>
        <v>#REF!</v>
      </c>
      <c r="BA50" s="70" t="e">
        <f t="shared" si="63"/>
        <v>#REF!</v>
      </c>
    </row>
    <row r="51" spans="27:53" hidden="1">
      <c r="AA51" s="71" t="s">
        <v>29</v>
      </c>
      <c r="AB51" s="35"/>
      <c r="AF51" s="70" t="e">
        <f t="shared" ref="AF51:AO51" si="64">AF26+AF28+AF29</f>
        <v>#REF!</v>
      </c>
      <c r="AG51" s="70" t="e">
        <f t="shared" si="64"/>
        <v>#REF!</v>
      </c>
      <c r="AH51" s="70" t="e">
        <f t="shared" si="64"/>
        <v>#REF!</v>
      </c>
      <c r="AI51" s="70" t="e">
        <f t="shared" si="64"/>
        <v>#REF!</v>
      </c>
      <c r="AJ51" s="70" t="e">
        <f t="shared" si="64"/>
        <v>#REF!</v>
      </c>
      <c r="AK51" s="70" t="e">
        <f t="shared" si="64"/>
        <v>#REF!</v>
      </c>
      <c r="AL51" s="70" t="e">
        <f t="shared" si="64"/>
        <v>#REF!</v>
      </c>
      <c r="AM51" s="70" t="e">
        <f t="shared" si="64"/>
        <v>#REF!</v>
      </c>
      <c r="AN51" s="70" t="e">
        <f t="shared" si="64"/>
        <v>#REF!</v>
      </c>
      <c r="AO51" s="70" t="e">
        <f t="shared" si="64"/>
        <v>#REF!</v>
      </c>
      <c r="AP51" s="70"/>
      <c r="AQ51" s="70"/>
      <c r="AR51" s="70" t="e">
        <f t="shared" ref="AR51:BA51" si="65">AR26+AR28+AR29</f>
        <v>#REF!</v>
      </c>
      <c r="AS51" s="70" t="e">
        <f t="shared" si="65"/>
        <v>#REF!</v>
      </c>
      <c r="AT51" s="70" t="e">
        <f t="shared" si="65"/>
        <v>#REF!</v>
      </c>
      <c r="AU51" s="70" t="e">
        <f t="shared" si="65"/>
        <v>#REF!</v>
      </c>
      <c r="AV51" s="70" t="e">
        <f t="shared" si="65"/>
        <v>#REF!</v>
      </c>
      <c r="AW51" s="70" t="e">
        <f t="shared" si="65"/>
        <v>#REF!</v>
      </c>
      <c r="AX51" s="70" t="e">
        <f t="shared" si="65"/>
        <v>#REF!</v>
      </c>
      <c r="AY51" s="70" t="e">
        <f t="shared" si="65"/>
        <v>#REF!</v>
      </c>
      <c r="AZ51" s="70" t="e">
        <f t="shared" si="65"/>
        <v>#REF!</v>
      </c>
      <c r="BA51" s="70" t="e">
        <f t="shared" si="65"/>
        <v>#REF!</v>
      </c>
    </row>
    <row r="52" spans="27:53" hidden="1">
      <c r="AA52" s="71" t="s">
        <v>41</v>
      </c>
      <c r="AB52" s="35"/>
      <c r="AF52" s="70" t="e">
        <f t="shared" ref="AF52:AO52" si="66">AF37+AF39+AF40</f>
        <v>#REF!</v>
      </c>
      <c r="AG52" s="70" t="e">
        <f t="shared" si="66"/>
        <v>#REF!</v>
      </c>
      <c r="AH52" s="70" t="e">
        <f t="shared" si="66"/>
        <v>#REF!</v>
      </c>
      <c r="AI52" s="70" t="e">
        <f t="shared" si="66"/>
        <v>#REF!</v>
      </c>
      <c r="AJ52" s="70" t="e">
        <f t="shared" si="66"/>
        <v>#REF!</v>
      </c>
      <c r="AK52" s="70" t="e">
        <f t="shared" si="66"/>
        <v>#REF!</v>
      </c>
      <c r="AL52" s="70" t="e">
        <f t="shared" si="66"/>
        <v>#REF!</v>
      </c>
      <c r="AM52" s="70" t="e">
        <f t="shared" si="66"/>
        <v>#REF!</v>
      </c>
      <c r="AN52" s="70" t="e">
        <f t="shared" si="66"/>
        <v>#REF!</v>
      </c>
      <c r="AO52" s="70" t="e">
        <f t="shared" si="66"/>
        <v>#REF!</v>
      </c>
      <c r="AP52" s="70"/>
      <c r="AQ52" s="70"/>
      <c r="AR52" s="70" t="e">
        <f t="shared" ref="AR52:BA52" si="67">AR37+AR39+AR40</f>
        <v>#REF!</v>
      </c>
      <c r="AS52" s="70" t="e">
        <f t="shared" si="67"/>
        <v>#REF!</v>
      </c>
      <c r="AT52" s="70" t="e">
        <f t="shared" si="67"/>
        <v>#REF!</v>
      </c>
      <c r="AU52" s="70" t="e">
        <f t="shared" si="67"/>
        <v>#REF!</v>
      </c>
      <c r="AV52" s="70" t="e">
        <f t="shared" si="67"/>
        <v>#REF!</v>
      </c>
      <c r="AW52" s="70" t="e">
        <f t="shared" si="67"/>
        <v>#REF!</v>
      </c>
      <c r="AX52" s="70" t="e">
        <f t="shared" si="67"/>
        <v>#REF!</v>
      </c>
      <c r="AY52" s="70" t="e">
        <f t="shared" si="67"/>
        <v>#REF!</v>
      </c>
      <c r="AZ52" s="70" t="e">
        <f t="shared" si="67"/>
        <v>#REF!</v>
      </c>
      <c r="BA52" s="70" t="e">
        <f t="shared" si="67"/>
        <v>#REF!</v>
      </c>
    </row>
    <row r="53" spans="27:53" hidden="1">
      <c r="AA53" s="71" t="s">
        <v>42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69" t="s">
        <v>45</v>
      </c>
      <c r="AB54" s="35"/>
      <c r="AF54" s="70" t="e">
        <f t="shared" ref="AF54:AO54" si="68">AF15+AF17+AF19+AF21</f>
        <v>#REF!</v>
      </c>
      <c r="AG54" s="70" t="e">
        <f t="shared" si="68"/>
        <v>#REF!</v>
      </c>
      <c r="AH54" s="70" t="e">
        <f t="shared" si="68"/>
        <v>#REF!</v>
      </c>
      <c r="AI54" s="70" t="e">
        <f t="shared" si="68"/>
        <v>#REF!</v>
      </c>
      <c r="AJ54" s="70" t="e">
        <f t="shared" si="68"/>
        <v>#REF!</v>
      </c>
      <c r="AK54" s="70" t="e">
        <f t="shared" si="68"/>
        <v>#REF!</v>
      </c>
      <c r="AL54" s="70" t="e">
        <f t="shared" si="68"/>
        <v>#REF!</v>
      </c>
      <c r="AM54" s="70" t="e">
        <f t="shared" si="68"/>
        <v>#REF!</v>
      </c>
      <c r="AN54" s="70" t="e">
        <f t="shared" si="68"/>
        <v>#REF!</v>
      </c>
      <c r="AO54" s="70" t="e">
        <f t="shared" si="68"/>
        <v>#REF!</v>
      </c>
      <c r="AP54" s="70"/>
      <c r="AQ54" s="70"/>
      <c r="AR54" s="70" t="e">
        <f t="shared" ref="AR54:BA54" si="69">AR15+AR17+AR19+AR21</f>
        <v>#REF!</v>
      </c>
      <c r="AS54" s="70" t="e">
        <f t="shared" si="69"/>
        <v>#REF!</v>
      </c>
      <c r="AT54" s="70" t="e">
        <f t="shared" si="69"/>
        <v>#REF!</v>
      </c>
      <c r="AU54" s="70" t="e">
        <f t="shared" si="69"/>
        <v>#REF!</v>
      </c>
      <c r="AV54" s="70" t="e">
        <f t="shared" si="69"/>
        <v>#REF!</v>
      </c>
      <c r="AW54" s="70" t="e">
        <f t="shared" si="69"/>
        <v>#REF!</v>
      </c>
      <c r="AX54" s="70" t="e">
        <f t="shared" si="69"/>
        <v>#REF!</v>
      </c>
      <c r="AY54" s="70" t="e">
        <f t="shared" si="69"/>
        <v>#REF!</v>
      </c>
      <c r="AZ54" s="70" t="e">
        <f t="shared" si="69"/>
        <v>#REF!</v>
      </c>
      <c r="BA54" s="70" t="e">
        <f t="shared" si="69"/>
        <v>#REF!</v>
      </c>
    </row>
    <row r="55" spans="27:53" hidden="1">
      <c r="AA55" s="71" t="s">
        <v>29</v>
      </c>
      <c r="AB55" s="35"/>
      <c r="AF55" s="70" t="e">
        <f t="shared" ref="AF55:AO55" si="70">AF26+AF28+AF30+AF32</f>
        <v>#REF!</v>
      </c>
      <c r="AG55" s="70" t="e">
        <f t="shared" si="70"/>
        <v>#REF!</v>
      </c>
      <c r="AH55" s="70" t="e">
        <f t="shared" si="70"/>
        <v>#REF!</v>
      </c>
      <c r="AI55" s="70" t="e">
        <f t="shared" si="70"/>
        <v>#REF!</v>
      </c>
      <c r="AJ55" s="70" t="e">
        <f t="shared" si="70"/>
        <v>#REF!</v>
      </c>
      <c r="AK55" s="70" t="e">
        <f t="shared" si="70"/>
        <v>#REF!</v>
      </c>
      <c r="AL55" s="70" t="e">
        <f t="shared" si="70"/>
        <v>#REF!</v>
      </c>
      <c r="AM55" s="70" t="e">
        <f t="shared" si="70"/>
        <v>#REF!</v>
      </c>
      <c r="AN55" s="70" t="e">
        <f t="shared" si="70"/>
        <v>#REF!</v>
      </c>
      <c r="AO55" s="70" t="e">
        <f t="shared" si="70"/>
        <v>#REF!</v>
      </c>
      <c r="AP55" s="70"/>
      <c r="AQ55" s="70"/>
      <c r="AR55" s="70" t="e">
        <f t="shared" ref="AR55:BA55" si="71">AR26+AR28+AR30+AR32</f>
        <v>#REF!</v>
      </c>
      <c r="AS55" s="70" t="e">
        <f t="shared" si="71"/>
        <v>#REF!</v>
      </c>
      <c r="AT55" s="70" t="e">
        <f t="shared" si="71"/>
        <v>#REF!</v>
      </c>
      <c r="AU55" s="70" t="e">
        <f t="shared" si="71"/>
        <v>#REF!</v>
      </c>
      <c r="AV55" s="70" t="e">
        <f t="shared" si="71"/>
        <v>#REF!</v>
      </c>
      <c r="AW55" s="70" t="e">
        <f t="shared" si="71"/>
        <v>#REF!</v>
      </c>
      <c r="AX55" s="70" t="e">
        <f t="shared" si="71"/>
        <v>#REF!</v>
      </c>
      <c r="AY55" s="70" t="e">
        <f t="shared" si="71"/>
        <v>#REF!</v>
      </c>
      <c r="AZ55" s="70" t="e">
        <f t="shared" si="71"/>
        <v>#REF!</v>
      </c>
      <c r="BA55" s="70" t="e">
        <f t="shared" si="71"/>
        <v>#REF!</v>
      </c>
    </row>
    <row r="56" spans="27:53" hidden="1">
      <c r="AA56" s="71" t="s">
        <v>41</v>
      </c>
      <c r="AB56" s="35"/>
      <c r="AF56" s="70" t="e">
        <f t="shared" ref="AF56:AO56" si="72">AF37+AF39+AF41+AF43</f>
        <v>#REF!</v>
      </c>
      <c r="AG56" s="70" t="e">
        <f t="shared" si="72"/>
        <v>#REF!</v>
      </c>
      <c r="AH56" s="70" t="e">
        <f t="shared" si="72"/>
        <v>#REF!</v>
      </c>
      <c r="AI56" s="70" t="e">
        <f t="shared" si="72"/>
        <v>#REF!</v>
      </c>
      <c r="AJ56" s="70" t="e">
        <f t="shared" si="72"/>
        <v>#REF!</v>
      </c>
      <c r="AK56" s="70" t="e">
        <f t="shared" si="72"/>
        <v>#REF!</v>
      </c>
      <c r="AL56" s="70" t="e">
        <f t="shared" si="72"/>
        <v>#REF!</v>
      </c>
      <c r="AM56" s="70" t="e">
        <f t="shared" si="72"/>
        <v>#REF!</v>
      </c>
      <c r="AN56" s="70" t="e">
        <f t="shared" si="72"/>
        <v>#REF!</v>
      </c>
      <c r="AO56" s="70" t="e">
        <f t="shared" si="72"/>
        <v>#REF!</v>
      </c>
      <c r="AP56" s="70"/>
      <c r="AQ56" s="70"/>
      <c r="AR56" s="70" t="e">
        <f t="shared" ref="AR56:BA56" si="73">AR37+AR39+AR41+AR43</f>
        <v>#REF!</v>
      </c>
      <c r="AS56" s="70" t="e">
        <f t="shared" si="73"/>
        <v>#REF!</v>
      </c>
      <c r="AT56" s="70" t="e">
        <f t="shared" si="73"/>
        <v>#REF!</v>
      </c>
      <c r="AU56" s="70" t="e">
        <f t="shared" si="73"/>
        <v>#REF!</v>
      </c>
      <c r="AV56" s="70" t="e">
        <f t="shared" si="73"/>
        <v>#REF!</v>
      </c>
      <c r="AW56" s="70" t="e">
        <f t="shared" si="73"/>
        <v>#REF!</v>
      </c>
      <c r="AX56" s="70" t="e">
        <f t="shared" si="73"/>
        <v>#REF!</v>
      </c>
      <c r="AY56" s="70" t="e">
        <f t="shared" si="73"/>
        <v>#REF!</v>
      </c>
      <c r="AZ56" s="70" t="e">
        <f t="shared" si="73"/>
        <v>#REF!</v>
      </c>
      <c r="BA56" s="70" t="e">
        <f t="shared" si="73"/>
        <v>#REF!</v>
      </c>
    </row>
    <row r="57" spans="27:53" hidden="1">
      <c r="AA57" s="71" t="s">
        <v>42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69" t="s">
        <v>46</v>
      </c>
      <c r="AB58" s="35"/>
      <c r="AF58" s="70" t="e">
        <f t="shared" ref="AF58:AO58" si="74">AF15+AF17+AF19+AF20+AF22</f>
        <v>#REF!</v>
      </c>
      <c r="AG58" s="70" t="e">
        <f t="shared" si="74"/>
        <v>#REF!</v>
      </c>
      <c r="AH58" s="70" t="e">
        <f t="shared" si="74"/>
        <v>#REF!</v>
      </c>
      <c r="AI58" s="70" t="e">
        <f t="shared" si="74"/>
        <v>#REF!</v>
      </c>
      <c r="AJ58" s="70" t="e">
        <f t="shared" si="74"/>
        <v>#REF!</v>
      </c>
      <c r="AK58" s="70" t="e">
        <f t="shared" si="74"/>
        <v>#REF!</v>
      </c>
      <c r="AL58" s="70" t="e">
        <f t="shared" si="74"/>
        <v>#REF!</v>
      </c>
      <c r="AM58" s="70" t="e">
        <f t="shared" si="74"/>
        <v>#REF!</v>
      </c>
      <c r="AN58" s="70" t="e">
        <f t="shared" si="74"/>
        <v>#REF!</v>
      </c>
      <c r="AO58" s="70" t="e">
        <f t="shared" si="74"/>
        <v>#REF!</v>
      </c>
      <c r="AP58" s="70"/>
      <c r="AQ58" s="70"/>
      <c r="AR58" s="70" t="e">
        <f t="shared" ref="AR58:BA58" si="75">AR15+AR17+AR19+AR20+AR22</f>
        <v>#REF!</v>
      </c>
      <c r="AS58" s="70" t="e">
        <f t="shared" si="75"/>
        <v>#REF!</v>
      </c>
      <c r="AT58" s="70" t="e">
        <f t="shared" si="75"/>
        <v>#REF!</v>
      </c>
      <c r="AU58" s="70" t="e">
        <f t="shared" si="75"/>
        <v>#REF!</v>
      </c>
      <c r="AV58" s="70" t="e">
        <f t="shared" si="75"/>
        <v>#REF!</v>
      </c>
      <c r="AW58" s="70" t="e">
        <f t="shared" si="75"/>
        <v>#REF!</v>
      </c>
      <c r="AX58" s="70" t="e">
        <f t="shared" si="75"/>
        <v>#REF!</v>
      </c>
      <c r="AY58" s="70" t="e">
        <f t="shared" si="75"/>
        <v>#REF!</v>
      </c>
      <c r="AZ58" s="70" t="e">
        <f t="shared" si="75"/>
        <v>#REF!</v>
      </c>
      <c r="BA58" s="70" t="e">
        <f t="shared" si="75"/>
        <v>#REF!</v>
      </c>
    </row>
    <row r="59" spans="27:53" hidden="1">
      <c r="AA59" s="71" t="s">
        <v>29</v>
      </c>
      <c r="AB59" s="35"/>
      <c r="AF59" s="70" t="e">
        <f t="shared" ref="AF59:AO59" si="76">AF26+AF28+AF30+AF31+AF33</f>
        <v>#REF!</v>
      </c>
      <c r="AG59" s="70" t="e">
        <f t="shared" si="76"/>
        <v>#REF!</v>
      </c>
      <c r="AH59" s="70" t="e">
        <f t="shared" si="76"/>
        <v>#REF!</v>
      </c>
      <c r="AI59" s="70" t="e">
        <f t="shared" si="76"/>
        <v>#REF!</v>
      </c>
      <c r="AJ59" s="70" t="e">
        <f t="shared" si="76"/>
        <v>#REF!</v>
      </c>
      <c r="AK59" s="70" t="e">
        <f t="shared" si="76"/>
        <v>#REF!</v>
      </c>
      <c r="AL59" s="70" t="e">
        <f t="shared" si="76"/>
        <v>#REF!</v>
      </c>
      <c r="AM59" s="70" t="e">
        <f t="shared" si="76"/>
        <v>#REF!</v>
      </c>
      <c r="AN59" s="70" t="e">
        <f t="shared" si="76"/>
        <v>#REF!</v>
      </c>
      <c r="AO59" s="70" t="e">
        <f t="shared" si="76"/>
        <v>#REF!</v>
      </c>
      <c r="AP59" s="70"/>
      <c r="AQ59" s="70"/>
      <c r="AR59" s="70" t="e">
        <f t="shared" ref="AR59:BA59" si="77">AR26+AR28+AR30+AR31+AR33</f>
        <v>#REF!</v>
      </c>
      <c r="AS59" s="70" t="e">
        <f t="shared" si="77"/>
        <v>#REF!</v>
      </c>
      <c r="AT59" s="70" t="e">
        <f t="shared" si="77"/>
        <v>#REF!</v>
      </c>
      <c r="AU59" s="70" t="e">
        <f t="shared" si="77"/>
        <v>#REF!</v>
      </c>
      <c r="AV59" s="70" t="e">
        <f t="shared" si="77"/>
        <v>#REF!</v>
      </c>
      <c r="AW59" s="70" t="e">
        <f t="shared" si="77"/>
        <v>#REF!</v>
      </c>
      <c r="AX59" s="70" t="e">
        <f t="shared" si="77"/>
        <v>#REF!</v>
      </c>
      <c r="AY59" s="70" t="e">
        <f t="shared" si="77"/>
        <v>#REF!</v>
      </c>
      <c r="AZ59" s="70" t="e">
        <f t="shared" si="77"/>
        <v>#REF!</v>
      </c>
      <c r="BA59" s="70" t="e">
        <f t="shared" si="77"/>
        <v>#REF!</v>
      </c>
    </row>
    <row r="60" spans="27:53" hidden="1">
      <c r="AA60" s="71" t="s">
        <v>41</v>
      </c>
      <c r="AB60" s="35"/>
      <c r="AF60" s="70" t="e">
        <f t="shared" ref="AF60:AO60" si="78">AF37+AF39+AF41+AF42+AF44</f>
        <v>#REF!</v>
      </c>
      <c r="AG60" s="70" t="e">
        <f t="shared" si="78"/>
        <v>#REF!</v>
      </c>
      <c r="AH60" s="70" t="e">
        <f t="shared" si="78"/>
        <v>#REF!</v>
      </c>
      <c r="AI60" s="70" t="e">
        <f t="shared" si="78"/>
        <v>#REF!</v>
      </c>
      <c r="AJ60" s="70" t="e">
        <f t="shared" si="78"/>
        <v>#REF!</v>
      </c>
      <c r="AK60" s="70" t="e">
        <f t="shared" si="78"/>
        <v>#REF!</v>
      </c>
      <c r="AL60" s="70" t="e">
        <f t="shared" si="78"/>
        <v>#REF!</v>
      </c>
      <c r="AM60" s="70" t="e">
        <f t="shared" si="78"/>
        <v>#REF!</v>
      </c>
      <c r="AN60" s="70" t="e">
        <f t="shared" si="78"/>
        <v>#REF!</v>
      </c>
      <c r="AO60" s="70" t="e">
        <f t="shared" si="78"/>
        <v>#REF!</v>
      </c>
      <c r="AP60" s="70"/>
      <c r="AQ60" s="70"/>
      <c r="AR60" s="70" t="e">
        <f t="shared" ref="AR60:BA60" si="79">AR37+AR39+AR41+AR42+AR44</f>
        <v>#REF!</v>
      </c>
      <c r="AS60" s="70" t="e">
        <f t="shared" si="79"/>
        <v>#REF!</v>
      </c>
      <c r="AT60" s="70" t="e">
        <f t="shared" si="79"/>
        <v>#REF!</v>
      </c>
      <c r="AU60" s="70" t="e">
        <f t="shared" si="79"/>
        <v>#REF!</v>
      </c>
      <c r="AV60" s="70" t="e">
        <f t="shared" si="79"/>
        <v>#REF!</v>
      </c>
      <c r="AW60" s="70" t="e">
        <f t="shared" si="79"/>
        <v>#REF!</v>
      </c>
      <c r="AX60" s="70" t="e">
        <f t="shared" si="79"/>
        <v>#REF!</v>
      </c>
      <c r="AY60" s="70" t="e">
        <f t="shared" si="79"/>
        <v>#REF!</v>
      </c>
      <c r="AZ60" s="70" t="e">
        <f t="shared" si="79"/>
        <v>#REF!</v>
      </c>
      <c r="BA60" s="70" t="e">
        <f t="shared" si="79"/>
        <v>#REF!</v>
      </c>
    </row>
    <row r="61" spans="27:53" hidden="1">
      <c r="AA61" s="71" t="s">
        <v>42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69" t="s">
        <v>47</v>
      </c>
      <c r="AB62" s="35"/>
      <c r="AF62" s="70" t="e">
        <f t="shared" ref="AF62:AO62" si="80">AF15+AF17+AF19+AF20+AF23</f>
        <v>#REF!</v>
      </c>
      <c r="AG62" s="70" t="e">
        <f t="shared" si="80"/>
        <v>#REF!</v>
      </c>
      <c r="AH62" s="70" t="e">
        <f t="shared" si="80"/>
        <v>#REF!</v>
      </c>
      <c r="AI62" s="70" t="e">
        <f t="shared" si="80"/>
        <v>#REF!</v>
      </c>
      <c r="AJ62" s="70" t="e">
        <f t="shared" si="80"/>
        <v>#REF!</v>
      </c>
      <c r="AK62" s="70" t="e">
        <f t="shared" si="80"/>
        <v>#REF!</v>
      </c>
      <c r="AL62" s="70" t="e">
        <f t="shared" si="80"/>
        <v>#REF!</v>
      </c>
      <c r="AM62" s="70" t="e">
        <f t="shared" si="80"/>
        <v>#REF!</v>
      </c>
      <c r="AN62" s="70" t="e">
        <f t="shared" si="80"/>
        <v>#REF!</v>
      </c>
      <c r="AO62" s="70" t="e">
        <f t="shared" si="80"/>
        <v>#REF!</v>
      </c>
      <c r="AP62" s="70"/>
      <c r="AQ62" s="70"/>
      <c r="AR62" s="70" t="e">
        <f t="shared" ref="AR62:BA62" si="81">AR15+AR17+AR19+AR20+AR23</f>
        <v>#REF!</v>
      </c>
      <c r="AS62" s="70" t="e">
        <f t="shared" si="81"/>
        <v>#REF!</v>
      </c>
      <c r="AT62" s="70" t="e">
        <f t="shared" si="81"/>
        <v>#REF!</v>
      </c>
      <c r="AU62" s="70" t="e">
        <f t="shared" si="81"/>
        <v>#REF!</v>
      </c>
      <c r="AV62" s="70" t="e">
        <f t="shared" si="81"/>
        <v>#REF!</v>
      </c>
      <c r="AW62" s="70" t="e">
        <f t="shared" si="81"/>
        <v>#REF!</v>
      </c>
      <c r="AX62" s="70" t="e">
        <f t="shared" si="81"/>
        <v>#REF!</v>
      </c>
      <c r="AY62" s="70" t="e">
        <f t="shared" si="81"/>
        <v>#REF!</v>
      </c>
      <c r="AZ62" s="70" t="e">
        <f t="shared" si="81"/>
        <v>#REF!</v>
      </c>
      <c r="BA62" s="70" t="e">
        <f t="shared" si="81"/>
        <v>#REF!</v>
      </c>
    </row>
    <row r="63" spans="27:53" hidden="1">
      <c r="AA63" s="71" t="s">
        <v>29</v>
      </c>
      <c r="AB63" s="35"/>
      <c r="AF63" s="70" t="e">
        <f t="shared" ref="AF63:AO63" si="82">AF26+AF28+AF30+AF31+AF34</f>
        <v>#REF!</v>
      </c>
      <c r="AG63" s="70" t="e">
        <f t="shared" si="82"/>
        <v>#REF!</v>
      </c>
      <c r="AH63" s="70" t="e">
        <f t="shared" si="82"/>
        <v>#REF!</v>
      </c>
      <c r="AI63" s="70" t="e">
        <f t="shared" si="82"/>
        <v>#REF!</v>
      </c>
      <c r="AJ63" s="70" t="e">
        <f t="shared" si="82"/>
        <v>#REF!</v>
      </c>
      <c r="AK63" s="70" t="e">
        <f t="shared" si="82"/>
        <v>#REF!</v>
      </c>
      <c r="AL63" s="70" t="e">
        <f t="shared" si="82"/>
        <v>#REF!</v>
      </c>
      <c r="AM63" s="70" t="e">
        <f t="shared" si="82"/>
        <v>#REF!</v>
      </c>
      <c r="AN63" s="70" t="e">
        <f t="shared" si="82"/>
        <v>#REF!</v>
      </c>
      <c r="AO63" s="70" t="e">
        <f t="shared" si="82"/>
        <v>#REF!</v>
      </c>
      <c r="AP63" s="70"/>
      <c r="AQ63" s="70"/>
      <c r="AR63" s="70" t="e">
        <f t="shared" ref="AR63:BA63" si="83">AR26+AR28+AR30+AR31+AR34</f>
        <v>#REF!</v>
      </c>
      <c r="AS63" s="70" t="e">
        <f t="shared" si="83"/>
        <v>#REF!</v>
      </c>
      <c r="AT63" s="70" t="e">
        <f t="shared" si="83"/>
        <v>#REF!</v>
      </c>
      <c r="AU63" s="70" t="e">
        <f t="shared" si="83"/>
        <v>#REF!</v>
      </c>
      <c r="AV63" s="70" t="e">
        <f t="shared" si="83"/>
        <v>#REF!</v>
      </c>
      <c r="AW63" s="70" t="e">
        <f t="shared" si="83"/>
        <v>#REF!</v>
      </c>
      <c r="AX63" s="70" t="e">
        <f t="shared" si="83"/>
        <v>#REF!</v>
      </c>
      <c r="AY63" s="70" t="e">
        <f t="shared" si="83"/>
        <v>#REF!</v>
      </c>
      <c r="AZ63" s="70" t="e">
        <f t="shared" si="83"/>
        <v>#REF!</v>
      </c>
      <c r="BA63" s="70" t="e">
        <f t="shared" si="83"/>
        <v>#REF!</v>
      </c>
    </row>
    <row r="64" spans="27:53" hidden="1">
      <c r="AA64" s="71" t="s">
        <v>41</v>
      </c>
      <c r="AB64" s="35"/>
      <c r="AF64" s="70" t="e">
        <f t="shared" ref="AF64:AO64" si="84">AF37+AF39+AF41+AF42+AF45</f>
        <v>#REF!</v>
      </c>
      <c r="AG64" s="70" t="e">
        <f t="shared" si="84"/>
        <v>#REF!</v>
      </c>
      <c r="AH64" s="70" t="e">
        <f t="shared" si="84"/>
        <v>#REF!</v>
      </c>
      <c r="AI64" s="70" t="e">
        <f t="shared" si="84"/>
        <v>#REF!</v>
      </c>
      <c r="AJ64" s="70" t="e">
        <f t="shared" si="84"/>
        <v>#REF!</v>
      </c>
      <c r="AK64" s="70" t="e">
        <f t="shared" si="84"/>
        <v>#REF!</v>
      </c>
      <c r="AL64" s="70" t="e">
        <f t="shared" si="84"/>
        <v>#REF!</v>
      </c>
      <c r="AM64" s="70" t="e">
        <f t="shared" si="84"/>
        <v>#REF!</v>
      </c>
      <c r="AN64" s="70" t="e">
        <f t="shared" si="84"/>
        <v>#REF!</v>
      </c>
      <c r="AO64" s="70" t="e">
        <f t="shared" si="84"/>
        <v>#REF!</v>
      </c>
      <c r="AP64" s="70"/>
      <c r="AQ64" s="70"/>
      <c r="AR64" s="70" t="e">
        <f t="shared" ref="AR64:BA64" si="85">AR37+AR39+AR41+AR42+AR45</f>
        <v>#REF!</v>
      </c>
      <c r="AS64" s="70" t="e">
        <f t="shared" si="85"/>
        <v>#REF!</v>
      </c>
      <c r="AT64" s="70" t="e">
        <f t="shared" si="85"/>
        <v>#REF!</v>
      </c>
      <c r="AU64" s="70" t="e">
        <f t="shared" si="85"/>
        <v>#REF!</v>
      </c>
      <c r="AV64" s="70" t="e">
        <f t="shared" si="85"/>
        <v>#REF!</v>
      </c>
      <c r="AW64" s="70" t="e">
        <f t="shared" si="85"/>
        <v>#REF!</v>
      </c>
      <c r="AX64" s="70" t="e">
        <f t="shared" si="85"/>
        <v>#REF!</v>
      </c>
      <c r="AY64" s="70" t="e">
        <f t="shared" si="85"/>
        <v>#REF!</v>
      </c>
      <c r="AZ64" s="70" t="e">
        <f t="shared" si="85"/>
        <v>#REF!</v>
      </c>
      <c r="BA64" s="70" t="e">
        <f t="shared" si="85"/>
        <v>#REF!</v>
      </c>
    </row>
    <row r="65" spans="27:53" hidden="1">
      <c r="AA65" s="71" t="s">
        <v>42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69" t="s">
        <v>48</v>
      </c>
      <c r="AB66" s="35"/>
      <c r="AF66" s="70" t="e">
        <f t="shared" ref="AF66:AO66" si="86">AF15+AF16+AF21</f>
        <v>#REF!</v>
      </c>
      <c r="AG66" s="70" t="e">
        <f t="shared" si="86"/>
        <v>#REF!</v>
      </c>
      <c r="AH66" s="70" t="e">
        <f t="shared" si="86"/>
        <v>#REF!</v>
      </c>
      <c r="AI66" s="70" t="e">
        <f t="shared" si="86"/>
        <v>#REF!</v>
      </c>
      <c r="AJ66" s="70" t="e">
        <f t="shared" si="86"/>
        <v>#REF!</v>
      </c>
      <c r="AK66" s="70" t="e">
        <f t="shared" si="86"/>
        <v>#REF!</v>
      </c>
      <c r="AL66" s="70" t="e">
        <f t="shared" si="86"/>
        <v>#REF!</v>
      </c>
      <c r="AM66" s="70" t="e">
        <f t="shared" si="86"/>
        <v>#REF!</v>
      </c>
      <c r="AN66" s="70" t="e">
        <f t="shared" si="86"/>
        <v>#REF!</v>
      </c>
      <c r="AO66" s="70" t="e">
        <f t="shared" si="86"/>
        <v>#REF!</v>
      </c>
      <c r="AP66" s="70"/>
      <c r="AQ66" s="70"/>
      <c r="AR66" s="70" t="e">
        <f t="shared" ref="AR66:BA66" si="87">AR15+AR16+AR21</f>
        <v>#REF!</v>
      </c>
      <c r="AS66" s="70" t="e">
        <f t="shared" si="87"/>
        <v>#REF!</v>
      </c>
      <c r="AT66" s="70" t="e">
        <f t="shared" si="87"/>
        <v>#REF!</v>
      </c>
      <c r="AU66" s="70" t="e">
        <f t="shared" si="87"/>
        <v>#REF!</v>
      </c>
      <c r="AV66" s="70" t="e">
        <f t="shared" si="87"/>
        <v>#REF!</v>
      </c>
      <c r="AW66" s="70" t="e">
        <f t="shared" si="87"/>
        <v>#REF!</v>
      </c>
      <c r="AX66" s="70" t="e">
        <f t="shared" si="87"/>
        <v>#REF!</v>
      </c>
      <c r="AY66" s="70" t="e">
        <f t="shared" si="87"/>
        <v>#REF!</v>
      </c>
      <c r="AZ66" s="70" t="e">
        <f t="shared" si="87"/>
        <v>#REF!</v>
      </c>
      <c r="BA66" s="70" t="e">
        <f t="shared" si="87"/>
        <v>#REF!</v>
      </c>
    </row>
    <row r="67" spans="27:53" hidden="1">
      <c r="AA67" s="71" t="s">
        <v>29</v>
      </c>
      <c r="AB67" s="35"/>
      <c r="AF67" s="70" t="e">
        <f t="shared" ref="AF67:AO67" si="88">AF26+AF27+AF32</f>
        <v>#REF!</v>
      </c>
      <c r="AG67" s="70" t="e">
        <f t="shared" si="88"/>
        <v>#REF!</v>
      </c>
      <c r="AH67" s="70" t="e">
        <f t="shared" si="88"/>
        <v>#REF!</v>
      </c>
      <c r="AI67" s="70" t="e">
        <f t="shared" si="88"/>
        <v>#REF!</v>
      </c>
      <c r="AJ67" s="70" t="e">
        <f t="shared" si="88"/>
        <v>#REF!</v>
      </c>
      <c r="AK67" s="70" t="e">
        <f t="shared" si="88"/>
        <v>#REF!</v>
      </c>
      <c r="AL67" s="70" t="e">
        <f t="shared" si="88"/>
        <v>#REF!</v>
      </c>
      <c r="AM67" s="70" t="e">
        <f t="shared" si="88"/>
        <v>#REF!</v>
      </c>
      <c r="AN67" s="70" t="e">
        <f t="shared" si="88"/>
        <v>#REF!</v>
      </c>
      <c r="AO67" s="70" t="e">
        <f t="shared" si="88"/>
        <v>#REF!</v>
      </c>
      <c r="AP67" s="70"/>
      <c r="AQ67" s="70"/>
      <c r="AR67" s="70" t="e">
        <f t="shared" ref="AR67:BA67" si="89">AR26+AR27+AR32</f>
        <v>#REF!</v>
      </c>
      <c r="AS67" s="70" t="e">
        <f t="shared" si="89"/>
        <v>#REF!</v>
      </c>
      <c r="AT67" s="70" t="e">
        <f t="shared" si="89"/>
        <v>#REF!</v>
      </c>
      <c r="AU67" s="70" t="e">
        <f t="shared" si="89"/>
        <v>#REF!</v>
      </c>
      <c r="AV67" s="70" t="e">
        <f t="shared" si="89"/>
        <v>#REF!</v>
      </c>
      <c r="AW67" s="70" t="e">
        <f t="shared" si="89"/>
        <v>#REF!</v>
      </c>
      <c r="AX67" s="70" t="e">
        <f t="shared" si="89"/>
        <v>#REF!</v>
      </c>
      <c r="AY67" s="70" t="e">
        <f t="shared" si="89"/>
        <v>#REF!</v>
      </c>
      <c r="AZ67" s="70" t="e">
        <f t="shared" si="89"/>
        <v>#REF!</v>
      </c>
      <c r="BA67" s="70" t="e">
        <f t="shared" si="89"/>
        <v>#REF!</v>
      </c>
    </row>
    <row r="68" spans="27:53" hidden="1">
      <c r="AA68" s="71" t="s">
        <v>41</v>
      </c>
      <c r="AB68" s="35"/>
      <c r="AF68" s="70" t="e">
        <f t="shared" ref="AF68:AO68" si="90">AF37+AF38+AF43</f>
        <v>#REF!</v>
      </c>
      <c r="AG68" s="70" t="e">
        <f t="shared" si="90"/>
        <v>#REF!</v>
      </c>
      <c r="AH68" s="70" t="e">
        <f t="shared" si="90"/>
        <v>#REF!</v>
      </c>
      <c r="AI68" s="70" t="e">
        <f t="shared" si="90"/>
        <v>#REF!</v>
      </c>
      <c r="AJ68" s="70" t="e">
        <f t="shared" si="90"/>
        <v>#REF!</v>
      </c>
      <c r="AK68" s="70" t="e">
        <f t="shared" si="90"/>
        <v>#REF!</v>
      </c>
      <c r="AL68" s="70" t="e">
        <f t="shared" si="90"/>
        <v>#REF!</v>
      </c>
      <c r="AM68" s="70" t="e">
        <f t="shared" si="90"/>
        <v>#REF!</v>
      </c>
      <c r="AN68" s="70" t="e">
        <f t="shared" si="90"/>
        <v>#REF!</v>
      </c>
      <c r="AO68" s="70" t="e">
        <f t="shared" si="90"/>
        <v>#REF!</v>
      </c>
      <c r="AP68" s="70"/>
      <c r="AQ68" s="70"/>
      <c r="AR68" s="70" t="e">
        <f t="shared" ref="AR68:BA68" si="91">AR37+AR38+AR43</f>
        <v>#REF!</v>
      </c>
      <c r="AS68" s="70" t="e">
        <f t="shared" si="91"/>
        <v>#REF!</v>
      </c>
      <c r="AT68" s="70" t="e">
        <f t="shared" si="91"/>
        <v>#REF!</v>
      </c>
      <c r="AU68" s="70" t="e">
        <f t="shared" si="91"/>
        <v>#REF!</v>
      </c>
      <c r="AV68" s="70" t="e">
        <f t="shared" si="91"/>
        <v>#REF!</v>
      </c>
      <c r="AW68" s="70" t="e">
        <f t="shared" si="91"/>
        <v>#REF!</v>
      </c>
      <c r="AX68" s="70" t="e">
        <f t="shared" si="91"/>
        <v>#REF!</v>
      </c>
      <c r="AY68" s="70" t="e">
        <f t="shared" si="91"/>
        <v>#REF!</v>
      </c>
      <c r="AZ68" s="70" t="e">
        <f t="shared" si="91"/>
        <v>#REF!</v>
      </c>
      <c r="BA68" s="70" t="e">
        <f t="shared" si="91"/>
        <v>#REF!</v>
      </c>
    </row>
    <row r="69" spans="27:53" hidden="1">
      <c r="AA69" s="71" t="s">
        <v>42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2" t="s">
        <v>49</v>
      </c>
      <c r="AB70" s="35"/>
      <c r="AF70" s="70" t="e">
        <f t="shared" ref="AF70:AO70" si="92">AF15+AF16+AF20+AF22</f>
        <v>#REF!</v>
      </c>
      <c r="AG70" s="70" t="e">
        <f t="shared" si="92"/>
        <v>#REF!</v>
      </c>
      <c r="AH70" s="70" t="e">
        <f t="shared" si="92"/>
        <v>#REF!</v>
      </c>
      <c r="AI70" s="70" t="e">
        <f t="shared" si="92"/>
        <v>#REF!</v>
      </c>
      <c r="AJ70" s="70" t="e">
        <f t="shared" si="92"/>
        <v>#REF!</v>
      </c>
      <c r="AK70" s="70" t="e">
        <f t="shared" si="92"/>
        <v>#REF!</v>
      </c>
      <c r="AL70" s="70" t="e">
        <f t="shared" si="92"/>
        <v>#REF!</v>
      </c>
      <c r="AM70" s="70" t="e">
        <f t="shared" si="92"/>
        <v>#REF!</v>
      </c>
      <c r="AN70" s="70" t="e">
        <f t="shared" si="92"/>
        <v>#REF!</v>
      </c>
      <c r="AO70" s="70" t="e">
        <f t="shared" si="92"/>
        <v>#REF!</v>
      </c>
      <c r="AP70" s="70"/>
      <c r="AQ70" s="70"/>
      <c r="AR70" s="70" t="e">
        <f t="shared" ref="AR70:BA70" si="93">AR15+AR16+AR20+AR22</f>
        <v>#REF!</v>
      </c>
      <c r="AS70" s="70" t="e">
        <f t="shared" si="93"/>
        <v>#REF!</v>
      </c>
      <c r="AT70" s="70" t="e">
        <f t="shared" si="93"/>
        <v>#REF!</v>
      </c>
      <c r="AU70" s="70" t="e">
        <f t="shared" si="93"/>
        <v>#REF!</v>
      </c>
      <c r="AV70" s="70" t="e">
        <f t="shared" si="93"/>
        <v>#REF!</v>
      </c>
      <c r="AW70" s="70" t="e">
        <f t="shared" si="93"/>
        <v>#REF!</v>
      </c>
      <c r="AX70" s="70" t="e">
        <f t="shared" si="93"/>
        <v>#REF!</v>
      </c>
      <c r="AY70" s="70" t="e">
        <f t="shared" si="93"/>
        <v>#REF!</v>
      </c>
      <c r="AZ70" s="70" t="e">
        <f t="shared" si="93"/>
        <v>#REF!</v>
      </c>
      <c r="BA70" s="70" t="e">
        <f t="shared" si="93"/>
        <v>#REF!</v>
      </c>
    </row>
    <row r="71" spans="27:53" hidden="1">
      <c r="AA71" s="71" t="s">
        <v>29</v>
      </c>
      <c r="AB71" s="35"/>
      <c r="AF71" s="70" t="e">
        <f t="shared" ref="AF71:AO71" si="94">AF26+AF27+AF31+AF33</f>
        <v>#REF!</v>
      </c>
      <c r="AG71" s="70" t="e">
        <f t="shared" si="94"/>
        <v>#REF!</v>
      </c>
      <c r="AH71" s="70" t="e">
        <f t="shared" si="94"/>
        <v>#REF!</v>
      </c>
      <c r="AI71" s="70" t="e">
        <f t="shared" si="94"/>
        <v>#REF!</v>
      </c>
      <c r="AJ71" s="70" t="e">
        <f t="shared" si="94"/>
        <v>#REF!</v>
      </c>
      <c r="AK71" s="70" t="e">
        <f t="shared" si="94"/>
        <v>#REF!</v>
      </c>
      <c r="AL71" s="70" t="e">
        <f t="shared" si="94"/>
        <v>#REF!</v>
      </c>
      <c r="AM71" s="70" t="e">
        <f t="shared" si="94"/>
        <v>#REF!</v>
      </c>
      <c r="AN71" s="70" t="e">
        <f t="shared" si="94"/>
        <v>#REF!</v>
      </c>
      <c r="AO71" s="70" t="e">
        <f t="shared" si="94"/>
        <v>#REF!</v>
      </c>
      <c r="AP71" s="70"/>
      <c r="AQ71" s="70"/>
      <c r="AR71" s="70" t="e">
        <f t="shared" ref="AR71:BA71" si="95">AR26+AR27+AR31+AR33</f>
        <v>#REF!</v>
      </c>
      <c r="AS71" s="70" t="e">
        <f t="shared" si="95"/>
        <v>#REF!</v>
      </c>
      <c r="AT71" s="70" t="e">
        <f t="shared" si="95"/>
        <v>#REF!</v>
      </c>
      <c r="AU71" s="70" t="e">
        <f t="shared" si="95"/>
        <v>#REF!</v>
      </c>
      <c r="AV71" s="70" t="e">
        <f t="shared" si="95"/>
        <v>#REF!</v>
      </c>
      <c r="AW71" s="70" t="e">
        <f t="shared" si="95"/>
        <v>#REF!</v>
      </c>
      <c r="AX71" s="70" t="e">
        <f t="shared" si="95"/>
        <v>#REF!</v>
      </c>
      <c r="AY71" s="70" t="e">
        <f t="shared" si="95"/>
        <v>#REF!</v>
      </c>
      <c r="AZ71" s="70" t="e">
        <f t="shared" si="95"/>
        <v>#REF!</v>
      </c>
      <c r="BA71" s="70" t="e">
        <f t="shared" si="95"/>
        <v>#REF!</v>
      </c>
    </row>
    <row r="72" spans="27:53" hidden="1">
      <c r="AA72" s="71" t="s">
        <v>41</v>
      </c>
      <c r="AB72" s="35"/>
      <c r="AF72" s="70" t="e">
        <f t="shared" ref="AF72:AO72" si="96">AF37+AF38+AF42+AF44</f>
        <v>#REF!</v>
      </c>
      <c r="AG72" s="70" t="e">
        <f t="shared" si="96"/>
        <v>#REF!</v>
      </c>
      <c r="AH72" s="70" t="e">
        <f t="shared" si="96"/>
        <v>#REF!</v>
      </c>
      <c r="AI72" s="70" t="e">
        <f t="shared" si="96"/>
        <v>#REF!</v>
      </c>
      <c r="AJ72" s="70" t="e">
        <f t="shared" si="96"/>
        <v>#REF!</v>
      </c>
      <c r="AK72" s="70" t="e">
        <f t="shared" si="96"/>
        <v>#REF!</v>
      </c>
      <c r="AL72" s="70" t="e">
        <f t="shared" si="96"/>
        <v>#REF!</v>
      </c>
      <c r="AM72" s="70" t="e">
        <f t="shared" si="96"/>
        <v>#REF!</v>
      </c>
      <c r="AN72" s="70" t="e">
        <f t="shared" si="96"/>
        <v>#REF!</v>
      </c>
      <c r="AO72" s="70" t="e">
        <f t="shared" si="96"/>
        <v>#REF!</v>
      </c>
      <c r="AP72" s="70"/>
      <c r="AQ72" s="70"/>
      <c r="AR72" s="70" t="e">
        <f t="shared" ref="AR72:BA72" si="97">AR37+AR38+AR42+AR44</f>
        <v>#REF!</v>
      </c>
      <c r="AS72" s="70" t="e">
        <f t="shared" si="97"/>
        <v>#REF!</v>
      </c>
      <c r="AT72" s="70" t="e">
        <f t="shared" si="97"/>
        <v>#REF!</v>
      </c>
      <c r="AU72" s="70" t="e">
        <f t="shared" si="97"/>
        <v>#REF!</v>
      </c>
      <c r="AV72" s="70" t="e">
        <f t="shared" si="97"/>
        <v>#REF!</v>
      </c>
      <c r="AW72" s="70" t="e">
        <f t="shared" si="97"/>
        <v>#REF!</v>
      </c>
      <c r="AX72" s="70" t="e">
        <f t="shared" si="97"/>
        <v>#REF!</v>
      </c>
      <c r="AY72" s="70" t="e">
        <f t="shared" si="97"/>
        <v>#REF!</v>
      </c>
      <c r="AZ72" s="70" t="e">
        <f t="shared" si="97"/>
        <v>#REF!</v>
      </c>
      <c r="BA72" s="70" t="e">
        <f t="shared" si="97"/>
        <v>#REF!</v>
      </c>
    </row>
    <row r="73" spans="27:53" hidden="1">
      <c r="AA73" s="71" t="s">
        <v>42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69" t="s">
        <v>50</v>
      </c>
      <c r="AB74" s="35"/>
      <c r="AF74" s="70" t="e">
        <f t="shared" ref="AF74:AO74" si="98">AF15+AF16+AF20+AF23</f>
        <v>#REF!</v>
      </c>
      <c r="AG74" s="70" t="e">
        <f t="shared" si="98"/>
        <v>#REF!</v>
      </c>
      <c r="AH74" s="70" t="e">
        <f t="shared" si="98"/>
        <v>#REF!</v>
      </c>
      <c r="AI74" s="70" t="e">
        <f t="shared" si="98"/>
        <v>#REF!</v>
      </c>
      <c r="AJ74" s="70" t="e">
        <f t="shared" si="98"/>
        <v>#REF!</v>
      </c>
      <c r="AK74" s="70" t="e">
        <f t="shared" si="98"/>
        <v>#REF!</v>
      </c>
      <c r="AL74" s="70" t="e">
        <f t="shared" si="98"/>
        <v>#REF!</v>
      </c>
      <c r="AM74" s="70" t="e">
        <f t="shared" si="98"/>
        <v>#REF!</v>
      </c>
      <c r="AN74" s="70" t="e">
        <f t="shared" si="98"/>
        <v>#REF!</v>
      </c>
      <c r="AO74" s="70" t="e">
        <f t="shared" si="98"/>
        <v>#REF!</v>
      </c>
      <c r="AP74" s="70"/>
      <c r="AQ74" s="70"/>
      <c r="AR74" s="70" t="e">
        <f t="shared" ref="AR74:BA74" si="99">AR15+AR16+AR20+AR23</f>
        <v>#REF!</v>
      </c>
      <c r="AS74" s="70" t="e">
        <f t="shared" si="99"/>
        <v>#REF!</v>
      </c>
      <c r="AT74" s="70" t="e">
        <f t="shared" si="99"/>
        <v>#REF!</v>
      </c>
      <c r="AU74" s="70" t="e">
        <f t="shared" si="99"/>
        <v>#REF!</v>
      </c>
      <c r="AV74" s="70" t="e">
        <f t="shared" si="99"/>
        <v>#REF!</v>
      </c>
      <c r="AW74" s="70" t="e">
        <f t="shared" si="99"/>
        <v>#REF!</v>
      </c>
      <c r="AX74" s="70" t="e">
        <f t="shared" si="99"/>
        <v>#REF!</v>
      </c>
      <c r="AY74" s="70" t="e">
        <f t="shared" si="99"/>
        <v>#REF!</v>
      </c>
      <c r="AZ74" s="70" t="e">
        <f t="shared" si="99"/>
        <v>#REF!</v>
      </c>
      <c r="BA74" s="70" t="e">
        <f t="shared" si="99"/>
        <v>#REF!</v>
      </c>
    </row>
    <row r="75" spans="27:53" hidden="1">
      <c r="AA75" s="71" t="s">
        <v>29</v>
      </c>
      <c r="AB75" s="35"/>
      <c r="AF75" s="70" t="e">
        <f t="shared" ref="AF75:AO75" si="100">AF26+AF27+AF31+AF34</f>
        <v>#REF!</v>
      </c>
      <c r="AG75" s="70" t="e">
        <f t="shared" si="100"/>
        <v>#REF!</v>
      </c>
      <c r="AH75" s="70" t="e">
        <f t="shared" si="100"/>
        <v>#REF!</v>
      </c>
      <c r="AI75" s="70" t="e">
        <f t="shared" si="100"/>
        <v>#REF!</v>
      </c>
      <c r="AJ75" s="70" t="e">
        <f t="shared" si="100"/>
        <v>#REF!</v>
      </c>
      <c r="AK75" s="70" t="e">
        <f t="shared" si="100"/>
        <v>#REF!</v>
      </c>
      <c r="AL75" s="70" t="e">
        <f t="shared" si="100"/>
        <v>#REF!</v>
      </c>
      <c r="AM75" s="70" t="e">
        <f t="shared" si="100"/>
        <v>#REF!</v>
      </c>
      <c r="AN75" s="70" t="e">
        <f t="shared" si="100"/>
        <v>#REF!</v>
      </c>
      <c r="AO75" s="70" t="e">
        <f t="shared" si="100"/>
        <v>#REF!</v>
      </c>
      <c r="AP75" s="70"/>
      <c r="AQ75" s="70"/>
      <c r="AR75" s="70" t="e">
        <f t="shared" ref="AR75:BA75" si="101">AR26+AR27+AR31+AR34</f>
        <v>#REF!</v>
      </c>
      <c r="AS75" s="70" t="e">
        <f t="shared" si="101"/>
        <v>#REF!</v>
      </c>
      <c r="AT75" s="70" t="e">
        <f t="shared" si="101"/>
        <v>#REF!</v>
      </c>
      <c r="AU75" s="70" t="e">
        <f t="shared" si="101"/>
        <v>#REF!</v>
      </c>
      <c r="AV75" s="70" t="e">
        <f t="shared" si="101"/>
        <v>#REF!</v>
      </c>
      <c r="AW75" s="70" t="e">
        <f t="shared" si="101"/>
        <v>#REF!</v>
      </c>
      <c r="AX75" s="70" t="e">
        <f t="shared" si="101"/>
        <v>#REF!</v>
      </c>
      <c r="AY75" s="70" t="e">
        <f t="shared" si="101"/>
        <v>#REF!</v>
      </c>
      <c r="AZ75" s="70" t="e">
        <f t="shared" si="101"/>
        <v>#REF!</v>
      </c>
      <c r="BA75" s="70" t="e">
        <f t="shared" si="101"/>
        <v>#REF!</v>
      </c>
    </row>
    <row r="76" spans="27:53" hidden="1">
      <c r="AA76" s="71" t="s">
        <v>41</v>
      </c>
      <c r="AB76" s="35"/>
      <c r="AF76" s="70" t="e">
        <f t="shared" ref="AF76:AO76" si="102">AF37+AF38+AF42+AF45</f>
        <v>#REF!</v>
      </c>
      <c r="AG76" s="70" t="e">
        <f t="shared" si="102"/>
        <v>#REF!</v>
      </c>
      <c r="AH76" s="70" t="e">
        <f t="shared" si="102"/>
        <v>#REF!</v>
      </c>
      <c r="AI76" s="70" t="e">
        <f t="shared" si="102"/>
        <v>#REF!</v>
      </c>
      <c r="AJ76" s="70" t="e">
        <f t="shared" si="102"/>
        <v>#REF!</v>
      </c>
      <c r="AK76" s="70" t="e">
        <f t="shared" si="102"/>
        <v>#REF!</v>
      </c>
      <c r="AL76" s="70" t="e">
        <f t="shared" si="102"/>
        <v>#REF!</v>
      </c>
      <c r="AM76" s="70" t="e">
        <f t="shared" si="102"/>
        <v>#REF!</v>
      </c>
      <c r="AN76" s="70" t="e">
        <f t="shared" si="102"/>
        <v>#REF!</v>
      </c>
      <c r="AO76" s="70" t="e">
        <f t="shared" si="102"/>
        <v>#REF!</v>
      </c>
      <c r="AP76" s="70"/>
      <c r="AQ76" s="70"/>
      <c r="AR76" s="70" t="e">
        <f t="shared" ref="AR76:BA76" si="103">AR37+AR38+AR42+AR45</f>
        <v>#REF!</v>
      </c>
      <c r="AS76" s="70" t="e">
        <f t="shared" si="103"/>
        <v>#REF!</v>
      </c>
      <c r="AT76" s="70" t="e">
        <f t="shared" si="103"/>
        <v>#REF!</v>
      </c>
      <c r="AU76" s="70" t="e">
        <f t="shared" si="103"/>
        <v>#REF!</v>
      </c>
      <c r="AV76" s="70" t="e">
        <f t="shared" si="103"/>
        <v>#REF!</v>
      </c>
      <c r="AW76" s="70" t="e">
        <f t="shared" si="103"/>
        <v>#REF!</v>
      </c>
      <c r="AX76" s="70" t="e">
        <f t="shared" si="103"/>
        <v>#REF!</v>
      </c>
      <c r="AY76" s="70" t="e">
        <f t="shared" si="103"/>
        <v>#REF!</v>
      </c>
      <c r="AZ76" s="70" t="e">
        <f t="shared" si="103"/>
        <v>#REF!</v>
      </c>
      <c r="BA76" s="70" t="e">
        <f t="shared" si="103"/>
        <v>#REF!</v>
      </c>
    </row>
    <row r="77" spans="27:53" hidden="1">
      <c r="AA77" s="71" t="s">
        <v>42</v>
      </c>
      <c r="AB77" s="35"/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N87" s="38"/>
      <c r="AZ87" s="36"/>
    </row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45" t="s">
        <v>55</v>
      </c>
      <c r="G89" s="545" t="s">
        <v>73</v>
      </c>
      <c r="H89" s="545" t="s">
        <v>74</v>
      </c>
      <c r="I89" s="545" t="s">
        <v>58</v>
      </c>
      <c r="J89" s="545" t="s">
        <v>59</v>
      </c>
      <c r="K89" s="545" t="s">
        <v>60</v>
      </c>
      <c r="L89" s="544" t="s">
        <v>75</v>
      </c>
      <c r="M89" s="544" t="s">
        <v>76</v>
      </c>
      <c r="N89" s="544" t="s">
        <v>61</v>
      </c>
      <c r="O89" s="544" t="s">
        <v>62</v>
      </c>
      <c r="P89" s="544" t="s">
        <v>63</v>
      </c>
      <c r="AN89" s="38"/>
      <c r="AZ89" s="36"/>
    </row>
    <row r="90" spans="1:52" ht="25.5">
      <c r="A90" s="44" t="str">
        <f t="shared" ref="A90:C91" si="104">A4</f>
        <v>Substation General Construction</v>
      </c>
      <c r="B90" s="45" t="str">
        <f t="shared" si="104"/>
        <v>Light-Duty Truck, catalyst</v>
      </c>
      <c r="C90" s="46">
        <f t="shared" si="104"/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1" si="105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si="104"/>
        <v>Substation Wiring</v>
      </c>
      <c r="B91" s="45" t="str">
        <f t="shared" si="104"/>
        <v>Light-Duty Truck, catalyst</v>
      </c>
      <c r="C91" s="46">
        <f t="shared" si="104"/>
        <v>1</v>
      </c>
      <c r="D91" s="46">
        <v>35</v>
      </c>
      <c r="E91" s="46">
        <v>80</v>
      </c>
      <c r="F91" s="50">
        <f>C5*($E5*$F5+($G5))/453.59</f>
        <v>0.48571938588092006</v>
      </c>
      <c r="G91" s="50">
        <f>C5*($E5*$H5+($I5))/453.59</f>
        <v>4.367065729437801E-2</v>
      </c>
      <c r="H91" s="50">
        <f>C5*(($E5*$J5)+($K5)+($L5)+($E5*$N5)+(($M5+$O5)))/453.59</f>
        <v>5.0499980323953329E-2</v>
      </c>
      <c r="I91" s="50">
        <f>C5*($E5*$P5+($Q5))/453.59</f>
        <v>7.2679702716061593E-4</v>
      </c>
      <c r="J91" s="50">
        <f>C5*(($E5*($R5+$T5+$U5))+($S5))/453.59</f>
        <v>8.5240904552078972E-3</v>
      </c>
      <c r="K91" s="50">
        <f>$C5*(($E5*($V5+$X5+$Y5))+($W5))/453.59</f>
        <v>3.7120053242531417E-3</v>
      </c>
      <c r="L91" s="50">
        <f>$B$23*C5*(E5+6)</f>
        <v>8.4385825860718994E-3</v>
      </c>
      <c r="M91" s="50">
        <f t="shared" si="105"/>
        <v>3.4598188602894785E-3</v>
      </c>
      <c r="N91" s="50">
        <f>C5*($E5*$Z5+($AA5))/453.59</f>
        <v>55.423576726038895</v>
      </c>
      <c r="O91" s="50">
        <f>C5*($E5*$AB5+($AC5))/453.59</f>
        <v>3.1704753890302493E-3</v>
      </c>
      <c r="P91" s="50">
        <f>C5*($E5*$AD5+($AE5))/453.59</f>
        <v>5.7711199138433603E-3</v>
      </c>
      <c r="AN91" s="38"/>
      <c r="AZ91" s="36"/>
    </row>
    <row r="92" spans="1:52" ht="25.5">
      <c r="A92" s="44" t="str">
        <f t="shared" ref="A92:C92" si="106">A6</f>
        <v>Telecom</v>
      </c>
      <c r="B92" s="45" t="str">
        <f t="shared" si="106"/>
        <v>Light-Duty Truck, catalyst</v>
      </c>
      <c r="C92" s="46">
        <f t="shared" si="106"/>
        <v>2</v>
      </c>
      <c r="D92" s="46">
        <v>35</v>
      </c>
      <c r="E92" s="46">
        <v>80</v>
      </c>
      <c r="F92" s="50">
        <f>C6*($E6*$F6+($G6))/453.59</f>
        <v>0.97143877176184013</v>
      </c>
      <c r="G92" s="50">
        <f>C6*($E6*$H6+($I6))/453.59</f>
        <v>8.7341314588756019E-2</v>
      </c>
      <c r="H92" s="50">
        <f>C6*(($E6*$J6)+($K6)+($L6)+($E6*$N6)+(($M6+$O6)))/453.59</f>
        <v>0.10099996064790666</v>
      </c>
      <c r="I92" s="50">
        <f>C6*($E6*$P6+($Q6))/453.59</f>
        <v>1.4535940543212319E-3</v>
      </c>
      <c r="J92" s="50">
        <f>C6*(($E6*($R6+$T6+$U6))+($S6))/453.59</f>
        <v>1.7048180910415794E-2</v>
      </c>
      <c r="K92" s="50">
        <f>$C6*(($E6*($V6+$X6+$Y6))+($W6))/453.59</f>
        <v>7.4240106485062834E-3</v>
      </c>
      <c r="L92" s="50">
        <f>$B$23*C6*(E6+6)</f>
        <v>1.6877165172143799E-2</v>
      </c>
      <c r="M92" s="50">
        <f t="shared" ref="M92" si="107">0.41*L92</f>
        <v>6.9196377205789569E-3</v>
      </c>
      <c r="N92" s="50">
        <f>C6*($E6*$Z6+($AA6))/453.59</f>
        <v>110.84715345207779</v>
      </c>
      <c r="O92" s="50">
        <f>C6*($E6*$AB6+($AC6))/453.59</f>
        <v>6.3409507780604986E-3</v>
      </c>
      <c r="P92" s="50">
        <f>C6*($E6*$AD6+($AE6))/453.59</f>
        <v>1.1542239827686721E-2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 t="shared" ref="F93:P93" si="108">SUM(F90:F92)</f>
        <v>2.9143163152855203</v>
      </c>
      <c r="G93" s="81">
        <f t="shared" si="108"/>
        <v>0.26202394376626803</v>
      </c>
      <c r="H93" s="81">
        <f t="shared" si="108"/>
        <v>0.30299988194371996</v>
      </c>
      <c r="I93" s="81">
        <f t="shared" si="108"/>
        <v>4.3607821629636952E-3</v>
      </c>
      <c r="J93" s="81">
        <f t="shared" si="108"/>
        <v>5.1144542731247383E-2</v>
      </c>
      <c r="K93" s="81">
        <f t="shared" si="108"/>
        <v>2.2272031945518848E-2</v>
      </c>
      <c r="L93" s="81">
        <f t="shared" si="108"/>
        <v>5.0631495516431396E-2</v>
      </c>
      <c r="M93" s="81">
        <f t="shared" si="108"/>
        <v>2.0758913161736871E-2</v>
      </c>
      <c r="N93" s="81">
        <f t="shared" si="108"/>
        <v>332.54146035623342</v>
      </c>
      <c r="O93" s="81">
        <f t="shared" si="108"/>
        <v>1.9022852334181495E-2</v>
      </c>
      <c r="P93" s="81">
        <f t="shared" si="108"/>
        <v>3.4626719483060162E-2</v>
      </c>
    </row>
  </sheetData>
  <mergeCells count="16">
    <mergeCell ref="AR12:BA12"/>
    <mergeCell ref="A88:A89"/>
    <mergeCell ref="B88:B89"/>
    <mergeCell ref="F88:P88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0"/>
  <sheetViews>
    <sheetView zoomScale="75" zoomScaleNormal="75" workbookViewId="0">
      <selection activeCell="L50" sqref="L50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699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317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24" t="s">
        <v>311</v>
      </c>
      <c r="B14" s="29" t="s">
        <v>27</v>
      </c>
      <c r="C14" s="22">
        <v>175</v>
      </c>
      <c r="D14" s="22"/>
      <c r="E14" s="102">
        <v>0.11792220738547983</v>
      </c>
      <c r="F14" s="102">
        <v>0.36512193352152528</v>
      </c>
      <c r="G14" s="102">
        <v>0.86781464282266541</v>
      </c>
      <c r="H14" s="102">
        <v>1.8739217498104396E-3</v>
      </c>
      <c r="I14" s="102">
        <v>2.9041712295589866E-2</v>
      </c>
      <c r="J14" s="100">
        <f t="shared" ref="J14" si="4">0.89*I14</f>
        <v>2.5847123943074982E-2</v>
      </c>
      <c r="K14" s="103">
        <v>166.54541562452522</v>
      </c>
      <c r="L14" s="102">
        <v>1.063993297769634E-2</v>
      </c>
      <c r="M14" s="104">
        <f t="shared" ref="M14" si="5">0.095*G14</f>
        <v>8.2442391068153209E-2</v>
      </c>
      <c r="N14" s="98">
        <v>1</v>
      </c>
      <c r="O14" s="87">
        <v>2</v>
      </c>
      <c r="P14" s="363">
        <v>280</v>
      </c>
      <c r="Q14" s="34">
        <f t="shared" ref="Q14:Y14" si="6">(E14*$N14*$O14)</f>
        <v>0.23584441477095966</v>
      </c>
      <c r="R14" s="26">
        <f t="shared" si="6"/>
        <v>0.73024386704305055</v>
      </c>
      <c r="S14" s="26">
        <f t="shared" si="6"/>
        <v>1.7356292856453308</v>
      </c>
      <c r="T14" s="26">
        <f t="shared" si="6"/>
        <v>3.7478434996208792E-3</v>
      </c>
      <c r="U14" s="26">
        <f t="shared" si="6"/>
        <v>5.8083424591179732E-2</v>
      </c>
      <c r="V14" s="26">
        <f t="shared" si="6"/>
        <v>5.1694247886149965E-2</v>
      </c>
      <c r="W14" s="26">
        <f t="shared" si="6"/>
        <v>333.09083124905044</v>
      </c>
      <c r="X14" s="26">
        <f t="shared" si="6"/>
        <v>2.127986595539268E-2</v>
      </c>
      <c r="Y14" s="26">
        <f t="shared" si="6"/>
        <v>0.16488478213630642</v>
      </c>
    </row>
    <row r="15" spans="1:25" s="3" customFormat="1">
      <c r="A15" s="17" t="s">
        <v>28</v>
      </c>
      <c r="B15" s="97"/>
      <c r="C15" s="22"/>
      <c r="D15" s="22"/>
      <c r="E15" s="23"/>
      <c r="F15" s="23"/>
      <c r="G15" s="23"/>
      <c r="H15" s="23"/>
      <c r="I15" s="23"/>
      <c r="J15" s="24"/>
      <c r="K15" s="25"/>
      <c r="L15" s="23"/>
      <c r="M15" s="23"/>
      <c r="N15" s="88"/>
      <c r="O15" s="88"/>
      <c r="P15" s="88"/>
      <c r="Q15" s="27">
        <f t="shared" ref="Q15:Y15" si="7">SUM(Q14:Q14)</f>
        <v>0.23584441477095966</v>
      </c>
      <c r="R15" s="27">
        <f t="shared" si="7"/>
        <v>0.73024386704305055</v>
      </c>
      <c r="S15" s="27">
        <f t="shared" si="7"/>
        <v>1.7356292856453308</v>
      </c>
      <c r="T15" s="27">
        <f t="shared" si="7"/>
        <v>3.7478434996208792E-3</v>
      </c>
      <c r="U15" s="27">
        <f t="shared" si="7"/>
        <v>5.8083424591179732E-2</v>
      </c>
      <c r="V15" s="27">
        <f t="shared" si="7"/>
        <v>5.1694247886149965E-2</v>
      </c>
      <c r="W15" s="27">
        <f t="shared" si="7"/>
        <v>333.09083124905044</v>
      </c>
      <c r="X15" s="27">
        <f t="shared" si="7"/>
        <v>2.127986595539268E-2</v>
      </c>
      <c r="Y15" s="27">
        <f t="shared" si="7"/>
        <v>0.16488478213630642</v>
      </c>
    </row>
    <row r="16" spans="1:25" s="3" customFormat="1">
      <c r="A16" s="24"/>
      <c r="B16" s="29"/>
      <c r="C16" s="22"/>
      <c r="D16" s="22"/>
      <c r="E16" s="108"/>
      <c r="F16" s="108"/>
      <c r="G16" s="108"/>
      <c r="H16" s="108"/>
      <c r="I16" s="108"/>
      <c r="J16" s="100"/>
      <c r="K16" s="365"/>
      <c r="L16" s="110"/>
      <c r="M16" s="102"/>
      <c r="N16" s="98"/>
      <c r="O16" s="98"/>
      <c r="P16" s="363"/>
      <c r="Q16" s="34"/>
      <c r="R16" s="26"/>
      <c r="S16" s="26"/>
      <c r="T16" s="26"/>
      <c r="U16" s="26"/>
      <c r="V16" s="26"/>
      <c r="W16" s="26"/>
      <c r="X16" s="26"/>
      <c r="Y16" s="26"/>
    </row>
    <row r="17" spans="1:25" s="3" customFormat="1">
      <c r="A17" s="11" t="s">
        <v>518</v>
      </c>
      <c r="B17" s="22"/>
      <c r="C17" s="18"/>
      <c r="D17" s="22"/>
      <c r="E17" s="19"/>
      <c r="F17" s="19"/>
      <c r="G17" s="19"/>
      <c r="H17" s="19"/>
      <c r="I17" s="19"/>
      <c r="J17" s="19"/>
      <c r="K17" s="19"/>
      <c r="L17" s="19"/>
      <c r="M17" s="19"/>
      <c r="N17" s="11"/>
      <c r="O17" s="11"/>
      <c r="P17" s="11"/>
      <c r="Q17" s="27"/>
      <c r="R17" s="27"/>
      <c r="S17" s="27"/>
      <c r="T17" s="27"/>
      <c r="U17" s="27"/>
      <c r="V17" s="27"/>
      <c r="W17" s="28"/>
      <c r="X17" s="27"/>
      <c r="Y17" s="27"/>
    </row>
    <row r="18" spans="1:25" s="3" customFormat="1">
      <c r="A18" s="17" t="s">
        <v>28</v>
      </c>
      <c r="B18" s="97"/>
      <c r="C18" s="22"/>
      <c r="D18" s="22"/>
      <c r="E18" s="102"/>
      <c r="F18" s="102"/>
      <c r="G18" s="102"/>
      <c r="H18" s="102"/>
      <c r="I18" s="102"/>
      <c r="J18" s="100"/>
      <c r="K18" s="103"/>
      <c r="L18" s="102"/>
      <c r="M18" s="104"/>
      <c r="N18" s="88"/>
      <c r="O18" s="88"/>
      <c r="P18" s="88"/>
      <c r="Q18" s="27"/>
      <c r="R18" s="27"/>
      <c r="S18" s="27"/>
      <c r="T18" s="27"/>
      <c r="U18" s="27"/>
      <c r="V18" s="27"/>
      <c r="W18" s="27"/>
      <c r="X18" s="27"/>
      <c r="Y18" s="27"/>
    </row>
    <row r="19" spans="1:25" s="3" customFormat="1">
      <c r="A19" s="17"/>
      <c r="B19" s="29"/>
      <c r="C19" s="22"/>
      <c r="D19" s="22"/>
      <c r="E19" s="23"/>
      <c r="F19" s="23"/>
      <c r="G19" s="23"/>
      <c r="H19" s="23"/>
      <c r="I19" s="23"/>
      <c r="J19" s="24"/>
      <c r="K19" s="25"/>
      <c r="L19" s="23"/>
      <c r="M19" s="23"/>
      <c r="N19" s="99"/>
      <c r="O19" s="99"/>
      <c r="P19" s="99"/>
      <c r="Q19" s="27"/>
      <c r="R19" s="27"/>
      <c r="S19" s="27"/>
      <c r="T19" s="27"/>
      <c r="U19" s="27"/>
      <c r="V19" s="27"/>
      <c r="W19" s="27"/>
      <c r="X19" s="27"/>
      <c r="Y19" s="27"/>
    </row>
    <row r="20" spans="1:25">
      <c r="A20" s="17" t="s">
        <v>499</v>
      </c>
      <c r="B20" s="549"/>
      <c r="C20" s="18"/>
      <c r="D20" s="22"/>
      <c r="E20" s="19"/>
      <c r="F20" s="19"/>
      <c r="G20" s="19"/>
      <c r="H20" s="19"/>
      <c r="I20" s="19"/>
      <c r="J20" s="19"/>
      <c r="K20" s="19"/>
      <c r="L20" s="19"/>
      <c r="M20" s="19"/>
      <c r="N20" s="30"/>
      <c r="O20" s="30"/>
      <c r="P20" s="364"/>
      <c r="Q20" s="20">
        <f>Q11+Q15</f>
        <v>0.9504215378625569</v>
      </c>
      <c r="R20" s="20">
        <f t="shared" ref="R20:Y20" si="8">R11+R15</f>
        <v>3.6844030780014445</v>
      </c>
      <c r="S20" s="20">
        <f t="shared" si="8"/>
        <v>6.1566857317844876</v>
      </c>
      <c r="T20" s="20">
        <f t="shared" si="8"/>
        <v>1.207090973569876E-2</v>
      </c>
      <c r="U20" s="20">
        <f t="shared" si="8"/>
        <v>0.30389171690722716</v>
      </c>
      <c r="V20" s="20">
        <f t="shared" si="8"/>
        <v>0.27046362804743218</v>
      </c>
      <c r="W20" s="20">
        <f t="shared" si="8"/>
        <v>1029.5443237340787</v>
      </c>
      <c r="X20" s="20">
        <f t="shared" si="8"/>
        <v>9.3819672145962416E-2</v>
      </c>
      <c r="Y20" s="20">
        <f t="shared" si="8"/>
        <v>0.58488514451952633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3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700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315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C9*(F9)*$B$359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5" t="s">
        <v>28</v>
      </c>
      <c r="B10" s="74"/>
      <c r="C10" s="112"/>
      <c r="D10" s="112"/>
      <c r="E10" s="74"/>
      <c r="F10" s="74"/>
      <c r="G10" s="577"/>
      <c r="H10" s="41"/>
      <c r="I10" s="41"/>
      <c r="J10" s="41"/>
      <c r="K10" s="574"/>
      <c r="L10" s="574"/>
      <c r="M10" s="574"/>
      <c r="N10" s="574"/>
      <c r="O10" s="574"/>
      <c r="P10" s="574"/>
      <c r="Q10" s="41"/>
      <c r="R10" s="574"/>
      <c r="S10" s="574"/>
      <c r="T10" s="81">
        <f t="shared" ref="T10:AD10" si="0">SUM(T9:T9)</f>
        <v>9.9891275533645019E-2</v>
      </c>
      <c r="U10" s="81">
        <f t="shared" si="0"/>
        <v>0.18440937782971867</v>
      </c>
      <c r="V10" s="81">
        <f t="shared" si="0"/>
        <v>2.253067276294635E-2</v>
      </c>
      <c r="W10" s="81">
        <f t="shared" si="0"/>
        <v>1.3898613406074772E-3</v>
      </c>
      <c r="X10" s="81">
        <f t="shared" si="0"/>
        <v>3.6369464870151122E-2</v>
      </c>
      <c r="Y10" s="81">
        <f t="shared" si="0"/>
        <v>2.4166098982977401E-2</v>
      </c>
      <c r="Z10" s="81">
        <f t="shared" si="0"/>
        <v>0</v>
      </c>
      <c r="AA10" s="81">
        <f t="shared" si="0"/>
        <v>0</v>
      </c>
      <c r="AB10" s="81">
        <f t="shared" si="0"/>
        <v>96.814105590256631</v>
      </c>
      <c r="AC10" s="81">
        <f t="shared" si="0"/>
        <v>5.5322484357440338E-3</v>
      </c>
      <c r="AD10" s="81">
        <f t="shared" si="0"/>
        <v>2.4799901288000137E-3</v>
      </c>
    </row>
    <row r="11" spans="1:30">
      <c r="A11" s="75"/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</row>
    <row r="12" spans="1:30">
      <c r="A12" s="114" t="s">
        <v>336</v>
      </c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>
      <c r="A13" s="78" t="s">
        <v>320</v>
      </c>
      <c r="B13" s="76" t="s">
        <v>95</v>
      </c>
      <c r="C13" s="79">
        <v>3</v>
      </c>
      <c r="D13" s="77"/>
      <c r="E13" s="77">
        <v>35</v>
      </c>
      <c r="F13" s="77">
        <v>60</v>
      </c>
      <c r="G13" s="106">
        <v>0.25172046482947802</v>
      </c>
      <c r="H13" s="106">
        <v>0.464701387165456</v>
      </c>
      <c r="I13" s="106">
        <v>5.6776043658582402E-2</v>
      </c>
      <c r="J13" s="106">
        <v>3.5023733638119199E-3</v>
      </c>
      <c r="K13" s="106">
        <v>4.6899256897933901E-2</v>
      </c>
      <c r="L13" s="47">
        <v>7.99995847163921E-3</v>
      </c>
      <c r="M13" s="47">
        <v>3.6749815577381599E-2</v>
      </c>
      <c r="N13" s="106">
        <v>4.3147317248333997E-2</v>
      </c>
      <c r="O13" s="47">
        <v>1.9999896145790402E-3</v>
      </c>
      <c r="P13" s="47">
        <v>1.57499200131354E-2</v>
      </c>
      <c r="Q13" s="106">
        <v>243.966167526025</v>
      </c>
      <c r="R13" s="47">
        <f>0.000057143*Q13</f>
        <v>1.3940958710939646E-2</v>
      </c>
      <c r="S13" s="80">
        <f>0.000025616*Q13</f>
        <v>6.2494373473466567E-3</v>
      </c>
      <c r="T13" s="50">
        <f>C13*($F13*$G13)/453.59</f>
        <v>9.9891275533645019E-2</v>
      </c>
      <c r="U13" s="50">
        <f>C13*($F13*$H13)/453.59</f>
        <v>0.18440937782971867</v>
      </c>
      <c r="V13" s="50">
        <f>C13*(($F13*$I13))/453.59</f>
        <v>2.253067276294635E-2</v>
      </c>
      <c r="W13" s="50">
        <f>C13*($F13*$J13)/453.59</f>
        <v>1.3898613406074772E-3</v>
      </c>
      <c r="X13" s="50">
        <f>C13*(($F13*($K13+$L13+$M13)))/453.59</f>
        <v>3.6369464870151122E-2</v>
      </c>
      <c r="Y13" s="50">
        <f>C13*(($F13*($N13+$O13+$P13)))/453.59</f>
        <v>2.4166098982977401E-2</v>
      </c>
      <c r="Z13" s="50">
        <f>C13*(F13)*$B$320</f>
        <v>0</v>
      </c>
      <c r="AA13" s="50">
        <f>Z13*0.21</f>
        <v>0</v>
      </c>
      <c r="AB13" s="50">
        <f>C13*(($F13*($Q13)))/453.59</f>
        <v>96.814105590256631</v>
      </c>
      <c r="AC13" s="50">
        <f>C13*(($F13*($R13)))/453.59</f>
        <v>5.5322484357440338E-3</v>
      </c>
      <c r="AD13" s="50">
        <f>C13*(($F13*($S13)))/453.59</f>
        <v>2.4799901288000137E-3</v>
      </c>
    </row>
    <row r="14" spans="1:30">
      <c r="A14" s="75" t="s">
        <v>28</v>
      </c>
      <c r="B14" s="74"/>
      <c r="C14" s="112"/>
      <c r="D14" s="112"/>
      <c r="E14" s="74"/>
      <c r="F14" s="74"/>
      <c r="G14" s="577"/>
      <c r="H14" s="41"/>
      <c r="I14" s="41"/>
      <c r="J14" s="41"/>
      <c r="K14" s="574"/>
      <c r="L14" s="574"/>
      <c r="M14" s="574"/>
      <c r="N14" s="574"/>
      <c r="O14" s="574"/>
      <c r="P14" s="574"/>
      <c r="Q14" s="41"/>
      <c r="R14" s="574"/>
      <c r="S14" s="574"/>
      <c r="T14" s="81">
        <f t="shared" ref="T14:AD14" si="1">SUM(T13:T13)</f>
        <v>9.9891275533645019E-2</v>
      </c>
      <c r="U14" s="81">
        <f t="shared" si="1"/>
        <v>0.18440937782971867</v>
      </c>
      <c r="V14" s="81">
        <f t="shared" si="1"/>
        <v>2.253067276294635E-2</v>
      </c>
      <c r="W14" s="81">
        <f t="shared" si="1"/>
        <v>1.3898613406074772E-3</v>
      </c>
      <c r="X14" s="81">
        <f t="shared" si="1"/>
        <v>3.6369464870151122E-2</v>
      </c>
      <c r="Y14" s="81">
        <f t="shared" si="1"/>
        <v>2.4166098982977401E-2</v>
      </c>
      <c r="Z14" s="81">
        <f t="shared" si="1"/>
        <v>0</v>
      </c>
      <c r="AA14" s="81">
        <f t="shared" si="1"/>
        <v>0</v>
      </c>
      <c r="AB14" s="81">
        <f t="shared" si="1"/>
        <v>96.814105590256631</v>
      </c>
      <c r="AC14" s="81">
        <f t="shared" si="1"/>
        <v>5.5322484357440338E-3</v>
      </c>
      <c r="AD14" s="81">
        <f t="shared" si="1"/>
        <v>2.4799901288000137E-3</v>
      </c>
    </row>
    <row r="15" spans="1:30">
      <c r="A15" s="75"/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</row>
    <row r="16" spans="1:30">
      <c r="A16" s="114" t="s">
        <v>319</v>
      </c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61"/>
      <c r="U16" s="61"/>
      <c r="V16" s="61"/>
      <c r="W16" s="61"/>
      <c r="X16" s="61"/>
      <c r="Y16" s="61"/>
      <c r="Z16" s="62"/>
      <c r="AA16" s="62"/>
      <c r="AB16" s="62"/>
      <c r="AC16" s="62"/>
      <c r="AD16" s="62"/>
    </row>
    <row r="17" spans="1:30">
      <c r="A17" s="78" t="s">
        <v>320</v>
      </c>
      <c r="B17" s="76" t="s">
        <v>95</v>
      </c>
      <c r="C17" s="79">
        <v>1</v>
      </c>
      <c r="D17" s="77"/>
      <c r="E17" s="77">
        <v>35</v>
      </c>
      <c r="F17" s="77">
        <v>60</v>
      </c>
      <c r="G17" s="106">
        <v>0.25172046482947802</v>
      </c>
      <c r="H17" s="106">
        <v>0.464701387165456</v>
      </c>
      <c r="I17" s="106">
        <v>5.6776043658582402E-2</v>
      </c>
      <c r="J17" s="106">
        <v>3.5023733638119199E-3</v>
      </c>
      <c r="K17" s="106">
        <v>4.6899256897933901E-2</v>
      </c>
      <c r="L17" s="47">
        <v>7.99995847163921E-3</v>
      </c>
      <c r="M17" s="47">
        <v>3.6749815577381599E-2</v>
      </c>
      <c r="N17" s="106">
        <v>4.3147317248333997E-2</v>
      </c>
      <c r="O17" s="47">
        <v>1.9999896145790402E-3</v>
      </c>
      <c r="P17" s="47">
        <v>1.57499200131354E-2</v>
      </c>
      <c r="Q17" s="106">
        <v>243.966167526025</v>
      </c>
      <c r="R17" s="47">
        <f>0.000057143*Q17</f>
        <v>1.3940958710939646E-2</v>
      </c>
      <c r="S17" s="80">
        <f>0.000025616*Q17</f>
        <v>6.2494373473466567E-3</v>
      </c>
      <c r="T17" s="50">
        <f>C17*($F17*$G17)/453.59</f>
        <v>3.3297091844548342E-2</v>
      </c>
      <c r="U17" s="50">
        <f>C17*($F17*$H17)/453.59</f>
        <v>6.1469792609906218E-2</v>
      </c>
      <c r="V17" s="50">
        <f>C17*(($F17*$I17))/453.59</f>
        <v>7.5102242543154491E-3</v>
      </c>
      <c r="W17" s="50">
        <f>C17*($F17*$J17)/453.59</f>
        <v>4.6328711353582576E-4</v>
      </c>
      <c r="X17" s="50">
        <f>C17*(($F17*($K17+$L17+$M17)))/453.59</f>
        <v>1.2123154956717041E-2</v>
      </c>
      <c r="Y17" s="50">
        <f>C17*(($F17*($N17+$O17+$P17)))/453.59</f>
        <v>8.0553663276591338E-3</v>
      </c>
      <c r="Z17" s="50">
        <f>C17*(F17)*$B$325</f>
        <v>0</v>
      </c>
      <c r="AA17" s="50">
        <f>Z17*0.21</f>
        <v>0</v>
      </c>
      <c r="AB17" s="50">
        <f>C17*(($F17*($Q17)))/453.59</f>
        <v>32.271368530085546</v>
      </c>
      <c r="AC17" s="50">
        <f>C17*(($F17*($R17)))/453.59</f>
        <v>1.844082811914678E-3</v>
      </c>
      <c r="AD17" s="50">
        <f>C17*(($F17*($S17)))/453.59</f>
        <v>8.2666337626667119E-4</v>
      </c>
    </row>
    <row r="18" spans="1:30">
      <c r="A18" s="75" t="s">
        <v>28</v>
      </c>
      <c r="B18" s="74"/>
      <c r="C18" s="112"/>
      <c r="D18" s="112"/>
      <c r="E18" s="74"/>
      <c r="F18" s="74"/>
      <c r="G18" s="577"/>
      <c r="H18" s="41"/>
      <c r="I18" s="41"/>
      <c r="J18" s="41"/>
      <c r="K18" s="574"/>
      <c r="L18" s="574"/>
      <c r="M18" s="574"/>
      <c r="N18" s="574"/>
      <c r="O18" s="574"/>
      <c r="P18" s="574"/>
      <c r="Q18" s="41"/>
      <c r="R18" s="574"/>
      <c r="S18" s="574"/>
      <c r="T18" s="81">
        <f t="shared" ref="T18:AD18" si="2">SUM(T17:T17)</f>
        <v>3.3297091844548342E-2</v>
      </c>
      <c r="U18" s="81">
        <f t="shared" si="2"/>
        <v>6.1469792609906218E-2</v>
      </c>
      <c r="V18" s="81">
        <f t="shared" si="2"/>
        <v>7.5102242543154491E-3</v>
      </c>
      <c r="W18" s="81">
        <f t="shared" si="2"/>
        <v>4.6328711353582576E-4</v>
      </c>
      <c r="X18" s="81">
        <f t="shared" si="2"/>
        <v>1.2123154956717041E-2</v>
      </c>
      <c r="Y18" s="81">
        <f t="shared" si="2"/>
        <v>8.0553663276591338E-3</v>
      </c>
      <c r="Z18" s="81">
        <f t="shared" si="2"/>
        <v>0</v>
      </c>
      <c r="AA18" s="81">
        <f t="shared" si="2"/>
        <v>0</v>
      </c>
      <c r="AB18" s="81">
        <f t="shared" si="2"/>
        <v>32.271368530085546</v>
      </c>
      <c r="AC18" s="81">
        <f t="shared" si="2"/>
        <v>1.844082811914678E-3</v>
      </c>
      <c r="AD18" s="81">
        <f t="shared" si="2"/>
        <v>8.2666337626667119E-4</v>
      </c>
    </row>
    <row r="19" spans="1:30">
      <c r="A19" s="75" t="s">
        <v>388</v>
      </c>
      <c r="B19" s="74"/>
      <c r="C19" s="112"/>
      <c r="D19" s="112"/>
      <c r="E19" s="74"/>
      <c r="F19" s="74"/>
      <c r="G19" s="547"/>
      <c r="H19" s="41"/>
      <c r="I19" s="41"/>
      <c r="J19" s="41"/>
      <c r="K19" s="544"/>
      <c r="L19" s="544"/>
      <c r="M19" s="544"/>
      <c r="N19" s="544"/>
      <c r="O19" s="544"/>
      <c r="P19" s="544"/>
      <c r="Q19" s="41"/>
      <c r="R19" s="544"/>
      <c r="S19" s="544"/>
      <c r="T19" s="81">
        <f>T10+T14+T18</f>
        <v>0.23307964291183839</v>
      </c>
      <c r="U19" s="81">
        <f t="shared" ref="U19:AD19" si="3">U10+U14+U18</f>
        <v>0.43028854826934354</v>
      </c>
      <c r="V19" s="81">
        <f t="shared" si="3"/>
        <v>5.2571569780208147E-2</v>
      </c>
      <c r="W19" s="81">
        <f t="shared" si="3"/>
        <v>3.2430097947507802E-3</v>
      </c>
      <c r="X19" s="81">
        <f t="shared" si="3"/>
        <v>8.486208469701928E-2</v>
      </c>
      <c r="Y19" s="81">
        <f t="shared" si="3"/>
        <v>5.638756429361394E-2</v>
      </c>
      <c r="Z19" s="81">
        <f t="shared" si="3"/>
        <v>0</v>
      </c>
      <c r="AA19" s="81">
        <f t="shared" si="3"/>
        <v>0</v>
      </c>
      <c r="AB19" s="81">
        <f t="shared" si="3"/>
        <v>225.8995797105988</v>
      </c>
      <c r="AC19" s="81">
        <f t="shared" si="3"/>
        <v>1.2908579683402746E-2</v>
      </c>
      <c r="AD19" s="81">
        <f t="shared" si="3"/>
        <v>5.7866436338666989E-3</v>
      </c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371" spans="1:2" ht="25.5">
      <c r="A371" s="82" t="s">
        <v>109</v>
      </c>
    </row>
    <row r="373" spans="1:2">
      <c r="A373" s="36" t="s">
        <v>81</v>
      </c>
    </row>
    <row r="374" spans="1:2">
      <c r="A374" s="36" t="s">
        <v>82</v>
      </c>
    </row>
    <row r="375" spans="1:2">
      <c r="A375" s="36" t="s">
        <v>83</v>
      </c>
    </row>
    <row r="376" spans="1:2">
      <c r="A376" s="37" t="s">
        <v>96</v>
      </c>
    </row>
    <row r="377" spans="1:2">
      <c r="A377" s="36" t="s">
        <v>85</v>
      </c>
    </row>
    <row r="378" spans="1:2">
      <c r="A378" s="36" t="s">
        <v>86</v>
      </c>
    </row>
    <row r="379" spans="1:2">
      <c r="A379" s="36" t="s">
        <v>87</v>
      </c>
    </row>
    <row r="380" spans="1:2">
      <c r="A380" s="36" t="s">
        <v>0</v>
      </c>
    </row>
    <row r="381" spans="1:2">
      <c r="A381" s="37" t="s">
        <v>97</v>
      </c>
      <c r="B381" s="36">
        <f>(0.016*(0.03/2)^0.65*(2/3)^1.5)-0.00047</f>
        <v>9.8123053326417428E-5</v>
      </c>
    </row>
    <row r="382" spans="1:2">
      <c r="A382" s="37" t="s">
        <v>98</v>
      </c>
      <c r="B382" s="36">
        <f>(0.016*(0.03/2)^0.65*(13/3)^1.5)-0.00047</f>
        <v>8.9448292388582783E-3</v>
      </c>
    </row>
    <row r="383" spans="1:2">
      <c r="A383" s="37" t="s">
        <v>99</v>
      </c>
      <c r="B383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701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67" ht="25.5">
      <c r="A5" s="44" t="s">
        <v>335</v>
      </c>
      <c r="B5" s="45" t="s">
        <v>102</v>
      </c>
      <c r="C5" s="46">
        <v>1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319</v>
      </c>
      <c r="B6" s="45" t="s">
        <v>102</v>
      </c>
      <c r="C6" s="46">
        <v>2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idden="1">
      <c r="A10" s="55" t="s">
        <v>78</v>
      </c>
      <c r="B10" s="37"/>
      <c r="C10" s="37"/>
      <c r="AA10" s="57"/>
      <c r="AB10" s="57"/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54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/>
      <c r="B14" s="37"/>
      <c r="C14" s="37"/>
      <c r="AQ14" s="38"/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F15" s="36" t="e">
        <f t="shared" ref="AF15:AF23" si="2">AF$10*$AC16</f>
        <v>#REF!</v>
      </c>
      <c r="AG15" s="36" t="e">
        <f t="shared" ref="AG15:AG23" si="3">AG$10*$AC16</f>
        <v>#REF!</v>
      </c>
      <c r="AH15" s="36" t="e">
        <f t="shared" ref="AH15:AH23" si="4">AH$10*$AC16</f>
        <v>#REF!</v>
      </c>
      <c r="AI15" s="36" t="e">
        <f t="shared" ref="AI15:AI23" si="5">AI$10*$AC16</f>
        <v>#REF!</v>
      </c>
      <c r="AJ15" s="36" t="e">
        <f t="shared" ref="AJ15:AJ23" si="6">AJ$10*$AC16</f>
        <v>#REF!</v>
      </c>
      <c r="AK15" s="36" t="e">
        <f t="shared" ref="AK15:AK23" si="7">AK$10*$AC16</f>
        <v>#REF!</v>
      </c>
      <c r="AL15" s="36" t="e">
        <f t="shared" ref="AL15:AL23" si="8">AL$10*$AC16</f>
        <v>#REF!</v>
      </c>
      <c r="AM15" s="36" t="e">
        <f t="shared" ref="AM15:AM23" si="9">AM$10*$AC16</f>
        <v>#REF!</v>
      </c>
      <c r="AN15" s="36" t="e">
        <f t="shared" ref="AN15:AN23" si="10">AN$10*$AC16</f>
        <v>#REF!</v>
      </c>
      <c r="AO15" s="36" t="e">
        <f t="shared" ref="AO15:AO23" si="11">AO$10*$AC16</f>
        <v>#REF!</v>
      </c>
      <c r="AQ15" s="38"/>
      <c r="AR15" s="36" t="e">
        <f t="shared" ref="AR15:AR23" si="12">AR$10*$AC16</f>
        <v>#REF!</v>
      </c>
      <c r="AS15" s="36" t="e">
        <f t="shared" ref="AS15:AS23" si="13">AS$10*$AC16</f>
        <v>#REF!</v>
      </c>
      <c r="AT15" s="36" t="e">
        <f t="shared" ref="AT15:AT23" si="14">AT$10*$AC16</f>
        <v>#REF!</v>
      </c>
      <c r="AU15" s="36" t="e">
        <f t="shared" ref="AU15:AU23" si="15">AU$10*$AC16</f>
        <v>#REF!</v>
      </c>
      <c r="AV15" s="36" t="e">
        <f t="shared" ref="AV15:AV23" si="16">AV$10*$AC16</f>
        <v>#REF!</v>
      </c>
      <c r="AW15" s="36" t="e">
        <f t="shared" ref="AW15:AW23" si="17">AW$10*$AC16</f>
        <v>#REF!</v>
      </c>
      <c r="AX15" s="36" t="e">
        <f t="shared" ref="AX15:AX23" si="18">AX$10*$AC16</f>
        <v>#REF!</v>
      </c>
      <c r="AY15" s="36" t="e">
        <f t="shared" ref="AY15:AY23" si="19">AY$10*$AC16</f>
        <v>#REF!</v>
      </c>
      <c r="AZ15" s="36" t="e">
        <f t="shared" ref="AZ15:AZ23" si="20">AZ$10*$AC16</f>
        <v>#REF!</v>
      </c>
      <c r="BA15" s="36" t="e">
        <f t="shared" ref="BA15:BA23" si="21">BA$10*$AC16</f>
        <v>#REF!</v>
      </c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 t="shared" si="2"/>
        <v>#REF!</v>
      </c>
      <c r="AG16" s="36" t="e">
        <f t="shared" si="3"/>
        <v>#REF!</v>
      </c>
      <c r="AH16" s="36" t="e">
        <f t="shared" si="4"/>
        <v>#REF!</v>
      </c>
      <c r="AI16" s="36" t="e">
        <f t="shared" si="5"/>
        <v>#REF!</v>
      </c>
      <c r="AJ16" s="36" t="e">
        <f t="shared" si="6"/>
        <v>#REF!</v>
      </c>
      <c r="AK16" s="36" t="e">
        <f t="shared" si="7"/>
        <v>#REF!</v>
      </c>
      <c r="AL16" s="36" t="e">
        <f t="shared" si="8"/>
        <v>#REF!</v>
      </c>
      <c r="AM16" s="36" t="e">
        <f t="shared" si="9"/>
        <v>#REF!</v>
      </c>
      <c r="AN16" s="36" t="e">
        <f t="shared" si="10"/>
        <v>#REF!</v>
      </c>
      <c r="AO16" s="36" t="e">
        <f t="shared" si="11"/>
        <v>#REF!</v>
      </c>
      <c r="AQ16" s="38"/>
      <c r="AR16" s="36" t="e">
        <f t="shared" si="12"/>
        <v>#REF!</v>
      </c>
      <c r="AS16" s="36" t="e">
        <f t="shared" si="13"/>
        <v>#REF!</v>
      </c>
      <c r="AT16" s="36" t="e">
        <f t="shared" si="14"/>
        <v>#REF!</v>
      </c>
      <c r="AU16" s="36" t="e">
        <f t="shared" si="15"/>
        <v>#REF!</v>
      </c>
      <c r="AV16" s="36" t="e">
        <f t="shared" si="16"/>
        <v>#REF!</v>
      </c>
      <c r="AW16" s="36" t="e">
        <f t="shared" si="17"/>
        <v>#REF!</v>
      </c>
      <c r="AX16" s="36" t="e">
        <f t="shared" si="18"/>
        <v>#REF!</v>
      </c>
      <c r="AY16" s="36" t="e">
        <f t="shared" si="19"/>
        <v>#REF!</v>
      </c>
      <c r="AZ16" s="36" t="e">
        <f t="shared" si="20"/>
        <v>#REF!</v>
      </c>
      <c r="BA16" s="36" t="e">
        <f t="shared" si="21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si="2"/>
        <v>#REF!</v>
      </c>
      <c r="AG17" s="36" t="e">
        <f t="shared" si="3"/>
        <v>#REF!</v>
      </c>
      <c r="AH17" s="36" t="e">
        <f t="shared" si="4"/>
        <v>#REF!</v>
      </c>
      <c r="AI17" s="36" t="e">
        <f t="shared" si="5"/>
        <v>#REF!</v>
      </c>
      <c r="AJ17" s="36" t="e">
        <f t="shared" si="6"/>
        <v>#REF!</v>
      </c>
      <c r="AK17" s="36" t="e">
        <f t="shared" si="7"/>
        <v>#REF!</v>
      </c>
      <c r="AL17" s="36" t="e">
        <f t="shared" si="8"/>
        <v>#REF!</v>
      </c>
      <c r="AM17" s="36" t="e">
        <f t="shared" si="9"/>
        <v>#REF!</v>
      </c>
      <c r="AN17" s="36" t="e">
        <f t="shared" si="10"/>
        <v>#REF!</v>
      </c>
      <c r="AO17" s="36" t="e">
        <f t="shared" si="11"/>
        <v>#REF!</v>
      </c>
      <c r="AQ17" s="38"/>
      <c r="AR17" s="36" t="e">
        <f t="shared" si="12"/>
        <v>#REF!</v>
      </c>
      <c r="AS17" s="36" t="e">
        <f t="shared" si="13"/>
        <v>#REF!</v>
      </c>
      <c r="AT17" s="36" t="e">
        <f t="shared" si="14"/>
        <v>#REF!</v>
      </c>
      <c r="AU17" s="36" t="e">
        <f t="shared" si="15"/>
        <v>#REF!</v>
      </c>
      <c r="AV17" s="36" t="e">
        <f t="shared" si="16"/>
        <v>#REF!</v>
      </c>
      <c r="AW17" s="36" t="e">
        <f t="shared" si="17"/>
        <v>#REF!</v>
      </c>
      <c r="AX17" s="36" t="e">
        <f t="shared" si="18"/>
        <v>#REF!</v>
      </c>
      <c r="AY17" s="36" t="e">
        <f t="shared" si="19"/>
        <v>#REF!</v>
      </c>
      <c r="AZ17" s="36" t="e">
        <f t="shared" si="20"/>
        <v>#REF!</v>
      </c>
      <c r="BA17" s="36" t="e">
        <f t="shared" si="21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2"/>
        <v>#REF!</v>
      </c>
      <c r="AG18" s="36" t="e">
        <f t="shared" si="3"/>
        <v>#REF!</v>
      </c>
      <c r="AH18" s="36" t="e">
        <f t="shared" si="4"/>
        <v>#REF!</v>
      </c>
      <c r="AI18" s="36" t="e">
        <f t="shared" si="5"/>
        <v>#REF!</v>
      </c>
      <c r="AJ18" s="36" t="e">
        <f t="shared" si="6"/>
        <v>#REF!</v>
      </c>
      <c r="AK18" s="36" t="e">
        <f t="shared" si="7"/>
        <v>#REF!</v>
      </c>
      <c r="AL18" s="36" t="e">
        <f t="shared" si="8"/>
        <v>#REF!</v>
      </c>
      <c r="AM18" s="36" t="e">
        <f t="shared" si="9"/>
        <v>#REF!</v>
      </c>
      <c r="AN18" s="36" t="e">
        <f t="shared" si="10"/>
        <v>#REF!</v>
      </c>
      <c r="AO18" s="36" t="e">
        <f t="shared" si="11"/>
        <v>#REF!</v>
      </c>
      <c r="AQ18" s="38"/>
      <c r="AR18" s="36" t="e">
        <f t="shared" si="12"/>
        <v>#REF!</v>
      </c>
      <c r="AS18" s="36" t="e">
        <f t="shared" si="13"/>
        <v>#REF!</v>
      </c>
      <c r="AT18" s="36" t="e">
        <f t="shared" si="14"/>
        <v>#REF!</v>
      </c>
      <c r="AU18" s="36" t="e">
        <f t="shared" si="15"/>
        <v>#REF!</v>
      </c>
      <c r="AV18" s="36" t="e">
        <f t="shared" si="16"/>
        <v>#REF!</v>
      </c>
      <c r="AW18" s="36" t="e">
        <f t="shared" si="17"/>
        <v>#REF!</v>
      </c>
      <c r="AX18" s="36" t="e">
        <f t="shared" si="18"/>
        <v>#REF!</v>
      </c>
      <c r="AY18" s="36" t="e">
        <f t="shared" si="19"/>
        <v>#REF!</v>
      </c>
      <c r="AZ18" s="36" t="e">
        <f t="shared" si="20"/>
        <v>#REF!</v>
      </c>
      <c r="BA18" s="36" t="e">
        <f t="shared" si="21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2"/>
        <v>#REF!</v>
      </c>
      <c r="AG19" s="36" t="e">
        <f t="shared" si="3"/>
        <v>#REF!</v>
      </c>
      <c r="AH19" s="36" t="e">
        <f t="shared" si="4"/>
        <v>#REF!</v>
      </c>
      <c r="AI19" s="36" t="e">
        <f t="shared" si="5"/>
        <v>#REF!</v>
      </c>
      <c r="AJ19" s="36" t="e">
        <f t="shared" si="6"/>
        <v>#REF!</v>
      </c>
      <c r="AK19" s="36" t="e">
        <f t="shared" si="7"/>
        <v>#REF!</v>
      </c>
      <c r="AL19" s="36" t="e">
        <f t="shared" si="8"/>
        <v>#REF!</v>
      </c>
      <c r="AM19" s="36" t="e">
        <f t="shared" si="9"/>
        <v>#REF!</v>
      </c>
      <c r="AN19" s="36" t="e">
        <f t="shared" si="10"/>
        <v>#REF!</v>
      </c>
      <c r="AO19" s="36" t="e">
        <f t="shared" si="11"/>
        <v>#REF!</v>
      </c>
      <c r="AQ19" s="38"/>
      <c r="AR19" s="36" t="e">
        <f t="shared" si="12"/>
        <v>#REF!</v>
      </c>
      <c r="AS19" s="36" t="e">
        <f t="shared" si="13"/>
        <v>#REF!</v>
      </c>
      <c r="AT19" s="36" t="e">
        <f t="shared" si="14"/>
        <v>#REF!</v>
      </c>
      <c r="AU19" s="36" t="e">
        <f t="shared" si="15"/>
        <v>#REF!</v>
      </c>
      <c r="AV19" s="36" t="e">
        <f t="shared" si="16"/>
        <v>#REF!</v>
      </c>
      <c r="AW19" s="36" t="e">
        <f t="shared" si="17"/>
        <v>#REF!</v>
      </c>
      <c r="AX19" s="36" t="e">
        <f t="shared" si="18"/>
        <v>#REF!</v>
      </c>
      <c r="AY19" s="36" t="e">
        <f t="shared" si="19"/>
        <v>#REF!</v>
      </c>
      <c r="AZ19" s="36" t="e">
        <f t="shared" si="20"/>
        <v>#REF!</v>
      </c>
      <c r="BA19" s="36" t="e">
        <f t="shared" si="21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2"/>
        <v>#REF!</v>
      </c>
      <c r="AG20" s="36" t="e">
        <f t="shared" si="3"/>
        <v>#REF!</v>
      </c>
      <c r="AH20" s="36" t="e">
        <f t="shared" si="4"/>
        <v>#REF!</v>
      </c>
      <c r="AI20" s="36" t="e">
        <f t="shared" si="5"/>
        <v>#REF!</v>
      </c>
      <c r="AJ20" s="36" t="e">
        <f t="shared" si="6"/>
        <v>#REF!</v>
      </c>
      <c r="AK20" s="36" t="e">
        <f t="shared" si="7"/>
        <v>#REF!</v>
      </c>
      <c r="AL20" s="36" t="e">
        <f t="shared" si="8"/>
        <v>#REF!</v>
      </c>
      <c r="AM20" s="36" t="e">
        <f t="shared" si="9"/>
        <v>#REF!</v>
      </c>
      <c r="AN20" s="36" t="e">
        <f t="shared" si="10"/>
        <v>#REF!</v>
      </c>
      <c r="AO20" s="36" t="e">
        <f t="shared" si="11"/>
        <v>#REF!</v>
      </c>
      <c r="AQ20" s="38"/>
      <c r="AR20" s="36" t="e">
        <f t="shared" si="12"/>
        <v>#REF!</v>
      </c>
      <c r="AS20" s="36" t="e">
        <f t="shared" si="13"/>
        <v>#REF!</v>
      </c>
      <c r="AT20" s="36" t="e">
        <f t="shared" si="14"/>
        <v>#REF!</v>
      </c>
      <c r="AU20" s="36" t="e">
        <f t="shared" si="15"/>
        <v>#REF!</v>
      </c>
      <c r="AV20" s="36" t="e">
        <f t="shared" si="16"/>
        <v>#REF!</v>
      </c>
      <c r="AW20" s="36" t="e">
        <f t="shared" si="17"/>
        <v>#REF!</v>
      </c>
      <c r="AX20" s="36" t="e">
        <f t="shared" si="18"/>
        <v>#REF!</v>
      </c>
      <c r="AY20" s="36" t="e">
        <f t="shared" si="19"/>
        <v>#REF!</v>
      </c>
      <c r="AZ20" s="36" t="e">
        <f t="shared" si="20"/>
        <v>#REF!</v>
      </c>
      <c r="BA20" s="36" t="e">
        <f t="shared" si="21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2"/>
        <v>#REF!</v>
      </c>
      <c r="AG21" s="36" t="e">
        <f t="shared" si="3"/>
        <v>#REF!</v>
      </c>
      <c r="AH21" s="36" t="e">
        <f t="shared" si="4"/>
        <v>#REF!</v>
      </c>
      <c r="AI21" s="36" t="e">
        <f t="shared" si="5"/>
        <v>#REF!</v>
      </c>
      <c r="AJ21" s="36" t="e">
        <f t="shared" si="6"/>
        <v>#REF!</v>
      </c>
      <c r="AK21" s="36" t="e">
        <f t="shared" si="7"/>
        <v>#REF!</v>
      </c>
      <c r="AL21" s="36" t="e">
        <f t="shared" si="8"/>
        <v>#REF!</v>
      </c>
      <c r="AM21" s="36" t="e">
        <f t="shared" si="9"/>
        <v>#REF!</v>
      </c>
      <c r="AN21" s="36" t="e">
        <f t="shared" si="10"/>
        <v>#REF!</v>
      </c>
      <c r="AO21" s="36" t="e">
        <f t="shared" si="11"/>
        <v>#REF!</v>
      </c>
      <c r="AQ21" s="38"/>
      <c r="AR21" s="36" t="e">
        <f t="shared" si="12"/>
        <v>#REF!</v>
      </c>
      <c r="AS21" s="36" t="e">
        <f t="shared" si="13"/>
        <v>#REF!</v>
      </c>
      <c r="AT21" s="36" t="e">
        <f t="shared" si="14"/>
        <v>#REF!</v>
      </c>
      <c r="AU21" s="36" t="e">
        <f t="shared" si="15"/>
        <v>#REF!</v>
      </c>
      <c r="AV21" s="36" t="e">
        <f t="shared" si="16"/>
        <v>#REF!</v>
      </c>
      <c r="AW21" s="36" t="e">
        <f t="shared" si="17"/>
        <v>#REF!</v>
      </c>
      <c r="AX21" s="36" t="e">
        <f t="shared" si="18"/>
        <v>#REF!</v>
      </c>
      <c r="AY21" s="36" t="e">
        <f t="shared" si="19"/>
        <v>#REF!</v>
      </c>
      <c r="AZ21" s="36" t="e">
        <f t="shared" si="20"/>
        <v>#REF!</v>
      </c>
      <c r="BA21" s="36" t="e">
        <f t="shared" si="21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2"/>
        <v>#REF!</v>
      </c>
      <c r="AG22" s="36" t="e">
        <f t="shared" si="3"/>
        <v>#REF!</v>
      </c>
      <c r="AH22" s="36" t="e">
        <f t="shared" si="4"/>
        <v>#REF!</v>
      </c>
      <c r="AI22" s="36" t="e">
        <f t="shared" si="5"/>
        <v>#REF!</v>
      </c>
      <c r="AJ22" s="36" t="e">
        <f t="shared" si="6"/>
        <v>#REF!</v>
      </c>
      <c r="AK22" s="36" t="e">
        <f t="shared" si="7"/>
        <v>#REF!</v>
      </c>
      <c r="AL22" s="36" t="e">
        <f t="shared" si="8"/>
        <v>#REF!</v>
      </c>
      <c r="AM22" s="36" t="e">
        <f t="shared" si="9"/>
        <v>#REF!</v>
      </c>
      <c r="AN22" s="36" t="e">
        <f t="shared" si="10"/>
        <v>#REF!</v>
      </c>
      <c r="AO22" s="36" t="e">
        <f t="shared" si="11"/>
        <v>#REF!</v>
      </c>
      <c r="AQ22" s="38"/>
      <c r="AR22" s="36" t="e">
        <f t="shared" si="12"/>
        <v>#REF!</v>
      </c>
      <c r="AS22" s="36" t="e">
        <f t="shared" si="13"/>
        <v>#REF!</v>
      </c>
      <c r="AT22" s="36" t="e">
        <f t="shared" si="14"/>
        <v>#REF!</v>
      </c>
      <c r="AU22" s="36" t="e">
        <f t="shared" si="15"/>
        <v>#REF!</v>
      </c>
      <c r="AV22" s="36" t="e">
        <f t="shared" si="16"/>
        <v>#REF!</v>
      </c>
      <c r="AW22" s="36" t="e">
        <f t="shared" si="17"/>
        <v>#REF!</v>
      </c>
      <c r="AX22" s="36" t="e">
        <f t="shared" si="18"/>
        <v>#REF!</v>
      </c>
      <c r="AY22" s="36" t="e">
        <f t="shared" si="19"/>
        <v>#REF!</v>
      </c>
      <c r="AZ22" s="36" t="e">
        <f t="shared" si="20"/>
        <v>#REF!</v>
      </c>
      <c r="BA22" s="36" t="e">
        <f t="shared" si="21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2"/>
        <v>#REF!</v>
      </c>
      <c r="AG23" s="36" t="e">
        <f t="shared" si="3"/>
        <v>#REF!</v>
      </c>
      <c r="AH23" s="36" t="e">
        <f t="shared" si="4"/>
        <v>#REF!</v>
      </c>
      <c r="AI23" s="36" t="e">
        <f t="shared" si="5"/>
        <v>#REF!</v>
      </c>
      <c r="AJ23" s="36" t="e">
        <f t="shared" si="6"/>
        <v>#REF!</v>
      </c>
      <c r="AK23" s="36" t="e">
        <f t="shared" si="7"/>
        <v>#REF!</v>
      </c>
      <c r="AL23" s="36" t="e">
        <f t="shared" si="8"/>
        <v>#REF!</v>
      </c>
      <c r="AM23" s="36" t="e">
        <f t="shared" si="9"/>
        <v>#REF!</v>
      </c>
      <c r="AN23" s="36" t="e">
        <f t="shared" si="10"/>
        <v>#REF!</v>
      </c>
      <c r="AO23" s="36" t="e">
        <f t="shared" si="11"/>
        <v>#REF!</v>
      </c>
      <c r="AQ23" s="38"/>
      <c r="AR23" s="36" t="e">
        <f t="shared" si="12"/>
        <v>#REF!</v>
      </c>
      <c r="AS23" s="36" t="e">
        <f t="shared" si="13"/>
        <v>#REF!</v>
      </c>
      <c r="AT23" s="36" t="e">
        <f t="shared" si="14"/>
        <v>#REF!</v>
      </c>
      <c r="AU23" s="36" t="e">
        <f t="shared" si="15"/>
        <v>#REF!</v>
      </c>
      <c r="AV23" s="36" t="e">
        <f t="shared" si="16"/>
        <v>#REF!</v>
      </c>
      <c r="AW23" s="36" t="e">
        <f t="shared" si="17"/>
        <v>#REF!</v>
      </c>
      <c r="AX23" s="36" t="e">
        <f t="shared" si="18"/>
        <v>#REF!</v>
      </c>
      <c r="AY23" s="36" t="e">
        <f t="shared" si="19"/>
        <v>#REF!</v>
      </c>
      <c r="AZ23" s="36" t="e">
        <f t="shared" si="20"/>
        <v>#REF!</v>
      </c>
      <c r="BA23" s="36" t="e">
        <f t="shared" si="21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Q24" s="38"/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F26" s="36" t="e">
        <f t="shared" ref="AF26:AF34" si="22">AF$10*$AC27</f>
        <v>#REF!</v>
      </c>
      <c r="AG26" s="36" t="e">
        <f t="shared" ref="AG26:AG34" si="23">AG$10*$AC27</f>
        <v>#REF!</v>
      </c>
      <c r="AH26" s="36" t="e">
        <f t="shared" ref="AH26:AH34" si="24">AH$10*$AC27</f>
        <v>#REF!</v>
      </c>
      <c r="AI26" s="36" t="e">
        <f t="shared" ref="AI26:AI34" si="25">AI$10*$AC27</f>
        <v>#REF!</v>
      </c>
      <c r="AJ26" s="36" t="e">
        <f t="shared" ref="AJ26:AJ34" si="26">AJ$10*$AC27</f>
        <v>#REF!</v>
      </c>
      <c r="AK26" s="36" t="e">
        <f t="shared" ref="AK26:AK34" si="27">AK$10*$AC27</f>
        <v>#REF!</v>
      </c>
      <c r="AL26" s="36" t="e">
        <f t="shared" ref="AL26:AL34" si="28">AL$10*$AC27</f>
        <v>#REF!</v>
      </c>
      <c r="AM26" s="36" t="e">
        <f t="shared" ref="AM26:AM34" si="29">AM$10*$AC27</f>
        <v>#REF!</v>
      </c>
      <c r="AN26" s="36" t="e">
        <f t="shared" ref="AN26:AN34" si="30">AN$10*$AC27</f>
        <v>#REF!</v>
      </c>
      <c r="AO26" s="36" t="e">
        <f t="shared" ref="AO26:AO34" si="31">AO$10*$AC27</f>
        <v>#REF!</v>
      </c>
      <c r="AQ26" s="38"/>
      <c r="AR26" s="36" t="e">
        <f t="shared" ref="AR26:AR34" si="32">AR$10*$AC27</f>
        <v>#REF!</v>
      </c>
      <c r="AS26" s="36" t="e">
        <f t="shared" ref="AS26:AS34" si="33">AS$10*$AC27</f>
        <v>#REF!</v>
      </c>
      <c r="AT26" s="36" t="e">
        <f t="shared" ref="AT26:AT34" si="34">AT$10*$AC27</f>
        <v>#REF!</v>
      </c>
      <c r="AU26" s="36" t="e">
        <f t="shared" ref="AU26:AU34" si="35">AU$10*$AC27</f>
        <v>#REF!</v>
      </c>
      <c r="AV26" s="36" t="e">
        <f t="shared" ref="AV26:AV34" si="36">AV$10*$AC27</f>
        <v>#REF!</v>
      </c>
      <c r="AW26" s="36" t="e">
        <f t="shared" ref="AW26:AW34" si="37">AW$10*$AC27</f>
        <v>#REF!</v>
      </c>
      <c r="AX26" s="36" t="e">
        <f t="shared" ref="AX26:AX34" si="38">AX$10*$AC27</f>
        <v>#REF!</v>
      </c>
      <c r="AY26" s="36" t="e">
        <f t="shared" ref="AY26:AY34" si="39">AY$10*$AC27</f>
        <v>#REF!</v>
      </c>
      <c r="AZ26" s="36" t="e">
        <f t="shared" ref="AZ26:AZ34" si="40">AZ$10*$AC27</f>
        <v>#REF!</v>
      </c>
      <c r="BA26" s="36" t="e">
        <f t="shared" ref="BA26:BA34" si="41">BA$10*$AC27</f>
        <v>#REF!</v>
      </c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si="22"/>
        <v>#REF!</v>
      </c>
      <c r="AG27" s="36" t="e">
        <f t="shared" si="23"/>
        <v>#REF!</v>
      </c>
      <c r="AH27" s="36" t="e">
        <f t="shared" si="24"/>
        <v>#REF!</v>
      </c>
      <c r="AI27" s="36" t="e">
        <f t="shared" si="25"/>
        <v>#REF!</v>
      </c>
      <c r="AJ27" s="36" t="e">
        <f t="shared" si="26"/>
        <v>#REF!</v>
      </c>
      <c r="AK27" s="36" t="e">
        <f t="shared" si="27"/>
        <v>#REF!</v>
      </c>
      <c r="AL27" s="36" t="e">
        <f t="shared" si="28"/>
        <v>#REF!</v>
      </c>
      <c r="AM27" s="36" t="e">
        <f t="shared" si="29"/>
        <v>#REF!</v>
      </c>
      <c r="AN27" s="36" t="e">
        <f t="shared" si="30"/>
        <v>#REF!</v>
      </c>
      <c r="AO27" s="36" t="e">
        <f t="shared" si="31"/>
        <v>#REF!</v>
      </c>
      <c r="AQ27" s="38"/>
      <c r="AR27" s="36" t="e">
        <f t="shared" si="32"/>
        <v>#REF!</v>
      </c>
      <c r="AS27" s="36" t="e">
        <f t="shared" si="33"/>
        <v>#REF!</v>
      </c>
      <c r="AT27" s="36" t="e">
        <f t="shared" si="34"/>
        <v>#REF!</v>
      </c>
      <c r="AU27" s="36" t="e">
        <f t="shared" si="35"/>
        <v>#REF!</v>
      </c>
      <c r="AV27" s="36" t="e">
        <f t="shared" si="36"/>
        <v>#REF!</v>
      </c>
      <c r="AW27" s="36" t="e">
        <f t="shared" si="37"/>
        <v>#REF!</v>
      </c>
      <c r="AX27" s="36" t="e">
        <f t="shared" si="38"/>
        <v>#REF!</v>
      </c>
      <c r="AY27" s="36" t="e">
        <f t="shared" si="39"/>
        <v>#REF!</v>
      </c>
      <c r="AZ27" s="36" t="e">
        <f t="shared" si="40"/>
        <v>#REF!</v>
      </c>
      <c r="BA27" s="36" t="e">
        <f t="shared" si="41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22"/>
        <v>#REF!</v>
      </c>
      <c r="AG28" s="36" t="e">
        <f t="shared" si="23"/>
        <v>#REF!</v>
      </c>
      <c r="AH28" s="36" t="e">
        <f t="shared" si="24"/>
        <v>#REF!</v>
      </c>
      <c r="AI28" s="36" t="e">
        <f t="shared" si="25"/>
        <v>#REF!</v>
      </c>
      <c r="AJ28" s="36" t="e">
        <f t="shared" si="26"/>
        <v>#REF!</v>
      </c>
      <c r="AK28" s="36" t="e">
        <f t="shared" si="27"/>
        <v>#REF!</v>
      </c>
      <c r="AL28" s="36" t="e">
        <f t="shared" si="28"/>
        <v>#REF!</v>
      </c>
      <c r="AM28" s="36" t="e">
        <f t="shared" si="29"/>
        <v>#REF!</v>
      </c>
      <c r="AN28" s="36" t="e">
        <f t="shared" si="30"/>
        <v>#REF!</v>
      </c>
      <c r="AO28" s="36" t="e">
        <f t="shared" si="31"/>
        <v>#REF!</v>
      </c>
      <c r="AQ28" s="38"/>
      <c r="AR28" s="36" t="e">
        <f t="shared" si="32"/>
        <v>#REF!</v>
      </c>
      <c r="AS28" s="36" t="e">
        <f t="shared" si="33"/>
        <v>#REF!</v>
      </c>
      <c r="AT28" s="36" t="e">
        <f t="shared" si="34"/>
        <v>#REF!</v>
      </c>
      <c r="AU28" s="36" t="e">
        <f t="shared" si="35"/>
        <v>#REF!</v>
      </c>
      <c r="AV28" s="36" t="e">
        <f t="shared" si="36"/>
        <v>#REF!</v>
      </c>
      <c r="AW28" s="36" t="e">
        <f t="shared" si="37"/>
        <v>#REF!</v>
      </c>
      <c r="AX28" s="36" t="e">
        <f t="shared" si="38"/>
        <v>#REF!</v>
      </c>
      <c r="AY28" s="36" t="e">
        <f t="shared" si="39"/>
        <v>#REF!</v>
      </c>
      <c r="AZ28" s="36" t="e">
        <f t="shared" si="40"/>
        <v>#REF!</v>
      </c>
      <c r="BA28" s="36" t="e">
        <f t="shared" si="41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22"/>
        <v>#REF!</v>
      </c>
      <c r="AG29" s="36" t="e">
        <f t="shared" si="23"/>
        <v>#REF!</v>
      </c>
      <c r="AH29" s="36" t="e">
        <f t="shared" si="24"/>
        <v>#REF!</v>
      </c>
      <c r="AI29" s="36" t="e">
        <f t="shared" si="25"/>
        <v>#REF!</v>
      </c>
      <c r="AJ29" s="36" t="e">
        <f t="shared" si="26"/>
        <v>#REF!</v>
      </c>
      <c r="AK29" s="36" t="e">
        <f t="shared" si="27"/>
        <v>#REF!</v>
      </c>
      <c r="AL29" s="36" t="e">
        <f t="shared" si="28"/>
        <v>#REF!</v>
      </c>
      <c r="AM29" s="36" t="e">
        <f t="shared" si="29"/>
        <v>#REF!</v>
      </c>
      <c r="AN29" s="36" t="e">
        <f t="shared" si="30"/>
        <v>#REF!</v>
      </c>
      <c r="AO29" s="36" t="e">
        <f t="shared" si="31"/>
        <v>#REF!</v>
      </c>
      <c r="AQ29" s="38"/>
      <c r="AR29" s="36" t="e">
        <f t="shared" si="32"/>
        <v>#REF!</v>
      </c>
      <c r="AS29" s="36" t="e">
        <f t="shared" si="33"/>
        <v>#REF!</v>
      </c>
      <c r="AT29" s="36" t="e">
        <f t="shared" si="34"/>
        <v>#REF!</v>
      </c>
      <c r="AU29" s="36" t="e">
        <f t="shared" si="35"/>
        <v>#REF!</v>
      </c>
      <c r="AV29" s="36" t="e">
        <f t="shared" si="36"/>
        <v>#REF!</v>
      </c>
      <c r="AW29" s="36" t="e">
        <f t="shared" si="37"/>
        <v>#REF!</v>
      </c>
      <c r="AX29" s="36" t="e">
        <f t="shared" si="38"/>
        <v>#REF!</v>
      </c>
      <c r="AY29" s="36" t="e">
        <f t="shared" si="39"/>
        <v>#REF!</v>
      </c>
      <c r="AZ29" s="36" t="e">
        <f t="shared" si="40"/>
        <v>#REF!</v>
      </c>
      <c r="BA29" s="36" t="e">
        <f t="shared" si="41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22"/>
        <v>#REF!</v>
      </c>
      <c r="AG30" s="36" t="e">
        <f t="shared" si="23"/>
        <v>#REF!</v>
      </c>
      <c r="AH30" s="36" t="e">
        <f t="shared" si="24"/>
        <v>#REF!</v>
      </c>
      <c r="AI30" s="36" t="e">
        <f t="shared" si="25"/>
        <v>#REF!</v>
      </c>
      <c r="AJ30" s="36" t="e">
        <f t="shared" si="26"/>
        <v>#REF!</v>
      </c>
      <c r="AK30" s="36" t="e">
        <f t="shared" si="27"/>
        <v>#REF!</v>
      </c>
      <c r="AL30" s="36" t="e">
        <f t="shared" si="28"/>
        <v>#REF!</v>
      </c>
      <c r="AM30" s="36" t="e">
        <f t="shared" si="29"/>
        <v>#REF!</v>
      </c>
      <c r="AN30" s="36" t="e">
        <f t="shared" si="30"/>
        <v>#REF!</v>
      </c>
      <c r="AO30" s="36" t="e">
        <f t="shared" si="31"/>
        <v>#REF!</v>
      </c>
      <c r="AQ30" s="38"/>
      <c r="AR30" s="36" t="e">
        <f t="shared" si="32"/>
        <v>#REF!</v>
      </c>
      <c r="AS30" s="36" t="e">
        <f t="shared" si="33"/>
        <v>#REF!</v>
      </c>
      <c r="AT30" s="36" t="e">
        <f t="shared" si="34"/>
        <v>#REF!</v>
      </c>
      <c r="AU30" s="36" t="e">
        <f t="shared" si="35"/>
        <v>#REF!</v>
      </c>
      <c r="AV30" s="36" t="e">
        <f t="shared" si="36"/>
        <v>#REF!</v>
      </c>
      <c r="AW30" s="36" t="e">
        <f t="shared" si="37"/>
        <v>#REF!</v>
      </c>
      <c r="AX30" s="36" t="e">
        <f t="shared" si="38"/>
        <v>#REF!</v>
      </c>
      <c r="AY30" s="36" t="e">
        <f t="shared" si="39"/>
        <v>#REF!</v>
      </c>
      <c r="AZ30" s="36" t="e">
        <f t="shared" si="40"/>
        <v>#REF!</v>
      </c>
      <c r="BA30" s="36" t="e">
        <f t="shared" si="41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22"/>
        <v>#REF!</v>
      </c>
      <c r="AG31" s="36" t="e">
        <f t="shared" si="23"/>
        <v>#REF!</v>
      </c>
      <c r="AH31" s="36" t="e">
        <f t="shared" si="24"/>
        <v>#REF!</v>
      </c>
      <c r="AI31" s="36" t="e">
        <f t="shared" si="25"/>
        <v>#REF!</v>
      </c>
      <c r="AJ31" s="36" t="e">
        <f t="shared" si="26"/>
        <v>#REF!</v>
      </c>
      <c r="AK31" s="36" t="e">
        <f t="shared" si="27"/>
        <v>#REF!</v>
      </c>
      <c r="AL31" s="36" t="e">
        <f t="shared" si="28"/>
        <v>#REF!</v>
      </c>
      <c r="AM31" s="36" t="e">
        <f t="shared" si="29"/>
        <v>#REF!</v>
      </c>
      <c r="AN31" s="36" t="e">
        <f t="shared" si="30"/>
        <v>#REF!</v>
      </c>
      <c r="AO31" s="36" t="e">
        <f t="shared" si="31"/>
        <v>#REF!</v>
      </c>
      <c r="AQ31" s="38"/>
      <c r="AR31" s="36" t="e">
        <f t="shared" si="32"/>
        <v>#REF!</v>
      </c>
      <c r="AS31" s="36" t="e">
        <f t="shared" si="33"/>
        <v>#REF!</v>
      </c>
      <c r="AT31" s="36" t="e">
        <f t="shared" si="34"/>
        <v>#REF!</v>
      </c>
      <c r="AU31" s="36" t="e">
        <f t="shared" si="35"/>
        <v>#REF!</v>
      </c>
      <c r="AV31" s="36" t="e">
        <f t="shared" si="36"/>
        <v>#REF!</v>
      </c>
      <c r="AW31" s="36" t="e">
        <f t="shared" si="37"/>
        <v>#REF!</v>
      </c>
      <c r="AX31" s="36" t="e">
        <f t="shared" si="38"/>
        <v>#REF!</v>
      </c>
      <c r="AY31" s="36" t="e">
        <f t="shared" si="39"/>
        <v>#REF!</v>
      </c>
      <c r="AZ31" s="36" t="e">
        <f t="shared" si="40"/>
        <v>#REF!</v>
      </c>
      <c r="BA31" s="36" t="e">
        <f t="shared" si="41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22"/>
        <v>#REF!</v>
      </c>
      <c r="AG32" s="36" t="e">
        <f t="shared" si="23"/>
        <v>#REF!</v>
      </c>
      <c r="AH32" s="36" t="e">
        <f t="shared" si="24"/>
        <v>#REF!</v>
      </c>
      <c r="AI32" s="36" t="e">
        <f t="shared" si="25"/>
        <v>#REF!</v>
      </c>
      <c r="AJ32" s="36" t="e">
        <f t="shared" si="26"/>
        <v>#REF!</v>
      </c>
      <c r="AK32" s="36" t="e">
        <f t="shared" si="27"/>
        <v>#REF!</v>
      </c>
      <c r="AL32" s="36" t="e">
        <f t="shared" si="28"/>
        <v>#REF!</v>
      </c>
      <c r="AM32" s="36" t="e">
        <f t="shared" si="29"/>
        <v>#REF!</v>
      </c>
      <c r="AN32" s="36" t="e">
        <f t="shared" si="30"/>
        <v>#REF!</v>
      </c>
      <c r="AO32" s="36" t="e">
        <f t="shared" si="31"/>
        <v>#REF!</v>
      </c>
      <c r="AQ32" s="38"/>
      <c r="AR32" s="36" t="e">
        <f t="shared" si="32"/>
        <v>#REF!</v>
      </c>
      <c r="AS32" s="36" t="e">
        <f t="shared" si="33"/>
        <v>#REF!</v>
      </c>
      <c r="AT32" s="36" t="e">
        <f t="shared" si="34"/>
        <v>#REF!</v>
      </c>
      <c r="AU32" s="36" t="e">
        <f t="shared" si="35"/>
        <v>#REF!</v>
      </c>
      <c r="AV32" s="36" t="e">
        <f t="shared" si="36"/>
        <v>#REF!</v>
      </c>
      <c r="AW32" s="36" t="e">
        <f t="shared" si="37"/>
        <v>#REF!</v>
      </c>
      <c r="AX32" s="36" t="e">
        <f t="shared" si="38"/>
        <v>#REF!</v>
      </c>
      <c r="AY32" s="36" t="e">
        <f t="shared" si="39"/>
        <v>#REF!</v>
      </c>
      <c r="AZ32" s="36" t="e">
        <f t="shared" si="40"/>
        <v>#REF!</v>
      </c>
      <c r="BA32" s="36" t="e">
        <f t="shared" si="41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22"/>
        <v>#REF!</v>
      </c>
      <c r="AG33" s="36" t="e">
        <f t="shared" si="23"/>
        <v>#REF!</v>
      </c>
      <c r="AH33" s="36" t="e">
        <f t="shared" si="24"/>
        <v>#REF!</v>
      </c>
      <c r="AI33" s="36" t="e">
        <f t="shared" si="25"/>
        <v>#REF!</v>
      </c>
      <c r="AJ33" s="36" t="e">
        <f t="shared" si="26"/>
        <v>#REF!</v>
      </c>
      <c r="AK33" s="36" t="e">
        <f t="shared" si="27"/>
        <v>#REF!</v>
      </c>
      <c r="AL33" s="36" t="e">
        <f t="shared" si="28"/>
        <v>#REF!</v>
      </c>
      <c r="AM33" s="36" t="e">
        <f t="shared" si="29"/>
        <v>#REF!</v>
      </c>
      <c r="AN33" s="36" t="e">
        <f t="shared" si="30"/>
        <v>#REF!</v>
      </c>
      <c r="AO33" s="36" t="e">
        <f t="shared" si="31"/>
        <v>#REF!</v>
      </c>
      <c r="AQ33" s="38"/>
      <c r="AR33" s="36" t="e">
        <f t="shared" si="32"/>
        <v>#REF!</v>
      </c>
      <c r="AS33" s="36" t="e">
        <f t="shared" si="33"/>
        <v>#REF!</v>
      </c>
      <c r="AT33" s="36" t="e">
        <f t="shared" si="34"/>
        <v>#REF!</v>
      </c>
      <c r="AU33" s="36" t="e">
        <f t="shared" si="35"/>
        <v>#REF!</v>
      </c>
      <c r="AV33" s="36" t="e">
        <f t="shared" si="36"/>
        <v>#REF!</v>
      </c>
      <c r="AW33" s="36" t="e">
        <f t="shared" si="37"/>
        <v>#REF!</v>
      </c>
      <c r="AX33" s="36" t="e">
        <f t="shared" si="38"/>
        <v>#REF!</v>
      </c>
      <c r="AY33" s="36" t="e">
        <f t="shared" si="39"/>
        <v>#REF!</v>
      </c>
      <c r="AZ33" s="36" t="e">
        <f t="shared" si="40"/>
        <v>#REF!</v>
      </c>
      <c r="BA33" s="36" t="e">
        <f t="shared" si="41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22"/>
        <v>#REF!</v>
      </c>
      <c r="AG34" s="36" t="e">
        <f t="shared" si="23"/>
        <v>#REF!</v>
      </c>
      <c r="AH34" s="36" t="e">
        <f t="shared" si="24"/>
        <v>#REF!</v>
      </c>
      <c r="AI34" s="36" t="e">
        <f t="shared" si="25"/>
        <v>#REF!</v>
      </c>
      <c r="AJ34" s="36" t="e">
        <f t="shared" si="26"/>
        <v>#REF!</v>
      </c>
      <c r="AK34" s="36" t="e">
        <f t="shared" si="27"/>
        <v>#REF!</v>
      </c>
      <c r="AL34" s="36" t="e">
        <f t="shared" si="28"/>
        <v>#REF!</v>
      </c>
      <c r="AM34" s="36" t="e">
        <f t="shared" si="29"/>
        <v>#REF!</v>
      </c>
      <c r="AN34" s="36" t="e">
        <f t="shared" si="30"/>
        <v>#REF!</v>
      </c>
      <c r="AO34" s="36" t="e">
        <f t="shared" si="31"/>
        <v>#REF!</v>
      </c>
      <c r="AQ34" s="38"/>
      <c r="AR34" s="36" t="e">
        <f t="shared" si="32"/>
        <v>#REF!</v>
      </c>
      <c r="AS34" s="36" t="e">
        <f t="shared" si="33"/>
        <v>#REF!</v>
      </c>
      <c r="AT34" s="36" t="e">
        <f t="shared" si="34"/>
        <v>#REF!</v>
      </c>
      <c r="AU34" s="36" t="e">
        <f t="shared" si="35"/>
        <v>#REF!</v>
      </c>
      <c r="AV34" s="36" t="e">
        <f t="shared" si="36"/>
        <v>#REF!</v>
      </c>
      <c r="AW34" s="36" t="e">
        <f t="shared" si="37"/>
        <v>#REF!</v>
      </c>
      <c r="AX34" s="36" t="e">
        <f t="shared" si="38"/>
        <v>#REF!</v>
      </c>
      <c r="AY34" s="36" t="e">
        <f t="shared" si="39"/>
        <v>#REF!</v>
      </c>
      <c r="AZ34" s="36" t="e">
        <f t="shared" si="40"/>
        <v>#REF!</v>
      </c>
      <c r="BA34" s="36" t="e">
        <f t="shared" si="41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Q35" s="38"/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F37" s="36" t="e">
        <f t="shared" ref="AF37:AF45" si="42">AF$10*$AC38</f>
        <v>#REF!</v>
      </c>
      <c r="AG37" s="36" t="e">
        <f t="shared" ref="AG37:AG45" si="43">AG$10*$AC38</f>
        <v>#REF!</v>
      </c>
      <c r="AH37" s="36" t="e">
        <f t="shared" ref="AH37:AH45" si="44">AH$10*$AC38</f>
        <v>#REF!</v>
      </c>
      <c r="AI37" s="36" t="e">
        <f t="shared" ref="AI37:AI45" si="45">AI$10*$AC38</f>
        <v>#REF!</v>
      </c>
      <c r="AJ37" s="36" t="e">
        <f t="shared" ref="AJ37:AJ45" si="46">AJ$10*$AC38</f>
        <v>#REF!</v>
      </c>
      <c r="AK37" s="36" t="e">
        <f t="shared" ref="AK37:AK45" si="47">AK$10*$AC38</f>
        <v>#REF!</v>
      </c>
      <c r="AL37" s="36" t="e">
        <f t="shared" ref="AL37:AL45" si="48">AL$10*$AC38</f>
        <v>#REF!</v>
      </c>
      <c r="AM37" s="36" t="e">
        <f t="shared" ref="AM37:AM45" si="49">AM$10*$AC38</f>
        <v>#REF!</v>
      </c>
      <c r="AN37" s="36" t="e">
        <f t="shared" ref="AN37:AN45" si="50">AN$10*$AC38</f>
        <v>#REF!</v>
      </c>
      <c r="AO37" s="36" t="e">
        <f t="shared" ref="AO37:AO45" si="51">AO$10*$AC38</f>
        <v>#REF!</v>
      </c>
      <c r="AQ37" s="38"/>
      <c r="AR37" s="36" t="e">
        <f t="shared" ref="AR37:AR45" si="52">AR$10*$AC38</f>
        <v>#REF!</v>
      </c>
      <c r="AS37" s="36" t="e">
        <f t="shared" ref="AS37:AS45" si="53">AS$10*$AC38</f>
        <v>#REF!</v>
      </c>
      <c r="AT37" s="36" t="e">
        <f t="shared" ref="AT37:AT45" si="54">AT$10*$AC38</f>
        <v>#REF!</v>
      </c>
      <c r="AU37" s="36" t="e">
        <f t="shared" ref="AU37:AU45" si="55">AU$10*$AC38</f>
        <v>#REF!</v>
      </c>
      <c r="AV37" s="36" t="e">
        <f t="shared" ref="AV37:AV45" si="56">AV$10*$AC38</f>
        <v>#REF!</v>
      </c>
      <c r="AW37" s="36" t="e">
        <f t="shared" ref="AW37:AW45" si="57">AW$10*$AC38</f>
        <v>#REF!</v>
      </c>
      <c r="AX37" s="36" t="e">
        <f t="shared" ref="AX37:AX45" si="58">AX$10*$AC38</f>
        <v>#REF!</v>
      </c>
      <c r="AY37" s="36" t="e">
        <f t="shared" ref="AY37:AY45" si="59">AY$10*$AC38</f>
        <v>#REF!</v>
      </c>
      <c r="AZ37" s="36" t="e">
        <f t="shared" ref="AZ37:AZ45" si="60">AZ$10*$AC38</f>
        <v>#REF!</v>
      </c>
      <c r="BA37" s="36" t="e">
        <f t="shared" ref="BA37:BA45" si="61">BA$10*$AC38</f>
        <v>#REF!</v>
      </c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si="42"/>
        <v>#REF!</v>
      </c>
      <c r="AG38" s="36" t="e">
        <f t="shared" si="43"/>
        <v>#REF!</v>
      </c>
      <c r="AH38" s="36" t="e">
        <f t="shared" si="44"/>
        <v>#REF!</v>
      </c>
      <c r="AI38" s="36" t="e">
        <f t="shared" si="45"/>
        <v>#REF!</v>
      </c>
      <c r="AJ38" s="36" t="e">
        <f t="shared" si="46"/>
        <v>#REF!</v>
      </c>
      <c r="AK38" s="36" t="e">
        <f t="shared" si="47"/>
        <v>#REF!</v>
      </c>
      <c r="AL38" s="36" t="e">
        <f t="shared" si="48"/>
        <v>#REF!</v>
      </c>
      <c r="AM38" s="36" t="e">
        <f t="shared" si="49"/>
        <v>#REF!</v>
      </c>
      <c r="AN38" s="36" t="e">
        <f t="shared" si="50"/>
        <v>#REF!</v>
      </c>
      <c r="AO38" s="36" t="e">
        <f t="shared" si="51"/>
        <v>#REF!</v>
      </c>
      <c r="AQ38" s="38"/>
      <c r="AR38" s="36" t="e">
        <f t="shared" si="52"/>
        <v>#REF!</v>
      </c>
      <c r="AS38" s="36" t="e">
        <f t="shared" si="53"/>
        <v>#REF!</v>
      </c>
      <c r="AT38" s="36" t="e">
        <f t="shared" si="54"/>
        <v>#REF!</v>
      </c>
      <c r="AU38" s="36" t="e">
        <f t="shared" si="55"/>
        <v>#REF!</v>
      </c>
      <c r="AV38" s="36" t="e">
        <f t="shared" si="56"/>
        <v>#REF!</v>
      </c>
      <c r="AW38" s="36" t="e">
        <f t="shared" si="57"/>
        <v>#REF!</v>
      </c>
      <c r="AX38" s="36" t="e">
        <f t="shared" si="58"/>
        <v>#REF!</v>
      </c>
      <c r="AY38" s="36" t="e">
        <f t="shared" si="59"/>
        <v>#REF!</v>
      </c>
      <c r="AZ38" s="36" t="e">
        <f t="shared" si="60"/>
        <v>#REF!</v>
      </c>
      <c r="BA38" s="36" t="e">
        <f t="shared" si="61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42"/>
        <v>#REF!</v>
      </c>
      <c r="AG39" s="36" t="e">
        <f t="shared" si="43"/>
        <v>#REF!</v>
      </c>
      <c r="AH39" s="36" t="e">
        <f t="shared" si="44"/>
        <v>#REF!</v>
      </c>
      <c r="AI39" s="36" t="e">
        <f t="shared" si="45"/>
        <v>#REF!</v>
      </c>
      <c r="AJ39" s="36" t="e">
        <f t="shared" si="46"/>
        <v>#REF!</v>
      </c>
      <c r="AK39" s="36" t="e">
        <f t="shared" si="47"/>
        <v>#REF!</v>
      </c>
      <c r="AL39" s="36" t="e">
        <f t="shared" si="48"/>
        <v>#REF!</v>
      </c>
      <c r="AM39" s="36" t="e">
        <f t="shared" si="49"/>
        <v>#REF!</v>
      </c>
      <c r="AN39" s="36" t="e">
        <f t="shared" si="50"/>
        <v>#REF!</v>
      </c>
      <c r="AO39" s="36" t="e">
        <f t="shared" si="51"/>
        <v>#REF!</v>
      </c>
      <c r="AQ39" s="38"/>
      <c r="AR39" s="36" t="e">
        <f t="shared" si="52"/>
        <v>#REF!</v>
      </c>
      <c r="AS39" s="36" t="e">
        <f t="shared" si="53"/>
        <v>#REF!</v>
      </c>
      <c r="AT39" s="36" t="e">
        <f t="shared" si="54"/>
        <v>#REF!</v>
      </c>
      <c r="AU39" s="36" t="e">
        <f t="shared" si="55"/>
        <v>#REF!</v>
      </c>
      <c r="AV39" s="36" t="e">
        <f t="shared" si="56"/>
        <v>#REF!</v>
      </c>
      <c r="AW39" s="36" t="e">
        <f t="shared" si="57"/>
        <v>#REF!</v>
      </c>
      <c r="AX39" s="36" t="e">
        <f t="shared" si="58"/>
        <v>#REF!</v>
      </c>
      <c r="AY39" s="36" t="e">
        <f t="shared" si="59"/>
        <v>#REF!</v>
      </c>
      <c r="AZ39" s="36" t="e">
        <f t="shared" si="60"/>
        <v>#REF!</v>
      </c>
      <c r="BA39" s="36" t="e">
        <f t="shared" si="61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42"/>
        <v>#REF!</v>
      </c>
      <c r="AG40" s="36" t="e">
        <f t="shared" si="43"/>
        <v>#REF!</v>
      </c>
      <c r="AH40" s="36" t="e">
        <f t="shared" si="44"/>
        <v>#REF!</v>
      </c>
      <c r="AI40" s="36" t="e">
        <f t="shared" si="45"/>
        <v>#REF!</v>
      </c>
      <c r="AJ40" s="36" t="e">
        <f t="shared" si="46"/>
        <v>#REF!</v>
      </c>
      <c r="AK40" s="36" t="e">
        <f t="shared" si="47"/>
        <v>#REF!</v>
      </c>
      <c r="AL40" s="36" t="e">
        <f t="shared" si="48"/>
        <v>#REF!</v>
      </c>
      <c r="AM40" s="36" t="e">
        <f t="shared" si="49"/>
        <v>#REF!</v>
      </c>
      <c r="AN40" s="36" t="e">
        <f t="shared" si="50"/>
        <v>#REF!</v>
      </c>
      <c r="AO40" s="36" t="e">
        <f t="shared" si="51"/>
        <v>#REF!</v>
      </c>
      <c r="AQ40" s="38"/>
      <c r="AR40" s="36" t="e">
        <f t="shared" si="52"/>
        <v>#REF!</v>
      </c>
      <c r="AS40" s="36" t="e">
        <f t="shared" si="53"/>
        <v>#REF!</v>
      </c>
      <c r="AT40" s="36" t="e">
        <f t="shared" si="54"/>
        <v>#REF!</v>
      </c>
      <c r="AU40" s="36" t="e">
        <f t="shared" si="55"/>
        <v>#REF!</v>
      </c>
      <c r="AV40" s="36" t="e">
        <f t="shared" si="56"/>
        <v>#REF!</v>
      </c>
      <c r="AW40" s="36" t="e">
        <f t="shared" si="57"/>
        <v>#REF!</v>
      </c>
      <c r="AX40" s="36" t="e">
        <f t="shared" si="58"/>
        <v>#REF!</v>
      </c>
      <c r="AY40" s="36" t="e">
        <f t="shared" si="59"/>
        <v>#REF!</v>
      </c>
      <c r="AZ40" s="36" t="e">
        <f t="shared" si="60"/>
        <v>#REF!</v>
      </c>
      <c r="BA40" s="36" t="e">
        <f t="shared" si="61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42"/>
        <v>#REF!</v>
      </c>
      <c r="AG41" s="36" t="e">
        <f t="shared" si="43"/>
        <v>#REF!</v>
      </c>
      <c r="AH41" s="36" t="e">
        <f t="shared" si="44"/>
        <v>#REF!</v>
      </c>
      <c r="AI41" s="36" t="e">
        <f t="shared" si="45"/>
        <v>#REF!</v>
      </c>
      <c r="AJ41" s="36" t="e">
        <f t="shared" si="46"/>
        <v>#REF!</v>
      </c>
      <c r="AK41" s="36" t="e">
        <f t="shared" si="47"/>
        <v>#REF!</v>
      </c>
      <c r="AL41" s="36" t="e">
        <f t="shared" si="48"/>
        <v>#REF!</v>
      </c>
      <c r="AM41" s="36" t="e">
        <f t="shared" si="49"/>
        <v>#REF!</v>
      </c>
      <c r="AN41" s="36" t="e">
        <f t="shared" si="50"/>
        <v>#REF!</v>
      </c>
      <c r="AO41" s="36" t="e">
        <f t="shared" si="51"/>
        <v>#REF!</v>
      </c>
      <c r="AQ41" s="38"/>
      <c r="AR41" s="36" t="e">
        <f t="shared" si="52"/>
        <v>#REF!</v>
      </c>
      <c r="AS41" s="36" t="e">
        <f t="shared" si="53"/>
        <v>#REF!</v>
      </c>
      <c r="AT41" s="36" t="e">
        <f t="shared" si="54"/>
        <v>#REF!</v>
      </c>
      <c r="AU41" s="36" t="e">
        <f t="shared" si="55"/>
        <v>#REF!</v>
      </c>
      <c r="AV41" s="36" t="e">
        <f t="shared" si="56"/>
        <v>#REF!</v>
      </c>
      <c r="AW41" s="36" t="e">
        <f t="shared" si="57"/>
        <v>#REF!</v>
      </c>
      <c r="AX41" s="36" t="e">
        <f t="shared" si="58"/>
        <v>#REF!</v>
      </c>
      <c r="AY41" s="36" t="e">
        <f t="shared" si="59"/>
        <v>#REF!</v>
      </c>
      <c r="AZ41" s="36" t="e">
        <f t="shared" si="60"/>
        <v>#REF!</v>
      </c>
      <c r="BA41" s="36" t="e">
        <f t="shared" si="61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42"/>
        <v>#REF!</v>
      </c>
      <c r="AG42" s="36" t="e">
        <f t="shared" si="43"/>
        <v>#REF!</v>
      </c>
      <c r="AH42" s="36" t="e">
        <f t="shared" si="44"/>
        <v>#REF!</v>
      </c>
      <c r="AI42" s="36" t="e">
        <f t="shared" si="45"/>
        <v>#REF!</v>
      </c>
      <c r="AJ42" s="36" t="e">
        <f t="shared" si="46"/>
        <v>#REF!</v>
      </c>
      <c r="AK42" s="36" t="e">
        <f t="shared" si="47"/>
        <v>#REF!</v>
      </c>
      <c r="AL42" s="36" t="e">
        <f t="shared" si="48"/>
        <v>#REF!</v>
      </c>
      <c r="AM42" s="36" t="e">
        <f t="shared" si="49"/>
        <v>#REF!</v>
      </c>
      <c r="AN42" s="36" t="e">
        <f t="shared" si="50"/>
        <v>#REF!</v>
      </c>
      <c r="AO42" s="36" t="e">
        <f t="shared" si="51"/>
        <v>#REF!</v>
      </c>
      <c r="AQ42" s="38"/>
      <c r="AR42" s="36" t="e">
        <f t="shared" si="52"/>
        <v>#REF!</v>
      </c>
      <c r="AS42" s="36" t="e">
        <f t="shared" si="53"/>
        <v>#REF!</v>
      </c>
      <c r="AT42" s="36" t="e">
        <f t="shared" si="54"/>
        <v>#REF!</v>
      </c>
      <c r="AU42" s="36" t="e">
        <f t="shared" si="55"/>
        <v>#REF!</v>
      </c>
      <c r="AV42" s="36" t="e">
        <f t="shared" si="56"/>
        <v>#REF!</v>
      </c>
      <c r="AW42" s="36" t="e">
        <f t="shared" si="57"/>
        <v>#REF!</v>
      </c>
      <c r="AX42" s="36" t="e">
        <f t="shared" si="58"/>
        <v>#REF!</v>
      </c>
      <c r="AY42" s="36" t="e">
        <f t="shared" si="59"/>
        <v>#REF!</v>
      </c>
      <c r="AZ42" s="36" t="e">
        <f t="shared" si="60"/>
        <v>#REF!</v>
      </c>
      <c r="BA42" s="36" t="e">
        <f t="shared" si="61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42"/>
        <v>#REF!</v>
      </c>
      <c r="AG43" s="36" t="e">
        <f t="shared" si="43"/>
        <v>#REF!</v>
      </c>
      <c r="AH43" s="36" t="e">
        <f t="shared" si="44"/>
        <v>#REF!</v>
      </c>
      <c r="AI43" s="36" t="e">
        <f t="shared" si="45"/>
        <v>#REF!</v>
      </c>
      <c r="AJ43" s="36" t="e">
        <f t="shared" si="46"/>
        <v>#REF!</v>
      </c>
      <c r="AK43" s="36" t="e">
        <f t="shared" si="47"/>
        <v>#REF!</v>
      </c>
      <c r="AL43" s="36" t="e">
        <f t="shared" si="48"/>
        <v>#REF!</v>
      </c>
      <c r="AM43" s="36" t="e">
        <f t="shared" si="49"/>
        <v>#REF!</v>
      </c>
      <c r="AN43" s="36" t="e">
        <f t="shared" si="50"/>
        <v>#REF!</v>
      </c>
      <c r="AO43" s="36" t="e">
        <f t="shared" si="51"/>
        <v>#REF!</v>
      </c>
      <c r="AQ43" s="38"/>
      <c r="AR43" s="36" t="e">
        <f t="shared" si="52"/>
        <v>#REF!</v>
      </c>
      <c r="AS43" s="36" t="e">
        <f t="shared" si="53"/>
        <v>#REF!</v>
      </c>
      <c r="AT43" s="36" t="e">
        <f t="shared" si="54"/>
        <v>#REF!</v>
      </c>
      <c r="AU43" s="36" t="e">
        <f t="shared" si="55"/>
        <v>#REF!</v>
      </c>
      <c r="AV43" s="36" t="e">
        <f t="shared" si="56"/>
        <v>#REF!</v>
      </c>
      <c r="AW43" s="36" t="e">
        <f t="shared" si="57"/>
        <v>#REF!</v>
      </c>
      <c r="AX43" s="36" t="e">
        <f t="shared" si="58"/>
        <v>#REF!</v>
      </c>
      <c r="AY43" s="36" t="e">
        <f t="shared" si="59"/>
        <v>#REF!</v>
      </c>
      <c r="AZ43" s="36" t="e">
        <f t="shared" si="60"/>
        <v>#REF!</v>
      </c>
      <c r="BA43" s="36" t="e">
        <f t="shared" si="61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42"/>
        <v>#REF!</v>
      </c>
      <c r="AG44" s="36" t="e">
        <f t="shared" si="43"/>
        <v>#REF!</v>
      </c>
      <c r="AH44" s="36" t="e">
        <f t="shared" si="44"/>
        <v>#REF!</v>
      </c>
      <c r="AI44" s="36" t="e">
        <f t="shared" si="45"/>
        <v>#REF!</v>
      </c>
      <c r="AJ44" s="36" t="e">
        <f t="shared" si="46"/>
        <v>#REF!</v>
      </c>
      <c r="AK44" s="36" t="e">
        <f t="shared" si="47"/>
        <v>#REF!</v>
      </c>
      <c r="AL44" s="36" t="e">
        <f t="shared" si="48"/>
        <v>#REF!</v>
      </c>
      <c r="AM44" s="36" t="e">
        <f t="shared" si="49"/>
        <v>#REF!</v>
      </c>
      <c r="AN44" s="36" t="e">
        <f t="shared" si="50"/>
        <v>#REF!</v>
      </c>
      <c r="AO44" s="36" t="e">
        <f t="shared" si="51"/>
        <v>#REF!</v>
      </c>
      <c r="AQ44" s="38"/>
      <c r="AR44" s="36" t="e">
        <f t="shared" si="52"/>
        <v>#REF!</v>
      </c>
      <c r="AS44" s="36" t="e">
        <f t="shared" si="53"/>
        <v>#REF!</v>
      </c>
      <c r="AT44" s="36" t="e">
        <f t="shared" si="54"/>
        <v>#REF!</v>
      </c>
      <c r="AU44" s="36" t="e">
        <f t="shared" si="55"/>
        <v>#REF!</v>
      </c>
      <c r="AV44" s="36" t="e">
        <f t="shared" si="56"/>
        <v>#REF!</v>
      </c>
      <c r="AW44" s="36" t="e">
        <f t="shared" si="57"/>
        <v>#REF!</v>
      </c>
      <c r="AX44" s="36" t="e">
        <f t="shared" si="58"/>
        <v>#REF!</v>
      </c>
      <c r="AY44" s="36" t="e">
        <f t="shared" si="59"/>
        <v>#REF!</v>
      </c>
      <c r="AZ44" s="36" t="e">
        <f t="shared" si="60"/>
        <v>#REF!</v>
      </c>
      <c r="BA44" s="36" t="e">
        <f t="shared" si="61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42"/>
        <v>#REF!</v>
      </c>
      <c r="AG45" s="36" t="e">
        <f t="shared" si="43"/>
        <v>#REF!</v>
      </c>
      <c r="AH45" s="36" t="e">
        <f t="shared" si="44"/>
        <v>#REF!</v>
      </c>
      <c r="AI45" s="36" t="e">
        <f t="shared" si="45"/>
        <v>#REF!</v>
      </c>
      <c r="AJ45" s="36" t="e">
        <f t="shared" si="46"/>
        <v>#REF!</v>
      </c>
      <c r="AK45" s="36" t="e">
        <f t="shared" si="47"/>
        <v>#REF!</v>
      </c>
      <c r="AL45" s="36" t="e">
        <f t="shared" si="48"/>
        <v>#REF!</v>
      </c>
      <c r="AM45" s="36" t="e">
        <f t="shared" si="49"/>
        <v>#REF!</v>
      </c>
      <c r="AN45" s="36" t="e">
        <f t="shared" si="50"/>
        <v>#REF!</v>
      </c>
      <c r="AO45" s="36" t="e">
        <f t="shared" si="51"/>
        <v>#REF!</v>
      </c>
      <c r="AQ45" s="38"/>
      <c r="AR45" s="36" t="e">
        <f t="shared" si="52"/>
        <v>#REF!</v>
      </c>
      <c r="AS45" s="36" t="e">
        <f t="shared" si="53"/>
        <v>#REF!</v>
      </c>
      <c r="AT45" s="36" t="e">
        <f t="shared" si="54"/>
        <v>#REF!</v>
      </c>
      <c r="AU45" s="36" t="e">
        <f t="shared" si="55"/>
        <v>#REF!</v>
      </c>
      <c r="AV45" s="36" t="e">
        <f t="shared" si="56"/>
        <v>#REF!</v>
      </c>
      <c r="AW45" s="36" t="e">
        <f t="shared" si="57"/>
        <v>#REF!</v>
      </c>
      <c r="AX45" s="36" t="e">
        <f t="shared" si="58"/>
        <v>#REF!</v>
      </c>
      <c r="AY45" s="36" t="e">
        <f t="shared" si="59"/>
        <v>#REF!</v>
      </c>
      <c r="AZ45" s="36" t="e">
        <f t="shared" si="60"/>
        <v>#REF!</v>
      </c>
      <c r="BA45" s="36" t="e">
        <f t="shared" si="61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Q46" s="38"/>
    </row>
    <row r="47" spans="1:53" hidden="1">
      <c r="AQ47" s="38"/>
    </row>
    <row r="48" spans="1:53" ht="63.75" hidden="1"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6" t="s">
        <v>43</v>
      </c>
      <c r="AB49" s="67"/>
      <c r="AC49" s="68"/>
      <c r="AD49" s="68"/>
      <c r="AE49" s="68"/>
      <c r="AG49" s="70"/>
      <c r="AQ49" s="38"/>
    </row>
    <row r="50" spans="27:53" hidden="1">
      <c r="AA50" s="69" t="s">
        <v>44</v>
      </c>
      <c r="AB50" s="35"/>
      <c r="AF50" s="70" t="e">
        <f t="shared" ref="AF50:AO50" si="62">AF15+AF17+AF18</f>
        <v>#REF!</v>
      </c>
      <c r="AG50" s="70" t="e">
        <f t="shared" si="62"/>
        <v>#REF!</v>
      </c>
      <c r="AH50" s="70" t="e">
        <f t="shared" si="62"/>
        <v>#REF!</v>
      </c>
      <c r="AI50" s="70" t="e">
        <f t="shared" si="62"/>
        <v>#REF!</v>
      </c>
      <c r="AJ50" s="70" t="e">
        <f t="shared" si="62"/>
        <v>#REF!</v>
      </c>
      <c r="AK50" s="70" t="e">
        <f t="shared" si="62"/>
        <v>#REF!</v>
      </c>
      <c r="AL50" s="70" t="e">
        <f t="shared" si="62"/>
        <v>#REF!</v>
      </c>
      <c r="AM50" s="70" t="e">
        <f t="shared" si="62"/>
        <v>#REF!</v>
      </c>
      <c r="AN50" s="70" t="e">
        <f t="shared" si="62"/>
        <v>#REF!</v>
      </c>
      <c r="AO50" s="70" t="e">
        <f t="shared" si="62"/>
        <v>#REF!</v>
      </c>
      <c r="AP50" s="70"/>
      <c r="AQ50" s="70"/>
      <c r="AR50" s="70" t="e">
        <f t="shared" ref="AR50:BA50" si="63">AR15+AR17+AR18</f>
        <v>#REF!</v>
      </c>
      <c r="AS50" s="70" t="e">
        <f t="shared" si="63"/>
        <v>#REF!</v>
      </c>
      <c r="AT50" s="70" t="e">
        <f t="shared" si="63"/>
        <v>#REF!</v>
      </c>
      <c r="AU50" s="70" t="e">
        <f t="shared" si="63"/>
        <v>#REF!</v>
      </c>
      <c r="AV50" s="70" t="e">
        <f t="shared" si="63"/>
        <v>#REF!</v>
      </c>
      <c r="AW50" s="70" t="e">
        <f t="shared" si="63"/>
        <v>#REF!</v>
      </c>
      <c r="AX50" s="70" t="e">
        <f t="shared" si="63"/>
        <v>#REF!</v>
      </c>
      <c r="AY50" s="70" t="e">
        <f t="shared" si="63"/>
        <v>#REF!</v>
      </c>
      <c r="AZ50" s="70" t="e">
        <f t="shared" si="63"/>
        <v>#REF!</v>
      </c>
      <c r="BA50" s="70" t="e">
        <f t="shared" si="63"/>
        <v>#REF!</v>
      </c>
    </row>
    <row r="51" spans="27:53" hidden="1">
      <c r="AA51" s="71" t="s">
        <v>29</v>
      </c>
      <c r="AB51" s="35"/>
      <c r="AF51" s="70" t="e">
        <f t="shared" ref="AF51:AO51" si="64">AF26+AF28+AF29</f>
        <v>#REF!</v>
      </c>
      <c r="AG51" s="70" t="e">
        <f t="shared" si="64"/>
        <v>#REF!</v>
      </c>
      <c r="AH51" s="70" t="e">
        <f t="shared" si="64"/>
        <v>#REF!</v>
      </c>
      <c r="AI51" s="70" t="e">
        <f t="shared" si="64"/>
        <v>#REF!</v>
      </c>
      <c r="AJ51" s="70" t="e">
        <f t="shared" si="64"/>
        <v>#REF!</v>
      </c>
      <c r="AK51" s="70" t="e">
        <f t="shared" si="64"/>
        <v>#REF!</v>
      </c>
      <c r="AL51" s="70" t="e">
        <f t="shared" si="64"/>
        <v>#REF!</v>
      </c>
      <c r="AM51" s="70" t="e">
        <f t="shared" si="64"/>
        <v>#REF!</v>
      </c>
      <c r="AN51" s="70" t="e">
        <f t="shared" si="64"/>
        <v>#REF!</v>
      </c>
      <c r="AO51" s="70" t="e">
        <f t="shared" si="64"/>
        <v>#REF!</v>
      </c>
      <c r="AP51" s="70"/>
      <c r="AQ51" s="70"/>
      <c r="AR51" s="70" t="e">
        <f t="shared" ref="AR51:BA51" si="65">AR26+AR28+AR29</f>
        <v>#REF!</v>
      </c>
      <c r="AS51" s="70" t="e">
        <f t="shared" si="65"/>
        <v>#REF!</v>
      </c>
      <c r="AT51" s="70" t="e">
        <f t="shared" si="65"/>
        <v>#REF!</v>
      </c>
      <c r="AU51" s="70" t="e">
        <f t="shared" si="65"/>
        <v>#REF!</v>
      </c>
      <c r="AV51" s="70" t="e">
        <f t="shared" si="65"/>
        <v>#REF!</v>
      </c>
      <c r="AW51" s="70" t="e">
        <f t="shared" si="65"/>
        <v>#REF!</v>
      </c>
      <c r="AX51" s="70" t="e">
        <f t="shared" si="65"/>
        <v>#REF!</v>
      </c>
      <c r="AY51" s="70" t="e">
        <f t="shared" si="65"/>
        <v>#REF!</v>
      </c>
      <c r="AZ51" s="70" t="e">
        <f t="shared" si="65"/>
        <v>#REF!</v>
      </c>
      <c r="BA51" s="70" t="e">
        <f t="shared" si="65"/>
        <v>#REF!</v>
      </c>
    </row>
    <row r="52" spans="27:53" hidden="1">
      <c r="AA52" s="71" t="s">
        <v>41</v>
      </c>
      <c r="AB52" s="35"/>
      <c r="AF52" s="70" t="e">
        <f t="shared" ref="AF52:AO52" si="66">AF37+AF39+AF40</f>
        <v>#REF!</v>
      </c>
      <c r="AG52" s="70" t="e">
        <f t="shared" si="66"/>
        <v>#REF!</v>
      </c>
      <c r="AH52" s="70" t="e">
        <f t="shared" si="66"/>
        <v>#REF!</v>
      </c>
      <c r="AI52" s="70" t="e">
        <f t="shared" si="66"/>
        <v>#REF!</v>
      </c>
      <c r="AJ52" s="70" t="e">
        <f t="shared" si="66"/>
        <v>#REF!</v>
      </c>
      <c r="AK52" s="70" t="e">
        <f t="shared" si="66"/>
        <v>#REF!</v>
      </c>
      <c r="AL52" s="70" t="e">
        <f t="shared" si="66"/>
        <v>#REF!</v>
      </c>
      <c r="AM52" s="70" t="e">
        <f t="shared" si="66"/>
        <v>#REF!</v>
      </c>
      <c r="AN52" s="70" t="e">
        <f t="shared" si="66"/>
        <v>#REF!</v>
      </c>
      <c r="AO52" s="70" t="e">
        <f t="shared" si="66"/>
        <v>#REF!</v>
      </c>
      <c r="AP52" s="70"/>
      <c r="AQ52" s="70"/>
      <c r="AR52" s="70" t="e">
        <f t="shared" ref="AR52:BA52" si="67">AR37+AR39+AR40</f>
        <v>#REF!</v>
      </c>
      <c r="AS52" s="70" t="e">
        <f t="shared" si="67"/>
        <v>#REF!</v>
      </c>
      <c r="AT52" s="70" t="e">
        <f t="shared" si="67"/>
        <v>#REF!</v>
      </c>
      <c r="AU52" s="70" t="e">
        <f t="shared" si="67"/>
        <v>#REF!</v>
      </c>
      <c r="AV52" s="70" t="e">
        <f t="shared" si="67"/>
        <v>#REF!</v>
      </c>
      <c r="AW52" s="70" t="e">
        <f t="shared" si="67"/>
        <v>#REF!</v>
      </c>
      <c r="AX52" s="70" t="e">
        <f t="shared" si="67"/>
        <v>#REF!</v>
      </c>
      <c r="AY52" s="70" t="e">
        <f t="shared" si="67"/>
        <v>#REF!</v>
      </c>
      <c r="AZ52" s="70" t="e">
        <f t="shared" si="67"/>
        <v>#REF!</v>
      </c>
      <c r="BA52" s="70" t="e">
        <f t="shared" si="67"/>
        <v>#REF!</v>
      </c>
    </row>
    <row r="53" spans="27:53" hidden="1">
      <c r="AA53" s="71" t="s">
        <v>42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69" t="s">
        <v>45</v>
      </c>
      <c r="AB54" s="35"/>
      <c r="AF54" s="70" t="e">
        <f t="shared" ref="AF54:AO54" si="68">AF15+AF17+AF19+AF21</f>
        <v>#REF!</v>
      </c>
      <c r="AG54" s="70" t="e">
        <f t="shared" si="68"/>
        <v>#REF!</v>
      </c>
      <c r="AH54" s="70" t="e">
        <f t="shared" si="68"/>
        <v>#REF!</v>
      </c>
      <c r="AI54" s="70" t="e">
        <f t="shared" si="68"/>
        <v>#REF!</v>
      </c>
      <c r="AJ54" s="70" t="e">
        <f t="shared" si="68"/>
        <v>#REF!</v>
      </c>
      <c r="AK54" s="70" t="e">
        <f t="shared" si="68"/>
        <v>#REF!</v>
      </c>
      <c r="AL54" s="70" t="e">
        <f t="shared" si="68"/>
        <v>#REF!</v>
      </c>
      <c r="AM54" s="70" t="e">
        <f t="shared" si="68"/>
        <v>#REF!</v>
      </c>
      <c r="AN54" s="70" t="e">
        <f t="shared" si="68"/>
        <v>#REF!</v>
      </c>
      <c r="AO54" s="70" t="e">
        <f t="shared" si="68"/>
        <v>#REF!</v>
      </c>
      <c r="AP54" s="70"/>
      <c r="AQ54" s="70"/>
      <c r="AR54" s="70" t="e">
        <f t="shared" ref="AR54:BA54" si="69">AR15+AR17+AR19+AR21</f>
        <v>#REF!</v>
      </c>
      <c r="AS54" s="70" t="e">
        <f t="shared" si="69"/>
        <v>#REF!</v>
      </c>
      <c r="AT54" s="70" t="e">
        <f t="shared" si="69"/>
        <v>#REF!</v>
      </c>
      <c r="AU54" s="70" t="e">
        <f t="shared" si="69"/>
        <v>#REF!</v>
      </c>
      <c r="AV54" s="70" t="e">
        <f t="shared" si="69"/>
        <v>#REF!</v>
      </c>
      <c r="AW54" s="70" t="e">
        <f t="shared" si="69"/>
        <v>#REF!</v>
      </c>
      <c r="AX54" s="70" t="e">
        <f t="shared" si="69"/>
        <v>#REF!</v>
      </c>
      <c r="AY54" s="70" t="e">
        <f t="shared" si="69"/>
        <v>#REF!</v>
      </c>
      <c r="AZ54" s="70" t="e">
        <f t="shared" si="69"/>
        <v>#REF!</v>
      </c>
      <c r="BA54" s="70" t="e">
        <f t="shared" si="69"/>
        <v>#REF!</v>
      </c>
    </row>
    <row r="55" spans="27:53" hidden="1">
      <c r="AA55" s="71" t="s">
        <v>29</v>
      </c>
      <c r="AB55" s="35"/>
      <c r="AF55" s="70" t="e">
        <f t="shared" ref="AF55:AO55" si="70">AF26+AF28+AF30+AF32</f>
        <v>#REF!</v>
      </c>
      <c r="AG55" s="70" t="e">
        <f t="shared" si="70"/>
        <v>#REF!</v>
      </c>
      <c r="AH55" s="70" t="e">
        <f t="shared" si="70"/>
        <v>#REF!</v>
      </c>
      <c r="AI55" s="70" t="e">
        <f t="shared" si="70"/>
        <v>#REF!</v>
      </c>
      <c r="AJ55" s="70" t="e">
        <f t="shared" si="70"/>
        <v>#REF!</v>
      </c>
      <c r="AK55" s="70" t="e">
        <f t="shared" si="70"/>
        <v>#REF!</v>
      </c>
      <c r="AL55" s="70" t="e">
        <f t="shared" si="70"/>
        <v>#REF!</v>
      </c>
      <c r="AM55" s="70" t="e">
        <f t="shared" si="70"/>
        <v>#REF!</v>
      </c>
      <c r="AN55" s="70" t="e">
        <f t="shared" si="70"/>
        <v>#REF!</v>
      </c>
      <c r="AO55" s="70" t="e">
        <f t="shared" si="70"/>
        <v>#REF!</v>
      </c>
      <c r="AP55" s="70"/>
      <c r="AQ55" s="70"/>
      <c r="AR55" s="70" t="e">
        <f t="shared" ref="AR55:BA55" si="71">AR26+AR28+AR30+AR32</f>
        <v>#REF!</v>
      </c>
      <c r="AS55" s="70" t="e">
        <f t="shared" si="71"/>
        <v>#REF!</v>
      </c>
      <c r="AT55" s="70" t="e">
        <f t="shared" si="71"/>
        <v>#REF!</v>
      </c>
      <c r="AU55" s="70" t="e">
        <f t="shared" si="71"/>
        <v>#REF!</v>
      </c>
      <c r="AV55" s="70" t="e">
        <f t="shared" si="71"/>
        <v>#REF!</v>
      </c>
      <c r="AW55" s="70" t="e">
        <f t="shared" si="71"/>
        <v>#REF!</v>
      </c>
      <c r="AX55" s="70" t="e">
        <f t="shared" si="71"/>
        <v>#REF!</v>
      </c>
      <c r="AY55" s="70" t="e">
        <f t="shared" si="71"/>
        <v>#REF!</v>
      </c>
      <c r="AZ55" s="70" t="e">
        <f t="shared" si="71"/>
        <v>#REF!</v>
      </c>
      <c r="BA55" s="70" t="e">
        <f t="shared" si="71"/>
        <v>#REF!</v>
      </c>
    </row>
    <row r="56" spans="27:53" hidden="1">
      <c r="AA56" s="71" t="s">
        <v>41</v>
      </c>
      <c r="AB56" s="35"/>
      <c r="AF56" s="70" t="e">
        <f t="shared" ref="AF56:AO56" si="72">AF37+AF39+AF41+AF43</f>
        <v>#REF!</v>
      </c>
      <c r="AG56" s="70" t="e">
        <f t="shared" si="72"/>
        <v>#REF!</v>
      </c>
      <c r="AH56" s="70" t="e">
        <f t="shared" si="72"/>
        <v>#REF!</v>
      </c>
      <c r="AI56" s="70" t="e">
        <f t="shared" si="72"/>
        <v>#REF!</v>
      </c>
      <c r="AJ56" s="70" t="e">
        <f t="shared" si="72"/>
        <v>#REF!</v>
      </c>
      <c r="AK56" s="70" t="e">
        <f t="shared" si="72"/>
        <v>#REF!</v>
      </c>
      <c r="AL56" s="70" t="e">
        <f t="shared" si="72"/>
        <v>#REF!</v>
      </c>
      <c r="AM56" s="70" t="e">
        <f t="shared" si="72"/>
        <v>#REF!</v>
      </c>
      <c r="AN56" s="70" t="e">
        <f t="shared" si="72"/>
        <v>#REF!</v>
      </c>
      <c r="AO56" s="70" t="e">
        <f t="shared" si="72"/>
        <v>#REF!</v>
      </c>
      <c r="AP56" s="70"/>
      <c r="AQ56" s="70"/>
      <c r="AR56" s="70" t="e">
        <f t="shared" ref="AR56:BA56" si="73">AR37+AR39+AR41+AR43</f>
        <v>#REF!</v>
      </c>
      <c r="AS56" s="70" t="e">
        <f t="shared" si="73"/>
        <v>#REF!</v>
      </c>
      <c r="AT56" s="70" t="e">
        <f t="shared" si="73"/>
        <v>#REF!</v>
      </c>
      <c r="AU56" s="70" t="e">
        <f t="shared" si="73"/>
        <v>#REF!</v>
      </c>
      <c r="AV56" s="70" t="e">
        <f t="shared" si="73"/>
        <v>#REF!</v>
      </c>
      <c r="AW56" s="70" t="e">
        <f t="shared" si="73"/>
        <v>#REF!</v>
      </c>
      <c r="AX56" s="70" t="e">
        <f t="shared" si="73"/>
        <v>#REF!</v>
      </c>
      <c r="AY56" s="70" t="e">
        <f t="shared" si="73"/>
        <v>#REF!</v>
      </c>
      <c r="AZ56" s="70" t="e">
        <f t="shared" si="73"/>
        <v>#REF!</v>
      </c>
      <c r="BA56" s="70" t="e">
        <f t="shared" si="73"/>
        <v>#REF!</v>
      </c>
    </row>
    <row r="57" spans="27:53" hidden="1">
      <c r="AA57" s="71" t="s">
        <v>42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69" t="s">
        <v>46</v>
      </c>
      <c r="AB58" s="35"/>
      <c r="AF58" s="70" t="e">
        <f t="shared" ref="AF58:AO58" si="74">AF15+AF17+AF19+AF20+AF22</f>
        <v>#REF!</v>
      </c>
      <c r="AG58" s="70" t="e">
        <f t="shared" si="74"/>
        <v>#REF!</v>
      </c>
      <c r="AH58" s="70" t="e">
        <f t="shared" si="74"/>
        <v>#REF!</v>
      </c>
      <c r="AI58" s="70" t="e">
        <f t="shared" si="74"/>
        <v>#REF!</v>
      </c>
      <c r="AJ58" s="70" t="e">
        <f t="shared" si="74"/>
        <v>#REF!</v>
      </c>
      <c r="AK58" s="70" t="e">
        <f t="shared" si="74"/>
        <v>#REF!</v>
      </c>
      <c r="AL58" s="70" t="e">
        <f t="shared" si="74"/>
        <v>#REF!</v>
      </c>
      <c r="AM58" s="70" t="e">
        <f t="shared" si="74"/>
        <v>#REF!</v>
      </c>
      <c r="AN58" s="70" t="e">
        <f t="shared" si="74"/>
        <v>#REF!</v>
      </c>
      <c r="AO58" s="70" t="e">
        <f t="shared" si="74"/>
        <v>#REF!</v>
      </c>
      <c r="AP58" s="70"/>
      <c r="AQ58" s="70"/>
      <c r="AR58" s="70" t="e">
        <f t="shared" ref="AR58:BA58" si="75">AR15+AR17+AR19+AR20+AR22</f>
        <v>#REF!</v>
      </c>
      <c r="AS58" s="70" t="e">
        <f t="shared" si="75"/>
        <v>#REF!</v>
      </c>
      <c r="AT58" s="70" t="e">
        <f t="shared" si="75"/>
        <v>#REF!</v>
      </c>
      <c r="AU58" s="70" t="e">
        <f t="shared" si="75"/>
        <v>#REF!</v>
      </c>
      <c r="AV58" s="70" t="e">
        <f t="shared" si="75"/>
        <v>#REF!</v>
      </c>
      <c r="AW58" s="70" t="e">
        <f t="shared" si="75"/>
        <v>#REF!</v>
      </c>
      <c r="AX58" s="70" t="e">
        <f t="shared" si="75"/>
        <v>#REF!</v>
      </c>
      <c r="AY58" s="70" t="e">
        <f t="shared" si="75"/>
        <v>#REF!</v>
      </c>
      <c r="AZ58" s="70" t="e">
        <f t="shared" si="75"/>
        <v>#REF!</v>
      </c>
      <c r="BA58" s="70" t="e">
        <f t="shared" si="75"/>
        <v>#REF!</v>
      </c>
    </row>
    <row r="59" spans="27:53" hidden="1">
      <c r="AA59" s="71" t="s">
        <v>29</v>
      </c>
      <c r="AB59" s="35"/>
      <c r="AF59" s="70" t="e">
        <f t="shared" ref="AF59:AO59" si="76">AF26+AF28+AF30+AF31+AF33</f>
        <v>#REF!</v>
      </c>
      <c r="AG59" s="70" t="e">
        <f t="shared" si="76"/>
        <v>#REF!</v>
      </c>
      <c r="AH59" s="70" t="e">
        <f t="shared" si="76"/>
        <v>#REF!</v>
      </c>
      <c r="AI59" s="70" t="e">
        <f t="shared" si="76"/>
        <v>#REF!</v>
      </c>
      <c r="AJ59" s="70" t="e">
        <f t="shared" si="76"/>
        <v>#REF!</v>
      </c>
      <c r="AK59" s="70" t="e">
        <f t="shared" si="76"/>
        <v>#REF!</v>
      </c>
      <c r="AL59" s="70" t="e">
        <f t="shared" si="76"/>
        <v>#REF!</v>
      </c>
      <c r="AM59" s="70" t="e">
        <f t="shared" si="76"/>
        <v>#REF!</v>
      </c>
      <c r="AN59" s="70" t="e">
        <f t="shared" si="76"/>
        <v>#REF!</v>
      </c>
      <c r="AO59" s="70" t="e">
        <f t="shared" si="76"/>
        <v>#REF!</v>
      </c>
      <c r="AP59" s="70"/>
      <c r="AQ59" s="70"/>
      <c r="AR59" s="70" t="e">
        <f t="shared" ref="AR59:BA59" si="77">AR26+AR28+AR30+AR31+AR33</f>
        <v>#REF!</v>
      </c>
      <c r="AS59" s="70" t="e">
        <f t="shared" si="77"/>
        <v>#REF!</v>
      </c>
      <c r="AT59" s="70" t="e">
        <f t="shared" si="77"/>
        <v>#REF!</v>
      </c>
      <c r="AU59" s="70" t="e">
        <f t="shared" si="77"/>
        <v>#REF!</v>
      </c>
      <c r="AV59" s="70" t="e">
        <f t="shared" si="77"/>
        <v>#REF!</v>
      </c>
      <c r="AW59" s="70" t="e">
        <f t="shared" si="77"/>
        <v>#REF!</v>
      </c>
      <c r="AX59" s="70" t="e">
        <f t="shared" si="77"/>
        <v>#REF!</v>
      </c>
      <c r="AY59" s="70" t="e">
        <f t="shared" si="77"/>
        <v>#REF!</v>
      </c>
      <c r="AZ59" s="70" t="e">
        <f t="shared" si="77"/>
        <v>#REF!</v>
      </c>
      <c r="BA59" s="70" t="e">
        <f t="shared" si="77"/>
        <v>#REF!</v>
      </c>
    </row>
    <row r="60" spans="27:53" hidden="1">
      <c r="AA60" s="71" t="s">
        <v>41</v>
      </c>
      <c r="AB60" s="35"/>
      <c r="AF60" s="70" t="e">
        <f t="shared" ref="AF60:AO60" si="78">AF37+AF39+AF41+AF42+AF44</f>
        <v>#REF!</v>
      </c>
      <c r="AG60" s="70" t="e">
        <f t="shared" si="78"/>
        <v>#REF!</v>
      </c>
      <c r="AH60" s="70" t="e">
        <f t="shared" si="78"/>
        <v>#REF!</v>
      </c>
      <c r="AI60" s="70" t="e">
        <f t="shared" si="78"/>
        <v>#REF!</v>
      </c>
      <c r="AJ60" s="70" t="e">
        <f t="shared" si="78"/>
        <v>#REF!</v>
      </c>
      <c r="AK60" s="70" t="e">
        <f t="shared" si="78"/>
        <v>#REF!</v>
      </c>
      <c r="AL60" s="70" t="e">
        <f t="shared" si="78"/>
        <v>#REF!</v>
      </c>
      <c r="AM60" s="70" t="e">
        <f t="shared" si="78"/>
        <v>#REF!</v>
      </c>
      <c r="AN60" s="70" t="e">
        <f t="shared" si="78"/>
        <v>#REF!</v>
      </c>
      <c r="AO60" s="70" t="e">
        <f t="shared" si="78"/>
        <v>#REF!</v>
      </c>
      <c r="AP60" s="70"/>
      <c r="AQ60" s="70"/>
      <c r="AR60" s="70" t="e">
        <f t="shared" ref="AR60:BA60" si="79">AR37+AR39+AR41+AR42+AR44</f>
        <v>#REF!</v>
      </c>
      <c r="AS60" s="70" t="e">
        <f t="shared" si="79"/>
        <v>#REF!</v>
      </c>
      <c r="AT60" s="70" t="e">
        <f t="shared" si="79"/>
        <v>#REF!</v>
      </c>
      <c r="AU60" s="70" t="e">
        <f t="shared" si="79"/>
        <v>#REF!</v>
      </c>
      <c r="AV60" s="70" t="e">
        <f t="shared" si="79"/>
        <v>#REF!</v>
      </c>
      <c r="AW60" s="70" t="e">
        <f t="shared" si="79"/>
        <v>#REF!</v>
      </c>
      <c r="AX60" s="70" t="e">
        <f t="shared" si="79"/>
        <v>#REF!</v>
      </c>
      <c r="AY60" s="70" t="e">
        <f t="shared" si="79"/>
        <v>#REF!</v>
      </c>
      <c r="AZ60" s="70" t="e">
        <f t="shared" si="79"/>
        <v>#REF!</v>
      </c>
      <c r="BA60" s="70" t="e">
        <f t="shared" si="79"/>
        <v>#REF!</v>
      </c>
    </row>
    <row r="61" spans="27:53" hidden="1">
      <c r="AA61" s="71" t="s">
        <v>42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69" t="s">
        <v>47</v>
      </c>
      <c r="AB62" s="35"/>
      <c r="AF62" s="70" t="e">
        <f t="shared" ref="AF62:AO62" si="80">AF15+AF17+AF19+AF20+AF23</f>
        <v>#REF!</v>
      </c>
      <c r="AG62" s="70" t="e">
        <f t="shared" si="80"/>
        <v>#REF!</v>
      </c>
      <c r="AH62" s="70" t="e">
        <f t="shared" si="80"/>
        <v>#REF!</v>
      </c>
      <c r="AI62" s="70" t="e">
        <f t="shared" si="80"/>
        <v>#REF!</v>
      </c>
      <c r="AJ62" s="70" t="e">
        <f t="shared" si="80"/>
        <v>#REF!</v>
      </c>
      <c r="AK62" s="70" t="e">
        <f t="shared" si="80"/>
        <v>#REF!</v>
      </c>
      <c r="AL62" s="70" t="e">
        <f t="shared" si="80"/>
        <v>#REF!</v>
      </c>
      <c r="AM62" s="70" t="e">
        <f t="shared" si="80"/>
        <v>#REF!</v>
      </c>
      <c r="AN62" s="70" t="e">
        <f t="shared" si="80"/>
        <v>#REF!</v>
      </c>
      <c r="AO62" s="70" t="e">
        <f t="shared" si="80"/>
        <v>#REF!</v>
      </c>
      <c r="AP62" s="70"/>
      <c r="AQ62" s="70"/>
      <c r="AR62" s="70" t="e">
        <f t="shared" ref="AR62:BA62" si="81">AR15+AR17+AR19+AR20+AR23</f>
        <v>#REF!</v>
      </c>
      <c r="AS62" s="70" t="e">
        <f t="shared" si="81"/>
        <v>#REF!</v>
      </c>
      <c r="AT62" s="70" t="e">
        <f t="shared" si="81"/>
        <v>#REF!</v>
      </c>
      <c r="AU62" s="70" t="e">
        <f t="shared" si="81"/>
        <v>#REF!</v>
      </c>
      <c r="AV62" s="70" t="e">
        <f t="shared" si="81"/>
        <v>#REF!</v>
      </c>
      <c r="AW62" s="70" t="e">
        <f t="shared" si="81"/>
        <v>#REF!</v>
      </c>
      <c r="AX62" s="70" t="e">
        <f t="shared" si="81"/>
        <v>#REF!</v>
      </c>
      <c r="AY62" s="70" t="e">
        <f t="shared" si="81"/>
        <v>#REF!</v>
      </c>
      <c r="AZ62" s="70" t="e">
        <f t="shared" si="81"/>
        <v>#REF!</v>
      </c>
      <c r="BA62" s="70" t="e">
        <f t="shared" si="81"/>
        <v>#REF!</v>
      </c>
    </row>
    <row r="63" spans="27:53" hidden="1">
      <c r="AA63" s="71" t="s">
        <v>29</v>
      </c>
      <c r="AB63" s="35"/>
      <c r="AF63" s="70" t="e">
        <f t="shared" ref="AF63:AO63" si="82">AF26+AF28+AF30+AF31+AF34</f>
        <v>#REF!</v>
      </c>
      <c r="AG63" s="70" t="e">
        <f t="shared" si="82"/>
        <v>#REF!</v>
      </c>
      <c r="AH63" s="70" t="e">
        <f t="shared" si="82"/>
        <v>#REF!</v>
      </c>
      <c r="AI63" s="70" t="e">
        <f t="shared" si="82"/>
        <v>#REF!</v>
      </c>
      <c r="AJ63" s="70" t="e">
        <f t="shared" si="82"/>
        <v>#REF!</v>
      </c>
      <c r="AK63" s="70" t="e">
        <f t="shared" si="82"/>
        <v>#REF!</v>
      </c>
      <c r="AL63" s="70" t="e">
        <f t="shared" si="82"/>
        <v>#REF!</v>
      </c>
      <c r="AM63" s="70" t="e">
        <f t="shared" si="82"/>
        <v>#REF!</v>
      </c>
      <c r="AN63" s="70" t="e">
        <f t="shared" si="82"/>
        <v>#REF!</v>
      </c>
      <c r="AO63" s="70" t="e">
        <f t="shared" si="82"/>
        <v>#REF!</v>
      </c>
      <c r="AP63" s="70"/>
      <c r="AQ63" s="70"/>
      <c r="AR63" s="70" t="e">
        <f t="shared" ref="AR63:BA63" si="83">AR26+AR28+AR30+AR31+AR34</f>
        <v>#REF!</v>
      </c>
      <c r="AS63" s="70" t="e">
        <f t="shared" si="83"/>
        <v>#REF!</v>
      </c>
      <c r="AT63" s="70" t="e">
        <f t="shared" si="83"/>
        <v>#REF!</v>
      </c>
      <c r="AU63" s="70" t="e">
        <f t="shared" si="83"/>
        <v>#REF!</v>
      </c>
      <c r="AV63" s="70" t="e">
        <f t="shared" si="83"/>
        <v>#REF!</v>
      </c>
      <c r="AW63" s="70" t="e">
        <f t="shared" si="83"/>
        <v>#REF!</v>
      </c>
      <c r="AX63" s="70" t="e">
        <f t="shared" si="83"/>
        <v>#REF!</v>
      </c>
      <c r="AY63" s="70" t="e">
        <f t="shared" si="83"/>
        <v>#REF!</v>
      </c>
      <c r="AZ63" s="70" t="e">
        <f t="shared" si="83"/>
        <v>#REF!</v>
      </c>
      <c r="BA63" s="70" t="e">
        <f t="shared" si="83"/>
        <v>#REF!</v>
      </c>
    </row>
    <row r="64" spans="27:53" hidden="1">
      <c r="AA64" s="71" t="s">
        <v>41</v>
      </c>
      <c r="AB64" s="35"/>
      <c r="AF64" s="70" t="e">
        <f t="shared" ref="AF64:AO64" si="84">AF37+AF39+AF41+AF42+AF45</f>
        <v>#REF!</v>
      </c>
      <c r="AG64" s="70" t="e">
        <f t="shared" si="84"/>
        <v>#REF!</v>
      </c>
      <c r="AH64" s="70" t="e">
        <f t="shared" si="84"/>
        <v>#REF!</v>
      </c>
      <c r="AI64" s="70" t="e">
        <f t="shared" si="84"/>
        <v>#REF!</v>
      </c>
      <c r="AJ64" s="70" t="e">
        <f t="shared" si="84"/>
        <v>#REF!</v>
      </c>
      <c r="AK64" s="70" t="e">
        <f t="shared" si="84"/>
        <v>#REF!</v>
      </c>
      <c r="AL64" s="70" t="e">
        <f t="shared" si="84"/>
        <v>#REF!</v>
      </c>
      <c r="AM64" s="70" t="e">
        <f t="shared" si="84"/>
        <v>#REF!</v>
      </c>
      <c r="AN64" s="70" t="e">
        <f t="shared" si="84"/>
        <v>#REF!</v>
      </c>
      <c r="AO64" s="70" t="e">
        <f t="shared" si="84"/>
        <v>#REF!</v>
      </c>
      <c r="AP64" s="70"/>
      <c r="AQ64" s="70"/>
      <c r="AR64" s="70" t="e">
        <f t="shared" ref="AR64:BA64" si="85">AR37+AR39+AR41+AR42+AR45</f>
        <v>#REF!</v>
      </c>
      <c r="AS64" s="70" t="e">
        <f t="shared" si="85"/>
        <v>#REF!</v>
      </c>
      <c r="AT64" s="70" t="e">
        <f t="shared" si="85"/>
        <v>#REF!</v>
      </c>
      <c r="AU64" s="70" t="e">
        <f t="shared" si="85"/>
        <v>#REF!</v>
      </c>
      <c r="AV64" s="70" t="e">
        <f t="shared" si="85"/>
        <v>#REF!</v>
      </c>
      <c r="AW64" s="70" t="e">
        <f t="shared" si="85"/>
        <v>#REF!</v>
      </c>
      <c r="AX64" s="70" t="e">
        <f t="shared" si="85"/>
        <v>#REF!</v>
      </c>
      <c r="AY64" s="70" t="e">
        <f t="shared" si="85"/>
        <v>#REF!</v>
      </c>
      <c r="AZ64" s="70" t="e">
        <f t="shared" si="85"/>
        <v>#REF!</v>
      </c>
      <c r="BA64" s="70" t="e">
        <f t="shared" si="85"/>
        <v>#REF!</v>
      </c>
    </row>
    <row r="65" spans="27:53" hidden="1">
      <c r="AA65" s="71" t="s">
        <v>42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69" t="s">
        <v>48</v>
      </c>
      <c r="AB66" s="35"/>
      <c r="AF66" s="70" t="e">
        <f t="shared" ref="AF66:AO66" si="86">AF15+AF16+AF21</f>
        <v>#REF!</v>
      </c>
      <c r="AG66" s="70" t="e">
        <f t="shared" si="86"/>
        <v>#REF!</v>
      </c>
      <c r="AH66" s="70" t="e">
        <f t="shared" si="86"/>
        <v>#REF!</v>
      </c>
      <c r="AI66" s="70" t="e">
        <f t="shared" si="86"/>
        <v>#REF!</v>
      </c>
      <c r="AJ66" s="70" t="e">
        <f t="shared" si="86"/>
        <v>#REF!</v>
      </c>
      <c r="AK66" s="70" t="e">
        <f t="shared" si="86"/>
        <v>#REF!</v>
      </c>
      <c r="AL66" s="70" t="e">
        <f t="shared" si="86"/>
        <v>#REF!</v>
      </c>
      <c r="AM66" s="70" t="e">
        <f t="shared" si="86"/>
        <v>#REF!</v>
      </c>
      <c r="AN66" s="70" t="e">
        <f t="shared" si="86"/>
        <v>#REF!</v>
      </c>
      <c r="AO66" s="70" t="e">
        <f t="shared" si="86"/>
        <v>#REF!</v>
      </c>
      <c r="AP66" s="70"/>
      <c r="AQ66" s="70"/>
      <c r="AR66" s="70" t="e">
        <f t="shared" ref="AR66:BA66" si="87">AR15+AR16+AR21</f>
        <v>#REF!</v>
      </c>
      <c r="AS66" s="70" t="e">
        <f t="shared" si="87"/>
        <v>#REF!</v>
      </c>
      <c r="AT66" s="70" t="e">
        <f t="shared" si="87"/>
        <v>#REF!</v>
      </c>
      <c r="AU66" s="70" t="e">
        <f t="shared" si="87"/>
        <v>#REF!</v>
      </c>
      <c r="AV66" s="70" t="e">
        <f t="shared" si="87"/>
        <v>#REF!</v>
      </c>
      <c r="AW66" s="70" t="e">
        <f t="shared" si="87"/>
        <v>#REF!</v>
      </c>
      <c r="AX66" s="70" t="e">
        <f t="shared" si="87"/>
        <v>#REF!</v>
      </c>
      <c r="AY66" s="70" t="e">
        <f t="shared" si="87"/>
        <v>#REF!</v>
      </c>
      <c r="AZ66" s="70" t="e">
        <f t="shared" si="87"/>
        <v>#REF!</v>
      </c>
      <c r="BA66" s="70" t="e">
        <f t="shared" si="87"/>
        <v>#REF!</v>
      </c>
    </row>
    <row r="67" spans="27:53" hidden="1">
      <c r="AA67" s="71" t="s">
        <v>29</v>
      </c>
      <c r="AB67" s="35"/>
      <c r="AF67" s="70" t="e">
        <f t="shared" ref="AF67:AO67" si="88">AF26+AF27+AF32</f>
        <v>#REF!</v>
      </c>
      <c r="AG67" s="70" t="e">
        <f t="shared" si="88"/>
        <v>#REF!</v>
      </c>
      <c r="AH67" s="70" t="e">
        <f t="shared" si="88"/>
        <v>#REF!</v>
      </c>
      <c r="AI67" s="70" t="e">
        <f t="shared" si="88"/>
        <v>#REF!</v>
      </c>
      <c r="AJ67" s="70" t="e">
        <f t="shared" si="88"/>
        <v>#REF!</v>
      </c>
      <c r="AK67" s="70" t="e">
        <f t="shared" si="88"/>
        <v>#REF!</v>
      </c>
      <c r="AL67" s="70" t="e">
        <f t="shared" si="88"/>
        <v>#REF!</v>
      </c>
      <c r="AM67" s="70" t="e">
        <f t="shared" si="88"/>
        <v>#REF!</v>
      </c>
      <c r="AN67" s="70" t="e">
        <f t="shared" si="88"/>
        <v>#REF!</v>
      </c>
      <c r="AO67" s="70" t="e">
        <f t="shared" si="88"/>
        <v>#REF!</v>
      </c>
      <c r="AP67" s="70"/>
      <c r="AQ67" s="70"/>
      <c r="AR67" s="70" t="e">
        <f t="shared" ref="AR67:BA67" si="89">AR26+AR27+AR32</f>
        <v>#REF!</v>
      </c>
      <c r="AS67" s="70" t="e">
        <f t="shared" si="89"/>
        <v>#REF!</v>
      </c>
      <c r="AT67" s="70" t="e">
        <f t="shared" si="89"/>
        <v>#REF!</v>
      </c>
      <c r="AU67" s="70" t="e">
        <f t="shared" si="89"/>
        <v>#REF!</v>
      </c>
      <c r="AV67" s="70" t="e">
        <f t="shared" si="89"/>
        <v>#REF!</v>
      </c>
      <c r="AW67" s="70" t="e">
        <f t="shared" si="89"/>
        <v>#REF!</v>
      </c>
      <c r="AX67" s="70" t="e">
        <f t="shared" si="89"/>
        <v>#REF!</v>
      </c>
      <c r="AY67" s="70" t="e">
        <f t="shared" si="89"/>
        <v>#REF!</v>
      </c>
      <c r="AZ67" s="70" t="e">
        <f t="shared" si="89"/>
        <v>#REF!</v>
      </c>
      <c r="BA67" s="70" t="e">
        <f t="shared" si="89"/>
        <v>#REF!</v>
      </c>
    </row>
    <row r="68" spans="27:53" hidden="1">
      <c r="AA68" s="71" t="s">
        <v>41</v>
      </c>
      <c r="AB68" s="35"/>
      <c r="AF68" s="70" t="e">
        <f t="shared" ref="AF68:AO68" si="90">AF37+AF38+AF43</f>
        <v>#REF!</v>
      </c>
      <c r="AG68" s="70" t="e">
        <f t="shared" si="90"/>
        <v>#REF!</v>
      </c>
      <c r="AH68" s="70" t="e">
        <f t="shared" si="90"/>
        <v>#REF!</v>
      </c>
      <c r="AI68" s="70" t="e">
        <f t="shared" si="90"/>
        <v>#REF!</v>
      </c>
      <c r="AJ68" s="70" t="e">
        <f t="shared" si="90"/>
        <v>#REF!</v>
      </c>
      <c r="AK68" s="70" t="e">
        <f t="shared" si="90"/>
        <v>#REF!</v>
      </c>
      <c r="AL68" s="70" t="e">
        <f t="shared" si="90"/>
        <v>#REF!</v>
      </c>
      <c r="AM68" s="70" t="e">
        <f t="shared" si="90"/>
        <v>#REF!</v>
      </c>
      <c r="AN68" s="70" t="e">
        <f t="shared" si="90"/>
        <v>#REF!</v>
      </c>
      <c r="AO68" s="70" t="e">
        <f t="shared" si="90"/>
        <v>#REF!</v>
      </c>
      <c r="AP68" s="70"/>
      <c r="AQ68" s="70"/>
      <c r="AR68" s="70" t="e">
        <f t="shared" ref="AR68:BA68" si="91">AR37+AR38+AR43</f>
        <v>#REF!</v>
      </c>
      <c r="AS68" s="70" t="e">
        <f t="shared" si="91"/>
        <v>#REF!</v>
      </c>
      <c r="AT68" s="70" t="e">
        <f t="shared" si="91"/>
        <v>#REF!</v>
      </c>
      <c r="AU68" s="70" t="e">
        <f t="shared" si="91"/>
        <v>#REF!</v>
      </c>
      <c r="AV68" s="70" t="e">
        <f t="shared" si="91"/>
        <v>#REF!</v>
      </c>
      <c r="AW68" s="70" t="e">
        <f t="shared" si="91"/>
        <v>#REF!</v>
      </c>
      <c r="AX68" s="70" t="e">
        <f t="shared" si="91"/>
        <v>#REF!</v>
      </c>
      <c r="AY68" s="70" t="e">
        <f t="shared" si="91"/>
        <v>#REF!</v>
      </c>
      <c r="AZ68" s="70" t="e">
        <f t="shared" si="91"/>
        <v>#REF!</v>
      </c>
      <c r="BA68" s="70" t="e">
        <f t="shared" si="91"/>
        <v>#REF!</v>
      </c>
    </row>
    <row r="69" spans="27:53" hidden="1">
      <c r="AA69" s="71" t="s">
        <v>42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2" t="s">
        <v>49</v>
      </c>
      <c r="AB70" s="35"/>
      <c r="AF70" s="70" t="e">
        <f t="shared" ref="AF70:AO70" si="92">AF15+AF16+AF20+AF22</f>
        <v>#REF!</v>
      </c>
      <c r="AG70" s="70" t="e">
        <f t="shared" si="92"/>
        <v>#REF!</v>
      </c>
      <c r="AH70" s="70" t="e">
        <f t="shared" si="92"/>
        <v>#REF!</v>
      </c>
      <c r="AI70" s="70" t="e">
        <f t="shared" si="92"/>
        <v>#REF!</v>
      </c>
      <c r="AJ70" s="70" t="e">
        <f t="shared" si="92"/>
        <v>#REF!</v>
      </c>
      <c r="AK70" s="70" t="e">
        <f t="shared" si="92"/>
        <v>#REF!</v>
      </c>
      <c r="AL70" s="70" t="e">
        <f t="shared" si="92"/>
        <v>#REF!</v>
      </c>
      <c r="AM70" s="70" t="e">
        <f t="shared" si="92"/>
        <v>#REF!</v>
      </c>
      <c r="AN70" s="70" t="e">
        <f t="shared" si="92"/>
        <v>#REF!</v>
      </c>
      <c r="AO70" s="70" t="e">
        <f t="shared" si="92"/>
        <v>#REF!</v>
      </c>
      <c r="AP70" s="70"/>
      <c r="AQ70" s="70"/>
      <c r="AR70" s="70" t="e">
        <f t="shared" ref="AR70:BA70" si="93">AR15+AR16+AR20+AR22</f>
        <v>#REF!</v>
      </c>
      <c r="AS70" s="70" t="e">
        <f t="shared" si="93"/>
        <v>#REF!</v>
      </c>
      <c r="AT70" s="70" t="e">
        <f t="shared" si="93"/>
        <v>#REF!</v>
      </c>
      <c r="AU70" s="70" t="e">
        <f t="shared" si="93"/>
        <v>#REF!</v>
      </c>
      <c r="AV70" s="70" t="e">
        <f t="shared" si="93"/>
        <v>#REF!</v>
      </c>
      <c r="AW70" s="70" t="e">
        <f t="shared" si="93"/>
        <v>#REF!</v>
      </c>
      <c r="AX70" s="70" t="e">
        <f t="shared" si="93"/>
        <v>#REF!</v>
      </c>
      <c r="AY70" s="70" t="e">
        <f t="shared" si="93"/>
        <v>#REF!</v>
      </c>
      <c r="AZ70" s="70" t="e">
        <f t="shared" si="93"/>
        <v>#REF!</v>
      </c>
      <c r="BA70" s="70" t="e">
        <f t="shared" si="93"/>
        <v>#REF!</v>
      </c>
    </row>
    <row r="71" spans="27:53" hidden="1">
      <c r="AA71" s="71" t="s">
        <v>29</v>
      </c>
      <c r="AB71" s="35"/>
      <c r="AF71" s="70" t="e">
        <f t="shared" ref="AF71:AO71" si="94">AF26+AF27+AF31+AF33</f>
        <v>#REF!</v>
      </c>
      <c r="AG71" s="70" t="e">
        <f t="shared" si="94"/>
        <v>#REF!</v>
      </c>
      <c r="AH71" s="70" t="e">
        <f t="shared" si="94"/>
        <v>#REF!</v>
      </c>
      <c r="AI71" s="70" t="e">
        <f t="shared" si="94"/>
        <v>#REF!</v>
      </c>
      <c r="AJ71" s="70" t="e">
        <f t="shared" si="94"/>
        <v>#REF!</v>
      </c>
      <c r="AK71" s="70" t="e">
        <f t="shared" si="94"/>
        <v>#REF!</v>
      </c>
      <c r="AL71" s="70" t="e">
        <f t="shared" si="94"/>
        <v>#REF!</v>
      </c>
      <c r="AM71" s="70" t="e">
        <f t="shared" si="94"/>
        <v>#REF!</v>
      </c>
      <c r="AN71" s="70" t="e">
        <f t="shared" si="94"/>
        <v>#REF!</v>
      </c>
      <c r="AO71" s="70" t="e">
        <f t="shared" si="94"/>
        <v>#REF!</v>
      </c>
      <c r="AP71" s="70"/>
      <c r="AQ71" s="70"/>
      <c r="AR71" s="70" t="e">
        <f t="shared" ref="AR71:BA71" si="95">AR26+AR27+AR31+AR33</f>
        <v>#REF!</v>
      </c>
      <c r="AS71" s="70" t="e">
        <f t="shared" si="95"/>
        <v>#REF!</v>
      </c>
      <c r="AT71" s="70" t="e">
        <f t="shared" si="95"/>
        <v>#REF!</v>
      </c>
      <c r="AU71" s="70" t="e">
        <f t="shared" si="95"/>
        <v>#REF!</v>
      </c>
      <c r="AV71" s="70" t="e">
        <f t="shared" si="95"/>
        <v>#REF!</v>
      </c>
      <c r="AW71" s="70" t="e">
        <f t="shared" si="95"/>
        <v>#REF!</v>
      </c>
      <c r="AX71" s="70" t="e">
        <f t="shared" si="95"/>
        <v>#REF!</v>
      </c>
      <c r="AY71" s="70" t="e">
        <f t="shared" si="95"/>
        <v>#REF!</v>
      </c>
      <c r="AZ71" s="70" t="e">
        <f t="shared" si="95"/>
        <v>#REF!</v>
      </c>
      <c r="BA71" s="70" t="e">
        <f t="shared" si="95"/>
        <v>#REF!</v>
      </c>
    </row>
    <row r="72" spans="27:53" hidden="1">
      <c r="AA72" s="71" t="s">
        <v>41</v>
      </c>
      <c r="AB72" s="35"/>
      <c r="AF72" s="70" t="e">
        <f t="shared" ref="AF72:AO72" si="96">AF37+AF38+AF42+AF44</f>
        <v>#REF!</v>
      </c>
      <c r="AG72" s="70" t="e">
        <f t="shared" si="96"/>
        <v>#REF!</v>
      </c>
      <c r="AH72" s="70" t="e">
        <f t="shared" si="96"/>
        <v>#REF!</v>
      </c>
      <c r="AI72" s="70" t="e">
        <f t="shared" si="96"/>
        <v>#REF!</v>
      </c>
      <c r="AJ72" s="70" t="e">
        <f t="shared" si="96"/>
        <v>#REF!</v>
      </c>
      <c r="AK72" s="70" t="e">
        <f t="shared" si="96"/>
        <v>#REF!</v>
      </c>
      <c r="AL72" s="70" t="e">
        <f t="shared" si="96"/>
        <v>#REF!</v>
      </c>
      <c r="AM72" s="70" t="e">
        <f t="shared" si="96"/>
        <v>#REF!</v>
      </c>
      <c r="AN72" s="70" t="e">
        <f t="shared" si="96"/>
        <v>#REF!</v>
      </c>
      <c r="AO72" s="70" t="e">
        <f t="shared" si="96"/>
        <v>#REF!</v>
      </c>
      <c r="AP72" s="70"/>
      <c r="AQ72" s="70"/>
      <c r="AR72" s="70" t="e">
        <f t="shared" ref="AR72:BA72" si="97">AR37+AR38+AR42+AR44</f>
        <v>#REF!</v>
      </c>
      <c r="AS72" s="70" t="e">
        <f t="shared" si="97"/>
        <v>#REF!</v>
      </c>
      <c r="AT72" s="70" t="e">
        <f t="shared" si="97"/>
        <v>#REF!</v>
      </c>
      <c r="AU72" s="70" t="e">
        <f t="shared" si="97"/>
        <v>#REF!</v>
      </c>
      <c r="AV72" s="70" t="e">
        <f t="shared" si="97"/>
        <v>#REF!</v>
      </c>
      <c r="AW72" s="70" t="e">
        <f t="shared" si="97"/>
        <v>#REF!</v>
      </c>
      <c r="AX72" s="70" t="e">
        <f t="shared" si="97"/>
        <v>#REF!</v>
      </c>
      <c r="AY72" s="70" t="e">
        <f t="shared" si="97"/>
        <v>#REF!</v>
      </c>
      <c r="AZ72" s="70" t="e">
        <f t="shared" si="97"/>
        <v>#REF!</v>
      </c>
      <c r="BA72" s="70" t="e">
        <f t="shared" si="97"/>
        <v>#REF!</v>
      </c>
    </row>
    <row r="73" spans="27:53" hidden="1">
      <c r="AA73" s="71" t="s">
        <v>42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69" t="s">
        <v>50</v>
      </c>
      <c r="AB74" s="35"/>
      <c r="AF74" s="70" t="e">
        <f t="shared" ref="AF74:AO74" si="98">AF15+AF16+AF20+AF23</f>
        <v>#REF!</v>
      </c>
      <c r="AG74" s="70" t="e">
        <f t="shared" si="98"/>
        <v>#REF!</v>
      </c>
      <c r="AH74" s="70" t="e">
        <f t="shared" si="98"/>
        <v>#REF!</v>
      </c>
      <c r="AI74" s="70" t="e">
        <f t="shared" si="98"/>
        <v>#REF!</v>
      </c>
      <c r="AJ74" s="70" t="e">
        <f t="shared" si="98"/>
        <v>#REF!</v>
      </c>
      <c r="AK74" s="70" t="e">
        <f t="shared" si="98"/>
        <v>#REF!</v>
      </c>
      <c r="AL74" s="70" t="e">
        <f t="shared" si="98"/>
        <v>#REF!</v>
      </c>
      <c r="AM74" s="70" t="e">
        <f t="shared" si="98"/>
        <v>#REF!</v>
      </c>
      <c r="AN74" s="70" t="e">
        <f t="shared" si="98"/>
        <v>#REF!</v>
      </c>
      <c r="AO74" s="70" t="e">
        <f t="shared" si="98"/>
        <v>#REF!</v>
      </c>
      <c r="AP74" s="70"/>
      <c r="AQ74" s="70"/>
      <c r="AR74" s="70" t="e">
        <f t="shared" ref="AR74:BA74" si="99">AR15+AR16+AR20+AR23</f>
        <v>#REF!</v>
      </c>
      <c r="AS74" s="70" t="e">
        <f t="shared" si="99"/>
        <v>#REF!</v>
      </c>
      <c r="AT74" s="70" t="e">
        <f t="shared" si="99"/>
        <v>#REF!</v>
      </c>
      <c r="AU74" s="70" t="e">
        <f t="shared" si="99"/>
        <v>#REF!</v>
      </c>
      <c r="AV74" s="70" t="e">
        <f t="shared" si="99"/>
        <v>#REF!</v>
      </c>
      <c r="AW74" s="70" t="e">
        <f t="shared" si="99"/>
        <v>#REF!</v>
      </c>
      <c r="AX74" s="70" t="e">
        <f t="shared" si="99"/>
        <v>#REF!</v>
      </c>
      <c r="AY74" s="70" t="e">
        <f t="shared" si="99"/>
        <v>#REF!</v>
      </c>
      <c r="AZ74" s="70" t="e">
        <f t="shared" si="99"/>
        <v>#REF!</v>
      </c>
      <c r="BA74" s="70" t="e">
        <f t="shared" si="99"/>
        <v>#REF!</v>
      </c>
    </row>
    <row r="75" spans="27:53" hidden="1">
      <c r="AA75" s="71" t="s">
        <v>29</v>
      </c>
      <c r="AB75" s="35"/>
      <c r="AF75" s="70" t="e">
        <f t="shared" ref="AF75:AO75" si="100">AF26+AF27+AF31+AF34</f>
        <v>#REF!</v>
      </c>
      <c r="AG75" s="70" t="e">
        <f t="shared" si="100"/>
        <v>#REF!</v>
      </c>
      <c r="AH75" s="70" t="e">
        <f t="shared" si="100"/>
        <v>#REF!</v>
      </c>
      <c r="AI75" s="70" t="e">
        <f t="shared" si="100"/>
        <v>#REF!</v>
      </c>
      <c r="AJ75" s="70" t="e">
        <f t="shared" si="100"/>
        <v>#REF!</v>
      </c>
      <c r="AK75" s="70" t="e">
        <f t="shared" si="100"/>
        <v>#REF!</v>
      </c>
      <c r="AL75" s="70" t="e">
        <f t="shared" si="100"/>
        <v>#REF!</v>
      </c>
      <c r="AM75" s="70" t="e">
        <f t="shared" si="100"/>
        <v>#REF!</v>
      </c>
      <c r="AN75" s="70" t="e">
        <f t="shared" si="100"/>
        <v>#REF!</v>
      </c>
      <c r="AO75" s="70" t="e">
        <f t="shared" si="100"/>
        <v>#REF!</v>
      </c>
      <c r="AP75" s="70"/>
      <c r="AQ75" s="70"/>
      <c r="AR75" s="70" t="e">
        <f t="shared" ref="AR75:BA75" si="101">AR26+AR27+AR31+AR34</f>
        <v>#REF!</v>
      </c>
      <c r="AS75" s="70" t="e">
        <f t="shared" si="101"/>
        <v>#REF!</v>
      </c>
      <c r="AT75" s="70" t="e">
        <f t="shared" si="101"/>
        <v>#REF!</v>
      </c>
      <c r="AU75" s="70" t="e">
        <f t="shared" si="101"/>
        <v>#REF!</v>
      </c>
      <c r="AV75" s="70" t="e">
        <f t="shared" si="101"/>
        <v>#REF!</v>
      </c>
      <c r="AW75" s="70" t="e">
        <f t="shared" si="101"/>
        <v>#REF!</v>
      </c>
      <c r="AX75" s="70" t="e">
        <f t="shared" si="101"/>
        <v>#REF!</v>
      </c>
      <c r="AY75" s="70" t="e">
        <f t="shared" si="101"/>
        <v>#REF!</v>
      </c>
      <c r="AZ75" s="70" t="e">
        <f t="shared" si="101"/>
        <v>#REF!</v>
      </c>
      <c r="BA75" s="70" t="e">
        <f t="shared" si="101"/>
        <v>#REF!</v>
      </c>
    </row>
    <row r="76" spans="27:53" hidden="1">
      <c r="AA76" s="71" t="s">
        <v>41</v>
      </c>
      <c r="AB76" s="35"/>
      <c r="AF76" s="70" t="e">
        <f t="shared" ref="AF76:AO76" si="102">AF37+AF38+AF42+AF45</f>
        <v>#REF!</v>
      </c>
      <c r="AG76" s="70" t="e">
        <f t="shared" si="102"/>
        <v>#REF!</v>
      </c>
      <c r="AH76" s="70" t="e">
        <f t="shared" si="102"/>
        <v>#REF!</v>
      </c>
      <c r="AI76" s="70" t="e">
        <f t="shared" si="102"/>
        <v>#REF!</v>
      </c>
      <c r="AJ76" s="70" t="e">
        <f t="shared" si="102"/>
        <v>#REF!</v>
      </c>
      <c r="AK76" s="70" t="e">
        <f t="shared" si="102"/>
        <v>#REF!</v>
      </c>
      <c r="AL76" s="70" t="e">
        <f t="shared" si="102"/>
        <v>#REF!</v>
      </c>
      <c r="AM76" s="70" t="e">
        <f t="shared" si="102"/>
        <v>#REF!</v>
      </c>
      <c r="AN76" s="70" t="e">
        <f t="shared" si="102"/>
        <v>#REF!</v>
      </c>
      <c r="AO76" s="70" t="e">
        <f t="shared" si="102"/>
        <v>#REF!</v>
      </c>
      <c r="AP76" s="70"/>
      <c r="AQ76" s="70"/>
      <c r="AR76" s="70" t="e">
        <f t="shared" ref="AR76:BA76" si="103">AR37+AR38+AR42+AR45</f>
        <v>#REF!</v>
      </c>
      <c r="AS76" s="70" t="e">
        <f t="shared" si="103"/>
        <v>#REF!</v>
      </c>
      <c r="AT76" s="70" t="e">
        <f t="shared" si="103"/>
        <v>#REF!</v>
      </c>
      <c r="AU76" s="70" t="e">
        <f t="shared" si="103"/>
        <v>#REF!</v>
      </c>
      <c r="AV76" s="70" t="e">
        <f t="shared" si="103"/>
        <v>#REF!</v>
      </c>
      <c r="AW76" s="70" t="e">
        <f t="shared" si="103"/>
        <v>#REF!</v>
      </c>
      <c r="AX76" s="70" t="e">
        <f t="shared" si="103"/>
        <v>#REF!</v>
      </c>
      <c r="AY76" s="70" t="e">
        <f t="shared" si="103"/>
        <v>#REF!</v>
      </c>
      <c r="AZ76" s="70" t="e">
        <f t="shared" si="103"/>
        <v>#REF!</v>
      </c>
      <c r="BA76" s="70" t="e">
        <f t="shared" si="103"/>
        <v>#REF!</v>
      </c>
    </row>
    <row r="77" spans="27:53" hidden="1">
      <c r="AA77" s="71" t="s">
        <v>42</v>
      </c>
      <c r="AB77" s="35"/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N87" s="38"/>
      <c r="AZ87" s="36"/>
    </row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45" t="s">
        <v>55</v>
      </c>
      <c r="G89" s="545" t="s">
        <v>73</v>
      </c>
      <c r="H89" s="545" t="s">
        <v>74</v>
      </c>
      <c r="I89" s="545" t="s">
        <v>58</v>
      </c>
      <c r="J89" s="545" t="s">
        <v>59</v>
      </c>
      <c r="K89" s="545" t="s">
        <v>60</v>
      </c>
      <c r="L89" s="544" t="s">
        <v>75</v>
      </c>
      <c r="M89" s="544" t="s">
        <v>76</v>
      </c>
      <c r="N89" s="544" t="s">
        <v>61</v>
      </c>
      <c r="O89" s="544" t="s">
        <v>62</v>
      </c>
      <c r="P89" s="544" t="s">
        <v>63</v>
      </c>
      <c r="AN89" s="38"/>
      <c r="AZ89" s="36"/>
    </row>
    <row r="90" spans="1:52" ht="25.5">
      <c r="A90" s="44" t="str">
        <f t="shared" ref="A90:C91" si="104">A4</f>
        <v>Substation General Construction</v>
      </c>
      <c r="B90" s="45" t="str">
        <f t="shared" si="104"/>
        <v>Light-Duty Truck, catalyst</v>
      </c>
      <c r="C90" s="46">
        <f t="shared" si="104"/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1" si="105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si="104"/>
        <v>Substation Wiring</v>
      </c>
      <c r="B91" s="45" t="str">
        <f t="shared" si="104"/>
        <v>Light-Duty Truck, catalyst</v>
      </c>
      <c r="C91" s="46">
        <f t="shared" si="104"/>
        <v>1</v>
      </c>
      <c r="D91" s="46">
        <v>35</v>
      </c>
      <c r="E91" s="46">
        <v>80</v>
      </c>
      <c r="F91" s="50">
        <f>C5*($E5*$F5+($G5))/453.59</f>
        <v>0.48571938588092006</v>
      </c>
      <c r="G91" s="50">
        <f>C5*($E5*$H5+($I5))/453.59</f>
        <v>4.367065729437801E-2</v>
      </c>
      <c r="H91" s="50">
        <f>C5*(($E5*$J5)+($K5)+($L5)+($E5*$N5)+(($M5+$O5)))/453.59</f>
        <v>5.0499980323953329E-2</v>
      </c>
      <c r="I91" s="50">
        <f>C5*($E5*$P5+($Q5))/453.59</f>
        <v>7.2679702716061593E-4</v>
      </c>
      <c r="J91" s="50">
        <f>C5*(($E5*($R5+$T5+$U5))+($S5))/453.59</f>
        <v>8.5240904552078972E-3</v>
      </c>
      <c r="K91" s="50">
        <f>$C5*(($E5*($V5+$X5+$Y5))+($W5))/453.59</f>
        <v>3.7120053242531417E-3</v>
      </c>
      <c r="L91" s="50">
        <f>$B$23*C5*(E5+6)</f>
        <v>8.4385825860718994E-3</v>
      </c>
      <c r="M91" s="50">
        <f t="shared" si="105"/>
        <v>3.4598188602894785E-3</v>
      </c>
      <c r="N91" s="50">
        <f>C5*($E5*$Z5+($AA5))/453.59</f>
        <v>55.423576726038895</v>
      </c>
      <c r="O91" s="50">
        <f>C5*($E5*$AB5+($AC5))/453.59</f>
        <v>3.1704753890302493E-3</v>
      </c>
      <c r="P91" s="50">
        <f>C5*($E5*$AD5+($AE5))/453.59</f>
        <v>5.7711199138433603E-3</v>
      </c>
      <c r="AN91" s="38"/>
      <c r="AZ91" s="36"/>
    </row>
    <row r="92" spans="1:52" ht="25.5">
      <c r="A92" s="44" t="str">
        <f t="shared" ref="A92:C92" si="106">A6</f>
        <v>Telecom</v>
      </c>
      <c r="B92" s="45" t="str">
        <f t="shared" si="106"/>
        <v>Light-Duty Truck, catalyst</v>
      </c>
      <c r="C92" s="46">
        <f t="shared" si="106"/>
        <v>2</v>
      </c>
      <c r="D92" s="46">
        <v>35</v>
      </c>
      <c r="E92" s="46">
        <v>80</v>
      </c>
      <c r="F92" s="50">
        <f>C6*($E6*$F6+($G6))/453.59</f>
        <v>0.97143877176184013</v>
      </c>
      <c r="G92" s="50">
        <f>C6*($E6*$H6+($I6))/453.59</f>
        <v>8.7341314588756019E-2</v>
      </c>
      <c r="H92" s="50">
        <f>C6*(($E6*$J6)+($K6)+($L6)+($E6*$N6)+(($M6+$O6)))/453.59</f>
        <v>0.10099996064790666</v>
      </c>
      <c r="I92" s="50">
        <f>C6*($E6*$P6+($Q6))/453.59</f>
        <v>1.4535940543212319E-3</v>
      </c>
      <c r="J92" s="50">
        <f>C6*(($E6*($R6+$T6+$U6))+($S6))/453.59</f>
        <v>1.7048180910415794E-2</v>
      </c>
      <c r="K92" s="50">
        <f>$C6*(($E6*($V6+$X6+$Y6))+($W6))/453.59</f>
        <v>7.4240106485062834E-3</v>
      </c>
      <c r="L92" s="50">
        <f>$B$23*C6*(E6+6)</f>
        <v>1.6877165172143799E-2</v>
      </c>
      <c r="M92" s="50">
        <f t="shared" ref="M92" si="107">0.41*L92</f>
        <v>6.9196377205789569E-3</v>
      </c>
      <c r="N92" s="50">
        <f>C6*($E6*$Z6+($AA6))/453.59</f>
        <v>110.84715345207779</v>
      </c>
      <c r="O92" s="50">
        <f>C6*($E6*$AB6+($AC6))/453.59</f>
        <v>6.3409507780604986E-3</v>
      </c>
      <c r="P92" s="50">
        <f>C6*($E6*$AD6+($AE6))/453.59</f>
        <v>1.1542239827686721E-2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 t="shared" ref="F93:P93" si="108">SUM(F90:F92)</f>
        <v>2.9143163152855203</v>
      </c>
      <c r="G93" s="81">
        <f t="shared" si="108"/>
        <v>0.26202394376626803</v>
      </c>
      <c r="H93" s="81">
        <f t="shared" si="108"/>
        <v>0.30299988194371996</v>
      </c>
      <c r="I93" s="81">
        <f t="shared" si="108"/>
        <v>4.3607821629636952E-3</v>
      </c>
      <c r="J93" s="81">
        <f t="shared" si="108"/>
        <v>5.1144542731247383E-2</v>
      </c>
      <c r="K93" s="81">
        <f t="shared" si="108"/>
        <v>2.2272031945518848E-2</v>
      </c>
      <c r="L93" s="81">
        <f t="shared" si="108"/>
        <v>5.0631495516431396E-2</v>
      </c>
      <c r="M93" s="81">
        <f t="shared" si="108"/>
        <v>2.0758913161736871E-2</v>
      </c>
      <c r="N93" s="81">
        <f t="shared" si="108"/>
        <v>332.54146035623342</v>
      </c>
      <c r="O93" s="81">
        <f t="shared" si="108"/>
        <v>1.9022852334181495E-2</v>
      </c>
      <c r="P93" s="81">
        <f t="shared" si="108"/>
        <v>3.4626719483060162E-2</v>
      </c>
    </row>
  </sheetData>
  <mergeCells count="16">
    <mergeCell ref="AR12:BA12"/>
    <mergeCell ref="A88:A89"/>
    <mergeCell ref="B88:B89"/>
    <mergeCell ref="F88:P88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9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702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317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24" t="s">
        <v>311</v>
      </c>
      <c r="B14" s="29" t="s">
        <v>27</v>
      </c>
      <c r="C14" s="22">
        <v>175</v>
      </c>
      <c r="D14" s="22"/>
      <c r="E14" s="102">
        <v>0.11792220738547983</v>
      </c>
      <c r="F14" s="102">
        <v>0.36512193352152528</v>
      </c>
      <c r="G14" s="102">
        <v>0.86781464282266541</v>
      </c>
      <c r="H14" s="102">
        <v>1.8739217498104396E-3</v>
      </c>
      <c r="I14" s="102">
        <v>2.9041712295589866E-2</v>
      </c>
      <c r="J14" s="100">
        <f t="shared" ref="J14" si="4">0.89*I14</f>
        <v>2.5847123943074982E-2</v>
      </c>
      <c r="K14" s="103">
        <v>166.54541562452522</v>
      </c>
      <c r="L14" s="102">
        <v>1.063993297769634E-2</v>
      </c>
      <c r="M14" s="104">
        <f t="shared" ref="M14" si="5">0.095*G14</f>
        <v>8.2442391068153209E-2</v>
      </c>
      <c r="N14" s="98">
        <v>1</v>
      </c>
      <c r="O14" s="87">
        <v>2</v>
      </c>
      <c r="P14" s="363">
        <v>280</v>
      </c>
      <c r="Q14" s="34">
        <f t="shared" ref="Q14:Y14" si="6">(E14*$N14*$O14)</f>
        <v>0.23584441477095966</v>
      </c>
      <c r="R14" s="26">
        <f t="shared" si="6"/>
        <v>0.73024386704305055</v>
      </c>
      <c r="S14" s="26">
        <f t="shared" si="6"/>
        <v>1.7356292856453308</v>
      </c>
      <c r="T14" s="26">
        <f t="shared" si="6"/>
        <v>3.7478434996208792E-3</v>
      </c>
      <c r="U14" s="26">
        <f t="shared" si="6"/>
        <v>5.8083424591179732E-2</v>
      </c>
      <c r="V14" s="26">
        <f t="shared" si="6"/>
        <v>5.1694247886149965E-2</v>
      </c>
      <c r="W14" s="26">
        <f t="shared" si="6"/>
        <v>333.09083124905044</v>
      </c>
      <c r="X14" s="26">
        <f t="shared" si="6"/>
        <v>2.127986595539268E-2</v>
      </c>
      <c r="Y14" s="26">
        <f t="shared" si="6"/>
        <v>0.16488478213630642</v>
      </c>
    </row>
    <row r="15" spans="1:25" s="3" customFormat="1">
      <c r="A15" s="17" t="s">
        <v>28</v>
      </c>
      <c r="B15" s="97"/>
      <c r="C15" s="22"/>
      <c r="D15" s="22"/>
      <c r="E15" s="23"/>
      <c r="F15" s="23"/>
      <c r="G15" s="23"/>
      <c r="H15" s="23"/>
      <c r="I15" s="23"/>
      <c r="J15" s="24"/>
      <c r="K15" s="25"/>
      <c r="L15" s="23"/>
      <c r="M15" s="23"/>
      <c r="N15" s="88"/>
      <c r="O15" s="88"/>
      <c r="P15" s="88"/>
      <c r="Q15" s="27">
        <f t="shared" ref="Q15:Y15" si="7">SUM(Q14:Q14)</f>
        <v>0.23584441477095966</v>
      </c>
      <c r="R15" s="27">
        <f t="shared" si="7"/>
        <v>0.73024386704305055</v>
      </c>
      <c r="S15" s="27">
        <f t="shared" si="7"/>
        <v>1.7356292856453308</v>
      </c>
      <c r="T15" s="27">
        <f t="shared" si="7"/>
        <v>3.7478434996208792E-3</v>
      </c>
      <c r="U15" s="27">
        <f t="shared" si="7"/>
        <v>5.8083424591179732E-2</v>
      </c>
      <c r="V15" s="27">
        <f t="shared" si="7"/>
        <v>5.1694247886149965E-2</v>
      </c>
      <c r="W15" s="27">
        <f t="shared" si="7"/>
        <v>333.09083124905044</v>
      </c>
      <c r="X15" s="27">
        <f t="shared" si="7"/>
        <v>2.127986595539268E-2</v>
      </c>
      <c r="Y15" s="27">
        <f t="shared" si="7"/>
        <v>0.16488478213630642</v>
      </c>
    </row>
    <row r="16" spans="1:25" s="3" customFormat="1">
      <c r="A16" s="24"/>
      <c r="B16" s="29"/>
      <c r="C16" s="22"/>
      <c r="D16" s="22"/>
      <c r="E16" s="108"/>
      <c r="F16" s="108"/>
      <c r="G16" s="108"/>
      <c r="H16" s="108"/>
      <c r="I16" s="108"/>
      <c r="J16" s="100"/>
      <c r="K16" s="365"/>
      <c r="L16" s="110"/>
      <c r="M16" s="102"/>
      <c r="N16" s="98"/>
      <c r="O16" s="98"/>
      <c r="P16" s="363"/>
      <c r="Q16" s="34"/>
      <c r="R16" s="26"/>
      <c r="S16" s="26"/>
      <c r="T16" s="26"/>
      <c r="U16" s="26"/>
      <c r="V16" s="26"/>
      <c r="W16" s="26"/>
      <c r="X16" s="26"/>
      <c r="Y16" s="26"/>
    </row>
    <row r="17" spans="1:25" s="3" customFormat="1">
      <c r="A17" s="11" t="s">
        <v>518</v>
      </c>
      <c r="B17" s="22"/>
      <c r="C17" s="18"/>
      <c r="D17" s="22"/>
      <c r="E17" s="19"/>
      <c r="F17" s="19"/>
      <c r="G17" s="19"/>
      <c r="H17" s="19"/>
      <c r="I17" s="19"/>
      <c r="J17" s="19"/>
      <c r="K17" s="19"/>
      <c r="L17" s="19"/>
      <c r="M17" s="19"/>
      <c r="N17" s="11"/>
      <c r="O17" s="11"/>
      <c r="P17" s="11"/>
      <c r="Q17" s="27"/>
      <c r="R17" s="27"/>
      <c r="S17" s="27"/>
      <c r="T17" s="27"/>
      <c r="U17" s="27"/>
      <c r="V17" s="27"/>
      <c r="W17" s="28"/>
      <c r="X17" s="27"/>
      <c r="Y17" s="27"/>
    </row>
    <row r="18" spans="1:25" s="3" customFormat="1">
      <c r="A18" s="17" t="s">
        <v>28</v>
      </c>
      <c r="B18" s="97"/>
      <c r="C18" s="22"/>
      <c r="D18" s="22"/>
      <c r="E18" s="102"/>
      <c r="F18" s="102"/>
      <c r="G18" s="102"/>
      <c r="H18" s="102"/>
      <c r="I18" s="102"/>
      <c r="J18" s="100"/>
      <c r="K18" s="103"/>
      <c r="L18" s="102"/>
      <c r="M18" s="104"/>
      <c r="N18" s="88"/>
      <c r="O18" s="88"/>
      <c r="P18" s="88"/>
      <c r="Q18" s="27"/>
      <c r="R18" s="27"/>
      <c r="S18" s="27"/>
      <c r="T18" s="27"/>
      <c r="U18" s="27"/>
      <c r="V18" s="27"/>
      <c r="W18" s="27"/>
      <c r="X18" s="27"/>
      <c r="Y18" s="27"/>
    </row>
    <row r="19" spans="1:25">
      <c r="A19" s="17" t="s">
        <v>499</v>
      </c>
      <c r="B19" s="549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30"/>
      <c r="O19" s="30"/>
      <c r="P19" s="364"/>
      <c r="Q19" s="20">
        <f>Q11+Q15</f>
        <v>0.9504215378625569</v>
      </c>
      <c r="R19" s="20">
        <f t="shared" ref="R19:Y19" si="8">R11+R15</f>
        <v>3.6844030780014445</v>
      </c>
      <c r="S19" s="20">
        <f t="shared" si="8"/>
        <v>6.1566857317844876</v>
      </c>
      <c r="T19" s="20">
        <f t="shared" si="8"/>
        <v>1.207090973569876E-2</v>
      </c>
      <c r="U19" s="20">
        <f t="shared" si="8"/>
        <v>0.30389171690722716</v>
      </c>
      <c r="V19" s="20">
        <f t="shared" si="8"/>
        <v>0.27046362804743218</v>
      </c>
      <c r="W19" s="20">
        <f t="shared" si="8"/>
        <v>1029.5443237340787</v>
      </c>
      <c r="X19" s="20">
        <f t="shared" si="8"/>
        <v>9.3819672145962416E-2</v>
      </c>
      <c r="Y19" s="20">
        <f t="shared" si="8"/>
        <v>0.58488514451952633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3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703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315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C9*(F9)*$B$348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5" t="s">
        <v>28</v>
      </c>
      <c r="B10" s="74"/>
      <c r="C10" s="112"/>
      <c r="D10" s="112"/>
      <c r="E10" s="74"/>
      <c r="F10" s="74"/>
      <c r="G10" s="577"/>
      <c r="H10" s="41"/>
      <c r="I10" s="41"/>
      <c r="J10" s="41"/>
      <c r="K10" s="574"/>
      <c r="L10" s="574"/>
      <c r="M10" s="574"/>
      <c r="N10" s="574"/>
      <c r="O10" s="574"/>
      <c r="P10" s="574"/>
      <c r="Q10" s="41"/>
      <c r="R10" s="574"/>
      <c r="S10" s="574"/>
      <c r="T10" s="81">
        <f t="shared" ref="T10:AD10" si="0">SUM(T9:T9)</f>
        <v>9.9891275533645019E-2</v>
      </c>
      <c r="U10" s="81">
        <f t="shared" si="0"/>
        <v>0.18440937782971867</v>
      </c>
      <c r="V10" s="81">
        <f t="shared" si="0"/>
        <v>2.253067276294635E-2</v>
      </c>
      <c r="W10" s="81">
        <f t="shared" si="0"/>
        <v>1.3898613406074772E-3</v>
      </c>
      <c r="X10" s="81">
        <f t="shared" si="0"/>
        <v>3.6369464870151122E-2</v>
      </c>
      <c r="Y10" s="81">
        <f t="shared" si="0"/>
        <v>2.4166098982977401E-2</v>
      </c>
      <c r="Z10" s="81">
        <f t="shared" si="0"/>
        <v>0</v>
      </c>
      <c r="AA10" s="81">
        <f t="shared" si="0"/>
        <v>0</v>
      </c>
      <c r="AB10" s="81">
        <f t="shared" si="0"/>
        <v>96.814105590256631</v>
      </c>
      <c r="AC10" s="81">
        <f t="shared" si="0"/>
        <v>5.5322484357440338E-3</v>
      </c>
      <c r="AD10" s="81">
        <f t="shared" si="0"/>
        <v>2.4799901288000137E-3</v>
      </c>
    </row>
    <row r="11" spans="1:30">
      <c r="A11" s="75"/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</row>
    <row r="12" spans="1:30">
      <c r="A12" s="114" t="s">
        <v>336</v>
      </c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>
      <c r="A13" s="78" t="s">
        <v>320</v>
      </c>
      <c r="B13" s="76" t="s">
        <v>95</v>
      </c>
      <c r="C13" s="79">
        <v>3</v>
      </c>
      <c r="D13" s="77"/>
      <c r="E13" s="77">
        <v>35</v>
      </c>
      <c r="F13" s="77">
        <v>60</v>
      </c>
      <c r="G13" s="106">
        <v>0.25172046482947802</v>
      </c>
      <c r="H13" s="106">
        <v>0.464701387165456</v>
      </c>
      <c r="I13" s="106">
        <v>5.6776043658582402E-2</v>
      </c>
      <c r="J13" s="106">
        <v>3.5023733638119199E-3</v>
      </c>
      <c r="K13" s="106">
        <v>4.6899256897933901E-2</v>
      </c>
      <c r="L13" s="47">
        <v>7.99995847163921E-3</v>
      </c>
      <c r="M13" s="47">
        <v>3.6749815577381599E-2</v>
      </c>
      <c r="N13" s="106">
        <v>4.3147317248333997E-2</v>
      </c>
      <c r="O13" s="47">
        <v>1.9999896145790402E-3</v>
      </c>
      <c r="P13" s="47">
        <v>1.57499200131354E-2</v>
      </c>
      <c r="Q13" s="106">
        <v>243.966167526025</v>
      </c>
      <c r="R13" s="47">
        <f>0.000057143*Q13</f>
        <v>1.3940958710939646E-2</v>
      </c>
      <c r="S13" s="80">
        <f>0.000025616*Q13</f>
        <v>6.2494373473466567E-3</v>
      </c>
      <c r="T13" s="50">
        <f>C13*($F13*$G13)/453.59</f>
        <v>9.9891275533645019E-2</v>
      </c>
      <c r="U13" s="50">
        <f>C13*($F13*$H13)/453.59</f>
        <v>0.18440937782971867</v>
      </c>
      <c r="V13" s="50">
        <f>C13*(($F13*$I13))/453.59</f>
        <v>2.253067276294635E-2</v>
      </c>
      <c r="W13" s="50">
        <f>C13*($F13*$J13)/453.59</f>
        <v>1.3898613406074772E-3</v>
      </c>
      <c r="X13" s="50">
        <f>C13*(($F13*($K13+$L13+$M13)))/453.59</f>
        <v>3.6369464870151122E-2</v>
      </c>
      <c r="Y13" s="50">
        <f>C13*(($F13*($N13+$O13+$P13)))/453.59</f>
        <v>2.4166098982977401E-2</v>
      </c>
      <c r="Z13" s="50">
        <f>C13*(F13)*$B$309</f>
        <v>0</v>
      </c>
      <c r="AA13" s="50">
        <f>Z13*0.21</f>
        <v>0</v>
      </c>
      <c r="AB13" s="50">
        <f>C13*(($F13*($Q13)))/453.59</f>
        <v>96.814105590256631</v>
      </c>
      <c r="AC13" s="50">
        <f>C13*(($F13*($R13)))/453.59</f>
        <v>5.5322484357440338E-3</v>
      </c>
      <c r="AD13" s="50">
        <f>C13*(($F13*($S13)))/453.59</f>
        <v>2.4799901288000137E-3</v>
      </c>
    </row>
    <row r="14" spans="1:30">
      <c r="A14" s="75" t="s">
        <v>28</v>
      </c>
      <c r="B14" s="74"/>
      <c r="C14" s="112"/>
      <c r="D14" s="112"/>
      <c r="E14" s="74"/>
      <c r="F14" s="74"/>
      <c r="G14" s="577"/>
      <c r="H14" s="41"/>
      <c r="I14" s="41"/>
      <c r="J14" s="41"/>
      <c r="K14" s="574"/>
      <c r="L14" s="574"/>
      <c r="M14" s="574"/>
      <c r="N14" s="574"/>
      <c r="O14" s="574"/>
      <c r="P14" s="574"/>
      <c r="Q14" s="41"/>
      <c r="R14" s="574"/>
      <c r="S14" s="574"/>
      <c r="T14" s="81">
        <f t="shared" ref="T14:AD14" si="1">SUM(T13:T13)</f>
        <v>9.9891275533645019E-2</v>
      </c>
      <c r="U14" s="81">
        <f t="shared" si="1"/>
        <v>0.18440937782971867</v>
      </c>
      <c r="V14" s="81">
        <f t="shared" si="1"/>
        <v>2.253067276294635E-2</v>
      </c>
      <c r="W14" s="81">
        <f t="shared" si="1"/>
        <v>1.3898613406074772E-3</v>
      </c>
      <c r="X14" s="81">
        <f t="shared" si="1"/>
        <v>3.6369464870151122E-2</v>
      </c>
      <c r="Y14" s="81">
        <f t="shared" si="1"/>
        <v>2.4166098982977401E-2</v>
      </c>
      <c r="Z14" s="81">
        <f t="shared" si="1"/>
        <v>0</v>
      </c>
      <c r="AA14" s="81">
        <f t="shared" si="1"/>
        <v>0</v>
      </c>
      <c r="AB14" s="81">
        <f t="shared" si="1"/>
        <v>96.814105590256631</v>
      </c>
      <c r="AC14" s="81">
        <f t="shared" si="1"/>
        <v>5.5322484357440338E-3</v>
      </c>
      <c r="AD14" s="81">
        <f t="shared" si="1"/>
        <v>2.4799901288000137E-3</v>
      </c>
    </row>
    <row r="15" spans="1:30">
      <c r="A15" s="75"/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</row>
    <row r="16" spans="1:30">
      <c r="A16" s="114" t="s">
        <v>319</v>
      </c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61"/>
      <c r="U16" s="61"/>
      <c r="V16" s="61"/>
      <c r="W16" s="61"/>
      <c r="X16" s="61"/>
      <c r="Y16" s="61"/>
      <c r="Z16" s="62"/>
      <c r="AA16" s="62"/>
      <c r="AB16" s="62"/>
      <c r="AC16" s="62"/>
      <c r="AD16" s="62"/>
    </row>
    <row r="17" spans="1:30">
      <c r="A17" s="78" t="s">
        <v>320</v>
      </c>
      <c r="B17" s="76" t="s">
        <v>95</v>
      </c>
      <c r="C17" s="79">
        <v>1</v>
      </c>
      <c r="D17" s="77"/>
      <c r="E17" s="77">
        <v>35</v>
      </c>
      <c r="F17" s="77">
        <v>60</v>
      </c>
      <c r="G17" s="106">
        <v>0.25172046482947802</v>
      </c>
      <c r="H17" s="106">
        <v>0.464701387165456</v>
      </c>
      <c r="I17" s="106">
        <v>5.6776043658582402E-2</v>
      </c>
      <c r="J17" s="106">
        <v>3.5023733638119199E-3</v>
      </c>
      <c r="K17" s="106">
        <v>4.6899256897933901E-2</v>
      </c>
      <c r="L17" s="47">
        <v>7.99995847163921E-3</v>
      </c>
      <c r="M17" s="47">
        <v>3.6749815577381599E-2</v>
      </c>
      <c r="N17" s="106">
        <v>4.3147317248333997E-2</v>
      </c>
      <c r="O17" s="47">
        <v>1.9999896145790402E-3</v>
      </c>
      <c r="P17" s="47">
        <v>1.57499200131354E-2</v>
      </c>
      <c r="Q17" s="106">
        <v>243.966167526025</v>
      </c>
      <c r="R17" s="47">
        <f>0.000057143*Q17</f>
        <v>1.3940958710939646E-2</v>
      </c>
      <c r="S17" s="80">
        <f>0.000025616*Q17</f>
        <v>6.2494373473466567E-3</v>
      </c>
      <c r="T17" s="50">
        <f>C17*($F17*$G17)/453.59</f>
        <v>3.3297091844548342E-2</v>
      </c>
      <c r="U17" s="50">
        <f>C17*($F17*$H17)/453.59</f>
        <v>6.1469792609906218E-2</v>
      </c>
      <c r="V17" s="50">
        <f>C17*(($F17*$I17))/453.59</f>
        <v>7.5102242543154491E-3</v>
      </c>
      <c r="W17" s="50">
        <f>C17*($F17*$J17)/453.59</f>
        <v>4.6328711353582576E-4</v>
      </c>
      <c r="X17" s="50">
        <f>C17*(($F17*($K17+$L17+$M17)))/453.59</f>
        <v>1.2123154956717041E-2</v>
      </c>
      <c r="Y17" s="50">
        <f>C17*(($F17*($N17+$O17+$P17)))/453.59</f>
        <v>8.0553663276591338E-3</v>
      </c>
      <c r="Z17" s="50">
        <f>C17*(F17)*$B$314</f>
        <v>0</v>
      </c>
      <c r="AA17" s="50">
        <f>Z17*0.21</f>
        <v>0</v>
      </c>
      <c r="AB17" s="50">
        <f>C17*(($F17*($Q17)))/453.59</f>
        <v>32.271368530085546</v>
      </c>
      <c r="AC17" s="50">
        <f>C17*(($F17*($R17)))/453.59</f>
        <v>1.844082811914678E-3</v>
      </c>
      <c r="AD17" s="50">
        <f>C17*(($F17*($S17)))/453.59</f>
        <v>8.2666337626667119E-4</v>
      </c>
    </row>
    <row r="18" spans="1:30">
      <c r="A18" s="75" t="s">
        <v>28</v>
      </c>
      <c r="B18" s="74"/>
      <c r="C18" s="112"/>
      <c r="D18" s="112"/>
      <c r="E18" s="74"/>
      <c r="F18" s="74"/>
      <c r="G18" s="577"/>
      <c r="H18" s="41"/>
      <c r="I18" s="41"/>
      <c r="J18" s="41"/>
      <c r="K18" s="574"/>
      <c r="L18" s="574"/>
      <c r="M18" s="574"/>
      <c r="N18" s="574"/>
      <c r="O18" s="574"/>
      <c r="P18" s="574"/>
      <c r="Q18" s="41"/>
      <c r="R18" s="574"/>
      <c r="S18" s="574"/>
      <c r="T18" s="81">
        <f t="shared" ref="T18:AD18" si="2">SUM(T17:T17)</f>
        <v>3.3297091844548342E-2</v>
      </c>
      <c r="U18" s="81">
        <f t="shared" si="2"/>
        <v>6.1469792609906218E-2</v>
      </c>
      <c r="V18" s="81">
        <f t="shared" si="2"/>
        <v>7.5102242543154491E-3</v>
      </c>
      <c r="W18" s="81">
        <f t="shared" si="2"/>
        <v>4.6328711353582576E-4</v>
      </c>
      <c r="X18" s="81">
        <f t="shared" si="2"/>
        <v>1.2123154956717041E-2</v>
      </c>
      <c r="Y18" s="81">
        <f t="shared" si="2"/>
        <v>8.0553663276591338E-3</v>
      </c>
      <c r="Z18" s="81">
        <f t="shared" si="2"/>
        <v>0</v>
      </c>
      <c r="AA18" s="81">
        <f t="shared" si="2"/>
        <v>0</v>
      </c>
      <c r="AB18" s="81">
        <f t="shared" si="2"/>
        <v>32.271368530085546</v>
      </c>
      <c r="AC18" s="81">
        <f t="shared" si="2"/>
        <v>1.844082811914678E-3</v>
      </c>
      <c r="AD18" s="81">
        <f t="shared" si="2"/>
        <v>8.2666337626667119E-4</v>
      </c>
    </row>
    <row r="19" spans="1:30">
      <c r="A19" s="75" t="s">
        <v>388</v>
      </c>
      <c r="B19" s="74"/>
      <c r="C19" s="112"/>
      <c r="D19" s="112"/>
      <c r="E19" s="74"/>
      <c r="F19" s="74"/>
      <c r="G19" s="547"/>
      <c r="H19" s="41"/>
      <c r="I19" s="41"/>
      <c r="J19" s="41"/>
      <c r="K19" s="544"/>
      <c r="L19" s="544"/>
      <c r="M19" s="544"/>
      <c r="N19" s="544"/>
      <c r="O19" s="544"/>
      <c r="P19" s="544"/>
      <c r="Q19" s="41"/>
      <c r="R19" s="544"/>
      <c r="S19" s="544"/>
      <c r="T19" s="81">
        <f>T10+T14+T18</f>
        <v>0.23307964291183839</v>
      </c>
      <c r="U19" s="81">
        <f t="shared" ref="U19:AD19" si="3">U10+U14+U18</f>
        <v>0.43028854826934354</v>
      </c>
      <c r="V19" s="81">
        <f t="shared" si="3"/>
        <v>5.2571569780208147E-2</v>
      </c>
      <c r="W19" s="81">
        <f t="shared" si="3"/>
        <v>3.2430097947507802E-3</v>
      </c>
      <c r="X19" s="81">
        <f t="shared" si="3"/>
        <v>8.486208469701928E-2</v>
      </c>
      <c r="Y19" s="81">
        <f t="shared" si="3"/>
        <v>5.638756429361394E-2</v>
      </c>
      <c r="Z19" s="81">
        <f t="shared" si="3"/>
        <v>0</v>
      </c>
      <c r="AA19" s="81">
        <f t="shared" si="3"/>
        <v>0</v>
      </c>
      <c r="AB19" s="81">
        <f t="shared" si="3"/>
        <v>225.8995797105988</v>
      </c>
      <c r="AC19" s="81">
        <f t="shared" si="3"/>
        <v>1.2908579683402746E-2</v>
      </c>
      <c r="AD19" s="81">
        <f t="shared" si="3"/>
        <v>5.7866436338666989E-3</v>
      </c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371" spans="1:2" ht="25.5">
      <c r="A371" s="82" t="s">
        <v>109</v>
      </c>
    </row>
    <row r="373" spans="1:2">
      <c r="A373" s="36" t="s">
        <v>81</v>
      </c>
    </row>
    <row r="374" spans="1:2">
      <c r="A374" s="36" t="s">
        <v>82</v>
      </c>
    </row>
    <row r="375" spans="1:2">
      <c r="A375" s="36" t="s">
        <v>83</v>
      </c>
    </row>
    <row r="376" spans="1:2">
      <c r="A376" s="37" t="s">
        <v>96</v>
      </c>
    </row>
    <row r="377" spans="1:2">
      <c r="A377" s="36" t="s">
        <v>85</v>
      </c>
    </row>
    <row r="378" spans="1:2">
      <c r="A378" s="36" t="s">
        <v>86</v>
      </c>
    </row>
    <row r="379" spans="1:2">
      <c r="A379" s="36" t="s">
        <v>87</v>
      </c>
    </row>
    <row r="380" spans="1:2">
      <c r="A380" s="36" t="s">
        <v>0</v>
      </c>
    </row>
    <row r="381" spans="1:2">
      <c r="A381" s="37" t="s">
        <v>97</v>
      </c>
      <c r="B381" s="36">
        <f>(0.016*(0.03/2)^0.65*(2/3)^1.5)-0.00047</f>
        <v>9.8123053326417428E-5</v>
      </c>
    </row>
    <row r="382" spans="1:2">
      <c r="A382" s="37" t="s">
        <v>98</v>
      </c>
      <c r="B382" s="36">
        <f>(0.016*(0.03/2)^0.65*(13/3)^1.5)-0.00047</f>
        <v>8.9448292388582783E-3</v>
      </c>
    </row>
    <row r="383" spans="1:2">
      <c r="A383" s="37" t="s">
        <v>99</v>
      </c>
      <c r="B383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704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67" ht="25.5">
      <c r="A5" s="44" t="s">
        <v>335</v>
      </c>
      <c r="B5" s="45" t="s">
        <v>102</v>
      </c>
      <c r="C5" s="46">
        <v>1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319</v>
      </c>
      <c r="B6" s="45" t="s">
        <v>102</v>
      </c>
      <c r="C6" s="46">
        <v>2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idden="1">
      <c r="A10" s="55" t="s">
        <v>78</v>
      </c>
      <c r="B10" s="37"/>
      <c r="C10" s="37"/>
      <c r="AA10" s="57"/>
      <c r="AB10" s="57"/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54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/>
      <c r="B14" s="37"/>
      <c r="C14" s="37"/>
      <c r="AQ14" s="38"/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F15" s="36" t="e">
        <f t="shared" ref="AF15:AF23" si="2">AF$10*$AC16</f>
        <v>#REF!</v>
      </c>
      <c r="AG15" s="36" t="e">
        <f t="shared" ref="AG15:AG23" si="3">AG$10*$AC16</f>
        <v>#REF!</v>
      </c>
      <c r="AH15" s="36" t="e">
        <f t="shared" ref="AH15:AH23" si="4">AH$10*$AC16</f>
        <v>#REF!</v>
      </c>
      <c r="AI15" s="36" t="e">
        <f t="shared" ref="AI15:AI23" si="5">AI$10*$AC16</f>
        <v>#REF!</v>
      </c>
      <c r="AJ15" s="36" t="e">
        <f t="shared" ref="AJ15:AJ23" si="6">AJ$10*$AC16</f>
        <v>#REF!</v>
      </c>
      <c r="AK15" s="36" t="e">
        <f t="shared" ref="AK15:AK23" si="7">AK$10*$AC16</f>
        <v>#REF!</v>
      </c>
      <c r="AL15" s="36" t="e">
        <f t="shared" ref="AL15:AL23" si="8">AL$10*$AC16</f>
        <v>#REF!</v>
      </c>
      <c r="AM15" s="36" t="e">
        <f t="shared" ref="AM15:AM23" si="9">AM$10*$AC16</f>
        <v>#REF!</v>
      </c>
      <c r="AN15" s="36" t="e">
        <f t="shared" ref="AN15:AN23" si="10">AN$10*$AC16</f>
        <v>#REF!</v>
      </c>
      <c r="AO15" s="36" t="e">
        <f t="shared" ref="AO15:AO23" si="11">AO$10*$AC16</f>
        <v>#REF!</v>
      </c>
      <c r="AQ15" s="38"/>
      <c r="AR15" s="36" t="e">
        <f t="shared" ref="AR15:AR23" si="12">AR$10*$AC16</f>
        <v>#REF!</v>
      </c>
      <c r="AS15" s="36" t="e">
        <f t="shared" ref="AS15:AS23" si="13">AS$10*$AC16</f>
        <v>#REF!</v>
      </c>
      <c r="AT15" s="36" t="e">
        <f t="shared" ref="AT15:AT23" si="14">AT$10*$AC16</f>
        <v>#REF!</v>
      </c>
      <c r="AU15" s="36" t="e">
        <f t="shared" ref="AU15:AU23" si="15">AU$10*$AC16</f>
        <v>#REF!</v>
      </c>
      <c r="AV15" s="36" t="e">
        <f t="shared" ref="AV15:AV23" si="16">AV$10*$AC16</f>
        <v>#REF!</v>
      </c>
      <c r="AW15" s="36" t="e">
        <f t="shared" ref="AW15:AW23" si="17">AW$10*$AC16</f>
        <v>#REF!</v>
      </c>
      <c r="AX15" s="36" t="e">
        <f t="shared" ref="AX15:AX23" si="18">AX$10*$AC16</f>
        <v>#REF!</v>
      </c>
      <c r="AY15" s="36" t="e">
        <f t="shared" ref="AY15:AY23" si="19">AY$10*$AC16</f>
        <v>#REF!</v>
      </c>
      <c r="AZ15" s="36" t="e">
        <f t="shared" ref="AZ15:AZ23" si="20">AZ$10*$AC16</f>
        <v>#REF!</v>
      </c>
      <c r="BA15" s="36" t="e">
        <f t="shared" ref="BA15:BA23" si="21">BA$10*$AC16</f>
        <v>#REF!</v>
      </c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 t="shared" si="2"/>
        <v>#REF!</v>
      </c>
      <c r="AG16" s="36" t="e">
        <f t="shared" si="3"/>
        <v>#REF!</v>
      </c>
      <c r="AH16" s="36" t="e">
        <f t="shared" si="4"/>
        <v>#REF!</v>
      </c>
      <c r="AI16" s="36" t="e">
        <f t="shared" si="5"/>
        <v>#REF!</v>
      </c>
      <c r="AJ16" s="36" t="e">
        <f t="shared" si="6"/>
        <v>#REF!</v>
      </c>
      <c r="AK16" s="36" t="e">
        <f t="shared" si="7"/>
        <v>#REF!</v>
      </c>
      <c r="AL16" s="36" t="e">
        <f t="shared" si="8"/>
        <v>#REF!</v>
      </c>
      <c r="AM16" s="36" t="e">
        <f t="shared" si="9"/>
        <v>#REF!</v>
      </c>
      <c r="AN16" s="36" t="e">
        <f t="shared" si="10"/>
        <v>#REF!</v>
      </c>
      <c r="AO16" s="36" t="e">
        <f t="shared" si="11"/>
        <v>#REF!</v>
      </c>
      <c r="AQ16" s="38"/>
      <c r="AR16" s="36" t="e">
        <f t="shared" si="12"/>
        <v>#REF!</v>
      </c>
      <c r="AS16" s="36" t="e">
        <f t="shared" si="13"/>
        <v>#REF!</v>
      </c>
      <c r="AT16" s="36" t="e">
        <f t="shared" si="14"/>
        <v>#REF!</v>
      </c>
      <c r="AU16" s="36" t="e">
        <f t="shared" si="15"/>
        <v>#REF!</v>
      </c>
      <c r="AV16" s="36" t="e">
        <f t="shared" si="16"/>
        <v>#REF!</v>
      </c>
      <c r="AW16" s="36" t="e">
        <f t="shared" si="17"/>
        <v>#REF!</v>
      </c>
      <c r="AX16" s="36" t="e">
        <f t="shared" si="18"/>
        <v>#REF!</v>
      </c>
      <c r="AY16" s="36" t="e">
        <f t="shared" si="19"/>
        <v>#REF!</v>
      </c>
      <c r="AZ16" s="36" t="e">
        <f t="shared" si="20"/>
        <v>#REF!</v>
      </c>
      <c r="BA16" s="36" t="e">
        <f t="shared" si="21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si="2"/>
        <v>#REF!</v>
      </c>
      <c r="AG17" s="36" t="e">
        <f t="shared" si="3"/>
        <v>#REF!</v>
      </c>
      <c r="AH17" s="36" t="e">
        <f t="shared" si="4"/>
        <v>#REF!</v>
      </c>
      <c r="AI17" s="36" t="e">
        <f t="shared" si="5"/>
        <v>#REF!</v>
      </c>
      <c r="AJ17" s="36" t="e">
        <f t="shared" si="6"/>
        <v>#REF!</v>
      </c>
      <c r="AK17" s="36" t="e">
        <f t="shared" si="7"/>
        <v>#REF!</v>
      </c>
      <c r="AL17" s="36" t="e">
        <f t="shared" si="8"/>
        <v>#REF!</v>
      </c>
      <c r="AM17" s="36" t="e">
        <f t="shared" si="9"/>
        <v>#REF!</v>
      </c>
      <c r="AN17" s="36" t="e">
        <f t="shared" si="10"/>
        <v>#REF!</v>
      </c>
      <c r="AO17" s="36" t="e">
        <f t="shared" si="11"/>
        <v>#REF!</v>
      </c>
      <c r="AQ17" s="38"/>
      <c r="AR17" s="36" t="e">
        <f t="shared" si="12"/>
        <v>#REF!</v>
      </c>
      <c r="AS17" s="36" t="e">
        <f t="shared" si="13"/>
        <v>#REF!</v>
      </c>
      <c r="AT17" s="36" t="e">
        <f t="shared" si="14"/>
        <v>#REF!</v>
      </c>
      <c r="AU17" s="36" t="e">
        <f t="shared" si="15"/>
        <v>#REF!</v>
      </c>
      <c r="AV17" s="36" t="e">
        <f t="shared" si="16"/>
        <v>#REF!</v>
      </c>
      <c r="AW17" s="36" t="e">
        <f t="shared" si="17"/>
        <v>#REF!</v>
      </c>
      <c r="AX17" s="36" t="e">
        <f t="shared" si="18"/>
        <v>#REF!</v>
      </c>
      <c r="AY17" s="36" t="e">
        <f t="shared" si="19"/>
        <v>#REF!</v>
      </c>
      <c r="AZ17" s="36" t="e">
        <f t="shared" si="20"/>
        <v>#REF!</v>
      </c>
      <c r="BA17" s="36" t="e">
        <f t="shared" si="21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2"/>
        <v>#REF!</v>
      </c>
      <c r="AG18" s="36" t="e">
        <f t="shared" si="3"/>
        <v>#REF!</v>
      </c>
      <c r="AH18" s="36" t="e">
        <f t="shared" si="4"/>
        <v>#REF!</v>
      </c>
      <c r="AI18" s="36" t="e">
        <f t="shared" si="5"/>
        <v>#REF!</v>
      </c>
      <c r="AJ18" s="36" t="e">
        <f t="shared" si="6"/>
        <v>#REF!</v>
      </c>
      <c r="AK18" s="36" t="e">
        <f t="shared" si="7"/>
        <v>#REF!</v>
      </c>
      <c r="AL18" s="36" t="e">
        <f t="shared" si="8"/>
        <v>#REF!</v>
      </c>
      <c r="AM18" s="36" t="e">
        <f t="shared" si="9"/>
        <v>#REF!</v>
      </c>
      <c r="AN18" s="36" t="e">
        <f t="shared" si="10"/>
        <v>#REF!</v>
      </c>
      <c r="AO18" s="36" t="e">
        <f t="shared" si="11"/>
        <v>#REF!</v>
      </c>
      <c r="AQ18" s="38"/>
      <c r="AR18" s="36" t="e">
        <f t="shared" si="12"/>
        <v>#REF!</v>
      </c>
      <c r="AS18" s="36" t="e">
        <f t="shared" si="13"/>
        <v>#REF!</v>
      </c>
      <c r="AT18" s="36" t="e">
        <f t="shared" si="14"/>
        <v>#REF!</v>
      </c>
      <c r="AU18" s="36" t="e">
        <f t="shared" si="15"/>
        <v>#REF!</v>
      </c>
      <c r="AV18" s="36" t="e">
        <f t="shared" si="16"/>
        <v>#REF!</v>
      </c>
      <c r="AW18" s="36" t="e">
        <f t="shared" si="17"/>
        <v>#REF!</v>
      </c>
      <c r="AX18" s="36" t="e">
        <f t="shared" si="18"/>
        <v>#REF!</v>
      </c>
      <c r="AY18" s="36" t="e">
        <f t="shared" si="19"/>
        <v>#REF!</v>
      </c>
      <c r="AZ18" s="36" t="e">
        <f t="shared" si="20"/>
        <v>#REF!</v>
      </c>
      <c r="BA18" s="36" t="e">
        <f t="shared" si="21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2"/>
        <v>#REF!</v>
      </c>
      <c r="AG19" s="36" t="e">
        <f t="shared" si="3"/>
        <v>#REF!</v>
      </c>
      <c r="AH19" s="36" t="e">
        <f t="shared" si="4"/>
        <v>#REF!</v>
      </c>
      <c r="AI19" s="36" t="e">
        <f t="shared" si="5"/>
        <v>#REF!</v>
      </c>
      <c r="AJ19" s="36" t="e">
        <f t="shared" si="6"/>
        <v>#REF!</v>
      </c>
      <c r="AK19" s="36" t="e">
        <f t="shared" si="7"/>
        <v>#REF!</v>
      </c>
      <c r="AL19" s="36" t="e">
        <f t="shared" si="8"/>
        <v>#REF!</v>
      </c>
      <c r="AM19" s="36" t="e">
        <f t="shared" si="9"/>
        <v>#REF!</v>
      </c>
      <c r="AN19" s="36" t="e">
        <f t="shared" si="10"/>
        <v>#REF!</v>
      </c>
      <c r="AO19" s="36" t="e">
        <f t="shared" si="11"/>
        <v>#REF!</v>
      </c>
      <c r="AQ19" s="38"/>
      <c r="AR19" s="36" t="e">
        <f t="shared" si="12"/>
        <v>#REF!</v>
      </c>
      <c r="AS19" s="36" t="e">
        <f t="shared" si="13"/>
        <v>#REF!</v>
      </c>
      <c r="AT19" s="36" t="e">
        <f t="shared" si="14"/>
        <v>#REF!</v>
      </c>
      <c r="AU19" s="36" t="e">
        <f t="shared" si="15"/>
        <v>#REF!</v>
      </c>
      <c r="AV19" s="36" t="e">
        <f t="shared" si="16"/>
        <v>#REF!</v>
      </c>
      <c r="AW19" s="36" t="e">
        <f t="shared" si="17"/>
        <v>#REF!</v>
      </c>
      <c r="AX19" s="36" t="e">
        <f t="shared" si="18"/>
        <v>#REF!</v>
      </c>
      <c r="AY19" s="36" t="e">
        <f t="shared" si="19"/>
        <v>#REF!</v>
      </c>
      <c r="AZ19" s="36" t="e">
        <f t="shared" si="20"/>
        <v>#REF!</v>
      </c>
      <c r="BA19" s="36" t="e">
        <f t="shared" si="21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2"/>
        <v>#REF!</v>
      </c>
      <c r="AG20" s="36" t="e">
        <f t="shared" si="3"/>
        <v>#REF!</v>
      </c>
      <c r="AH20" s="36" t="e">
        <f t="shared" si="4"/>
        <v>#REF!</v>
      </c>
      <c r="AI20" s="36" t="e">
        <f t="shared" si="5"/>
        <v>#REF!</v>
      </c>
      <c r="AJ20" s="36" t="e">
        <f t="shared" si="6"/>
        <v>#REF!</v>
      </c>
      <c r="AK20" s="36" t="e">
        <f t="shared" si="7"/>
        <v>#REF!</v>
      </c>
      <c r="AL20" s="36" t="e">
        <f t="shared" si="8"/>
        <v>#REF!</v>
      </c>
      <c r="AM20" s="36" t="e">
        <f t="shared" si="9"/>
        <v>#REF!</v>
      </c>
      <c r="AN20" s="36" t="e">
        <f t="shared" si="10"/>
        <v>#REF!</v>
      </c>
      <c r="AO20" s="36" t="e">
        <f t="shared" si="11"/>
        <v>#REF!</v>
      </c>
      <c r="AQ20" s="38"/>
      <c r="AR20" s="36" t="e">
        <f t="shared" si="12"/>
        <v>#REF!</v>
      </c>
      <c r="AS20" s="36" t="e">
        <f t="shared" si="13"/>
        <v>#REF!</v>
      </c>
      <c r="AT20" s="36" t="e">
        <f t="shared" si="14"/>
        <v>#REF!</v>
      </c>
      <c r="AU20" s="36" t="e">
        <f t="shared" si="15"/>
        <v>#REF!</v>
      </c>
      <c r="AV20" s="36" t="e">
        <f t="shared" si="16"/>
        <v>#REF!</v>
      </c>
      <c r="AW20" s="36" t="e">
        <f t="shared" si="17"/>
        <v>#REF!</v>
      </c>
      <c r="AX20" s="36" t="e">
        <f t="shared" si="18"/>
        <v>#REF!</v>
      </c>
      <c r="AY20" s="36" t="e">
        <f t="shared" si="19"/>
        <v>#REF!</v>
      </c>
      <c r="AZ20" s="36" t="e">
        <f t="shared" si="20"/>
        <v>#REF!</v>
      </c>
      <c r="BA20" s="36" t="e">
        <f t="shared" si="21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2"/>
        <v>#REF!</v>
      </c>
      <c r="AG21" s="36" t="e">
        <f t="shared" si="3"/>
        <v>#REF!</v>
      </c>
      <c r="AH21" s="36" t="e">
        <f t="shared" si="4"/>
        <v>#REF!</v>
      </c>
      <c r="AI21" s="36" t="e">
        <f t="shared" si="5"/>
        <v>#REF!</v>
      </c>
      <c r="AJ21" s="36" t="e">
        <f t="shared" si="6"/>
        <v>#REF!</v>
      </c>
      <c r="AK21" s="36" t="e">
        <f t="shared" si="7"/>
        <v>#REF!</v>
      </c>
      <c r="AL21" s="36" t="e">
        <f t="shared" si="8"/>
        <v>#REF!</v>
      </c>
      <c r="AM21" s="36" t="e">
        <f t="shared" si="9"/>
        <v>#REF!</v>
      </c>
      <c r="AN21" s="36" t="e">
        <f t="shared" si="10"/>
        <v>#REF!</v>
      </c>
      <c r="AO21" s="36" t="e">
        <f t="shared" si="11"/>
        <v>#REF!</v>
      </c>
      <c r="AQ21" s="38"/>
      <c r="AR21" s="36" t="e">
        <f t="shared" si="12"/>
        <v>#REF!</v>
      </c>
      <c r="AS21" s="36" t="e">
        <f t="shared" si="13"/>
        <v>#REF!</v>
      </c>
      <c r="AT21" s="36" t="e">
        <f t="shared" si="14"/>
        <v>#REF!</v>
      </c>
      <c r="AU21" s="36" t="e">
        <f t="shared" si="15"/>
        <v>#REF!</v>
      </c>
      <c r="AV21" s="36" t="e">
        <f t="shared" si="16"/>
        <v>#REF!</v>
      </c>
      <c r="AW21" s="36" t="e">
        <f t="shared" si="17"/>
        <v>#REF!</v>
      </c>
      <c r="AX21" s="36" t="e">
        <f t="shared" si="18"/>
        <v>#REF!</v>
      </c>
      <c r="AY21" s="36" t="e">
        <f t="shared" si="19"/>
        <v>#REF!</v>
      </c>
      <c r="AZ21" s="36" t="e">
        <f t="shared" si="20"/>
        <v>#REF!</v>
      </c>
      <c r="BA21" s="36" t="e">
        <f t="shared" si="21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2"/>
        <v>#REF!</v>
      </c>
      <c r="AG22" s="36" t="e">
        <f t="shared" si="3"/>
        <v>#REF!</v>
      </c>
      <c r="AH22" s="36" t="e">
        <f t="shared" si="4"/>
        <v>#REF!</v>
      </c>
      <c r="AI22" s="36" t="e">
        <f t="shared" si="5"/>
        <v>#REF!</v>
      </c>
      <c r="AJ22" s="36" t="e">
        <f t="shared" si="6"/>
        <v>#REF!</v>
      </c>
      <c r="AK22" s="36" t="e">
        <f t="shared" si="7"/>
        <v>#REF!</v>
      </c>
      <c r="AL22" s="36" t="e">
        <f t="shared" si="8"/>
        <v>#REF!</v>
      </c>
      <c r="AM22" s="36" t="e">
        <f t="shared" si="9"/>
        <v>#REF!</v>
      </c>
      <c r="AN22" s="36" t="e">
        <f t="shared" si="10"/>
        <v>#REF!</v>
      </c>
      <c r="AO22" s="36" t="e">
        <f t="shared" si="11"/>
        <v>#REF!</v>
      </c>
      <c r="AQ22" s="38"/>
      <c r="AR22" s="36" t="e">
        <f t="shared" si="12"/>
        <v>#REF!</v>
      </c>
      <c r="AS22" s="36" t="e">
        <f t="shared" si="13"/>
        <v>#REF!</v>
      </c>
      <c r="AT22" s="36" t="e">
        <f t="shared" si="14"/>
        <v>#REF!</v>
      </c>
      <c r="AU22" s="36" t="e">
        <f t="shared" si="15"/>
        <v>#REF!</v>
      </c>
      <c r="AV22" s="36" t="e">
        <f t="shared" si="16"/>
        <v>#REF!</v>
      </c>
      <c r="AW22" s="36" t="e">
        <f t="shared" si="17"/>
        <v>#REF!</v>
      </c>
      <c r="AX22" s="36" t="e">
        <f t="shared" si="18"/>
        <v>#REF!</v>
      </c>
      <c r="AY22" s="36" t="e">
        <f t="shared" si="19"/>
        <v>#REF!</v>
      </c>
      <c r="AZ22" s="36" t="e">
        <f t="shared" si="20"/>
        <v>#REF!</v>
      </c>
      <c r="BA22" s="36" t="e">
        <f t="shared" si="21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2"/>
        <v>#REF!</v>
      </c>
      <c r="AG23" s="36" t="e">
        <f t="shared" si="3"/>
        <v>#REF!</v>
      </c>
      <c r="AH23" s="36" t="e">
        <f t="shared" si="4"/>
        <v>#REF!</v>
      </c>
      <c r="AI23" s="36" t="e">
        <f t="shared" si="5"/>
        <v>#REF!</v>
      </c>
      <c r="AJ23" s="36" t="e">
        <f t="shared" si="6"/>
        <v>#REF!</v>
      </c>
      <c r="AK23" s="36" t="e">
        <f t="shared" si="7"/>
        <v>#REF!</v>
      </c>
      <c r="AL23" s="36" t="e">
        <f t="shared" si="8"/>
        <v>#REF!</v>
      </c>
      <c r="AM23" s="36" t="e">
        <f t="shared" si="9"/>
        <v>#REF!</v>
      </c>
      <c r="AN23" s="36" t="e">
        <f t="shared" si="10"/>
        <v>#REF!</v>
      </c>
      <c r="AO23" s="36" t="e">
        <f t="shared" si="11"/>
        <v>#REF!</v>
      </c>
      <c r="AQ23" s="38"/>
      <c r="AR23" s="36" t="e">
        <f t="shared" si="12"/>
        <v>#REF!</v>
      </c>
      <c r="AS23" s="36" t="e">
        <f t="shared" si="13"/>
        <v>#REF!</v>
      </c>
      <c r="AT23" s="36" t="e">
        <f t="shared" si="14"/>
        <v>#REF!</v>
      </c>
      <c r="AU23" s="36" t="e">
        <f t="shared" si="15"/>
        <v>#REF!</v>
      </c>
      <c r="AV23" s="36" t="e">
        <f t="shared" si="16"/>
        <v>#REF!</v>
      </c>
      <c r="AW23" s="36" t="e">
        <f t="shared" si="17"/>
        <v>#REF!</v>
      </c>
      <c r="AX23" s="36" t="e">
        <f t="shared" si="18"/>
        <v>#REF!</v>
      </c>
      <c r="AY23" s="36" t="e">
        <f t="shared" si="19"/>
        <v>#REF!</v>
      </c>
      <c r="AZ23" s="36" t="e">
        <f t="shared" si="20"/>
        <v>#REF!</v>
      </c>
      <c r="BA23" s="36" t="e">
        <f t="shared" si="21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Q24" s="38"/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F26" s="36" t="e">
        <f t="shared" ref="AF26:AF34" si="22">AF$10*$AC27</f>
        <v>#REF!</v>
      </c>
      <c r="AG26" s="36" t="e">
        <f t="shared" ref="AG26:AG34" si="23">AG$10*$AC27</f>
        <v>#REF!</v>
      </c>
      <c r="AH26" s="36" t="e">
        <f t="shared" ref="AH26:AH34" si="24">AH$10*$AC27</f>
        <v>#REF!</v>
      </c>
      <c r="AI26" s="36" t="e">
        <f t="shared" ref="AI26:AI34" si="25">AI$10*$AC27</f>
        <v>#REF!</v>
      </c>
      <c r="AJ26" s="36" t="e">
        <f t="shared" ref="AJ26:AJ34" si="26">AJ$10*$AC27</f>
        <v>#REF!</v>
      </c>
      <c r="AK26" s="36" t="e">
        <f t="shared" ref="AK26:AK34" si="27">AK$10*$AC27</f>
        <v>#REF!</v>
      </c>
      <c r="AL26" s="36" t="e">
        <f t="shared" ref="AL26:AL34" si="28">AL$10*$AC27</f>
        <v>#REF!</v>
      </c>
      <c r="AM26" s="36" t="e">
        <f t="shared" ref="AM26:AM34" si="29">AM$10*$AC27</f>
        <v>#REF!</v>
      </c>
      <c r="AN26" s="36" t="e">
        <f t="shared" ref="AN26:AN34" si="30">AN$10*$AC27</f>
        <v>#REF!</v>
      </c>
      <c r="AO26" s="36" t="e">
        <f t="shared" ref="AO26:AO34" si="31">AO$10*$AC27</f>
        <v>#REF!</v>
      </c>
      <c r="AQ26" s="38"/>
      <c r="AR26" s="36" t="e">
        <f t="shared" ref="AR26:AR34" si="32">AR$10*$AC27</f>
        <v>#REF!</v>
      </c>
      <c r="AS26" s="36" t="e">
        <f t="shared" ref="AS26:AS34" si="33">AS$10*$AC27</f>
        <v>#REF!</v>
      </c>
      <c r="AT26" s="36" t="e">
        <f t="shared" ref="AT26:AT34" si="34">AT$10*$AC27</f>
        <v>#REF!</v>
      </c>
      <c r="AU26" s="36" t="e">
        <f t="shared" ref="AU26:AU34" si="35">AU$10*$AC27</f>
        <v>#REF!</v>
      </c>
      <c r="AV26" s="36" t="e">
        <f t="shared" ref="AV26:AV34" si="36">AV$10*$AC27</f>
        <v>#REF!</v>
      </c>
      <c r="AW26" s="36" t="e">
        <f t="shared" ref="AW26:AW34" si="37">AW$10*$AC27</f>
        <v>#REF!</v>
      </c>
      <c r="AX26" s="36" t="e">
        <f t="shared" ref="AX26:AX34" si="38">AX$10*$AC27</f>
        <v>#REF!</v>
      </c>
      <c r="AY26" s="36" t="e">
        <f t="shared" ref="AY26:AY34" si="39">AY$10*$AC27</f>
        <v>#REF!</v>
      </c>
      <c r="AZ26" s="36" t="e">
        <f t="shared" ref="AZ26:AZ34" si="40">AZ$10*$AC27</f>
        <v>#REF!</v>
      </c>
      <c r="BA26" s="36" t="e">
        <f t="shared" ref="BA26:BA34" si="41">BA$10*$AC27</f>
        <v>#REF!</v>
      </c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si="22"/>
        <v>#REF!</v>
      </c>
      <c r="AG27" s="36" t="e">
        <f t="shared" si="23"/>
        <v>#REF!</v>
      </c>
      <c r="AH27" s="36" t="e">
        <f t="shared" si="24"/>
        <v>#REF!</v>
      </c>
      <c r="AI27" s="36" t="e">
        <f t="shared" si="25"/>
        <v>#REF!</v>
      </c>
      <c r="AJ27" s="36" t="e">
        <f t="shared" si="26"/>
        <v>#REF!</v>
      </c>
      <c r="AK27" s="36" t="e">
        <f t="shared" si="27"/>
        <v>#REF!</v>
      </c>
      <c r="AL27" s="36" t="e">
        <f t="shared" si="28"/>
        <v>#REF!</v>
      </c>
      <c r="AM27" s="36" t="e">
        <f t="shared" si="29"/>
        <v>#REF!</v>
      </c>
      <c r="AN27" s="36" t="e">
        <f t="shared" si="30"/>
        <v>#REF!</v>
      </c>
      <c r="AO27" s="36" t="e">
        <f t="shared" si="31"/>
        <v>#REF!</v>
      </c>
      <c r="AQ27" s="38"/>
      <c r="AR27" s="36" t="e">
        <f t="shared" si="32"/>
        <v>#REF!</v>
      </c>
      <c r="AS27" s="36" t="e">
        <f t="shared" si="33"/>
        <v>#REF!</v>
      </c>
      <c r="AT27" s="36" t="e">
        <f t="shared" si="34"/>
        <v>#REF!</v>
      </c>
      <c r="AU27" s="36" t="e">
        <f t="shared" si="35"/>
        <v>#REF!</v>
      </c>
      <c r="AV27" s="36" t="e">
        <f t="shared" si="36"/>
        <v>#REF!</v>
      </c>
      <c r="AW27" s="36" t="e">
        <f t="shared" si="37"/>
        <v>#REF!</v>
      </c>
      <c r="AX27" s="36" t="e">
        <f t="shared" si="38"/>
        <v>#REF!</v>
      </c>
      <c r="AY27" s="36" t="e">
        <f t="shared" si="39"/>
        <v>#REF!</v>
      </c>
      <c r="AZ27" s="36" t="e">
        <f t="shared" si="40"/>
        <v>#REF!</v>
      </c>
      <c r="BA27" s="36" t="e">
        <f t="shared" si="41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22"/>
        <v>#REF!</v>
      </c>
      <c r="AG28" s="36" t="e">
        <f t="shared" si="23"/>
        <v>#REF!</v>
      </c>
      <c r="AH28" s="36" t="e">
        <f t="shared" si="24"/>
        <v>#REF!</v>
      </c>
      <c r="AI28" s="36" t="e">
        <f t="shared" si="25"/>
        <v>#REF!</v>
      </c>
      <c r="AJ28" s="36" t="e">
        <f t="shared" si="26"/>
        <v>#REF!</v>
      </c>
      <c r="AK28" s="36" t="e">
        <f t="shared" si="27"/>
        <v>#REF!</v>
      </c>
      <c r="AL28" s="36" t="e">
        <f t="shared" si="28"/>
        <v>#REF!</v>
      </c>
      <c r="AM28" s="36" t="e">
        <f t="shared" si="29"/>
        <v>#REF!</v>
      </c>
      <c r="AN28" s="36" t="e">
        <f t="shared" si="30"/>
        <v>#REF!</v>
      </c>
      <c r="AO28" s="36" t="e">
        <f t="shared" si="31"/>
        <v>#REF!</v>
      </c>
      <c r="AQ28" s="38"/>
      <c r="AR28" s="36" t="e">
        <f t="shared" si="32"/>
        <v>#REF!</v>
      </c>
      <c r="AS28" s="36" t="e">
        <f t="shared" si="33"/>
        <v>#REF!</v>
      </c>
      <c r="AT28" s="36" t="e">
        <f t="shared" si="34"/>
        <v>#REF!</v>
      </c>
      <c r="AU28" s="36" t="e">
        <f t="shared" si="35"/>
        <v>#REF!</v>
      </c>
      <c r="AV28" s="36" t="e">
        <f t="shared" si="36"/>
        <v>#REF!</v>
      </c>
      <c r="AW28" s="36" t="e">
        <f t="shared" si="37"/>
        <v>#REF!</v>
      </c>
      <c r="AX28" s="36" t="e">
        <f t="shared" si="38"/>
        <v>#REF!</v>
      </c>
      <c r="AY28" s="36" t="e">
        <f t="shared" si="39"/>
        <v>#REF!</v>
      </c>
      <c r="AZ28" s="36" t="e">
        <f t="shared" si="40"/>
        <v>#REF!</v>
      </c>
      <c r="BA28" s="36" t="e">
        <f t="shared" si="41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22"/>
        <v>#REF!</v>
      </c>
      <c r="AG29" s="36" t="e">
        <f t="shared" si="23"/>
        <v>#REF!</v>
      </c>
      <c r="AH29" s="36" t="e">
        <f t="shared" si="24"/>
        <v>#REF!</v>
      </c>
      <c r="AI29" s="36" t="e">
        <f t="shared" si="25"/>
        <v>#REF!</v>
      </c>
      <c r="AJ29" s="36" t="e">
        <f t="shared" si="26"/>
        <v>#REF!</v>
      </c>
      <c r="AK29" s="36" t="e">
        <f t="shared" si="27"/>
        <v>#REF!</v>
      </c>
      <c r="AL29" s="36" t="e">
        <f t="shared" si="28"/>
        <v>#REF!</v>
      </c>
      <c r="AM29" s="36" t="e">
        <f t="shared" si="29"/>
        <v>#REF!</v>
      </c>
      <c r="AN29" s="36" t="e">
        <f t="shared" si="30"/>
        <v>#REF!</v>
      </c>
      <c r="AO29" s="36" t="e">
        <f t="shared" si="31"/>
        <v>#REF!</v>
      </c>
      <c r="AQ29" s="38"/>
      <c r="AR29" s="36" t="e">
        <f t="shared" si="32"/>
        <v>#REF!</v>
      </c>
      <c r="AS29" s="36" t="e">
        <f t="shared" si="33"/>
        <v>#REF!</v>
      </c>
      <c r="AT29" s="36" t="e">
        <f t="shared" si="34"/>
        <v>#REF!</v>
      </c>
      <c r="AU29" s="36" t="e">
        <f t="shared" si="35"/>
        <v>#REF!</v>
      </c>
      <c r="AV29" s="36" t="e">
        <f t="shared" si="36"/>
        <v>#REF!</v>
      </c>
      <c r="AW29" s="36" t="e">
        <f t="shared" si="37"/>
        <v>#REF!</v>
      </c>
      <c r="AX29" s="36" t="e">
        <f t="shared" si="38"/>
        <v>#REF!</v>
      </c>
      <c r="AY29" s="36" t="e">
        <f t="shared" si="39"/>
        <v>#REF!</v>
      </c>
      <c r="AZ29" s="36" t="e">
        <f t="shared" si="40"/>
        <v>#REF!</v>
      </c>
      <c r="BA29" s="36" t="e">
        <f t="shared" si="41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22"/>
        <v>#REF!</v>
      </c>
      <c r="AG30" s="36" t="e">
        <f t="shared" si="23"/>
        <v>#REF!</v>
      </c>
      <c r="AH30" s="36" t="e">
        <f t="shared" si="24"/>
        <v>#REF!</v>
      </c>
      <c r="AI30" s="36" t="e">
        <f t="shared" si="25"/>
        <v>#REF!</v>
      </c>
      <c r="AJ30" s="36" t="e">
        <f t="shared" si="26"/>
        <v>#REF!</v>
      </c>
      <c r="AK30" s="36" t="e">
        <f t="shared" si="27"/>
        <v>#REF!</v>
      </c>
      <c r="AL30" s="36" t="e">
        <f t="shared" si="28"/>
        <v>#REF!</v>
      </c>
      <c r="AM30" s="36" t="e">
        <f t="shared" si="29"/>
        <v>#REF!</v>
      </c>
      <c r="AN30" s="36" t="e">
        <f t="shared" si="30"/>
        <v>#REF!</v>
      </c>
      <c r="AO30" s="36" t="e">
        <f t="shared" si="31"/>
        <v>#REF!</v>
      </c>
      <c r="AQ30" s="38"/>
      <c r="AR30" s="36" t="e">
        <f t="shared" si="32"/>
        <v>#REF!</v>
      </c>
      <c r="AS30" s="36" t="e">
        <f t="shared" si="33"/>
        <v>#REF!</v>
      </c>
      <c r="AT30" s="36" t="e">
        <f t="shared" si="34"/>
        <v>#REF!</v>
      </c>
      <c r="AU30" s="36" t="e">
        <f t="shared" si="35"/>
        <v>#REF!</v>
      </c>
      <c r="AV30" s="36" t="e">
        <f t="shared" si="36"/>
        <v>#REF!</v>
      </c>
      <c r="AW30" s="36" t="e">
        <f t="shared" si="37"/>
        <v>#REF!</v>
      </c>
      <c r="AX30" s="36" t="e">
        <f t="shared" si="38"/>
        <v>#REF!</v>
      </c>
      <c r="AY30" s="36" t="e">
        <f t="shared" si="39"/>
        <v>#REF!</v>
      </c>
      <c r="AZ30" s="36" t="e">
        <f t="shared" si="40"/>
        <v>#REF!</v>
      </c>
      <c r="BA30" s="36" t="e">
        <f t="shared" si="41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22"/>
        <v>#REF!</v>
      </c>
      <c r="AG31" s="36" t="e">
        <f t="shared" si="23"/>
        <v>#REF!</v>
      </c>
      <c r="AH31" s="36" t="e">
        <f t="shared" si="24"/>
        <v>#REF!</v>
      </c>
      <c r="AI31" s="36" t="e">
        <f t="shared" si="25"/>
        <v>#REF!</v>
      </c>
      <c r="AJ31" s="36" t="e">
        <f t="shared" si="26"/>
        <v>#REF!</v>
      </c>
      <c r="AK31" s="36" t="e">
        <f t="shared" si="27"/>
        <v>#REF!</v>
      </c>
      <c r="AL31" s="36" t="e">
        <f t="shared" si="28"/>
        <v>#REF!</v>
      </c>
      <c r="AM31" s="36" t="e">
        <f t="shared" si="29"/>
        <v>#REF!</v>
      </c>
      <c r="AN31" s="36" t="e">
        <f t="shared" si="30"/>
        <v>#REF!</v>
      </c>
      <c r="AO31" s="36" t="e">
        <f t="shared" si="31"/>
        <v>#REF!</v>
      </c>
      <c r="AQ31" s="38"/>
      <c r="AR31" s="36" t="e">
        <f t="shared" si="32"/>
        <v>#REF!</v>
      </c>
      <c r="AS31" s="36" t="e">
        <f t="shared" si="33"/>
        <v>#REF!</v>
      </c>
      <c r="AT31" s="36" t="e">
        <f t="shared" si="34"/>
        <v>#REF!</v>
      </c>
      <c r="AU31" s="36" t="e">
        <f t="shared" si="35"/>
        <v>#REF!</v>
      </c>
      <c r="AV31" s="36" t="e">
        <f t="shared" si="36"/>
        <v>#REF!</v>
      </c>
      <c r="AW31" s="36" t="e">
        <f t="shared" si="37"/>
        <v>#REF!</v>
      </c>
      <c r="AX31" s="36" t="e">
        <f t="shared" si="38"/>
        <v>#REF!</v>
      </c>
      <c r="AY31" s="36" t="e">
        <f t="shared" si="39"/>
        <v>#REF!</v>
      </c>
      <c r="AZ31" s="36" t="e">
        <f t="shared" si="40"/>
        <v>#REF!</v>
      </c>
      <c r="BA31" s="36" t="e">
        <f t="shared" si="41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22"/>
        <v>#REF!</v>
      </c>
      <c r="AG32" s="36" t="e">
        <f t="shared" si="23"/>
        <v>#REF!</v>
      </c>
      <c r="AH32" s="36" t="e">
        <f t="shared" si="24"/>
        <v>#REF!</v>
      </c>
      <c r="AI32" s="36" t="e">
        <f t="shared" si="25"/>
        <v>#REF!</v>
      </c>
      <c r="AJ32" s="36" t="e">
        <f t="shared" si="26"/>
        <v>#REF!</v>
      </c>
      <c r="AK32" s="36" t="e">
        <f t="shared" si="27"/>
        <v>#REF!</v>
      </c>
      <c r="AL32" s="36" t="e">
        <f t="shared" si="28"/>
        <v>#REF!</v>
      </c>
      <c r="AM32" s="36" t="e">
        <f t="shared" si="29"/>
        <v>#REF!</v>
      </c>
      <c r="AN32" s="36" t="e">
        <f t="shared" si="30"/>
        <v>#REF!</v>
      </c>
      <c r="AO32" s="36" t="e">
        <f t="shared" si="31"/>
        <v>#REF!</v>
      </c>
      <c r="AQ32" s="38"/>
      <c r="AR32" s="36" t="e">
        <f t="shared" si="32"/>
        <v>#REF!</v>
      </c>
      <c r="AS32" s="36" t="e">
        <f t="shared" si="33"/>
        <v>#REF!</v>
      </c>
      <c r="AT32" s="36" t="e">
        <f t="shared" si="34"/>
        <v>#REF!</v>
      </c>
      <c r="AU32" s="36" t="e">
        <f t="shared" si="35"/>
        <v>#REF!</v>
      </c>
      <c r="AV32" s="36" t="e">
        <f t="shared" si="36"/>
        <v>#REF!</v>
      </c>
      <c r="AW32" s="36" t="e">
        <f t="shared" si="37"/>
        <v>#REF!</v>
      </c>
      <c r="AX32" s="36" t="e">
        <f t="shared" si="38"/>
        <v>#REF!</v>
      </c>
      <c r="AY32" s="36" t="e">
        <f t="shared" si="39"/>
        <v>#REF!</v>
      </c>
      <c r="AZ32" s="36" t="e">
        <f t="shared" si="40"/>
        <v>#REF!</v>
      </c>
      <c r="BA32" s="36" t="e">
        <f t="shared" si="41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22"/>
        <v>#REF!</v>
      </c>
      <c r="AG33" s="36" t="e">
        <f t="shared" si="23"/>
        <v>#REF!</v>
      </c>
      <c r="AH33" s="36" t="e">
        <f t="shared" si="24"/>
        <v>#REF!</v>
      </c>
      <c r="AI33" s="36" t="e">
        <f t="shared" si="25"/>
        <v>#REF!</v>
      </c>
      <c r="AJ33" s="36" t="e">
        <f t="shared" si="26"/>
        <v>#REF!</v>
      </c>
      <c r="AK33" s="36" t="e">
        <f t="shared" si="27"/>
        <v>#REF!</v>
      </c>
      <c r="AL33" s="36" t="e">
        <f t="shared" si="28"/>
        <v>#REF!</v>
      </c>
      <c r="AM33" s="36" t="e">
        <f t="shared" si="29"/>
        <v>#REF!</v>
      </c>
      <c r="AN33" s="36" t="e">
        <f t="shared" si="30"/>
        <v>#REF!</v>
      </c>
      <c r="AO33" s="36" t="e">
        <f t="shared" si="31"/>
        <v>#REF!</v>
      </c>
      <c r="AQ33" s="38"/>
      <c r="AR33" s="36" t="e">
        <f t="shared" si="32"/>
        <v>#REF!</v>
      </c>
      <c r="AS33" s="36" t="e">
        <f t="shared" si="33"/>
        <v>#REF!</v>
      </c>
      <c r="AT33" s="36" t="e">
        <f t="shared" si="34"/>
        <v>#REF!</v>
      </c>
      <c r="AU33" s="36" t="e">
        <f t="shared" si="35"/>
        <v>#REF!</v>
      </c>
      <c r="AV33" s="36" t="e">
        <f t="shared" si="36"/>
        <v>#REF!</v>
      </c>
      <c r="AW33" s="36" t="e">
        <f t="shared" si="37"/>
        <v>#REF!</v>
      </c>
      <c r="AX33" s="36" t="e">
        <f t="shared" si="38"/>
        <v>#REF!</v>
      </c>
      <c r="AY33" s="36" t="e">
        <f t="shared" si="39"/>
        <v>#REF!</v>
      </c>
      <c r="AZ33" s="36" t="e">
        <f t="shared" si="40"/>
        <v>#REF!</v>
      </c>
      <c r="BA33" s="36" t="e">
        <f t="shared" si="41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22"/>
        <v>#REF!</v>
      </c>
      <c r="AG34" s="36" t="e">
        <f t="shared" si="23"/>
        <v>#REF!</v>
      </c>
      <c r="AH34" s="36" t="e">
        <f t="shared" si="24"/>
        <v>#REF!</v>
      </c>
      <c r="AI34" s="36" t="e">
        <f t="shared" si="25"/>
        <v>#REF!</v>
      </c>
      <c r="AJ34" s="36" t="e">
        <f t="shared" si="26"/>
        <v>#REF!</v>
      </c>
      <c r="AK34" s="36" t="e">
        <f t="shared" si="27"/>
        <v>#REF!</v>
      </c>
      <c r="AL34" s="36" t="e">
        <f t="shared" si="28"/>
        <v>#REF!</v>
      </c>
      <c r="AM34" s="36" t="e">
        <f t="shared" si="29"/>
        <v>#REF!</v>
      </c>
      <c r="AN34" s="36" t="e">
        <f t="shared" si="30"/>
        <v>#REF!</v>
      </c>
      <c r="AO34" s="36" t="e">
        <f t="shared" si="31"/>
        <v>#REF!</v>
      </c>
      <c r="AQ34" s="38"/>
      <c r="AR34" s="36" t="e">
        <f t="shared" si="32"/>
        <v>#REF!</v>
      </c>
      <c r="AS34" s="36" t="e">
        <f t="shared" si="33"/>
        <v>#REF!</v>
      </c>
      <c r="AT34" s="36" t="e">
        <f t="shared" si="34"/>
        <v>#REF!</v>
      </c>
      <c r="AU34" s="36" t="e">
        <f t="shared" si="35"/>
        <v>#REF!</v>
      </c>
      <c r="AV34" s="36" t="e">
        <f t="shared" si="36"/>
        <v>#REF!</v>
      </c>
      <c r="AW34" s="36" t="e">
        <f t="shared" si="37"/>
        <v>#REF!</v>
      </c>
      <c r="AX34" s="36" t="e">
        <f t="shared" si="38"/>
        <v>#REF!</v>
      </c>
      <c r="AY34" s="36" t="e">
        <f t="shared" si="39"/>
        <v>#REF!</v>
      </c>
      <c r="AZ34" s="36" t="e">
        <f t="shared" si="40"/>
        <v>#REF!</v>
      </c>
      <c r="BA34" s="36" t="e">
        <f t="shared" si="41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Q35" s="38"/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F37" s="36" t="e">
        <f t="shared" ref="AF37:AF45" si="42">AF$10*$AC38</f>
        <v>#REF!</v>
      </c>
      <c r="AG37" s="36" t="e">
        <f t="shared" ref="AG37:AG45" si="43">AG$10*$AC38</f>
        <v>#REF!</v>
      </c>
      <c r="AH37" s="36" t="e">
        <f t="shared" ref="AH37:AH45" si="44">AH$10*$AC38</f>
        <v>#REF!</v>
      </c>
      <c r="AI37" s="36" t="e">
        <f t="shared" ref="AI37:AI45" si="45">AI$10*$AC38</f>
        <v>#REF!</v>
      </c>
      <c r="AJ37" s="36" t="e">
        <f t="shared" ref="AJ37:AJ45" si="46">AJ$10*$AC38</f>
        <v>#REF!</v>
      </c>
      <c r="AK37" s="36" t="e">
        <f t="shared" ref="AK37:AK45" si="47">AK$10*$AC38</f>
        <v>#REF!</v>
      </c>
      <c r="AL37" s="36" t="e">
        <f t="shared" ref="AL37:AL45" si="48">AL$10*$AC38</f>
        <v>#REF!</v>
      </c>
      <c r="AM37" s="36" t="e">
        <f t="shared" ref="AM37:AM45" si="49">AM$10*$AC38</f>
        <v>#REF!</v>
      </c>
      <c r="AN37" s="36" t="e">
        <f t="shared" ref="AN37:AN45" si="50">AN$10*$AC38</f>
        <v>#REF!</v>
      </c>
      <c r="AO37" s="36" t="e">
        <f t="shared" ref="AO37:AO45" si="51">AO$10*$AC38</f>
        <v>#REF!</v>
      </c>
      <c r="AQ37" s="38"/>
      <c r="AR37" s="36" t="e">
        <f t="shared" ref="AR37:AR45" si="52">AR$10*$AC38</f>
        <v>#REF!</v>
      </c>
      <c r="AS37" s="36" t="e">
        <f t="shared" ref="AS37:AS45" si="53">AS$10*$AC38</f>
        <v>#REF!</v>
      </c>
      <c r="AT37" s="36" t="e">
        <f t="shared" ref="AT37:AT45" si="54">AT$10*$AC38</f>
        <v>#REF!</v>
      </c>
      <c r="AU37" s="36" t="e">
        <f t="shared" ref="AU37:AU45" si="55">AU$10*$AC38</f>
        <v>#REF!</v>
      </c>
      <c r="AV37" s="36" t="e">
        <f t="shared" ref="AV37:AV45" si="56">AV$10*$AC38</f>
        <v>#REF!</v>
      </c>
      <c r="AW37" s="36" t="e">
        <f t="shared" ref="AW37:AW45" si="57">AW$10*$AC38</f>
        <v>#REF!</v>
      </c>
      <c r="AX37" s="36" t="e">
        <f t="shared" ref="AX37:AX45" si="58">AX$10*$AC38</f>
        <v>#REF!</v>
      </c>
      <c r="AY37" s="36" t="e">
        <f t="shared" ref="AY37:AY45" si="59">AY$10*$AC38</f>
        <v>#REF!</v>
      </c>
      <c r="AZ37" s="36" t="e">
        <f t="shared" ref="AZ37:AZ45" si="60">AZ$10*$AC38</f>
        <v>#REF!</v>
      </c>
      <c r="BA37" s="36" t="e">
        <f t="shared" ref="BA37:BA45" si="61">BA$10*$AC38</f>
        <v>#REF!</v>
      </c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si="42"/>
        <v>#REF!</v>
      </c>
      <c r="AG38" s="36" t="e">
        <f t="shared" si="43"/>
        <v>#REF!</v>
      </c>
      <c r="AH38" s="36" t="e">
        <f t="shared" si="44"/>
        <v>#REF!</v>
      </c>
      <c r="AI38" s="36" t="e">
        <f t="shared" si="45"/>
        <v>#REF!</v>
      </c>
      <c r="AJ38" s="36" t="e">
        <f t="shared" si="46"/>
        <v>#REF!</v>
      </c>
      <c r="AK38" s="36" t="e">
        <f t="shared" si="47"/>
        <v>#REF!</v>
      </c>
      <c r="AL38" s="36" t="e">
        <f t="shared" si="48"/>
        <v>#REF!</v>
      </c>
      <c r="AM38" s="36" t="e">
        <f t="shared" si="49"/>
        <v>#REF!</v>
      </c>
      <c r="AN38" s="36" t="e">
        <f t="shared" si="50"/>
        <v>#REF!</v>
      </c>
      <c r="AO38" s="36" t="e">
        <f t="shared" si="51"/>
        <v>#REF!</v>
      </c>
      <c r="AQ38" s="38"/>
      <c r="AR38" s="36" t="e">
        <f t="shared" si="52"/>
        <v>#REF!</v>
      </c>
      <c r="AS38" s="36" t="e">
        <f t="shared" si="53"/>
        <v>#REF!</v>
      </c>
      <c r="AT38" s="36" t="e">
        <f t="shared" si="54"/>
        <v>#REF!</v>
      </c>
      <c r="AU38" s="36" t="e">
        <f t="shared" si="55"/>
        <v>#REF!</v>
      </c>
      <c r="AV38" s="36" t="e">
        <f t="shared" si="56"/>
        <v>#REF!</v>
      </c>
      <c r="AW38" s="36" t="e">
        <f t="shared" si="57"/>
        <v>#REF!</v>
      </c>
      <c r="AX38" s="36" t="e">
        <f t="shared" si="58"/>
        <v>#REF!</v>
      </c>
      <c r="AY38" s="36" t="e">
        <f t="shared" si="59"/>
        <v>#REF!</v>
      </c>
      <c r="AZ38" s="36" t="e">
        <f t="shared" si="60"/>
        <v>#REF!</v>
      </c>
      <c r="BA38" s="36" t="e">
        <f t="shared" si="61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42"/>
        <v>#REF!</v>
      </c>
      <c r="AG39" s="36" t="e">
        <f t="shared" si="43"/>
        <v>#REF!</v>
      </c>
      <c r="AH39" s="36" t="e">
        <f t="shared" si="44"/>
        <v>#REF!</v>
      </c>
      <c r="AI39" s="36" t="e">
        <f t="shared" si="45"/>
        <v>#REF!</v>
      </c>
      <c r="AJ39" s="36" t="e">
        <f t="shared" si="46"/>
        <v>#REF!</v>
      </c>
      <c r="AK39" s="36" t="e">
        <f t="shared" si="47"/>
        <v>#REF!</v>
      </c>
      <c r="AL39" s="36" t="e">
        <f t="shared" si="48"/>
        <v>#REF!</v>
      </c>
      <c r="AM39" s="36" t="e">
        <f t="shared" si="49"/>
        <v>#REF!</v>
      </c>
      <c r="AN39" s="36" t="e">
        <f t="shared" si="50"/>
        <v>#REF!</v>
      </c>
      <c r="AO39" s="36" t="e">
        <f t="shared" si="51"/>
        <v>#REF!</v>
      </c>
      <c r="AQ39" s="38"/>
      <c r="AR39" s="36" t="e">
        <f t="shared" si="52"/>
        <v>#REF!</v>
      </c>
      <c r="AS39" s="36" t="e">
        <f t="shared" si="53"/>
        <v>#REF!</v>
      </c>
      <c r="AT39" s="36" t="e">
        <f t="shared" si="54"/>
        <v>#REF!</v>
      </c>
      <c r="AU39" s="36" t="e">
        <f t="shared" si="55"/>
        <v>#REF!</v>
      </c>
      <c r="AV39" s="36" t="e">
        <f t="shared" si="56"/>
        <v>#REF!</v>
      </c>
      <c r="AW39" s="36" t="e">
        <f t="shared" si="57"/>
        <v>#REF!</v>
      </c>
      <c r="AX39" s="36" t="e">
        <f t="shared" si="58"/>
        <v>#REF!</v>
      </c>
      <c r="AY39" s="36" t="e">
        <f t="shared" si="59"/>
        <v>#REF!</v>
      </c>
      <c r="AZ39" s="36" t="e">
        <f t="shared" si="60"/>
        <v>#REF!</v>
      </c>
      <c r="BA39" s="36" t="e">
        <f t="shared" si="61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42"/>
        <v>#REF!</v>
      </c>
      <c r="AG40" s="36" t="e">
        <f t="shared" si="43"/>
        <v>#REF!</v>
      </c>
      <c r="AH40" s="36" t="e">
        <f t="shared" si="44"/>
        <v>#REF!</v>
      </c>
      <c r="AI40" s="36" t="e">
        <f t="shared" si="45"/>
        <v>#REF!</v>
      </c>
      <c r="AJ40" s="36" t="e">
        <f t="shared" si="46"/>
        <v>#REF!</v>
      </c>
      <c r="AK40" s="36" t="e">
        <f t="shared" si="47"/>
        <v>#REF!</v>
      </c>
      <c r="AL40" s="36" t="e">
        <f t="shared" si="48"/>
        <v>#REF!</v>
      </c>
      <c r="AM40" s="36" t="e">
        <f t="shared" si="49"/>
        <v>#REF!</v>
      </c>
      <c r="AN40" s="36" t="e">
        <f t="shared" si="50"/>
        <v>#REF!</v>
      </c>
      <c r="AO40" s="36" t="e">
        <f t="shared" si="51"/>
        <v>#REF!</v>
      </c>
      <c r="AQ40" s="38"/>
      <c r="AR40" s="36" t="e">
        <f t="shared" si="52"/>
        <v>#REF!</v>
      </c>
      <c r="AS40" s="36" t="e">
        <f t="shared" si="53"/>
        <v>#REF!</v>
      </c>
      <c r="AT40" s="36" t="e">
        <f t="shared" si="54"/>
        <v>#REF!</v>
      </c>
      <c r="AU40" s="36" t="e">
        <f t="shared" si="55"/>
        <v>#REF!</v>
      </c>
      <c r="AV40" s="36" t="e">
        <f t="shared" si="56"/>
        <v>#REF!</v>
      </c>
      <c r="AW40" s="36" t="e">
        <f t="shared" si="57"/>
        <v>#REF!</v>
      </c>
      <c r="AX40" s="36" t="e">
        <f t="shared" si="58"/>
        <v>#REF!</v>
      </c>
      <c r="AY40" s="36" t="e">
        <f t="shared" si="59"/>
        <v>#REF!</v>
      </c>
      <c r="AZ40" s="36" t="e">
        <f t="shared" si="60"/>
        <v>#REF!</v>
      </c>
      <c r="BA40" s="36" t="e">
        <f t="shared" si="61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42"/>
        <v>#REF!</v>
      </c>
      <c r="AG41" s="36" t="e">
        <f t="shared" si="43"/>
        <v>#REF!</v>
      </c>
      <c r="AH41" s="36" t="e">
        <f t="shared" si="44"/>
        <v>#REF!</v>
      </c>
      <c r="AI41" s="36" t="e">
        <f t="shared" si="45"/>
        <v>#REF!</v>
      </c>
      <c r="AJ41" s="36" t="e">
        <f t="shared" si="46"/>
        <v>#REF!</v>
      </c>
      <c r="AK41" s="36" t="e">
        <f t="shared" si="47"/>
        <v>#REF!</v>
      </c>
      <c r="AL41" s="36" t="e">
        <f t="shared" si="48"/>
        <v>#REF!</v>
      </c>
      <c r="AM41" s="36" t="e">
        <f t="shared" si="49"/>
        <v>#REF!</v>
      </c>
      <c r="AN41" s="36" t="e">
        <f t="shared" si="50"/>
        <v>#REF!</v>
      </c>
      <c r="AO41" s="36" t="e">
        <f t="shared" si="51"/>
        <v>#REF!</v>
      </c>
      <c r="AQ41" s="38"/>
      <c r="AR41" s="36" t="e">
        <f t="shared" si="52"/>
        <v>#REF!</v>
      </c>
      <c r="AS41" s="36" t="e">
        <f t="shared" si="53"/>
        <v>#REF!</v>
      </c>
      <c r="AT41" s="36" t="e">
        <f t="shared" si="54"/>
        <v>#REF!</v>
      </c>
      <c r="AU41" s="36" t="e">
        <f t="shared" si="55"/>
        <v>#REF!</v>
      </c>
      <c r="AV41" s="36" t="e">
        <f t="shared" si="56"/>
        <v>#REF!</v>
      </c>
      <c r="AW41" s="36" t="e">
        <f t="shared" si="57"/>
        <v>#REF!</v>
      </c>
      <c r="AX41" s="36" t="e">
        <f t="shared" si="58"/>
        <v>#REF!</v>
      </c>
      <c r="AY41" s="36" t="e">
        <f t="shared" si="59"/>
        <v>#REF!</v>
      </c>
      <c r="AZ41" s="36" t="e">
        <f t="shared" si="60"/>
        <v>#REF!</v>
      </c>
      <c r="BA41" s="36" t="e">
        <f t="shared" si="61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42"/>
        <v>#REF!</v>
      </c>
      <c r="AG42" s="36" t="e">
        <f t="shared" si="43"/>
        <v>#REF!</v>
      </c>
      <c r="AH42" s="36" t="e">
        <f t="shared" si="44"/>
        <v>#REF!</v>
      </c>
      <c r="AI42" s="36" t="e">
        <f t="shared" si="45"/>
        <v>#REF!</v>
      </c>
      <c r="AJ42" s="36" t="e">
        <f t="shared" si="46"/>
        <v>#REF!</v>
      </c>
      <c r="AK42" s="36" t="e">
        <f t="shared" si="47"/>
        <v>#REF!</v>
      </c>
      <c r="AL42" s="36" t="e">
        <f t="shared" si="48"/>
        <v>#REF!</v>
      </c>
      <c r="AM42" s="36" t="e">
        <f t="shared" si="49"/>
        <v>#REF!</v>
      </c>
      <c r="AN42" s="36" t="e">
        <f t="shared" si="50"/>
        <v>#REF!</v>
      </c>
      <c r="AO42" s="36" t="e">
        <f t="shared" si="51"/>
        <v>#REF!</v>
      </c>
      <c r="AQ42" s="38"/>
      <c r="AR42" s="36" t="e">
        <f t="shared" si="52"/>
        <v>#REF!</v>
      </c>
      <c r="AS42" s="36" t="e">
        <f t="shared" si="53"/>
        <v>#REF!</v>
      </c>
      <c r="AT42" s="36" t="e">
        <f t="shared" si="54"/>
        <v>#REF!</v>
      </c>
      <c r="AU42" s="36" t="e">
        <f t="shared" si="55"/>
        <v>#REF!</v>
      </c>
      <c r="AV42" s="36" t="e">
        <f t="shared" si="56"/>
        <v>#REF!</v>
      </c>
      <c r="AW42" s="36" t="e">
        <f t="shared" si="57"/>
        <v>#REF!</v>
      </c>
      <c r="AX42" s="36" t="e">
        <f t="shared" si="58"/>
        <v>#REF!</v>
      </c>
      <c r="AY42" s="36" t="e">
        <f t="shared" si="59"/>
        <v>#REF!</v>
      </c>
      <c r="AZ42" s="36" t="e">
        <f t="shared" si="60"/>
        <v>#REF!</v>
      </c>
      <c r="BA42" s="36" t="e">
        <f t="shared" si="61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42"/>
        <v>#REF!</v>
      </c>
      <c r="AG43" s="36" t="e">
        <f t="shared" si="43"/>
        <v>#REF!</v>
      </c>
      <c r="AH43" s="36" t="e">
        <f t="shared" si="44"/>
        <v>#REF!</v>
      </c>
      <c r="AI43" s="36" t="e">
        <f t="shared" si="45"/>
        <v>#REF!</v>
      </c>
      <c r="AJ43" s="36" t="e">
        <f t="shared" si="46"/>
        <v>#REF!</v>
      </c>
      <c r="AK43" s="36" t="e">
        <f t="shared" si="47"/>
        <v>#REF!</v>
      </c>
      <c r="AL43" s="36" t="e">
        <f t="shared" si="48"/>
        <v>#REF!</v>
      </c>
      <c r="AM43" s="36" t="e">
        <f t="shared" si="49"/>
        <v>#REF!</v>
      </c>
      <c r="AN43" s="36" t="e">
        <f t="shared" si="50"/>
        <v>#REF!</v>
      </c>
      <c r="AO43" s="36" t="e">
        <f t="shared" si="51"/>
        <v>#REF!</v>
      </c>
      <c r="AQ43" s="38"/>
      <c r="AR43" s="36" t="e">
        <f t="shared" si="52"/>
        <v>#REF!</v>
      </c>
      <c r="AS43" s="36" t="e">
        <f t="shared" si="53"/>
        <v>#REF!</v>
      </c>
      <c r="AT43" s="36" t="e">
        <f t="shared" si="54"/>
        <v>#REF!</v>
      </c>
      <c r="AU43" s="36" t="e">
        <f t="shared" si="55"/>
        <v>#REF!</v>
      </c>
      <c r="AV43" s="36" t="e">
        <f t="shared" si="56"/>
        <v>#REF!</v>
      </c>
      <c r="AW43" s="36" t="e">
        <f t="shared" si="57"/>
        <v>#REF!</v>
      </c>
      <c r="AX43" s="36" t="e">
        <f t="shared" si="58"/>
        <v>#REF!</v>
      </c>
      <c r="AY43" s="36" t="e">
        <f t="shared" si="59"/>
        <v>#REF!</v>
      </c>
      <c r="AZ43" s="36" t="e">
        <f t="shared" si="60"/>
        <v>#REF!</v>
      </c>
      <c r="BA43" s="36" t="e">
        <f t="shared" si="61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42"/>
        <v>#REF!</v>
      </c>
      <c r="AG44" s="36" t="e">
        <f t="shared" si="43"/>
        <v>#REF!</v>
      </c>
      <c r="AH44" s="36" t="e">
        <f t="shared" si="44"/>
        <v>#REF!</v>
      </c>
      <c r="AI44" s="36" t="e">
        <f t="shared" si="45"/>
        <v>#REF!</v>
      </c>
      <c r="AJ44" s="36" t="e">
        <f t="shared" si="46"/>
        <v>#REF!</v>
      </c>
      <c r="AK44" s="36" t="e">
        <f t="shared" si="47"/>
        <v>#REF!</v>
      </c>
      <c r="AL44" s="36" t="e">
        <f t="shared" si="48"/>
        <v>#REF!</v>
      </c>
      <c r="AM44" s="36" t="e">
        <f t="shared" si="49"/>
        <v>#REF!</v>
      </c>
      <c r="AN44" s="36" t="e">
        <f t="shared" si="50"/>
        <v>#REF!</v>
      </c>
      <c r="AO44" s="36" t="e">
        <f t="shared" si="51"/>
        <v>#REF!</v>
      </c>
      <c r="AQ44" s="38"/>
      <c r="AR44" s="36" t="e">
        <f t="shared" si="52"/>
        <v>#REF!</v>
      </c>
      <c r="AS44" s="36" t="e">
        <f t="shared" si="53"/>
        <v>#REF!</v>
      </c>
      <c r="AT44" s="36" t="e">
        <f t="shared" si="54"/>
        <v>#REF!</v>
      </c>
      <c r="AU44" s="36" t="e">
        <f t="shared" si="55"/>
        <v>#REF!</v>
      </c>
      <c r="AV44" s="36" t="e">
        <f t="shared" si="56"/>
        <v>#REF!</v>
      </c>
      <c r="AW44" s="36" t="e">
        <f t="shared" si="57"/>
        <v>#REF!</v>
      </c>
      <c r="AX44" s="36" t="e">
        <f t="shared" si="58"/>
        <v>#REF!</v>
      </c>
      <c r="AY44" s="36" t="e">
        <f t="shared" si="59"/>
        <v>#REF!</v>
      </c>
      <c r="AZ44" s="36" t="e">
        <f t="shared" si="60"/>
        <v>#REF!</v>
      </c>
      <c r="BA44" s="36" t="e">
        <f t="shared" si="61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42"/>
        <v>#REF!</v>
      </c>
      <c r="AG45" s="36" t="e">
        <f t="shared" si="43"/>
        <v>#REF!</v>
      </c>
      <c r="AH45" s="36" t="e">
        <f t="shared" si="44"/>
        <v>#REF!</v>
      </c>
      <c r="AI45" s="36" t="e">
        <f t="shared" si="45"/>
        <v>#REF!</v>
      </c>
      <c r="AJ45" s="36" t="e">
        <f t="shared" si="46"/>
        <v>#REF!</v>
      </c>
      <c r="AK45" s="36" t="e">
        <f t="shared" si="47"/>
        <v>#REF!</v>
      </c>
      <c r="AL45" s="36" t="e">
        <f t="shared" si="48"/>
        <v>#REF!</v>
      </c>
      <c r="AM45" s="36" t="e">
        <f t="shared" si="49"/>
        <v>#REF!</v>
      </c>
      <c r="AN45" s="36" t="e">
        <f t="shared" si="50"/>
        <v>#REF!</v>
      </c>
      <c r="AO45" s="36" t="e">
        <f t="shared" si="51"/>
        <v>#REF!</v>
      </c>
      <c r="AQ45" s="38"/>
      <c r="AR45" s="36" t="e">
        <f t="shared" si="52"/>
        <v>#REF!</v>
      </c>
      <c r="AS45" s="36" t="e">
        <f t="shared" si="53"/>
        <v>#REF!</v>
      </c>
      <c r="AT45" s="36" t="e">
        <f t="shared" si="54"/>
        <v>#REF!</v>
      </c>
      <c r="AU45" s="36" t="e">
        <f t="shared" si="55"/>
        <v>#REF!</v>
      </c>
      <c r="AV45" s="36" t="e">
        <f t="shared" si="56"/>
        <v>#REF!</v>
      </c>
      <c r="AW45" s="36" t="e">
        <f t="shared" si="57"/>
        <v>#REF!</v>
      </c>
      <c r="AX45" s="36" t="e">
        <f t="shared" si="58"/>
        <v>#REF!</v>
      </c>
      <c r="AY45" s="36" t="e">
        <f t="shared" si="59"/>
        <v>#REF!</v>
      </c>
      <c r="AZ45" s="36" t="e">
        <f t="shared" si="60"/>
        <v>#REF!</v>
      </c>
      <c r="BA45" s="36" t="e">
        <f t="shared" si="61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Q46" s="38"/>
    </row>
    <row r="47" spans="1:53" hidden="1">
      <c r="AQ47" s="38"/>
    </row>
    <row r="48" spans="1:53" ht="63.75" hidden="1"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6" t="s">
        <v>43</v>
      </c>
      <c r="AB49" s="67"/>
      <c r="AC49" s="68"/>
      <c r="AD49" s="68"/>
      <c r="AE49" s="68"/>
      <c r="AG49" s="70"/>
      <c r="AQ49" s="38"/>
    </row>
    <row r="50" spans="27:53" hidden="1">
      <c r="AA50" s="69" t="s">
        <v>44</v>
      </c>
      <c r="AB50" s="35"/>
      <c r="AF50" s="70" t="e">
        <f t="shared" ref="AF50:AO50" si="62">AF15+AF17+AF18</f>
        <v>#REF!</v>
      </c>
      <c r="AG50" s="70" t="e">
        <f t="shared" si="62"/>
        <v>#REF!</v>
      </c>
      <c r="AH50" s="70" t="e">
        <f t="shared" si="62"/>
        <v>#REF!</v>
      </c>
      <c r="AI50" s="70" t="e">
        <f t="shared" si="62"/>
        <v>#REF!</v>
      </c>
      <c r="AJ50" s="70" t="e">
        <f t="shared" si="62"/>
        <v>#REF!</v>
      </c>
      <c r="AK50" s="70" t="e">
        <f t="shared" si="62"/>
        <v>#REF!</v>
      </c>
      <c r="AL50" s="70" t="e">
        <f t="shared" si="62"/>
        <v>#REF!</v>
      </c>
      <c r="AM50" s="70" t="e">
        <f t="shared" si="62"/>
        <v>#REF!</v>
      </c>
      <c r="AN50" s="70" t="e">
        <f t="shared" si="62"/>
        <v>#REF!</v>
      </c>
      <c r="AO50" s="70" t="e">
        <f t="shared" si="62"/>
        <v>#REF!</v>
      </c>
      <c r="AP50" s="70"/>
      <c r="AQ50" s="70"/>
      <c r="AR50" s="70" t="e">
        <f t="shared" ref="AR50:BA50" si="63">AR15+AR17+AR18</f>
        <v>#REF!</v>
      </c>
      <c r="AS50" s="70" t="e">
        <f t="shared" si="63"/>
        <v>#REF!</v>
      </c>
      <c r="AT50" s="70" t="e">
        <f t="shared" si="63"/>
        <v>#REF!</v>
      </c>
      <c r="AU50" s="70" t="e">
        <f t="shared" si="63"/>
        <v>#REF!</v>
      </c>
      <c r="AV50" s="70" t="e">
        <f t="shared" si="63"/>
        <v>#REF!</v>
      </c>
      <c r="AW50" s="70" t="e">
        <f t="shared" si="63"/>
        <v>#REF!</v>
      </c>
      <c r="AX50" s="70" t="e">
        <f t="shared" si="63"/>
        <v>#REF!</v>
      </c>
      <c r="AY50" s="70" t="e">
        <f t="shared" si="63"/>
        <v>#REF!</v>
      </c>
      <c r="AZ50" s="70" t="e">
        <f t="shared" si="63"/>
        <v>#REF!</v>
      </c>
      <c r="BA50" s="70" t="e">
        <f t="shared" si="63"/>
        <v>#REF!</v>
      </c>
    </row>
    <row r="51" spans="27:53" hidden="1">
      <c r="AA51" s="71" t="s">
        <v>29</v>
      </c>
      <c r="AB51" s="35"/>
      <c r="AF51" s="70" t="e">
        <f t="shared" ref="AF51:AO51" si="64">AF26+AF28+AF29</f>
        <v>#REF!</v>
      </c>
      <c r="AG51" s="70" t="e">
        <f t="shared" si="64"/>
        <v>#REF!</v>
      </c>
      <c r="AH51" s="70" t="e">
        <f t="shared" si="64"/>
        <v>#REF!</v>
      </c>
      <c r="AI51" s="70" t="e">
        <f t="shared" si="64"/>
        <v>#REF!</v>
      </c>
      <c r="AJ51" s="70" t="e">
        <f t="shared" si="64"/>
        <v>#REF!</v>
      </c>
      <c r="AK51" s="70" t="e">
        <f t="shared" si="64"/>
        <v>#REF!</v>
      </c>
      <c r="AL51" s="70" t="e">
        <f t="shared" si="64"/>
        <v>#REF!</v>
      </c>
      <c r="AM51" s="70" t="e">
        <f t="shared" si="64"/>
        <v>#REF!</v>
      </c>
      <c r="AN51" s="70" t="e">
        <f t="shared" si="64"/>
        <v>#REF!</v>
      </c>
      <c r="AO51" s="70" t="e">
        <f t="shared" si="64"/>
        <v>#REF!</v>
      </c>
      <c r="AP51" s="70"/>
      <c r="AQ51" s="70"/>
      <c r="AR51" s="70" t="e">
        <f t="shared" ref="AR51:BA51" si="65">AR26+AR28+AR29</f>
        <v>#REF!</v>
      </c>
      <c r="AS51" s="70" t="e">
        <f t="shared" si="65"/>
        <v>#REF!</v>
      </c>
      <c r="AT51" s="70" t="e">
        <f t="shared" si="65"/>
        <v>#REF!</v>
      </c>
      <c r="AU51" s="70" t="e">
        <f t="shared" si="65"/>
        <v>#REF!</v>
      </c>
      <c r="AV51" s="70" t="e">
        <f t="shared" si="65"/>
        <v>#REF!</v>
      </c>
      <c r="AW51" s="70" t="e">
        <f t="shared" si="65"/>
        <v>#REF!</v>
      </c>
      <c r="AX51" s="70" t="e">
        <f t="shared" si="65"/>
        <v>#REF!</v>
      </c>
      <c r="AY51" s="70" t="e">
        <f t="shared" si="65"/>
        <v>#REF!</v>
      </c>
      <c r="AZ51" s="70" t="e">
        <f t="shared" si="65"/>
        <v>#REF!</v>
      </c>
      <c r="BA51" s="70" t="e">
        <f t="shared" si="65"/>
        <v>#REF!</v>
      </c>
    </row>
    <row r="52" spans="27:53" hidden="1">
      <c r="AA52" s="71" t="s">
        <v>41</v>
      </c>
      <c r="AB52" s="35"/>
      <c r="AF52" s="70" t="e">
        <f t="shared" ref="AF52:AO52" si="66">AF37+AF39+AF40</f>
        <v>#REF!</v>
      </c>
      <c r="AG52" s="70" t="e">
        <f t="shared" si="66"/>
        <v>#REF!</v>
      </c>
      <c r="AH52" s="70" t="e">
        <f t="shared" si="66"/>
        <v>#REF!</v>
      </c>
      <c r="AI52" s="70" t="e">
        <f t="shared" si="66"/>
        <v>#REF!</v>
      </c>
      <c r="AJ52" s="70" t="e">
        <f t="shared" si="66"/>
        <v>#REF!</v>
      </c>
      <c r="AK52" s="70" t="e">
        <f t="shared" si="66"/>
        <v>#REF!</v>
      </c>
      <c r="AL52" s="70" t="e">
        <f t="shared" si="66"/>
        <v>#REF!</v>
      </c>
      <c r="AM52" s="70" t="e">
        <f t="shared" si="66"/>
        <v>#REF!</v>
      </c>
      <c r="AN52" s="70" t="e">
        <f t="shared" si="66"/>
        <v>#REF!</v>
      </c>
      <c r="AO52" s="70" t="e">
        <f t="shared" si="66"/>
        <v>#REF!</v>
      </c>
      <c r="AP52" s="70"/>
      <c r="AQ52" s="70"/>
      <c r="AR52" s="70" t="e">
        <f t="shared" ref="AR52:BA52" si="67">AR37+AR39+AR40</f>
        <v>#REF!</v>
      </c>
      <c r="AS52" s="70" t="e">
        <f t="shared" si="67"/>
        <v>#REF!</v>
      </c>
      <c r="AT52" s="70" t="e">
        <f t="shared" si="67"/>
        <v>#REF!</v>
      </c>
      <c r="AU52" s="70" t="e">
        <f t="shared" si="67"/>
        <v>#REF!</v>
      </c>
      <c r="AV52" s="70" t="e">
        <f t="shared" si="67"/>
        <v>#REF!</v>
      </c>
      <c r="AW52" s="70" t="e">
        <f t="shared" si="67"/>
        <v>#REF!</v>
      </c>
      <c r="AX52" s="70" t="e">
        <f t="shared" si="67"/>
        <v>#REF!</v>
      </c>
      <c r="AY52" s="70" t="e">
        <f t="shared" si="67"/>
        <v>#REF!</v>
      </c>
      <c r="AZ52" s="70" t="e">
        <f t="shared" si="67"/>
        <v>#REF!</v>
      </c>
      <c r="BA52" s="70" t="e">
        <f t="shared" si="67"/>
        <v>#REF!</v>
      </c>
    </row>
    <row r="53" spans="27:53" hidden="1">
      <c r="AA53" s="71" t="s">
        <v>42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69" t="s">
        <v>45</v>
      </c>
      <c r="AB54" s="35"/>
      <c r="AF54" s="70" t="e">
        <f t="shared" ref="AF54:AO54" si="68">AF15+AF17+AF19+AF21</f>
        <v>#REF!</v>
      </c>
      <c r="AG54" s="70" t="e">
        <f t="shared" si="68"/>
        <v>#REF!</v>
      </c>
      <c r="AH54" s="70" t="e">
        <f t="shared" si="68"/>
        <v>#REF!</v>
      </c>
      <c r="AI54" s="70" t="e">
        <f t="shared" si="68"/>
        <v>#REF!</v>
      </c>
      <c r="AJ54" s="70" t="e">
        <f t="shared" si="68"/>
        <v>#REF!</v>
      </c>
      <c r="AK54" s="70" t="e">
        <f t="shared" si="68"/>
        <v>#REF!</v>
      </c>
      <c r="AL54" s="70" t="e">
        <f t="shared" si="68"/>
        <v>#REF!</v>
      </c>
      <c r="AM54" s="70" t="e">
        <f t="shared" si="68"/>
        <v>#REF!</v>
      </c>
      <c r="AN54" s="70" t="e">
        <f t="shared" si="68"/>
        <v>#REF!</v>
      </c>
      <c r="AO54" s="70" t="e">
        <f t="shared" si="68"/>
        <v>#REF!</v>
      </c>
      <c r="AP54" s="70"/>
      <c r="AQ54" s="70"/>
      <c r="AR54" s="70" t="e">
        <f t="shared" ref="AR54:BA54" si="69">AR15+AR17+AR19+AR21</f>
        <v>#REF!</v>
      </c>
      <c r="AS54" s="70" t="e">
        <f t="shared" si="69"/>
        <v>#REF!</v>
      </c>
      <c r="AT54" s="70" t="e">
        <f t="shared" si="69"/>
        <v>#REF!</v>
      </c>
      <c r="AU54" s="70" t="e">
        <f t="shared" si="69"/>
        <v>#REF!</v>
      </c>
      <c r="AV54" s="70" t="e">
        <f t="shared" si="69"/>
        <v>#REF!</v>
      </c>
      <c r="AW54" s="70" t="e">
        <f t="shared" si="69"/>
        <v>#REF!</v>
      </c>
      <c r="AX54" s="70" t="e">
        <f t="shared" si="69"/>
        <v>#REF!</v>
      </c>
      <c r="AY54" s="70" t="e">
        <f t="shared" si="69"/>
        <v>#REF!</v>
      </c>
      <c r="AZ54" s="70" t="e">
        <f t="shared" si="69"/>
        <v>#REF!</v>
      </c>
      <c r="BA54" s="70" t="e">
        <f t="shared" si="69"/>
        <v>#REF!</v>
      </c>
    </row>
    <row r="55" spans="27:53" hidden="1">
      <c r="AA55" s="71" t="s">
        <v>29</v>
      </c>
      <c r="AB55" s="35"/>
      <c r="AF55" s="70" t="e">
        <f t="shared" ref="AF55:AO55" si="70">AF26+AF28+AF30+AF32</f>
        <v>#REF!</v>
      </c>
      <c r="AG55" s="70" t="e">
        <f t="shared" si="70"/>
        <v>#REF!</v>
      </c>
      <c r="AH55" s="70" t="e">
        <f t="shared" si="70"/>
        <v>#REF!</v>
      </c>
      <c r="AI55" s="70" t="e">
        <f t="shared" si="70"/>
        <v>#REF!</v>
      </c>
      <c r="AJ55" s="70" t="e">
        <f t="shared" si="70"/>
        <v>#REF!</v>
      </c>
      <c r="AK55" s="70" t="e">
        <f t="shared" si="70"/>
        <v>#REF!</v>
      </c>
      <c r="AL55" s="70" t="e">
        <f t="shared" si="70"/>
        <v>#REF!</v>
      </c>
      <c r="AM55" s="70" t="e">
        <f t="shared" si="70"/>
        <v>#REF!</v>
      </c>
      <c r="AN55" s="70" t="e">
        <f t="shared" si="70"/>
        <v>#REF!</v>
      </c>
      <c r="AO55" s="70" t="e">
        <f t="shared" si="70"/>
        <v>#REF!</v>
      </c>
      <c r="AP55" s="70"/>
      <c r="AQ55" s="70"/>
      <c r="AR55" s="70" t="e">
        <f t="shared" ref="AR55:BA55" si="71">AR26+AR28+AR30+AR32</f>
        <v>#REF!</v>
      </c>
      <c r="AS55" s="70" t="e">
        <f t="shared" si="71"/>
        <v>#REF!</v>
      </c>
      <c r="AT55" s="70" t="e">
        <f t="shared" si="71"/>
        <v>#REF!</v>
      </c>
      <c r="AU55" s="70" t="e">
        <f t="shared" si="71"/>
        <v>#REF!</v>
      </c>
      <c r="AV55" s="70" t="e">
        <f t="shared" si="71"/>
        <v>#REF!</v>
      </c>
      <c r="AW55" s="70" t="e">
        <f t="shared" si="71"/>
        <v>#REF!</v>
      </c>
      <c r="AX55" s="70" t="e">
        <f t="shared" si="71"/>
        <v>#REF!</v>
      </c>
      <c r="AY55" s="70" t="e">
        <f t="shared" si="71"/>
        <v>#REF!</v>
      </c>
      <c r="AZ55" s="70" t="e">
        <f t="shared" si="71"/>
        <v>#REF!</v>
      </c>
      <c r="BA55" s="70" t="e">
        <f t="shared" si="71"/>
        <v>#REF!</v>
      </c>
    </row>
    <row r="56" spans="27:53" hidden="1">
      <c r="AA56" s="71" t="s">
        <v>41</v>
      </c>
      <c r="AB56" s="35"/>
      <c r="AF56" s="70" t="e">
        <f t="shared" ref="AF56:AO56" si="72">AF37+AF39+AF41+AF43</f>
        <v>#REF!</v>
      </c>
      <c r="AG56" s="70" t="e">
        <f t="shared" si="72"/>
        <v>#REF!</v>
      </c>
      <c r="AH56" s="70" t="e">
        <f t="shared" si="72"/>
        <v>#REF!</v>
      </c>
      <c r="AI56" s="70" t="e">
        <f t="shared" si="72"/>
        <v>#REF!</v>
      </c>
      <c r="AJ56" s="70" t="e">
        <f t="shared" si="72"/>
        <v>#REF!</v>
      </c>
      <c r="AK56" s="70" t="e">
        <f t="shared" si="72"/>
        <v>#REF!</v>
      </c>
      <c r="AL56" s="70" t="e">
        <f t="shared" si="72"/>
        <v>#REF!</v>
      </c>
      <c r="AM56" s="70" t="e">
        <f t="shared" si="72"/>
        <v>#REF!</v>
      </c>
      <c r="AN56" s="70" t="e">
        <f t="shared" si="72"/>
        <v>#REF!</v>
      </c>
      <c r="AO56" s="70" t="e">
        <f t="shared" si="72"/>
        <v>#REF!</v>
      </c>
      <c r="AP56" s="70"/>
      <c r="AQ56" s="70"/>
      <c r="AR56" s="70" t="e">
        <f t="shared" ref="AR56:BA56" si="73">AR37+AR39+AR41+AR43</f>
        <v>#REF!</v>
      </c>
      <c r="AS56" s="70" t="e">
        <f t="shared" si="73"/>
        <v>#REF!</v>
      </c>
      <c r="AT56" s="70" t="e">
        <f t="shared" si="73"/>
        <v>#REF!</v>
      </c>
      <c r="AU56" s="70" t="e">
        <f t="shared" si="73"/>
        <v>#REF!</v>
      </c>
      <c r="AV56" s="70" t="e">
        <f t="shared" si="73"/>
        <v>#REF!</v>
      </c>
      <c r="AW56" s="70" t="e">
        <f t="shared" si="73"/>
        <v>#REF!</v>
      </c>
      <c r="AX56" s="70" t="e">
        <f t="shared" si="73"/>
        <v>#REF!</v>
      </c>
      <c r="AY56" s="70" t="e">
        <f t="shared" si="73"/>
        <v>#REF!</v>
      </c>
      <c r="AZ56" s="70" t="e">
        <f t="shared" si="73"/>
        <v>#REF!</v>
      </c>
      <c r="BA56" s="70" t="e">
        <f t="shared" si="73"/>
        <v>#REF!</v>
      </c>
    </row>
    <row r="57" spans="27:53" hidden="1">
      <c r="AA57" s="71" t="s">
        <v>42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69" t="s">
        <v>46</v>
      </c>
      <c r="AB58" s="35"/>
      <c r="AF58" s="70" t="e">
        <f t="shared" ref="AF58:AO58" si="74">AF15+AF17+AF19+AF20+AF22</f>
        <v>#REF!</v>
      </c>
      <c r="AG58" s="70" t="e">
        <f t="shared" si="74"/>
        <v>#REF!</v>
      </c>
      <c r="AH58" s="70" t="e">
        <f t="shared" si="74"/>
        <v>#REF!</v>
      </c>
      <c r="AI58" s="70" t="e">
        <f t="shared" si="74"/>
        <v>#REF!</v>
      </c>
      <c r="AJ58" s="70" t="e">
        <f t="shared" si="74"/>
        <v>#REF!</v>
      </c>
      <c r="AK58" s="70" t="e">
        <f t="shared" si="74"/>
        <v>#REF!</v>
      </c>
      <c r="AL58" s="70" t="e">
        <f t="shared" si="74"/>
        <v>#REF!</v>
      </c>
      <c r="AM58" s="70" t="e">
        <f t="shared" si="74"/>
        <v>#REF!</v>
      </c>
      <c r="AN58" s="70" t="e">
        <f t="shared" si="74"/>
        <v>#REF!</v>
      </c>
      <c r="AO58" s="70" t="e">
        <f t="shared" si="74"/>
        <v>#REF!</v>
      </c>
      <c r="AP58" s="70"/>
      <c r="AQ58" s="70"/>
      <c r="AR58" s="70" t="e">
        <f t="shared" ref="AR58:BA58" si="75">AR15+AR17+AR19+AR20+AR22</f>
        <v>#REF!</v>
      </c>
      <c r="AS58" s="70" t="e">
        <f t="shared" si="75"/>
        <v>#REF!</v>
      </c>
      <c r="AT58" s="70" t="e">
        <f t="shared" si="75"/>
        <v>#REF!</v>
      </c>
      <c r="AU58" s="70" t="e">
        <f t="shared" si="75"/>
        <v>#REF!</v>
      </c>
      <c r="AV58" s="70" t="e">
        <f t="shared" si="75"/>
        <v>#REF!</v>
      </c>
      <c r="AW58" s="70" t="e">
        <f t="shared" si="75"/>
        <v>#REF!</v>
      </c>
      <c r="AX58" s="70" t="e">
        <f t="shared" si="75"/>
        <v>#REF!</v>
      </c>
      <c r="AY58" s="70" t="e">
        <f t="shared" si="75"/>
        <v>#REF!</v>
      </c>
      <c r="AZ58" s="70" t="e">
        <f t="shared" si="75"/>
        <v>#REF!</v>
      </c>
      <c r="BA58" s="70" t="e">
        <f t="shared" si="75"/>
        <v>#REF!</v>
      </c>
    </row>
    <row r="59" spans="27:53" hidden="1">
      <c r="AA59" s="71" t="s">
        <v>29</v>
      </c>
      <c r="AB59" s="35"/>
      <c r="AF59" s="70" t="e">
        <f t="shared" ref="AF59:AO59" si="76">AF26+AF28+AF30+AF31+AF33</f>
        <v>#REF!</v>
      </c>
      <c r="AG59" s="70" t="e">
        <f t="shared" si="76"/>
        <v>#REF!</v>
      </c>
      <c r="AH59" s="70" t="e">
        <f t="shared" si="76"/>
        <v>#REF!</v>
      </c>
      <c r="AI59" s="70" t="e">
        <f t="shared" si="76"/>
        <v>#REF!</v>
      </c>
      <c r="AJ59" s="70" t="e">
        <f t="shared" si="76"/>
        <v>#REF!</v>
      </c>
      <c r="AK59" s="70" t="e">
        <f t="shared" si="76"/>
        <v>#REF!</v>
      </c>
      <c r="AL59" s="70" t="e">
        <f t="shared" si="76"/>
        <v>#REF!</v>
      </c>
      <c r="AM59" s="70" t="e">
        <f t="shared" si="76"/>
        <v>#REF!</v>
      </c>
      <c r="AN59" s="70" t="e">
        <f t="shared" si="76"/>
        <v>#REF!</v>
      </c>
      <c r="AO59" s="70" t="e">
        <f t="shared" si="76"/>
        <v>#REF!</v>
      </c>
      <c r="AP59" s="70"/>
      <c r="AQ59" s="70"/>
      <c r="AR59" s="70" t="e">
        <f t="shared" ref="AR59:BA59" si="77">AR26+AR28+AR30+AR31+AR33</f>
        <v>#REF!</v>
      </c>
      <c r="AS59" s="70" t="e">
        <f t="shared" si="77"/>
        <v>#REF!</v>
      </c>
      <c r="AT59" s="70" t="e">
        <f t="shared" si="77"/>
        <v>#REF!</v>
      </c>
      <c r="AU59" s="70" t="e">
        <f t="shared" si="77"/>
        <v>#REF!</v>
      </c>
      <c r="AV59" s="70" t="e">
        <f t="shared" si="77"/>
        <v>#REF!</v>
      </c>
      <c r="AW59" s="70" t="e">
        <f t="shared" si="77"/>
        <v>#REF!</v>
      </c>
      <c r="AX59" s="70" t="e">
        <f t="shared" si="77"/>
        <v>#REF!</v>
      </c>
      <c r="AY59" s="70" t="e">
        <f t="shared" si="77"/>
        <v>#REF!</v>
      </c>
      <c r="AZ59" s="70" t="e">
        <f t="shared" si="77"/>
        <v>#REF!</v>
      </c>
      <c r="BA59" s="70" t="e">
        <f t="shared" si="77"/>
        <v>#REF!</v>
      </c>
    </row>
    <row r="60" spans="27:53" hidden="1">
      <c r="AA60" s="71" t="s">
        <v>41</v>
      </c>
      <c r="AB60" s="35"/>
      <c r="AF60" s="70" t="e">
        <f t="shared" ref="AF60:AO60" si="78">AF37+AF39+AF41+AF42+AF44</f>
        <v>#REF!</v>
      </c>
      <c r="AG60" s="70" t="e">
        <f t="shared" si="78"/>
        <v>#REF!</v>
      </c>
      <c r="AH60" s="70" t="e">
        <f t="shared" si="78"/>
        <v>#REF!</v>
      </c>
      <c r="AI60" s="70" t="e">
        <f t="shared" si="78"/>
        <v>#REF!</v>
      </c>
      <c r="AJ60" s="70" t="e">
        <f t="shared" si="78"/>
        <v>#REF!</v>
      </c>
      <c r="AK60" s="70" t="e">
        <f t="shared" si="78"/>
        <v>#REF!</v>
      </c>
      <c r="AL60" s="70" t="e">
        <f t="shared" si="78"/>
        <v>#REF!</v>
      </c>
      <c r="AM60" s="70" t="e">
        <f t="shared" si="78"/>
        <v>#REF!</v>
      </c>
      <c r="AN60" s="70" t="e">
        <f t="shared" si="78"/>
        <v>#REF!</v>
      </c>
      <c r="AO60" s="70" t="e">
        <f t="shared" si="78"/>
        <v>#REF!</v>
      </c>
      <c r="AP60" s="70"/>
      <c r="AQ60" s="70"/>
      <c r="AR60" s="70" t="e">
        <f t="shared" ref="AR60:BA60" si="79">AR37+AR39+AR41+AR42+AR44</f>
        <v>#REF!</v>
      </c>
      <c r="AS60" s="70" t="e">
        <f t="shared" si="79"/>
        <v>#REF!</v>
      </c>
      <c r="AT60" s="70" t="e">
        <f t="shared" si="79"/>
        <v>#REF!</v>
      </c>
      <c r="AU60" s="70" t="e">
        <f t="shared" si="79"/>
        <v>#REF!</v>
      </c>
      <c r="AV60" s="70" t="e">
        <f t="shared" si="79"/>
        <v>#REF!</v>
      </c>
      <c r="AW60" s="70" t="e">
        <f t="shared" si="79"/>
        <v>#REF!</v>
      </c>
      <c r="AX60" s="70" t="e">
        <f t="shared" si="79"/>
        <v>#REF!</v>
      </c>
      <c r="AY60" s="70" t="e">
        <f t="shared" si="79"/>
        <v>#REF!</v>
      </c>
      <c r="AZ60" s="70" t="e">
        <f t="shared" si="79"/>
        <v>#REF!</v>
      </c>
      <c r="BA60" s="70" t="e">
        <f t="shared" si="79"/>
        <v>#REF!</v>
      </c>
    </row>
    <row r="61" spans="27:53" hidden="1">
      <c r="AA61" s="71" t="s">
        <v>42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69" t="s">
        <v>47</v>
      </c>
      <c r="AB62" s="35"/>
      <c r="AF62" s="70" t="e">
        <f t="shared" ref="AF62:AO62" si="80">AF15+AF17+AF19+AF20+AF23</f>
        <v>#REF!</v>
      </c>
      <c r="AG62" s="70" t="e">
        <f t="shared" si="80"/>
        <v>#REF!</v>
      </c>
      <c r="AH62" s="70" t="e">
        <f t="shared" si="80"/>
        <v>#REF!</v>
      </c>
      <c r="AI62" s="70" t="e">
        <f t="shared" si="80"/>
        <v>#REF!</v>
      </c>
      <c r="AJ62" s="70" t="e">
        <f t="shared" si="80"/>
        <v>#REF!</v>
      </c>
      <c r="AK62" s="70" t="e">
        <f t="shared" si="80"/>
        <v>#REF!</v>
      </c>
      <c r="AL62" s="70" t="e">
        <f t="shared" si="80"/>
        <v>#REF!</v>
      </c>
      <c r="AM62" s="70" t="e">
        <f t="shared" si="80"/>
        <v>#REF!</v>
      </c>
      <c r="AN62" s="70" t="e">
        <f t="shared" si="80"/>
        <v>#REF!</v>
      </c>
      <c r="AO62" s="70" t="e">
        <f t="shared" si="80"/>
        <v>#REF!</v>
      </c>
      <c r="AP62" s="70"/>
      <c r="AQ62" s="70"/>
      <c r="AR62" s="70" t="e">
        <f t="shared" ref="AR62:BA62" si="81">AR15+AR17+AR19+AR20+AR23</f>
        <v>#REF!</v>
      </c>
      <c r="AS62" s="70" t="e">
        <f t="shared" si="81"/>
        <v>#REF!</v>
      </c>
      <c r="AT62" s="70" t="e">
        <f t="shared" si="81"/>
        <v>#REF!</v>
      </c>
      <c r="AU62" s="70" t="e">
        <f t="shared" si="81"/>
        <v>#REF!</v>
      </c>
      <c r="AV62" s="70" t="e">
        <f t="shared" si="81"/>
        <v>#REF!</v>
      </c>
      <c r="AW62" s="70" t="e">
        <f t="shared" si="81"/>
        <v>#REF!</v>
      </c>
      <c r="AX62" s="70" t="e">
        <f t="shared" si="81"/>
        <v>#REF!</v>
      </c>
      <c r="AY62" s="70" t="e">
        <f t="shared" si="81"/>
        <v>#REF!</v>
      </c>
      <c r="AZ62" s="70" t="e">
        <f t="shared" si="81"/>
        <v>#REF!</v>
      </c>
      <c r="BA62" s="70" t="e">
        <f t="shared" si="81"/>
        <v>#REF!</v>
      </c>
    </row>
    <row r="63" spans="27:53" hidden="1">
      <c r="AA63" s="71" t="s">
        <v>29</v>
      </c>
      <c r="AB63" s="35"/>
      <c r="AF63" s="70" t="e">
        <f t="shared" ref="AF63:AO63" si="82">AF26+AF28+AF30+AF31+AF34</f>
        <v>#REF!</v>
      </c>
      <c r="AG63" s="70" t="e">
        <f t="shared" si="82"/>
        <v>#REF!</v>
      </c>
      <c r="AH63" s="70" t="e">
        <f t="shared" si="82"/>
        <v>#REF!</v>
      </c>
      <c r="AI63" s="70" t="e">
        <f t="shared" si="82"/>
        <v>#REF!</v>
      </c>
      <c r="AJ63" s="70" t="e">
        <f t="shared" si="82"/>
        <v>#REF!</v>
      </c>
      <c r="AK63" s="70" t="e">
        <f t="shared" si="82"/>
        <v>#REF!</v>
      </c>
      <c r="AL63" s="70" t="e">
        <f t="shared" si="82"/>
        <v>#REF!</v>
      </c>
      <c r="AM63" s="70" t="e">
        <f t="shared" si="82"/>
        <v>#REF!</v>
      </c>
      <c r="AN63" s="70" t="e">
        <f t="shared" si="82"/>
        <v>#REF!</v>
      </c>
      <c r="AO63" s="70" t="e">
        <f t="shared" si="82"/>
        <v>#REF!</v>
      </c>
      <c r="AP63" s="70"/>
      <c r="AQ63" s="70"/>
      <c r="AR63" s="70" t="e">
        <f t="shared" ref="AR63:BA63" si="83">AR26+AR28+AR30+AR31+AR34</f>
        <v>#REF!</v>
      </c>
      <c r="AS63" s="70" t="e">
        <f t="shared" si="83"/>
        <v>#REF!</v>
      </c>
      <c r="AT63" s="70" t="e">
        <f t="shared" si="83"/>
        <v>#REF!</v>
      </c>
      <c r="AU63" s="70" t="e">
        <f t="shared" si="83"/>
        <v>#REF!</v>
      </c>
      <c r="AV63" s="70" t="e">
        <f t="shared" si="83"/>
        <v>#REF!</v>
      </c>
      <c r="AW63" s="70" t="e">
        <f t="shared" si="83"/>
        <v>#REF!</v>
      </c>
      <c r="AX63" s="70" t="e">
        <f t="shared" si="83"/>
        <v>#REF!</v>
      </c>
      <c r="AY63" s="70" t="e">
        <f t="shared" si="83"/>
        <v>#REF!</v>
      </c>
      <c r="AZ63" s="70" t="e">
        <f t="shared" si="83"/>
        <v>#REF!</v>
      </c>
      <c r="BA63" s="70" t="e">
        <f t="shared" si="83"/>
        <v>#REF!</v>
      </c>
    </row>
    <row r="64" spans="27:53" hidden="1">
      <c r="AA64" s="71" t="s">
        <v>41</v>
      </c>
      <c r="AB64" s="35"/>
      <c r="AF64" s="70" t="e">
        <f t="shared" ref="AF64:AO64" si="84">AF37+AF39+AF41+AF42+AF45</f>
        <v>#REF!</v>
      </c>
      <c r="AG64" s="70" t="e">
        <f t="shared" si="84"/>
        <v>#REF!</v>
      </c>
      <c r="AH64" s="70" t="e">
        <f t="shared" si="84"/>
        <v>#REF!</v>
      </c>
      <c r="AI64" s="70" t="e">
        <f t="shared" si="84"/>
        <v>#REF!</v>
      </c>
      <c r="AJ64" s="70" t="e">
        <f t="shared" si="84"/>
        <v>#REF!</v>
      </c>
      <c r="AK64" s="70" t="e">
        <f t="shared" si="84"/>
        <v>#REF!</v>
      </c>
      <c r="AL64" s="70" t="e">
        <f t="shared" si="84"/>
        <v>#REF!</v>
      </c>
      <c r="AM64" s="70" t="e">
        <f t="shared" si="84"/>
        <v>#REF!</v>
      </c>
      <c r="AN64" s="70" t="e">
        <f t="shared" si="84"/>
        <v>#REF!</v>
      </c>
      <c r="AO64" s="70" t="e">
        <f t="shared" si="84"/>
        <v>#REF!</v>
      </c>
      <c r="AP64" s="70"/>
      <c r="AQ64" s="70"/>
      <c r="AR64" s="70" t="e">
        <f t="shared" ref="AR64:BA64" si="85">AR37+AR39+AR41+AR42+AR45</f>
        <v>#REF!</v>
      </c>
      <c r="AS64" s="70" t="e">
        <f t="shared" si="85"/>
        <v>#REF!</v>
      </c>
      <c r="AT64" s="70" t="e">
        <f t="shared" si="85"/>
        <v>#REF!</v>
      </c>
      <c r="AU64" s="70" t="e">
        <f t="shared" si="85"/>
        <v>#REF!</v>
      </c>
      <c r="AV64" s="70" t="e">
        <f t="shared" si="85"/>
        <v>#REF!</v>
      </c>
      <c r="AW64" s="70" t="e">
        <f t="shared" si="85"/>
        <v>#REF!</v>
      </c>
      <c r="AX64" s="70" t="e">
        <f t="shared" si="85"/>
        <v>#REF!</v>
      </c>
      <c r="AY64" s="70" t="e">
        <f t="shared" si="85"/>
        <v>#REF!</v>
      </c>
      <c r="AZ64" s="70" t="e">
        <f t="shared" si="85"/>
        <v>#REF!</v>
      </c>
      <c r="BA64" s="70" t="e">
        <f t="shared" si="85"/>
        <v>#REF!</v>
      </c>
    </row>
    <row r="65" spans="27:53" hidden="1">
      <c r="AA65" s="71" t="s">
        <v>42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69" t="s">
        <v>48</v>
      </c>
      <c r="AB66" s="35"/>
      <c r="AF66" s="70" t="e">
        <f t="shared" ref="AF66:AO66" si="86">AF15+AF16+AF21</f>
        <v>#REF!</v>
      </c>
      <c r="AG66" s="70" t="e">
        <f t="shared" si="86"/>
        <v>#REF!</v>
      </c>
      <c r="AH66" s="70" t="e">
        <f t="shared" si="86"/>
        <v>#REF!</v>
      </c>
      <c r="AI66" s="70" t="e">
        <f t="shared" si="86"/>
        <v>#REF!</v>
      </c>
      <c r="AJ66" s="70" t="e">
        <f t="shared" si="86"/>
        <v>#REF!</v>
      </c>
      <c r="AK66" s="70" t="e">
        <f t="shared" si="86"/>
        <v>#REF!</v>
      </c>
      <c r="AL66" s="70" t="e">
        <f t="shared" si="86"/>
        <v>#REF!</v>
      </c>
      <c r="AM66" s="70" t="e">
        <f t="shared" si="86"/>
        <v>#REF!</v>
      </c>
      <c r="AN66" s="70" t="e">
        <f t="shared" si="86"/>
        <v>#REF!</v>
      </c>
      <c r="AO66" s="70" t="e">
        <f t="shared" si="86"/>
        <v>#REF!</v>
      </c>
      <c r="AP66" s="70"/>
      <c r="AQ66" s="70"/>
      <c r="AR66" s="70" t="e">
        <f t="shared" ref="AR66:BA66" si="87">AR15+AR16+AR21</f>
        <v>#REF!</v>
      </c>
      <c r="AS66" s="70" t="e">
        <f t="shared" si="87"/>
        <v>#REF!</v>
      </c>
      <c r="AT66" s="70" t="e">
        <f t="shared" si="87"/>
        <v>#REF!</v>
      </c>
      <c r="AU66" s="70" t="e">
        <f t="shared" si="87"/>
        <v>#REF!</v>
      </c>
      <c r="AV66" s="70" t="e">
        <f t="shared" si="87"/>
        <v>#REF!</v>
      </c>
      <c r="AW66" s="70" t="e">
        <f t="shared" si="87"/>
        <v>#REF!</v>
      </c>
      <c r="AX66" s="70" t="e">
        <f t="shared" si="87"/>
        <v>#REF!</v>
      </c>
      <c r="AY66" s="70" t="e">
        <f t="shared" si="87"/>
        <v>#REF!</v>
      </c>
      <c r="AZ66" s="70" t="e">
        <f t="shared" si="87"/>
        <v>#REF!</v>
      </c>
      <c r="BA66" s="70" t="e">
        <f t="shared" si="87"/>
        <v>#REF!</v>
      </c>
    </row>
    <row r="67" spans="27:53" hidden="1">
      <c r="AA67" s="71" t="s">
        <v>29</v>
      </c>
      <c r="AB67" s="35"/>
      <c r="AF67" s="70" t="e">
        <f t="shared" ref="AF67:AO67" si="88">AF26+AF27+AF32</f>
        <v>#REF!</v>
      </c>
      <c r="AG67" s="70" t="e">
        <f t="shared" si="88"/>
        <v>#REF!</v>
      </c>
      <c r="AH67" s="70" t="e">
        <f t="shared" si="88"/>
        <v>#REF!</v>
      </c>
      <c r="AI67" s="70" t="e">
        <f t="shared" si="88"/>
        <v>#REF!</v>
      </c>
      <c r="AJ67" s="70" t="e">
        <f t="shared" si="88"/>
        <v>#REF!</v>
      </c>
      <c r="AK67" s="70" t="e">
        <f t="shared" si="88"/>
        <v>#REF!</v>
      </c>
      <c r="AL67" s="70" t="e">
        <f t="shared" si="88"/>
        <v>#REF!</v>
      </c>
      <c r="AM67" s="70" t="e">
        <f t="shared" si="88"/>
        <v>#REF!</v>
      </c>
      <c r="AN67" s="70" t="e">
        <f t="shared" si="88"/>
        <v>#REF!</v>
      </c>
      <c r="AO67" s="70" t="e">
        <f t="shared" si="88"/>
        <v>#REF!</v>
      </c>
      <c r="AP67" s="70"/>
      <c r="AQ67" s="70"/>
      <c r="AR67" s="70" t="e">
        <f t="shared" ref="AR67:BA67" si="89">AR26+AR27+AR32</f>
        <v>#REF!</v>
      </c>
      <c r="AS67" s="70" t="e">
        <f t="shared" si="89"/>
        <v>#REF!</v>
      </c>
      <c r="AT67" s="70" t="e">
        <f t="shared" si="89"/>
        <v>#REF!</v>
      </c>
      <c r="AU67" s="70" t="e">
        <f t="shared" si="89"/>
        <v>#REF!</v>
      </c>
      <c r="AV67" s="70" t="e">
        <f t="shared" si="89"/>
        <v>#REF!</v>
      </c>
      <c r="AW67" s="70" t="e">
        <f t="shared" si="89"/>
        <v>#REF!</v>
      </c>
      <c r="AX67" s="70" t="e">
        <f t="shared" si="89"/>
        <v>#REF!</v>
      </c>
      <c r="AY67" s="70" t="e">
        <f t="shared" si="89"/>
        <v>#REF!</v>
      </c>
      <c r="AZ67" s="70" t="e">
        <f t="shared" si="89"/>
        <v>#REF!</v>
      </c>
      <c r="BA67" s="70" t="e">
        <f t="shared" si="89"/>
        <v>#REF!</v>
      </c>
    </row>
    <row r="68" spans="27:53" hidden="1">
      <c r="AA68" s="71" t="s">
        <v>41</v>
      </c>
      <c r="AB68" s="35"/>
      <c r="AF68" s="70" t="e">
        <f t="shared" ref="AF68:AO68" si="90">AF37+AF38+AF43</f>
        <v>#REF!</v>
      </c>
      <c r="AG68" s="70" t="e">
        <f t="shared" si="90"/>
        <v>#REF!</v>
      </c>
      <c r="AH68" s="70" t="e">
        <f t="shared" si="90"/>
        <v>#REF!</v>
      </c>
      <c r="AI68" s="70" t="e">
        <f t="shared" si="90"/>
        <v>#REF!</v>
      </c>
      <c r="AJ68" s="70" t="e">
        <f t="shared" si="90"/>
        <v>#REF!</v>
      </c>
      <c r="AK68" s="70" t="e">
        <f t="shared" si="90"/>
        <v>#REF!</v>
      </c>
      <c r="AL68" s="70" t="e">
        <f t="shared" si="90"/>
        <v>#REF!</v>
      </c>
      <c r="AM68" s="70" t="e">
        <f t="shared" si="90"/>
        <v>#REF!</v>
      </c>
      <c r="AN68" s="70" t="e">
        <f t="shared" si="90"/>
        <v>#REF!</v>
      </c>
      <c r="AO68" s="70" t="e">
        <f t="shared" si="90"/>
        <v>#REF!</v>
      </c>
      <c r="AP68" s="70"/>
      <c r="AQ68" s="70"/>
      <c r="AR68" s="70" t="e">
        <f t="shared" ref="AR68:BA68" si="91">AR37+AR38+AR43</f>
        <v>#REF!</v>
      </c>
      <c r="AS68" s="70" t="e">
        <f t="shared" si="91"/>
        <v>#REF!</v>
      </c>
      <c r="AT68" s="70" t="e">
        <f t="shared" si="91"/>
        <v>#REF!</v>
      </c>
      <c r="AU68" s="70" t="e">
        <f t="shared" si="91"/>
        <v>#REF!</v>
      </c>
      <c r="AV68" s="70" t="e">
        <f t="shared" si="91"/>
        <v>#REF!</v>
      </c>
      <c r="AW68" s="70" t="e">
        <f t="shared" si="91"/>
        <v>#REF!</v>
      </c>
      <c r="AX68" s="70" t="e">
        <f t="shared" si="91"/>
        <v>#REF!</v>
      </c>
      <c r="AY68" s="70" t="e">
        <f t="shared" si="91"/>
        <v>#REF!</v>
      </c>
      <c r="AZ68" s="70" t="e">
        <f t="shared" si="91"/>
        <v>#REF!</v>
      </c>
      <c r="BA68" s="70" t="e">
        <f t="shared" si="91"/>
        <v>#REF!</v>
      </c>
    </row>
    <row r="69" spans="27:53" hidden="1">
      <c r="AA69" s="71" t="s">
        <v>42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2" t="s">
        <v>49</v>
      </c>
      <c r="AB70" s="35"/>
      <c r="AF70" s="70" t="e">
        <f t="shared" ref="AF70:AO70" si="92">AF15+AF16+AF20+AF22</f>
        <v>#REF!</v>
      </c>
      <c r="AG70" s="70" t="e">
        <f t="shared" si="92"/>
        <v>#REF!</v>
      </c>
      <c r="AH70" s="70" t="e">
        <f t="shared" si="92"/>
        <v>#REF!</v>
      </c>
      <c r="AI70" s="70" t="e">
        <f t="shared" si="92"/>
        <v>#REF!</v>
      </c>
      <c r="AJ70" s="70" t="e">
        <f t="shared" si="92"/>
        <v>#REF!</v>
      </c>
      <c r="AK70" s="70" t="e">
        <f t="shared" si="92"/>
        <v>#REF!</v>
      </c>
      <c r="AL70" s="70" t="e">
        <f t="shared" si="92"/>
        <v>#REF!</v>
      </c>
      <c r="AM70" s="70" t="e">
        <f t="shared" si="92"/>
        <v>#REF!</v>
      </c>
      <c r="AN70" s="70" t="e">
        <f t="shared" si="92"/>
        <v>#REF!</v>
      </c>
      <c r="AO70" s="70" t="e">
        <f t="shared" si="92"/>
        <v>#REF!</v>
      </c>
      <c r="AP70" s="70"/>
      <c r="AQ70" s="70"/>
      <c r="AR70" s="70" t="e">
        <f t="shared" ref="AR70:BA70" si="93">AR15+AR16+AR20+AR22</f>
        <v>#REF!</v>
      </c>
      <c r="AS70" s="70" t="e">
        <f t="shared" si="93"/>
        <v>#REF!</v>
      </c>
      <c r="AT70" s="70" t="e">
        <f t="shared" si="93"/>
        <v>#REF!</v>
      </c>
      <c r="AU70" s="70" t="e">
        <f t="shared" si="93"/>
        <v>#REF!</v>
      </c>
      <c r="AV70" s="70" t="e">
        <f t="shared" si="93"/>
        <v>#REF!</v>
      </c>
      <c r="AW70" s="70" t="e">
        <f t="shared" si="93"/>
        <v>#REF!</v>
      </c>
      <c r="AX70" s="70" t="e">
        <f t="shared" si="93"/>
        <v>#REF!</v>
      </c>
      <c r="AY70" s="70" t="e">
        <f t="shared" si="93"/>
        <v>#REF!</v>
      </c>
      <c r="AZ70" s="70" t="e">
        <f t="shared" si="93"/>
        <v>#REF!</v>
      </c>
      <c r="BA70" s="70" t="e">
        <f t="shared" si="93"/>
        <v>#REF!</v>
      </c>
    </row>
    <row r="71" spans="27:53" hidden="1">
      <c r="AA71" s="71" t="s">
        <v>29</v>
      </c>
      <c r="AB71" s="35"/>
      <c r="AF71" s="70" t="e">
        <f t="shared" ref="AF71:AO71" si="94">AF26+AF27+AF31+AF33</f>
        <v>#REF!</v>
      </c>
      <c r="AG71" s="70" t="e">
        <f t="shared" si="94"/>
        <v>#REF!</v>
      </c>
      <c r="AH71" s="70" t="e">
        <f t="shared" si="94"/>
        <v>#REF!</v>
      </c>
      <c r="AI71" s="70" t="e">
        <f t="shared" si="94"/>
        <v>#REF!</v>
      </c>
      <c r="AJ71" s="70" t="e">
        <f t="shared" si="94"/>
        <v>#REF!</v>
      </c>
      <c r="AK71" s="70" t="e">
        <f t="shared" si="94"/>
        <v>#REF!</v>
      </c>
      <c r="AL71" s="70" t="e">
        <f t="shared" si="94"/>
        <v>#REF!</v>
      </c>
      <c r="AM71" s="70" t="e">
        <f t="shared" si="94"/>
        <v>#REF!</v>
      </c>
      <c r="AN71" s="70" t="e">
        <f t="shared" si="94"/>
        <v>#REF!</v>
      </c>
      <c r="AO71" s="70" t="e">
        <f t="shared" si="94"/>
        <v>#REF!</v>
      </c>
      <c r="AP71" s="70"/>
      <c r="AQ71" s="70"/>
      <c r="AR71" s="70" t="e">
        <f t="shared" ref="AR71:BA71" si="95">AR26+AR27+AR31+AR33</f>
        <v>#REF!</v>
      </c>
      <c r="AS71" s="70" t="e">
        <f t="shared" si="95"/>
        <v>#REF!</v>
      </c>
      <c r="AT71" s="70" t="e">
        <f t="shared" si="95"/>
        <v>#REF!</v>
      </c>
      <c r="AU71" s="70" t="e">
        <f t="shared" si="95"/>
        <v>#REF!</v>
      </c>
      <c r="AV71" s="70" t="e">
        <f t="shared" si="95"/>
        <v>#REF!</v>
      </c>
      <c r="AW71" s="70" t="e">
        <f t="shared" si="95"/>
        <v>#REF!</v>
      </c>
      <c r="AX71" s="70" t="e">
        <f t="shared" si="95"/>
        <v>#REF!</v>
      </c>
      <c r="AY71" s="70" t="e">
        <f t="shared" si="95"/>
        <v>#REF!</v>
      </c>
      <c r="AZ71" s="70" t="e">
        <f t="shared" si="95"/>
        <v>#REF!</v>
      </c>
      <c r="BA71" s="70" t="e">
        <f t="shared" si="95"/>
        <v>#REF!</v>
      </c>
    </row>
    <row r="72" spans="27:53" hidden="1">
      <c r="AA72" s="71" t="s">
        <v>41</v>
      </c>
      <c r="AB72" s="35"/>
      <c r="AF72" s="70" t="e">
        <f t="shared" ref="AF72:AO72" si="96">AF37+AF38+AF42+AF44</f>
        <v>#REF!</v>
      </c>
      <c r="AG72" s="70" t="e">
        <f t="shared" si="96"/>
        <v>#REF!</v>
      </c>
      <c r="AH72" s="70" t="e">
        <f t="shared" si="96"/>
        <v>#REF!</v>
      </c>
      <c r="AI72" s="70" t="e">
        <f t="shared" si="96"/>
        <v>#REF!</v>
      </c>
      <c r="AJ72" s="70" t="e">
        <f t="shared" si="96"/>
        <v>#REF!</v>
      </c>
      <c r="AK72" s="70" t="e">
        <f t="shared" si="96"/>
        <v>#REF!</v>
      </c>
      <c r="AL72" s="70" t="e">
        <f t="shared" si="96"/>
        <v>#REF!</v>
      </c>
      <c r="AM72" s="70" t="e">
        <f t="shared" si="96"/>
        <v>#REF!</v>
      </c>
      <c r="AN72" s="70" t="e">
        <f t="shared" si="96"/>
        <v>#REF!</v>
      </c>
      <c r="AO72" s="70" t="e">
        <f t="shared" si="96"/>
        <v>#REF!</v>
      </c>
      <c r="AP72" s="70"/>
      <c r="AQ72" s="70"/>
      <c r="AR72" s="70" t="e">
        <f t="shared" ref="AR72:BA72" si="97">AR37+AR38+AR42+AR44</f>
        <v>#REF!</v>
      </c>
      <c r="AS72" s="70" t="e">
        <f t="shared" si="97"/>
        <v>#REF!</v>
      </c>
      <c r="AT72" s="70" t="e">
        <f t="shared" si="97"/>
        <v>#REF!</v>
      </c>
      <c r="AU72" s="70" t="e">
        <f t="shared" si="97"/>
        <v>#REF!</v>
      </c>
      <c r="AV72" s="70" t="e">
        <f t="shared" si="97"/>
        <v>#REF!</v>
      </c>
      <c r="AW72" s="70" t="e">
        <f t="shared" si="97"/>
        <v>#REF!</v>
      </c>
      <c r="AX72" s="70" t="e">
        <f t="shared" si="97"/>
        <v>#REF!</v>
      </c>
      <c r="AY72" s="70" t="e">
        <f t="shared" si="97"/>
        <v>#REF!</v>
      </c>
      <c r="AZ72" s="70" t="e">
        <f t="shared" si="97"/>
        <v>#REF!</v>
      </c>
      <c r="BA72" s="70" t="e">
        <f t="shared" si="97"/>
        <v>#REF!</v>
      </c>
    </row>
    <row r="73" spans="27:53" hidden="1">
      <c r="AA73" s="71" t="s">
        <v>42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69" t="s">
        <v>50</v>
      </c>
      <c r="AB74" s="35"/>
      <c r="AF74" s="70" t="e">
        <f t="shared" ref="AF74:AO74" si="98">AF15+AF16+AF20+AF23</f>
        <v>#REF!</v>
      </c>
      <c r="AG74" s="70" t="e">
        <f t="shared" si="98"/>
        <v>#REF!</v>
      </c>
      <c r="AH74" s="70" t="e">
        <f t="shared" si="98"/>
        <v>#REF!</v>
      </c>
      <c r="AI74" s="70" t="e">
        <f t="shared" si="98"/>
        <v>#REF!</v>
      </c>
      <c r="AJ74" s="70" t="e">
        <f t="shared" si="98"/>
        <v>#REF!</v>
      </c>
      <c r="AK74" s="70" t="e">
        <f t="shared" si="98"/>
        <v>#REF!</v>
      </c>
      <c r="AL74" s="70" t="e">
        <f t="shared" si="98"/>
        <v>#REF!</v>
      </c>
      <c r="AM74" s="70" t="e">
        <f t="shared" si="98"/>
        <v>#REF!</v>
      </c>
      <c r="AN74" s="70" t="e">
        <f t="shared" si="98"/>
        <v>#REF!</v>
      </c>
      <c r="AO74" s="70" t="e">
        <f t="shared" si="98"/>
        <v>#REF!</v>
      </c>
      <c r="AP74" s="70"/>
      <c r="AQ74" s="70"/>
      <c r="AR74" s="70" t="e">
        <f t="shared" ref="AR74:BA74" si="99">AR15+AR16+AR20+AR23</f>
        <v>#REF!</v>
      </c>
      <c r="AS74" s="70" t="e">
        <f t="shared" si="99"/>
        <v>#REF!</v>
      </c>
      <c r="AT74" s="70" t="e">
        <f t="shared" si="99"/>
        <v>#REF!</v>
      </c>
      <c r="AU74" s="70" t="e">
        <f t="shared" si="99"/>
        <v>#REF!</v>
      </c>
      <c r="AV74" s="70" t="e">
        <f t="shared" si="99"/>
        <v>#REF!</v>
      </c>
      <c r="AW74" s="70" t="e">
        <f t="shared" si="99"/>
        <v>#REF!</v>
      </c>
      <c r="AX74" s="70" t="e">
        <f t="shared" si="99"/>
        <v>#REF!</v>
      </c>
      <c r="AY74" s="70" t="e">
        <f t="shared" si="99"/>
        <v>#REF!</v>
      </c>
      <c r="AZ74" s="70" t="e">
        <f t="shared" si="99"/>
        <v>#REF!</v>
      </c>
      <c r="BA74" s="70" t="e">
        <f t="shared" si="99"/>
        <v>#REF!</v>
      </c>
    </row>
    <row r="75" spans="27:53" hidden="1">
      <c r="AA75" s="71" t="s">
        <v>29</v>
      </c>
      <c r="AB75" s="35"/>
      <c r="AF75" s="70" t="e">
        <f t="shared" ref="AF75:AO75" si="100">AF26+AF27+AF31+AF34</f>
        <v>#REF!</v>
      </c>
      <c r="AG75" s="70" t="e">
        <f t="shared" si="100"/>
        <v>#REF!</v>
      </c>
      <c r="AH75" s="70" t="e">
        <f t="shared" si="100"/>
        <v>#REF!</v>
      </c>
      <c r="AI75" s="70" t="e">
        <f t="shared" si="100"/>
        <v>#REF!</v>
      </c>
      <c r="AJ75" s="70" t="e">
        <f t="shared" si="100"/>
        <v>#REF!</v>
      </c>
      <c r="AK75" s="70" t="e">
        <f t="shared" si="100"/>
        <v>#REF!</v>
      </c>
      <c r="AL75" s="70" t="e">
        <f t="shared" si="100"/>
        <v>#REF!</v>
      </c>
      <c r="AM75" s="70" t="e">
        <f t="shared" si="100"/>
        <v>#REF!</v>
      </c>
      <c r="AN75" s="70" t="e">
        <f t="shared" si="100"/>
        <v>#REF!</v>
      </c>
      <c r="AO75" s="70" t="e">
        <f t="shared" si="100"/>
        <v>#REF!</v>
      </c>
      <c r="AP75" s="70"/>
      <c r="AQ75" s="70"/>
      <c r="AR75" s="70" t="e">
        <f t="shared" ref="AR75:BA75" si="101">AR26+AR27+AR31+AR34</f>
        <v>#REF!</v>
      </c>
      <c r="AS75" s="70" t="e">
        <f t="shared" si="101"/>
        <v>#REF!</v>
      </c>
      <c r="AT75" s="70" t="e">
        <f t="shared" si="101"/>
        <v>#REF!</v>
      </c>
      <c r="AU75" s="70" t="e">
        <f t="shared" si="101"/>
        <v>#REF!</v>
      </c>
      <c r="AV75" s="70" t="e">
        <f t="shared" si="101"/>
        <v>#REF!</v>
      </c>
      <c r="AW75" s="70" t="e">
        <f t="shared" si="101"/>
        <v>#REF!</v>
      </c>
      <c r="AX75" s="70" t="e">
        <f t="shared" si="101"/>
        <v>#REF!</v>
      </c>
      <c r="AY75" s="70" t="e">
        <f t="shared" si="101"/>
        <v>#REF!</v>
      </c>
      <c r="AZ75" s="70" t="e">
        <f t="shared" si="101"/>
        <v>#REF!</v>
      </c>
      <c r="BA75" s="70" t="e">
        <f t="shared" si="101"/>
        <v>#REF!</v>
      </c>
    </row>
    <row r="76" spans="27:53" hidden="1">
      <c r="AA76" s="71" t="s">
        <v>41</v>
      </c>
      <c r="AB76" s="35"/>
      <c r="AF76" s="70" t="e">
        <f t="shared" ref="AF76:AO76" si="102">AF37+AF38+AF42+AF45</f>
        <v>#REF!</v>
      </c>
      <c r="AG76" s="70" t="e">
        <f t="shared" si="102"/>
        <v>#REF!</v>
      </c>
      <c r="AH76" s="70" t="e">
        <f t="shared" si="102"/>
        <v>#REF!</v>
      </c>
      <c r="AI76" s="70" t="e">
        <f t="shared" si="102"/>
        <v>#REF!</v>
      </c>
      <c r="AJ76" s="70" t="e">
        <f t="shared" si="102"/>
        <v>#REF!</v>
      </c>
      <c r="AK76" s="70" t="e">
        <f t="shared" si="102"/>
        <v>#REF!</v>
      </c>
      <c r="AL76" s="70" t="e">
        <f t="shared" si="102"/>
        <v>#REF!</v>
      </c>
      <c r="AM76" s="70" t="e">
        <f t="shared" si="102"/>
        <v>#REF!</v>
      </c>
      <c r="AN76" s="70" t="e">
        <f t="shared" si="102"/>
        <v>#REF!</v>
      </c>
      <c r="AO76" s="70" t="e">
        <f t="shared" si="102"/>
        <v>#REF!</v>
      </c>
      <c r="AP76" s="70"/>
      <c r="AQ76" s="70"/>
      <c r="AR76" s="70" t="e">
        <f t="shared" ref="AR76:BA76" si="103">AR37+AR38+AR42+AR45</f>
        <v>#REF!</v>
      </c>
      <c r="AS76" s="70" t="e">
        <f t="shared" si="103"/>
        <v>#REF!</v>
      </c>
      <c r="AT76" s="70" t="e">
        <f t="shared" si="103"/>
        <v>#REF!</v>
      </c>
      <c r="AU76" s="70" t="e">
        <f t="shared" si="103"/>
        <v>#REF!</v>
      </c>
      <c r="AV76" s="70" t="e">
        <f t="shared" si="103"/>
        <v>#REF!</v>
      </c>
      <c r="AW76" s="70" t="e">
        <f t="shared" si="103"/>
        <v>#REF!</v>
      </c>
      <c r="AX76" s="70" t="e">
        <f t="shared" si="103"/>
        <v>#REF!</v>
      </c>
      <c r="AY76" s="70" t="e">
        <f t="shared" si="103"/>
        <v>#REF!</v>
      </c>
      <c r="AZ76" s="70" t="e">
        <f t="shared" si="103"/>
        <v>#REF!</v>
      </c>
      <c r="BA76" s="70" t="e">
        <f t="shared" si="103"/>
        <v>#REF!</v>
      </c>
    </row>
    <row r="77" spans="27:53" hidden="1">
      <c r="AA77" s="71" t="s">
        <v>42</v>
      </c>
      <c r="AB77" s="35"/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N87" s="38"/>
      <c r="AZ87" s="36"/>
    </row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45" t="s">
        <v>55</v>
      </c>
      <c r="G89" s="545" t="s">
        <v>73</v>
      </c>
      <c r="H89" s="545" t="s">
        <v>74</v>
      </c>
      <c r="I89" s="545" t="s">
        <v>58</v>
      </c>
      <c r="J89" s="545" t="s">
        <v>59</v>
      </c>
      <c r="K89" s="545" t="s">
        <v>60</v>
      </c>
      <c r="L89" s="544" t="s">
        <v>75</v>
      </c>
      <c r="M89" s="544" t="s">
        <v>76</v>
      </c>
      <c r="N89" s="544" t="s">
        <v>61</v>
      </c>
      <c r="O89" s="544" t="s">
        <v>62</v>
      </c>
      <c r="P89" s="544" t="s">
        <v>63</v>
      </c>
      <c r="AN89" s="38"/>
      <c r="AZ89" s="36"/>
    </row>
    <row r="90" spans="1:52" ht="25.5">
      <c r="A90" s="44" t="str">
        <f t="shared" ref="A90:C91" si="104">A4</f>
        <v>Substation General Construction</v>
      </c>
      <c r="B90" s="45" t="str">
        <f t="shared" si="104"/>
        <v>Light-Duty Truck, catalyst</v>
      </c>
      <c r="C90" s="46">
        <f t="shared" si="104"/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1" si="105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si="104"/>
        <v>Substation Wiring</v>
      </c>
      <c r="B91" s="45" t="str">
        <f t="shared" si="104"/>
        <v>Light-Duty Truck, catalyst</v>
      </c>
      <c r="C91" s="46">
        <f t="shared" si="104"/>
        <v>1</v>
      </c>
      <c r="D91" s="46">
        <v>35</v>
      </c>
      <c r="E91" s="46">
        <v>80</v>
      </c>
      <c r="F91" s="50">
        <f>C5*($E5*$F5+($G5))/453.59</f>
        <v>0.48571938588092006</v>
      </c>
      <c r="G91" s="50">
        <f>C5*($E5*$H5+($I5))/453.59</f>
        <v>4.367065729437801E-2</v>
      </c>
      <c r="H91" s="50">
        <f>C5*(($E5*$J5)+($K5)+($L5)+($E5*$N5)+(($M5+$O5)))/453.59</f>
        <v>5.0499980323953329E-2</v>
      </c>
      <c r="I91" s="50">
        <f>C5*($E5*$P5+($Q5))/453.59</f>
        <v>7.2679702716061593E-4</v>
      </c>
      <c r="J91" s="50">
        <f>C5*(($E5*($R5+$T5+$U5))+($S5))/453.59</f>
        <v>8.5240904552078972E-3</v>
      </c>
      <c r="K91" s="50">
        <f>$C5*(($E5*($V5+$X5+$Y5))+($W5))/453.59</f>
        <v>3.7120053242531417E-3</v>
      </c>
      <c r="L91" s="50">
        <f>$B$23*C5*(E5+6)</f>
        <v>8.4385825860718994E-3</v>
      </c>
      <c r="M91" s="50">
        <f t="shared" si="105"/>
        <v>3.4598188602894785E-3</v>
      </c>
      <c r="N91" s="50">
        <f>C5*($E5*$Z5+($AA5))/453.59</f>
        <v>55.423576726038895</v>
      </c>
      <c r="O91" s="50">
        <f>C5*($E5*$AB5+($AC5))/453.59</f>
        <v>3.1704753890302493E-3</v>
      </c>
      <c r="P91" s="50">
        <f>C5*($E5*$AD5+($AE5))/453.59</f>
        <v>5.7711199138433603E-3</v>
      </c>
      <c r="AN91" s="38"/>
      <c r="AZ91" s="36"/>
    </row>
    <row r="92" spans="1:52" ht="25.5">
      <c r="A92" s="44" t="str">
        <f t="shared" ref="A92:C92" si="106">A6</f>
        <v>Telecom</v>
      </c>
      <c r="B92" s="45" t="str">
        <f t="shared" si="106"/>
        <v>Light-Duty Truck, catalyst</v>
      </c>
      <c r="C92" s="46">
        <f t="shared" si="106"/>
        <v>2</v>
      </c>
      <c r="D92" s="46">
        <v>35</v>
      </c>
      <c r="E92" s="46">
        <v>80</v>
      </c>
      <c r="F92" s="50">
        <f>C6*($E6*$F6+($G6))/453.59</f>
        <v>0.97143877176184013</v>
      </c>
      <c r="G92" s="50">
        <f>C6*($E6*$H6+($I6))/453.59</f>
        <v>8.7341314588756019E-2</v>
      </c>
      <c r="H92" s="50">
        <f>C6*(($E6*$J6)+($K6)+($L6)+($E6*$N6)+(($M6+$O6)))/453.59</f>
        <v>0.10099996064790666</v>
      </c>
      <c r="I92" s="50">
        <f>C6*($E6*$P6+($Q6))/453.59</f>
        <v>1.4535940543212319E-3</v>
      </c>
      <c r="J92" s="50">
        <f>C6*(($E6*($R6+$T6+$U6))+($S6))/453.59</f>
        <v>1.7048180910415794E-2</v>
      </c>
      <c r="K92" s="50">
        <f>$C6*(($E6*($V6+$X6+$Y6))+($W6))/453.59</f>
        <v>7.4240106485062834E-3</v>
      </c>
      <c r="L92" s="50">
        <f>$B$23*C6*(E6+6)</f>
        <v>1.6877165172143799E-2</v>
      </c>
      <c r="M92" s="50">
        <f t="shared" ref="M92" si="107">0.41*L92</f>
        <v>6.9196377205789569E-3</v>
      </c>
      <c r="N92" s="50">
        <f>C6*($E6*$Z6+($AA6))/453.59</f>
        <v>110.84715345207779</v>
      </c>
      <c r="O92" s="50">
        <f>C6*($E6*$AB6+($AC6))/453.59</f>
        <v>6.3409507780604986E-3</v>
      </c>
      <c r="P92" s="50">
        <f>C6*($E6*$AD6+($AE6))/453.59</f>
        <v>1.1542239827686721E-2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 t="shared" ref="F93:P93" si="108">SUM(F90:F92)</f>
        <v>2.9143163152855203</v>
      </c>
      <c r="G93" s="81">
        <f t="shared" si="108"/>
        <v>0.26202394376626803</v>
      </c>
      <c r="H93" s="81">
        <f t="shared" si="108"/>
        <v>0.30299988194371996</v>
      </c>
      <c r="I93" s="81">
        <f t="shared" si="108"/>
        <v>4.3607821629636952E-3</v>
      </c>
      <c r="J93" s="81">
        <f t="shared" si="108"/>
        <v>5.1144542731247383E-2</v>
      </c>
      <c r="K93" s="81">
        <f t="shared" si="108"/>
        <v>2.2272031945518848E-2</v>
      </c>
      <c r="L93" s="81">
        <f t="shared" si="108"/>
        <v>5.0631495516431396E-2</v>
      </c>
      <c r="M93" s="81">
        <f t="shared" si="108"/>
        <v>2.0758913161736871E-2</v>
      </c>
      <c r="N93" s="81">
        <f t="shared" si="108"/>
        <v>332.54146035623342</v>
      </c>
      <c r="O93" s="81">
        <f t="shared" si="108"/>
        <v>1.9022852334181495E-2</v>
      </c>
      <c r="P93" s="81">
        <f t="shared" si="108"/>
        <v>3.4626719483060162E-2</v>
      </c>
    </row>
  </sheetData>
  <mergeCells count="16">
    <mergeCell ref="AR12:BA12"/>
    <mergeCell ref="A88:A89"/>
    <mergeCell ref="B88:B89"/>
    <mergeCell ref="F88:P88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9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705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317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24" t="s">
        <v>311</v>
      </c>
      <c r="B14" s="29" t="s">
        <v>27</v>
      </c>
      <c r="C14" s="22">
        <v>175</v>
      </c>
      <c r="D14" s="22"/>
      <c r="E14" s="102">
        <v>0.11792220738547983</v>
      </c>
      <c r="F14" s="102">
        <v>0.36512193352152528</v>
      </c>
      <c r="G14" s="102">
        <v>0.86781464282266541</v>
      </c>
      <c r="H14" s="102">
        <v>1.8739217498104396E-3</v>
      </c>
      <c r="I14" s="102">
        <v>2.9041712295589866E-2</v>
      </c>
      <c r="J14" s="100">
        <f t="shared" ref="J14" si="4">0.89*I14</f>
        <v>2.5847123943074982E-2</v>
      </c>
      <c r="K14" s="103">
        <v>166.54541562452522</v>
      </c>
      <c r="L14" s="102">
        <v>1.063993297769634E-2</v>
      </c>
      <c r="M14" s="104">
        <f t="shared" ref="M14" si="5">0.095*G14</f>
        <v>8.2442391068153209E-2</v>
      </c>
      <c r="N14" s="98">
        <v>1</v>
      </c>
      <c r="O14" s="87">
        <v>2</v>
      </c>
      <c r="P14" s="363">
        <v>280</v>
      </c>
      <c r="Q14" s="34">
        <f t="shared" ref="Q14:Y14" si="6">(E14*$N14*$O14)</f>
        <v>0.23584441477095966</v>
      </c>
      <c r="R14" s="26">
        <f t="shared" si="6"/>
        <v>0.73024386704305055</v>
      </c>
      <c r="S14" s="26">
        <f t="shared" si="6"/>
        <v>1.7356292856453308</v>
      </c>
      <c r="T14" s="26">
        <f t="shared" si="6"/>
        <v>3.7478434996208792E-3</v>
      </c>
      <c r="U14" s="26">
        <f t="shared" si="6"/>
        <v>5.8083424591179732E-2</v>
      </c>
      <c r="V14" s="26">
        <f t="shared" si="6"/>
        <v>5.1694247886149965E-2</v>
      </c>
      <c r="W14" s="26">
        <f t="shared" si="6"/>
        <v>333.09083124905044</v>
      </c>
      <c r="X14" s="26">
        <f t="shared" si="6"/>
        <v>2.127986595539268E-2</v>
      </c>
      <c r="Y14" s="26">
        <f t="shared" si="6"/>
        <v>0.16488478213630642</v>
      </c>
    </row>
    <row r="15" spans="1:25" s="3" customFormat="1">
      <c r="A15" s="17" t="s">
        <v>28</v>
      </c>
      <c r="B15" s="97"/>
      <c r="C15" s="22"/>
      <c r="D15" s="22"/>
      <c r="E15" s="23"/>
      <c r="F15" s="23"/>
      <c r="G15" s="23"/>
      <c r="H15" s="23"/>
      <c r="I15" s="23"/>
      <c r="J15" s="24"/>
      <c r="K15" s="25"/>
      <c r="L15" s="23"/>
      <c r="M15" s="23"/>
      <c r="N15" s="88"/>
      <c r="O15" s="88"/>
      <c r="P15" s="88"/>
      <c r="Q15" s="27">
        <f t="shared" ref="Q15:Y15" si="7">SUM(Q14:Q14)</f>
        <v>0.23584441477095966</v>
      </c>
      <c r="R15" s="27">
        <f t="shared" si="7"/>
        <v>0.73024386704305055</v>
      </c>
      <c r="S15" s="27">
        <f t="shared" si="7"/>
        <v>1.7356292856453308</v>
      </c>
      <c r="T15" s="27">
        <f t="shared" si="7"/>
        <v>3.7478434996208792E-3</v>
      </c>
      <c r="U15" s="27">
        <f t="shared" si="7"/>
        <v>5.8083424591179732E-2</v>
      </c>
      <c r="V15" s="27">
        <f t="shared" si="7"/>
        <v>5.1694247886149965E-2</v>
      </c>
      <c r="W15" s="27">
        <f t="shared" si="7"/>
        <v>333.09083124905044</v>
      </c>
      <c r="X15" s="27">
        <f t="shared" si="7"/>
        <v>2.127986595539268E-2</v>
      </c>
      <c r="Y15" s="27">
        <f t="shared" si="7"/>
        <v>0.16488478213630642</v>
      </c>
    </row>
    <row r="16" spans="1:25" s="3" customFormat="1">
      <c r="A16" s="24"/>
      <c r="B16" s="29"/>
      <c r="C16" s="22"/>
      <c r="D16" s="22"/>
      <c r="E16" s="108"/>
      <c r="F16" s="108"/>
      <c r="G16" s="108"/>
      <c r="H16" s="108"/>
      <c r="I16" s="108"/>
      <c r="J16" s="100"/>
      <c r="K16" s="365"/>
      <c r="L16" s="110"/>
      <c r="M16" s="102"/>
      <c r="N16" s="98"/>
      <c r="O16" s="98"/>
      <c r="P16" s="363"/>
      <c r="Q16" s="34"/>
      <c r="R16" s="26"/>
      <c r="S16" s="26"/>
      <c r="T16" s="26"/>
      <c r="U16" s="26"/>
      <c r="V16" s="26"/>
      <c r="W16" s="26"/>
      <c r="X16" s="26"/>
      <c r="Y16" s="26"/>
    </row>
    <row r="17" spans="1:25" s="3" customFormat="1">
      <c r="A17" s="11" t="s">
        <v>518</v>
      </c>
      <c r="B17" s="22"/>
      <c r="C17" s="18"/>
      <c r="D17" s="22"/>
      <c r="E17" s="19"/>
      <c r="F17" s="19"/>
      <c r="G17" s="19"/>
      <c r="H17" s="19"/>
      <c r="I17" s="19"/>
      <c r="J17" s="19"/>
      <c r="K17" s="19"/>
      <c r="L17" s="19"/>
      <c r="M17" s="19"/>
      <c r="N17" s="11"/>
      <c r="O17" s="11"/>
      <c r="P17" s="11"/>
      <c r="Q17" s="27"/>
      <c r="R17" s="27"/>
      <c r="S17" s="27"/>
      <c r="T17" s="27"/>
      <c r="U17" s="27"/>
      <c r="V17" s="27"/>
      <c r="W17" s="28"/>
      <c r="X17" s="27"/>
      <c r="Y17" s="27"/>
    </row>
    <row r="18" spans="1:25" s="3" customFormat="1">
      <c r="A18" s="17" t="s">
        <v>28</v>
      </c>
      <c r="B18" s="97"/>
      <c r="C18" s="22"/>
      <c r="D18" s="22"/>
      <c r="E18" s="102"/>
      <c r="F18" s="102"/>
      <c r="G18" s="102"/>
      <c r="H18" s="102"/>
      <c r="I18" s="102"/>
      <c r="J18" s="100"/>
      <c r="K18" s="103"/>
      <c r="L18" s="102"/>
      <c r="M18" s="104"/>
      <c r="N18" s="88"/>
      <c r="O18" s="88"/>
      <c r="P18" s="88"/>
      <c r="Q18" s="27"/>
      <c r="R18" s="27"/>
      <c r="S18" s="27"/>
      <c r="T18" s="27"/>
      <c r="U18" s="27"/>
      <c r="V18" s="27"/>
      <c r="W18" s="27"/>
      <c r="X18" s="27"/>
      <c r="Y18" s="27"/>
    </row>
    <row r="19" spans="1:25">
      <c r="A19" s="17" t="s">
        <v>499</v>
      </c>
      <c r="B19" s="549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30"/>
      <c r="O19" s="30"/>
      <c r="P19" s="364"/>
      <c r="Q19" s="20">
        <f>Q11+Q15</f>
        <v>0.9504215378625569</v>
      </c>
      <c r="R19" s="20">
        <f t="shared" ref="R19:Y19" si="8">R11+R15</f>
        <v>3.6844030780014445</v>
      </c>
      <c r="S19" s="20">
        <f t="shared" si="8"/>
        <v>6.1566857317844876</v>
      </c>
      <c r="T19" s="20">
        <f t="shared" si="8"/>
        <v>1.207090973569876E-2</v>
      </c>
      <c r="U19" s="20">
        <f t="shared" si="8"/>
        <v>0.30389171690722716</v>
      </c>
      <c r="V19" s="20">
        <f t="shared" si="8"/>
        <v>0.27046362804743218</v>
      </c>
      <c r="W19" s="20">
        <f t="shared" si="8"/>
        <v>1029.5443237340787</v>
      </c>
      <c r="X19" s="20">
        <f t="shared" si="8"/>
        <v>9.3819672145962416E-2</v>
      </c>
      <c r="Y19" s="20">
        <f t="shared" si="8"/>
        <v>0.58488514451952633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3"/>
  <sheetViews>
    <sheetView topLeftCell="A4" zoomScale="75" workbookViewId="0">
      <selection activeCell="O44" sqref="O44:O45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706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315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C9*(F9)*$B$337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5" t="s">
        <v>28</v>
      </c>
      <c r="B10" s="74"/>
      <c r="C10" s="112"/>
      <c r="D10" s="112"/>
      <c r="E10" s="74"/>
      <c r="F10" s="74"/>
      <c r="G10" s="577"/>
      <c r="H10" s="41"/>
      <c r="I10" s="41"/>
      <c r="J10" s="41"/>
      <c r="K10" s="574"/>
      <c r="L10" s="574"/>
      <c r="M10" s="574"/>
      <c r="N10" s="574"/>
      <c r="O10" s="574"/>
      <c r="P10" s="574"/>
      <c r="Q10" s="41"/>
      <c r="R10" s="574"/>
      <c r="S10" s="574"/>
      <c r="T10" s="81">
        <f t="shared" ref="T10:AD10" si="0">SUM(T9:T9)</f>
        <v>9.9891275533645019E-2</v>
      </c>
      <c r="U10" s="81">
        <f t="shared" si="0"/>
        <v>0.18440937782971867</v>
      </c>
      <c r="V10" s="81">
        <f t="shared" si="0"/>
        <v>2.253067276294635E-2</v>
      </c>
      <c r="W10" s="81">
        <f t="shared" si="0"/>
        <v>1.3898613406074772E-3</v>
      </c>
      <c r="X10" s="81">
        <f t="shared" si="0"/>
        <v>3.6369464870151122E-2</v>
      </c>
      <c r="Y10" s="81">
        <f t="shared" si="0"/>
        <v>2.4166098982977401E-2</v>
      </c>
      <c r="Z10" s="81">
        <f t="shared" si="0"/>
        <v>0</v>
      </c>
      <c r="AA10" s="81">
        <f t="shared" si="0"/>
        <v>0</v>
      </c>
      <c r="AB10" s="81">
        <f t="shared" si="0"/>
        <v>96.814105590256631</v>
      </c>
      <c r="AC10" s="81">
        <f t="shared" si="0"/>
        <v>5.5322484357440338E-3</v>
      </c>
      <c r="AD10" s="81">
        <f t="shared" si="0"/>
        <v>2.4799901288000137E-3</v>
      </c>
    </row>
    <row r="11" spans="1:30">
      <c r="A11" s="75"/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</row>
    <row r="12" spans="1:30">
      <c r="A12" s="114" t="s">
        <v>336</v>
      </c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>
      <c r="A13" s="78" t="s">
        <v>320</v>
      </c>
      <c r="B13" s="76" t="s">
        <v>95</v>
      </c>
      <c r="C13" s="79">
        <v>3</v>
      </c>
      <c r="D13" s="77"/>
      <c r="E13" s="77">
        <v>35</v>
      </c>
      <c r="F13" s="77">
        <v>60</v>
      </c>
      <c r="G13" s="106">
        <v>0.25172046482947802</v>
      </c>
      <c r="H13" s="106">
        <v>0.464701387165456</v>
      </c>
      <c r="I13" s="106">
        <v>5.6776043658582402E-2</v>
      </c>
      <c r="J13" s="106">
        <v>3.5023733638119199E-3</v>
      </c>
      <c r="K13" s="106">
        <v>4.6899256897933901E-2</v>
      </c>
      <c r="L13" s="47">
        <v>7.99995847163921E-3</v>
      </c>
      <c r="M13" s="47">
        <v>3.6749815577381599E-2</v>
      </c>
      <c r="N13" s="106">
        <v>4.3147317248333997E-2</v>
      </c>
      <c r="O13" s="47">
        <v>1.9999896145790402E-3</v>
      </c>
      <c r="P13" s="47">
        <v>1.57499200131354E-2</v>
      </c>
      <c r="Q13" s="106">
        <v>243.966167526025</v>
      </c>
      <c r="R13" s="47">
        <f>0.000057143*Q13</f>
        <v>1.3940958710939646E-2</v>
      </c>
      <c r="S13" s="80">
        <f>0.000025616*Q13</f>
        <v>6.2494373473466567E-3</v>
      </c>
      <c r="T13" s="50">
        <f>C13*($F13*$G13)/453.59</f>
        <v>9.9891275533645019E-2</v>
      </c>
      <c r="U13" s="50">
        <f>C13*($F13*$H13)/453.59</f>
        <v>0.18440937782971867</v>
      </c>
      <c r="V13" s="50">
        <f>C13*(($F13*$I13))/453.59</f>
        <v>2.253067276294635E-2</v>
      </c>
      <c r="W13" s="50">
        <f>C13*($F13*$J13)/453.59</f>
        <v>1.3898613406074772E-3</v>
      </c>
      <c r="X13" s="50">
        <f>C13*(($F13*($K13+$L13+$M13)))/453.59</f>
        <v>3.6369464870151122E-2</v>
      </c>
      <c r="Y13" s="50">
        <f>C13*(($F13*($N13+$O13+$P13)))/453.59</f>
        <v>2.4166098982977401E-2</v>
      </c>
      <c r="Z13" s="50">
        <f>C13*(F13)*$B$298</f>
        <v>0</v>
      </c>
      <c r="AA13" s="50">
        <f>Z13*0.21</f>
        <v>0</v>
      </c>
      <c r="AB13" s="50">
        <f>C13*(($F13*($Q13)))/453.59</f>
        <v>96.814105590256631</v>
      </c>
      <c r="AC13" s="50">
        <f>C13*(($F13*($R13)))/453.59</f>
        <v>5.5322484357440338E-3</v>
      </c>
      <c r="AD13" s="50">
        <f>C13*(($F13*($S13)))/453.59</f>
        <v>2.4799901288000137E-3</v>
      </c>
    </row>
    <row r="14" spans="1:30">
      <c r="A14" s="75" t="s">
        <v>28</v>
      </c>
      <c r="B14" s="74"/>
      <c r="C14" s="112"/>
      <c r="D14" s="112"/>
      <c r="E14" s="74"/>
      <c r="F14" s="74"/>
      <c r="G14" s="577"/>
      <c r="H14" s="41"/>
      <c r="I14" s="41"/>
      <c r="J14" s="41"/>
      <c r="K14" s="574"/>
      <c r="L14" s="574"/>
      <c r="M14" s="574"/>
      <c r="N14" s="574"/>
      <c r="O14" s="574"/>
      <c r="P14" s="574"/>
      <c r="Q14" s="41"/>
      <c r="R14" s="574"/>
      <c r="S14" s="574"/>
      <c r="T14" s="81">
        <f t="shared" ref="T14:AD14" si="1">SUM(T13:T13)</f>
        <v>9.9891275533645019E-2</v>
      </c>
      <c r="U14" s="81">
        <f t="shared" si="1"/>
        <v>0.18440937782971867</v>
      </c>
      <c r="V14" s="81">
        <f t="shared" si="1"/>
        <v>2.253067276294635E-2</v>
      </c>
      <c r="W14" s="81">
        <f t="shared" si="1"/>
        <v>1.3898613406074772E-3</v>
      </c>
      <c r="X14" s="81">
        <f t="shared" si="1"/>
        <v>3.6369464870151122E-2</v>
      </c>
      <c r="Y14" s="81">
        <f t="shared" si="1"/>
        <v>2.4166098982977401E-2</v>
      </c>
      <c r="Z14" s="81">
        <f t="shared" si="1"/>
        <v>0</v>
      </c>
      <c r="AA14" s="81">
        <f t="shared" si="1"/>
        <v>0</v>
      </c>
      <c r="AB14" s="81">
        <f t="shared" si="1"/>
        <v>96.814105590256631</v>
      </c>
      <c r="AC14" s="81">
        <f t="shared" si="1"/>
        <v>5.5322484357440338E-3</v>
      </c>
      <c r="AD14" s="81">
        <f t="shared" si="1"/>
        <v>2.4799901288000137E-3</v>
      </c>
    </row>
    <row r="15" spans="1:30">
      <c r="A15" s="75"/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</row>
    <row r="16" spans="1:30">
      <c r="A16" s="114" t="s">
        <v>319</v>
      </c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61"/>
      <c r="U16" s="61"/>
      <c r="V16" s="61"/>
      <c r="W16" s="61"/>
      <c r="X16" s="61"/>
      <c r="Y16" s="61"/>
      <c r="Z16" s="62"/>
      <c r="AA16" s="62"/>
      <c r="AB16" s="62"/>
      <c r="AC16" s="62"/>
      <c r="AD16" s="62"/>
    </row>
    <row r="17" spans="1:30">
      <c r="A17" s="78" t="s">
        <v>320</v>
      </c>
      <c r="B17" s="76" t="s">
        <v>95</v>
      </c>
      <c r="C17" s="79">
        <v>1</v>
      </c>
      <c r="D17" s="77"/>
      <c r="E17" s="77">
        <v>35</v>
      </c>
      <c r="F17" s="77">
        <v>60</v>
      </c>
      <c r="G17" s="106">
        <v>0.25172046482947802</v>
      </c>
      <c r="H17" s="106">
        <v>0.464701387165456</v>
      </c>
      <c r="I17" s="106">
        <v>5.6776043658582402E-2</v>
      </c>
      <c r="J17" s="106">
        <v>3.5023733638119199E-3</v>
      </c>
      <c r="K17" s="106">
        <v>4.6899256897933901E-2</v>
      </c>
      <c r="L17" s="47">
        <v>7.99995847163921E-3</v>
      </c>
      <c r="M17" s="47">
        <v>3.6749815577381599E-2</v>
      </c>
      <c r="N17" s="106">
        <v>4.3147317248333997E-2</v>
      </c>
      <c r="O17" s="47">
        <v>1.9999896145790402E-3</v>
      </c>
      <c r="P17" s="47">
        <v>1.57499200131354E-2</v>
      </c>
      <c r="Q17" s="106">
        <v>243.966167526025</v>
      </c>
      <c r="R17" s="47">
        <f>0.000057143*Q17</f>
        <v>1.3940958710939646E-2</v>
      </c>
      <c r="S17" s="80">
        <f>0.000025616*Q17</f>
        <v>6.2494373473466567E-3</v>
      </c>
      <c r="T17" s="50">
        <f>C17*($F17*$G17)/453.59</f>
        <v>3.3297091844548342E-2</v>
      </c>
      <c r="U17" s="50">
        <f>C17*($F17*$H17)/453.59</f>
        <v>6.1469792609906218E-2</v>
      </c>
      <c r="V17" s="50">
        <f>C17*(($F17*$I17))/453.59</f>
        <v>7.5102242543154491E-3</v>
      </c>
      <c r="W17" s="50">
        <f>C17*($F17*$J17)/453.59</f>
        <v>4.6328711353582576E-4</v>
      </c>
      <c r="X17" s="50">
        <f>C17*(($F17*($K17+$L17+$M17)))/453.59</f>
        <v>1.2123154956717041E-2</v>
      </c>
      <c r="Y17" s="50">
        <f>C17*(($F17*($N17+$O17+$P17)))/453.59</f>
        <v>8.0553663276591338E-3</v>
      </c>
      <c r="Z17" s="50">
        <f>C17*(F17)*$B$303</f>
        <v>0</v>
      </c>
      <c r="AA17" s="50">
        <f>Z17*0.21</f>
        <v>0</v>
      </c>
      <c r="AB17" s="50">
        <f>C17*(($F17*($Q17)))/453.59</f>
        <v>32.271368530085546</v>
      </c>
      <c r="AC17" s="50">
        <f>C17*(($F17*($R17)))/453.59</f>
        <v>1.844082811914678E-3</v>
      </c>
      <c r="AD17" s="50">
        <f>C17*(($F17*($S17)))/453.59</f>
        <v>8.2666337626667119E-4</v>
      </c>
    </row>
    <row r="18" spans="1:30">
      <c r="A18" s="75" t="s">
        <v>28</v>
      </c>
      <c r="B18" s="74"/>
      <c r="C18" s="112"/>
      <c r="D18" s="112"/>
      <c r="E18" s="74"/>
      <c r="F18" s="74"/>
      <c r="G18" s="577"/>
      <c r="H18" s="41"/>
      <c r="I18" s="41"/>
      <c r="J18" s="41"/>
      <c r="K18" s="574"/>
      <c r="L18" s="574"/>
      <c r="M18" s="574"/>
      <c r="N18" s="574"/>
      <c r="O18" s="574"/>
      <c r="P18" s="574"/>
      <c r="Q18" s="41"/>
      <c r="R18" s="574"/>
      <c r="S18" s="574"/>
      <c r="T18" s="81">
        <f t="shared" ref="T18:AD18" si="2">SUM(T17:T17)</f>
        <v>3.3297091844548342E-2</v>
      </c>
      <c r="U18" s="81">
        <f t="shared" si="2"/>
        <v>6.1469792609906218E-2</v>
      </c>
      <c r="V18" s="81">
        <f t="shared" si="2"/>
        <v>7.5102242543154491E-3</v>
      </c>
      <c r="W18" s="81">
        <f t="shared" si="2"/>
        <v>4.6328711353582576E-4</v>
      </c>
      <c r="X18" s="81">
        <f t="shared" si="2"/>
        <v>1.2123154956717041E-2</v>
      </c>
      <c r="Y18" s="81">
        <f t="shared" si="2"/>
        <v>8.0553663276591338E-3</v>
      </c>
      <c r="Z18" s="81">
        <f t="shared" si="2"/>
        <v>0</v>
      </c>
      <c r="AA18" s="81">
        <f t="shared" si="2"/>
        <v>0</v>
      </c>
      <c r="AB18" s="81">
        <f t="shared" si="2"/>
        <v>32.271368530085546</v>
      </c>
      <c r="AC18" s="81">
        <f t="shared" si="2"/>
        <v>1.844082811914678E-3</v>
      </c>
      <c r="AD18" s="81">
        <f t="shared" si="2"/>
        <v>8.2666337626667119E-4</v>
      </c>
    </row>
    <row r="19" spans="1:30">
      <c r="A19" s="75" t="s">
        <v>388</v>
      </c>
      <c r="B19" s="74"/>
      <c r="C19" s="112"/>
      <c r="D19" s="112"/>
      <c r="E19" s="74"/>
      <c r="F19" s="74"/>
      <c r="G19" s="547"/>
      <c r="H19" s="41"/>
      <c r="I19" s="41"/>
      <c r="J19" s="41"/>
      <c r="K19" s="544"/>
      <c r="L19" s="544"/>
      <c r="M19" s="544"/>
      <c r="N19" s="544"/>
      <c r="O19" s="544"/>
      <c r="P19" s="544"/>
      <c r="Q19" s="41"/>
      <c r="R19" s="544"/>
      <c r="S19" s="544"/>
      <c r="T19" s="81">
        <f>T10+T14+T18</f>
        <v>0.23307964291183839</v>
      </c>
      <c r="U19" s="81">
        <f t="shared" ref="U19:AD19" si="3">U10+U14+U18</f>
        <v>0.43028854826934354</v>
      </c>
      <c r="V19" s="81">
        <f t="shared" si="3"/>
        <v>5.2571569780208147E-2</v>
      </c>
      <c r="W19" s="81">
        <f t="shared" si="3"/>
        <v>3.2430097947507802E-3</v>
      </c>
      <c r="X19" s="81">
        <f t="shared" si="3"/>
        <v>8.486208469701928E-2</v>
      </c>
      <c r="Y19" s="81">
        <f t="shared" si="3"/>
        <v>5.638756429361394E-2</v>
      </c>
      <c r="Z19" s="81">
        <f t="shared" si="3"/>
        <v>0</v>
      </c>
      <c r="AA19" s="81">
        <f t="shared" si="3"/>
        <v>0</v>
      </c>
      <c r="AB19" s="81">
        <f t="shared" si="3"/>
        <v>225.8995797105988</v>
      </c>
      <c r="AC19" s="81">
        <f t="shared" si="3"/>
        <v>1.2908579683402746E-2</v>
      </c>
      <c r="AD19" s="81">
        <f t="shared" si="3"/>
        <v>5.7866436338666989E-3</v>
      </c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371" spans="1:2" ht="25.5">
      <c r="A371" s="82" t="s">
        <v>109</v>
      </c>
    </row>
    <row r="373" spans="1:2">
      <c r="A373" s="36" t="s">
        <v>81</v>
      </c>
    </row>
    <row r="374" spans="1:2">
      <c r="A374" s="36" t="s">
        <v>82</v>
      </c>
    </row>
    <row r="375" spans="1:2">
      <c r="A375" s="36" t="s">
        <v>83</v>
      </c>
    </row>
    <row r="376" spans="1:2">
      <c r="A376" s="37" t="s">
        <v>96</v>
      </c>
    </row>
    <row r="377" spans="1:2">
      <c r="A377" s="36" t="s">
        <v>85</v>
      </c>
    </row>
    <row r="378" spans="1:2">
      <c r="A378" s="36" t="s">
        <v>86</v>
      </c>
    </row>
    <row r="379" spans="1:2">
      <c r="A379" s="36" t="s">
        <v>87</v>
      </c>
    </row>
    <row r="380" spans="1:2">
      <c r="A380" s="36" t="s">
        <v>0</v>
      </c>
    </row>
    <row r="381" spans="1:2">
      <c r="A381" s="37" t="s">
        <v>97</v>
      </c>
      <c r="B381" s="36">
        <f>(0.016*(0.03/2)^0.65*(2/3)^1.5)-0.00047</f>
        <v>9.8123053326417428E-5</v>
      </c>
    </row>
    <row r="382" spans="1:2">
      <c r="A382" s="37" t="s">
        <v>98</v>
      </c>
      <c r="B382" s="36">
        <f>(0.016*(0.03/2)^0.65*(13/3)^1.5)-0.00047</f>
        <v>8.9448292388582783E-3</v>
      </c>
    </row>
    <row r="383" spans="1:2">
      <c r="A383" s="37" t="s">
        <v>99</v>
      </c>
      <c r="B383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707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67" ht="25.5">
      <c r="A5" s="44" t="s">
        <v>335</v>
      </c>
      <c r="B5" s="45" t="s">
        <v>102</v>
      </c>
      <c r="C5" s="46">
        <v>1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319</v>
      </c>
      <c r="B6" s="45" t="s">
        <v>102</v>
      </c>
      <c r="C6" s="46">
        <v>2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546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2">AG$11*$AC16</f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>AR$11*$AC16</f>
        <v>#REF!</v>
      </c>
      <c r="AS16" s="36" t="e">
        <f t="shared" ref="AS16:BA24" si="3">AS$11*$AC16</f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4">AF$11*$AC17</f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ref="AR17:AR24" si="5">AR$11*$AC17</f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6">AF$11*$AC27</f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ref="AR27:BA35" si="7">AR$11*$AC27</f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8">AF$11*$AC38</f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ref="AR38:BA46" si="9">AR$11*$AC38</f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0">AF16+AF18+AF19</f>
        <v>#REF!</v>
      </c>
      <c r="AG51" s="70" t="e">
        <f t="shared" si="10"/>
        <v>#REF!</v>
      </c>
      <c r="AH51" s="70" t="e">
        <f t="shared" si="10"/>
        <v>#REF!</v>
      </c>
      <c r="AI51" s="70" t="e">
        <f t="shared" si="10"/>
        <v>#REF!</v>
      </c>
      <c r="AJ51" s="70" t="e">
        <f t="shared" si="10"/>
        <v>#REF!</v>
      </c>
      <c r="AK51" s="70" t="e">
        <f t="shared" si="10"/>
        <v>#REF!</v>
      </c>
      <c r="AL51" s="70" t="e">
        <f t="shared" si="10"/>
        <v>#REF!</v>
      </c>
      <c r="AM51" s="70" t="e">
        <f t="shared" si="10"/>
        <v>#REF!</v>
      </c>
      <c r="AN51" s="70" t="e">
        <f t="shared" si="10"/>
        <v>#REF!</v>
      </c>
      <c r="AO51" s="70" t="e">
        <f t="shared" si="10"/>
        <v>#REF!</v>
      </c>
      <c r="AP51" s="70"/>
      <c r="AQ51" s="70"/>
      <c r="AR51" s="70" t="e">
        <f t="shared" ref="AR51:BA51" si="11">AR16+AR18+AR19</f>
        <v>#REF!</v>
      </c>
      <c r="AS51" s="70" t="e">
        <f t="shared" si="11"/>
        <v>#REF!</v>
      </c>
      <c r="AT51" s="70" t="e">
        <f t="shared" si="11"/>
        <v>#REF!</v>
      </c>
      <c r="AU51" s="70" t="e">
        <f t="shared" si="11"/>
        <v>#REF!</v>
      </c>
      <c r="AV51" s="70" t="e">
        <f t="shared" si="11"/>
        <v>#REF!</v>
      </c>
      <c r="AW51" s="70" t="e">
        <f t="shared" si="11"/>
        <v>#REF!</v>
      </c>
      <c r="AX51" s="70" t="e">
        <f t="shared" si="11"/>
        <v>#REF!</v>
      </c>
      <c r="AY51" s="70" t="e">
        <f t="shared" si="11"/>
        <v>#REF!</v>
      </c>
      <c r="AZ51" s="70" t="e">
        <f t="shared" si="11"/>
        <v>#REF!</v>
      </c>
      <c r="BA51" s="70" t="e">
        <f t="shared" si="11"/>
        <v>#REF!</v>
      </c>
    </row>
    <row r="52" spans="27:53" hidden="1">
      <c r="AA52" s="71" t="s">
        <v>41</v>
      </c>
      <c r="AB52" s="35"/>
      <c r="AF52" s="70" t="e">
        <f t="shared" ref="AF52:AO52" si="12">AF27+AF29+AF30</f>
        <v>#REF!</v>
      </c>
      <c r="AG52" s="70" t="e">
        <f t="shared" si="12"/>
        <v>#REF!</v>
      </c>
      <c r="AH52" s="70" t="e">
        <f t="shared" si="12"/>
        <v>#REF!</v>
      </c>
      <c r="AI52" s="70" t="e">
        <f t="shared" si="12"/>
        <v>#REF!</v>
      </c>
      <c r="AJ52" s="70" t="e">
        <f t="shared" si="12"/>
        <v>#REF!</v>
      </c>
      <c r="AK52" s="70" t="e">
        <f t="shared" si="12"/>
        <v>#REF!</v>
      </c>
      <c r="AL52" s="70" t="e">
        <f t="shared" si="12"/>
        <v>#REF!</v>
      </c>
      <c r="AM52" s="70" t="e">
        <f t="shared" si="12"/>
        <v>#REF!</v>
      </c>
      <c r="AN52" s="70" t="e">
        <f t="shared" si="12"/>
        <v>#REF!</v>
      </c>
      <c r="AO52" s="70" t="e">
        <f t="shared" si="12"/>
        <v>#REF!</v>
      </c>
      <c r="AP52" s="70"/>
      <c r="AQ52" s="70"/>
      <c r="AR52" s="70" t="e">
        <f t="shared" ref="AR52:BA52" si="13">AR27+AR29+AR30</f>
        <v>#REF!</v>
      </c>
      <c r="AS52" s="70" t="e">
        <f t="shared" si="13"/>
        <v>#REF!</v>
      </c>
      <c r="AT52" s="70" t="e">
        <f t="shared" si="13"/>
        <v>#REF!</v>
      </c>
      <c r="AU52" s="70" t="e">
        <f t="shared" si="13"/>
        <v>#REF!</v>
      </c>
      <c r="AV52" s="70" t="e">
        <f t="shared" si="13"/>
        <v>#REF!</v>
      </c>
      <c r="AW52" s="70" t="e">
        <f t="shared" si="13"/>
        <v>#REF!</v>
      </c>
      <c r="AX52" s="70" t="e">
        <f t="shared" si="13"/>
        <v>#REF!</v>
      </c>
      <c r="AY52" s="70" t="e">
        <f t="shared" si="13"/>
        <v>#REF!</v>
      </c>
      <c r="AZ52" s="70" t="e">
        <f t="shared" si="13"/>
        <v>#REF!</v>
      </c>
      <c r="BA52" s="70" t="e">
        <f t="shared" si="13"/>
        <v>#REF!</v>
      </c>
    </row>
    <row r="53" spans="27:53" hidden="1">
      <c r="AA53" s="71" t="s">
        <v>42</v>
      </c>
      <c r="AB53" s="35"/>
      <c r="AF53" s="70" t="e">
        <f t="shared" ref="AF53:AO53" si="14">AF38+AF40+AF41</f>
        <v>#REF!</v>
      </c>
      <c r="AG53" s="70" t="e">
        <f t="shared" si="14"/>
        <v>#REF!</v>
      </c>
      <c r="AH53" s="70" t="e">
        <f t="shared" si="14"/>
        <v>#REF!</v>
      </c>
      <c r="AI53" s="70" t="e">
        <f t="shared" si="14"/>
        <v>#REF!</v>
      </c>
      <c r="AJ53" s="70" t="e">
        <f t="shared" si="14"/>
        <v>#REF!</v>
      </c>
      <c r="AK53" s="70" t="e">
        <f t="shared" si="14"/>
        <v>#REF!</v>
      </c>
      <c r="AL53" s="70" t="e">
        <f t="shared" si="14"/>
        <v>#REF!</v>
      </c>
      <c r="AM53" s="70" t="e">
        <f t="shared" si="14"/>
        <v>#REF!</v>
      </c>
      <c r="AN53" s="70" t="e">
        <f t="shared" si="14"/>
        <v>#REF!</v>
      </c>
      <c r="AO53" s="70" t="e">
        <f t="shared" si="14"/>
        <v>#REF!</v>
      </c>
      <c r="AP53" s="70"/>
      <c r="AQ53" s="70"/>
      <c r="AR53" s="70" t="e">
        <f t="shared" ref="AR53:BA53" si="15">AR38+AR40+AR41</f>
        <v>#REF!</v>
      </c>
      <c r="AS53" s="70" t="e">
        <f t="shared" si="15"/>
        <v>#REF!</v>
      </c>
      <c r="AT53" s="70" t="e">
        <f t="shared" si="15"/>
        <v>#REF!</v>
      </c>
      <c r="AU53" s="70" t="e">
        <f t="shared" si="15"/>
        <v>#REF!</v>
      </c>
      <c r="AV53" s="70" t="e">
        <f t="shared" si="15"/>
        <v>#REF!</v>
      </c>
      <c r="AW53" s="70" t="e">
        <f t="shared" si="15"/>
        <v>#REF!</v>
      </c>
      <c r="AX53" s="70" t="e">
        <f t="shared" si="15"/>
        <v>#REF!</v>
      </c>
      <c r="AY53" s="70" t="e">
        <f t="shared" si="15"/>
        <v>#REF!</v>
      </c>
      <c r="AZ53" s="70" t="e">
        <f t="shared" si="15"/>
        <v>#REF!</v>
      </c>
      <c r="BA53" s="70" t="e">
        <f t="shared" si="15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6">AF16+AF18+AF20+AF22</f>
        <v>#REF!</v>
      </c>
      <c r="AG55" s="70" t="e">
        <f t="shared" si="16"/>
        <v>#REF!</v>
      </c>
      <c r="AH55" s="70" t="e">
        <f t="shared" si="16"/>
        <v>#REF!</v>
      </c>
      <c r="AI55" s="70" t="e">
        <f t="shared" si="16"/>
        <v>#REF!</v>
      </c>
      <c r="AJ55" s="70" t="e">
        <f t="shared" si="16"/>
        <v>#REF!</v>
      </c>
      <c r="AK55" s="70" t="e">
        <f t="shared" si="16"/>
        <v>#REF!</v>
      </c>
      <c r="AL55" s="70" t="e">
        <f t="shared" si="16"/>
        <v>#REF!</v>
      </c>
      <c r="AM55" s="70" t="e">
        <f t="shared" si="16"/>
        <v>#REF!</v>
      </c>
      <c r="AN55" s="70" t="e">
        <f t="shared" si="16"/>
        <v>#REF!</v>
      </c>
      <c r="AO55" s="70" t="e">
        <f t="shared" si="16"/>
        <v>#REF!</v>
      </c>
      <c r="AP55" s="70"/>
      <c r="AQ55" s="70"/>
      <c r="AR55" s="70" t="e">
        <f t="shared" ref="AR55:BA55" si="17">AR16+AR18+AR20+AR22</f>
        <v>#REF!</v>
      </c>
      <c r="AS55" s="70" t="e">
        <f t="shared" si="17"/>
        <v>#REF!</v>
      </c>
      <c r="AT55" s="70" t="e">
        <f t="shared" si="17"/>
        <v>#REF!</v>
      </c>
      <c r="AU55" s="70" t="e">
        <f t="shared" si="17"/>
        <v>#REF!</v>
      </c>
      <c r="AV55" s="70" t="e">
        <f t="shared" si="17"/>
        <v>#REF!</v>
      </c>
      <c r="AW55" s="70" t="e">
        <f t="shared" si="17"/>
        <v>#REF!</v>
      </c>
      <c r="AX55" s="70" t="e">
        <f t="shared" si="17"/>
        <v>#REF!</v>
      </c>
      <c r="AY55" s="70" t="e">
        <f t="shared" si="17"/>
        <v>#REF!</v>
      </c>
      <c r="AZ55" s="70" t="e">
        <f t="shared" si="17"/>
        <v>#REF!</v>
      </c>
      <c r="BA55" s="70" t="e">
        <f t="shared" si="17"/>
        <v>#REF!</v>
      </c>
    </row>
    <row r="56" spans="27:53" hidden="1">
      <c r="AA56" s="71" t="s">
        <v>41</v>
      </c>
      <c r="AB56" s="35"/>
      <c r="AF56" s="70" t="e">
        <f t="shared" ref="AF56:AO56" si="18">AF27+AF29+AF31+AF33</f>
        <v>#REF!</v>
      </c>
      <c r="AG56" s="70" t="e">
        <f t="shared" si="18"/>
        <v>#REF!</v>
      </c>
      <c r="AH56" s="70" t="e">
        <f t="shared" si="18"/>
        <v>#REF!</v>
      </c>
      <c r="AI56" s="70" t="e">
        <f t="shared" si="18"/>
        <v>#REF!</v>
      </c>
      <c r="AJ56" s="70" t="e">
        <f t="shared" si="18"/>
        <v>#REF!</v>
      </c>
      <c r="AK56" s="70" t="e">
        <f t="shared" si="18"/>
        <v>#REF!</v>
      </c>
      <c r="AL56" s="70" t="e">
        <f t="shared" si="18"/>
        <v>#REF!</v>
      </c>
      <c r="AM56" s="70" t="e">
        <f t="shared" si="18"/>
        <v>#REF!</v>
      </c>
      <c r="AN56" s="70" t="e">
        <f t="shared" si="18"/>
        <v>#REF!</v>
      </c>
      <c r="AO56" s="70" t="e">
        <f t="shared" si="18"/>
        <v>#REF!</v>
      </c>
      <c r="AP56" s="70"/>
      <c r="AQ56" s="70"/>
      <c r="AR56" s="70" t="e">
        <f t="shared" ref="AR56:BA56" si="19">AR27+AR29+AR31+AR33</f>
        <v>#REF!</v>
      </c>
      <c r="AS56" s="70" t="e">
        <f t="shared" si="19"/>
        <v>#REF!</v>
      </c>
      <c r="AT56" s="70" t="e">
        <f t="shared" si="19"/>
        <v>#REF!</v>
      </c>
      <c r="AU56" s="70" t="e">
        <f t="shared" si="19"/>
        <v>#REF!</v>
      </c>
      <c r="AV56" s="70" t="e">
        <f t="shared" si="19"/>
        <v>#REF!</v>
      </c>
      <c r="AW56" s="70" t="e">
        <f t="shared" si="19"/>
        <v>#REF!</v>
      </c>
      <c r="AX56" s="70" t="e">
        <f t="shared" si="19"/>
        <v>#REF!</v>
      </c>
      <c r="AY56" s="70" t="e">
        <f t="shared" si="19"/>
        <v>#REF!</v>
      </c>
      <c r="AZ56" s="70" t="e">
        <f t="shared" si="19"/>
        <v>#REF!</v>
      </c>
      <c r="BA56" s="70" t="e">
        <f t="shared" si="19"/>
        <v>#REF!</v>
      </c>
    </row>
    <row r="57" spans="27:53" hidden="1">
      <c r="AA57" s="71" t="s">
        <v>42</v>
      </c>
      <c r="AB57" s="35"/>
      <c r="AF57" s="70" t="e">
        <f t="shared" ref="AF57:AO57" si="20">AF38+AF40+AF42+AF44</f>
        <v>#REF!</v>
      </c>
      <c r="AG57" s="70" t="e">
        <f t="shared" si="20"/>
        <v>#REF!</v>
      </c>
      <c r="AH57" s="70" t="e">
        <f t="shared" si="20"/>
        <v>#REF!</v>
      </c>
      <c r="AI57" s="70" t="e">
        <f t="shared" si="20"/>
        <v>#REF!</v>
      </c>
      <c r="AJ57" s="70" t="e">
        <f t="shared" si="20"/>
        <v>#REF!</v>
      </c>
      <c r="AK57" s="70" t="e">
        <f t="shared" si="20"/>
        <v>#REF!</v>
      </c>
      <c r="AL57" s="70" t="e">
        <f t="shared" si="20"/>
        <v>#REF!</v>
      </c>
      <c r="AM57" s="70" t="e">
        <f t="shared" si="20"/>
        <v>#REF!</v>
      </c>
      <c r="AN57" s="70" t="e">
        <f t="shared" si="20"/>
        <v>#REF!</v>
      </c>
      <c r="AO57" s="70" t="e">
        <f t="shared" si="20"/>
        <v>#REF!</v>
      </c>
      <c r="AP57" s="70"/>
      <c r="AQ57" s="70"/>
      <c r="AR57" s="70" t="e">
        <f t="shared" ref="AR57:BA57" si="21">AR38+AR40+AR42+AR44</f>
        <v>#REF!</v>
      </c>
      <c r="AS57" s="70" t="e">
        <f t="shared" si="21"/>
        <v>#REF!</v>
      </c>
      <c r="AT57" s="70" t="e">
        <f t="shared" si="21"/>
        <v>#REF!</v>
      </c>
      <c r="AU57" s="70" t="e">
        <f t="shared" si="21"/>
        <v>#REF!</v>
      </c>
      <c r="AV57" s="70" t="e">
        <f t="shared" si="21"/>
        <v>#REF!</v>
      </c>
      <c r="AW57" s="70" t="e">
        <f t="shared" si="21"/>
        <v>#REF!</v>
      </c>
      <c r="AX57" s="70" t="e">
        <f t="shared" si="21"/>
        <v>#REF!</v>
      </c>
      <c r="AY57" s="70" t="e">
        <f t="shared" si="21"/>
        <v>#REF!</v>
      </c>
      <c r="AZ57" s="70" t="e">
        <f t="shared" si="21"/>
        <v>#REF!</v>
      </c>
      <c r="BA57" s="70" t="e">
        <f t="shared" si="21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2">AF16+AF18+AF20+AF21+AF23</f>
        <v>#REF!</v>
      </c>
      <c r="AG59" s="70" t="e">
        <f t="shared" si="22"/>
        <v>#REF!</v>
      </c>
      <c r="AH59" s="70" t="e">
        <f t="shared" si="22"/>
        <v>#REF!</v>
      </c>
      <c r="AI59" s="70" t="e">
        <f t="shared" si="22"/>
        <v>#REF!</v>
      </c>
      <c r="AJ59" s="70" t="e">
        <f t="shared" si="22"/>
        <v>#REF!</v>
      </c>
      <c r="AK59" s="70" t="e">
        <f t="shared" si="22"/>
        <v>#REF!</v>
      </c>
      <c r="AL59" s="70" t="e">
        <f t="shared" si="22"/>
        <v>#REF!</v>
      </c>
      <c r="AM59" s="70" t="e">
        <f t="shared" si="22"/>
        <v>#REF!</v>
      </c>
      <c r="AN59" s="70" t="e">
        <f t="shared" si="22"/>
        <v>#REF!</v>
      </c>
      <c r="AO59" s="70" t="e">
        <f t="shared" si="22"/>
        <v>#REF!</v>
      </c>
      <c r="AP59" s="70"/>
      <c r="AQ59" s="70"/>
      <c r="AR59" s="70" t="e">
        <f t="shared" ref="AR59:BA59" si="23">AR16+AR18+AR20+AR21+AR23</f>
        <v>#REF!</v>
      </c>
      <c r="AS59" s="70" t="e">
        <f t="shared" si="23"/>
        <v>#REF!</v>
      </c>
      <c r="AT59" s="70" t="e">
        <f t="shared" si="23"/>
        <v>#REF!</v>
      </c>
      <c r="AU59" s="70" t="e">
        <f t="shared" si="23"/>
        <v>#REF!</v>
      </c>
      <c r="AV59" s="70" t="e">
        <f t="shared" si="23"/>
        <v>#REF!</v>
      </c>
      <c r="AW59" s="70" t="e">
        <f t="shared" si="23"/>
        <v>#REF!</v>
      </c>
      <c r="AX59" s="70" t="e">
        <f t="shared" si="23"/>
        <v>#REF!</v>
      </c>
      <c r="AY59" s="70" t="e">
        <f t="shared" si="23"/>
        <v>#REF!</v>
      </c>
      <c r="AZ59" s="70" t="e">
        <f t="shared" si="23"/>
        <v>#REF!</v>
      </c>
      <c r="BA59" s="70" t="e">
        <f t="shared" si="23"/>
        <v>#REF!</v>
      </c>
    </row>
    <row r="60" spans="27:53" hidden="1">
      <c r="AA60" s="71" t="s">
        <v>41</v>
      </c>
      <c r="AB60" s="35"/>
      <c r="AF60" s="70" t="e">
        <f t="shared" ref="AF60:AO60" si="24">AF27+AF29+AF31+AF32+AF34</f>
        <v>#REF!</v>
      </c>
      <c r="AG60" s="70" t="e">
        <f t="shared" si="24"/>
        <v>#REF!</v>
      </c>
      <c r="AH60" s="70" t="e">
        <f t="shared" si="24"/>
        <v>#REF!</v>
      </c>
      <c r="AI60" s="70" t="e">
        <f t="shared" si="24"/>
        <v>#REF!</v>
      </c>
      <c r="AJ60" s="70" t="e">
        <f t="shared" si="24"/>
        <v>#REF!</v>
      </c>
      <c r="AK60" s="70" t="e">
        <f t="shared" si="24"/>
        <v>#REF!</v>
      </c>
      <c r="AL60" s="70" t="e">
        <f t="shared" si="24"/>
        <v>#REF!</v>
      </c>
      <c r="AM60" s="70" t="e">
        <f t="shared" si="24"/>
        <v>#REF!</v>
      </c>
      <c r="AN60" s="70" t="e">
        <f t="shared" si="24"/>
        <v>#REF!</v>
      </c>
      <c r="AO60" s="70" t="e">
        <f t="shared" si="24"/>
        <v>#REF!</v>
      </c>
      <c r="AP60" s="70"/>
      <c r="AQ60" s="70"/>
      <c r="AR60" s="70" t="e">
        <f t="shared" ref="AR60:BA60" si="25">AR27+AR29+AR31+AR32+AR34</f>
        <v>#REF!</v>
      </c>
      <c r="AS60" s="70" t="e">
        <f t="shared" si="25"/>
        <v>#REF!</v>
      </c>
      <c r="AT60" s="70" t="e">
        <f t="shared" si="25"/>
        <v>#REF!</v>
      </c>
      <c r="AU60" s="70" t="e">
        <f t="shared" si="25"/>
        <v>#REF!</v>
      </c>
      <c r="AV60" s="70" t="e">
        <f t="shared" si="25"/>
        <v>#REF!</v>
      </c>
      <c r="AW60" s="70" t="e">
        <f t="shared" si="25"/>
        <v>#REF!</v>
      </c>
      <c r="AX60" s="70" t="e">
        <f t="shared" si="25"/>
        <v>#REF!</v>
      </c>
      <c r="AY60" s="70" t="e">
        <f t="shared" si="25"/>
        <v>#REF!</v>
      </c>
      <c r="AZ60" s="70" t="e">
        <f t="shared" si="25"/>
        <v>#REF!</v>
      </c>
      <c r="BA60" s="70" t="e">
        <f t="shared" si="25"/>
        <v>#REF!</v>
      </c>
    </row>
    <row r="61" spans="27:53" hidden="1">
      <c r="AA61" s="71" t="s">
        <v>42</v>
      </c>
      <c r="AB61" s="35"/>
      <c r="AF61" s="70" t="e">
        <f t="shared" ref="AF61:AO61" si="26">AF38+AF40+AF42+AF43+AF45</f>
        <v>#REF!</v>
      </c>
      <c r="AG61" s="70" t="e">
        <f t="shared" si="26"/>
        <v>#REF!</v>
      </c>
      <c r="AH61" s="70" t="e">
        <f t="shared" si="26"/>
        <v>#REF!</v>
      </c>
      <c r="AI61" s="70" t="e">
        <f t="shared" si="26"/>
        <v>#REF!</v>
      </c>
      <c r="AJ61" s="70" t="e">
        <f t="shared" si="26"/>
        <v>#REF!</v>
      </c>
      <c r="AK61" s="70" t="e">
        <f t="shared" si="26"/>
        <v>#REF!</v>
      </c>
      <c r="AL61" s="70" t="e">
        <f t="shared" si="26"/>
        <v>#REF!</v>
      </c>
      <c r="AM61" s="70" t="e">
        <f t="shared" si="26"/>
        <v>#REF!</v>
      </c>
      <c r="AN61" s="70" t="e">
        <f t="shared" si="26"/>
        <v>#REF!</v>
      </c>
      <c r="AO61" s="70" t="e">
        <f t="shared" si="26"/>
        <v>#REF!</v>
      </c>
      <c r="AP61" s="70"/>
      <c r="AQ61" s="70"/>
      <c r="AR61" s="70" t="e">
        <f t="shared" ref="AR61:BA61" si="27">AR38+AR40+AR42+AR43+AR45</f>
        <v>#REF!</v>
      </c>
      <c r="AS61" s="70" t="e">
        <f t="shared" si="27"/>
        <v>#REF!</v>
      </c>
      <c r="AT61" s="70" t="e">
        <f t="shared" si="27"/>
        <v>#REF!</v>
      </c>
      <c r="AU61" s="70" t="e">
        <f t="shared" si="27"/>
        <v>#REF!</v>
      </c>
      <c r="AV61" s="70" t="e">
        <f t="shared" si="27"/>
        <v>#REF!</v>
      </c>
      <c r="AW61" s="70" t="e">
        <f t="shared" si="27"/>
        <v>#REF!</v>
      </c>
      <c r="AX61" s="70" t="e">
        <f t="shared" si="27"/>
        <v>#REF!</v>
      </c>
      <c r="AY61" s="70" t="e">
        <f t="shared" si="27"/>
        <v>#REF!</v>
      </c>
      <c r="AZ61" s="70" t="e">
        <f t="shared" si="27"/>
        <v>#REF!</v>
      </c>
      <c r="BA61" s="70" t="e">
        <f t="shared" si="27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28">AF16+AF18+AF20+AF21+AF24</f>
        <v>#REF!</v>
      </c>
      <c r="AG63" s="70" t="e">
        <f t="shared" si="28"/>
        <v>#REF!</v>
      </c>
      <c r="AH63" s="70" t="e">
        <f t="shared" si="28"/>
        <v>#REF!</v>
      </c>
      <c r="AI63" s="70" t="e">
        <f t="shared" si="28"/>
        <v>#REF!</v>
      </c>
      <c r="AJ63" s="70" t="e">
        <f t="shared" si="28"/>
        <v>#REF!</v>
      </c>
      <c r="AK63" s="70" t="e">
        <f t="shared" si="28"/>
        <v>#REF!</v>
      </c>
      <c r="AL63" s="70" t="e">
        <f t="shared" si="28"/>
        <v>#REF!</v>
      </c>
      <c r="AM63" s="70" t="e">
        <f t="shared" si="28"/>
        <v>#REF!</v>
      </c>
      <c r="AN63" s="70" t="e">
        <f t="shared" si="28"/>
        <v>#REF!</v>
      </c>
      <c r="AO63" s="70" t="e">
        <f t="shared" si="28"/>
        <v>#REF!</v>
      </c>
      <c r="AP63" s="70"/>
      <c r="AQ63" s="70"/>
      <c r="AR63" s="70" t="e">
        <f t="shared" ref="AR63:BA63" si="29">AR16+AR18+AR20+AR21+AR24</f>
        <v>#REF!</v>
      </c>
      <c r="AS63" s="70" t="e">
        <f t="shared" si="29"/>
        <v>#REF!</v>
      </c>
      <c r="AT63" s="70" t="e">
        <f t="shared" si="29"/>
        <v>#REF!</v>
      </c>
      <c r="AU63" s="70" t="e">
        <f t="shared" si="29"/>
        <v>#REF!</v>
      </c>
      <c r="AV63" s="70" t="e">
        <f t="shared" si="29"/>
        <v>#REF!</v>
      </c>
      <c r="AW63" s="70" t="e">
        <f t="shared" si="29"/>
        <v>#REF!</v>
      </c>
      <c r="AX63" s="70" t="e">
        <f t="shared" si="29"/>
        <v>#REF!</v>
      </c>
      <c r="AY63" s="70" t="e">
        <f t="shared" si="29"/>
        <v>#REF!</v>
      </c>
      <c r="AZ63" s="70" t="e">
        <f t="shared" si="29"/>
        <v>#REF!</v>
      </c>
      <c r="BA63" s="70" t="e">
        <f t="shared" si="29"/>
        <v>#REF!</v>
      </c>
    </row>
    <row r="64" spans="27:53" hidden="1">
      <c r="AA64" s="71" t="s">
        <v>41</v>
      </c>
      <c r="AB64" s="35"/>
      <c r="AF64" s="70" t="e">
        <f t="shared" ref="AF64:AO64" si="30">AF27+AF29+AF31+AF32+AF35</f>
        <v>#REF!</v>
      </c>
      <c r="AG64" s="70" t="e">
        <f t="shared" si="30"/>
        <v>#REF!</v>
      </c>
      <c r="AH64" s="70" t="e">
        <f t="shared" si="30"/>
        <v>#REF!</v>
      </c>
      <c r="AI64" s="70" t="e">
        <f t="shared" si="30"/>
        <v>#REF!</v>
      </c>
      <c r="AJ64" s="70" t="e">
        <f t="shared" si="30"/>
        <v>#REF!</v>
      </c>
      <c r="AK64" s="70" t="e">
        <f t="shared" si="30"/>
        <v>#REF!</v>
      </c>
      <c r="AL64" s="70" t="e">
        <f t="shared" si="30"/>
        <v>#REF!</v>
      </c>
      <c r="AM64" s="70" t="e">
        <f t="shared" si="30"/>
        <v>#REF!</v>
      </c>
      <c r="AN64" s="70" t="e">
        <f t="shared" si="30"/>
        <v>#REF!</v>
      </c>
      <c r="AO64" s="70" t="e">
        <f t="shared" si="30"/>
        <v>#REF!</v>
      </c>
      <c r="AP64" s="70"/>
      <c r="AQ64" s="70"/>
      <c r="AR64" s="70" t="e">
        <f t="shared" ref="AR64:BA64" si="31">AR27+AR29+AR31+AR32+AR35</f>
        <v>#REF!</v>
      </c>
      <c r="AS64" s="70" t="e">
        <f t="shared" si="31"/>
        <v>#REF!</v>
      </c>
      <c r="AT64" s="70" t="e">
        <f t="shared" si="31"/>
        <v>#REF!</v>
      </c>
      <c r="AU64" s="70" t="e">
        <f t="shared" si="31"/>
        <v>#REF!</v>
      </c>
      <c r="AV64" s="70" t="e">
        <f t="shared" si="31"/>
        <v>#REF!</v>
      </c>
      <c r="AW64" s="70" t="e">
        <f t="shared" si="31"/>
        <v>#REF!</v>
      </c>
      <c r="AX64" s="70" t="e">
        <f t="shared" si="31"/>
        <v>#REF!</v>
      </c>
      <c r="AY64" s="70" t="e">
        <f t="shared" si="31"/>
        <v>#REF!</v>
      </c>
      <c r="AZ64" s="70" t="e">
        <f t="shared" si="31"/>
        <v>#REF!</v>
      </c>
      <c r="BA64" s="70" t="e">
        <f t="shared" si="31"/>
        <v>#REF!</v>
      </c>
    </row>
    <row r="65" spans="27:53" hidden="1">
      <c r="AA65" s="71" t="s">
        <v>42</v>
      </c>
      <c r="AB65" s="35"/>
      <c r="AF65" s="70" t="e">
        <f t="shared" ref="AF65:AO65" si="32">AF38+AF40+AF42+AF43+AF46</f>
        <v>#REF!</v>
      </c>
      <c r="AG65" s="70" t="e">
        <f t="shared" si="32"/>
        <v>#REF!</v>
      </c>
      <c r="AH65" s="70" t="e">
        <f t="shared" si="32"/>
        <v>#REF!</v>
      </c>
      <c r="AI65" s="70" t="e">
        <f t="shared" si="32"/>
        <v>#REF!</v>
      </c>
      <c r="AJ65" s="70" t="e">
        <f t="shared" si="32"/>
        <v>#REF!</v>
      </c>
      <c r="AK65" s="70" t="e">
        <f t="shared" si="32"/>
        <v>#REF!</v>
      </c>
      <c r="AL65" s="70" t="e">
        <f t="shared" si="32"/>
        <v>#REF!</v>
      </c>
      <c r="AM65" s="70" t="e">
        <f t="shared" si="32"/>
        <v>#REF!</v>
      </c>
      <c r="AN65" s="70" t="e">
        <f t="shared" si="32"/>
        <v>#REF!</v>
      </c>
      <c r="AO65" s="70" t="e">
        <f t="shared" si="32"/>
        <v>#REF!</v>
      </c>
      <c r="AP65" s="70"/>
      <c r="AQ65" s="70"/>
      <c r="AR65" s="70" t="e">
        <f t="shared" ref="AR65:BA65" si="33">AR38+AR40+AR42+AR43+AR46</f>
        <v>#REF!</v>
      </c>
      <c r="AS65" s="70" t="e">
        <f t="shared" si="33"/>
        <v>#REF!</v>
      </c>
      <c r="AT65" s="70" t="e">
        <f t="shared" si="33"/>
        <v>#REF!</v>
      </c>
      <c r="AU65" s="70" t="e">
        <f t="shared" si="33"/>
        <v>#REF!</v>
      </c>
      <c r="AV65" s="70" t="e">
        <f t="shared" si="33"/>
        <v>#REF!</v>
      </c>
      <c r="AW65" s="70" t="e">
        <f t="shared" si="33"/>
        <v>#REF!</v>
      </c>
      <c r="AX65" s="70" t="e">
        <f t="shared" si="33"/>
        <v>#REF!</v>
      </c>
      <c r="AY65" s="70" t="e">
        <f t="shared" si="33"/>
        <v>#REF!</v>
      </c>
      <c r="AZ65" s="70" t="e">
        <f t="shared" si="33"/>
        <v>#REF!</v>
      </c>
      <c r="BA65" s="70" t="e">
        <f t="shared" si="33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4">AF16+AF17+AF22</f>
        <v>#REF!</v>
      </c>
      <c r="AG67" s="70" t="e">
        <f t="shared" si="34"/>
        <v>#REF!</v>
      </c>
      <c r="AH67" s="70" t="e">
        <f t="shared" si="34"/>
        <v>#REF!</v>
      </c>
      <c r="AI67" s="70" t="e">
        <f t="shared" si="34"/>
        <v>#REF!</v>
      </c>
      <c r="AJ67" s="70" t="e">
        <f t="shared" si="34"/>
        <v>#REF!</v>
      </c>
      <c r="AK67" s="70" t="e">
        <f t="shared" si="34"/>
        <v>#REF!</v>
      </c>
      <c r="AL67" s="70" t="e">
        <f t="shared" si="34"/>
        <v>#REF!</v>
      </c>
      <c r="AM67" s="70" t="e">
        <f t="shared" si="34"/>
        <v>#REF!</v>
      </c>
      <c r="AN67" s="70" t="e">
        <f t="shared" si="34"/>
        <v>#REF!</v>
      </c>
      <c r="AO67" s="70" t="e">
        <f t="shared" si="34"/>
        <v>#REF!</v>
      </c>
      <c r="AP67" s="70"/>
      <c r="AQ67" s="70"/>
      <c r="AR67" s="70" t="e">
        <f t="shared" ref="AR67:BA67" si="35">AR16+AR17+AR22</f>
        <v>#REF!</v>
      </c>
      <c r="AS67" s="70" t="e">
        <f t="shared" si="35"/>
        <v>#REF!</v>
      </c>
      <c r="AT67" s="70" t="e">
        <f t="shared" si="35"/>
        <v>#REF!</v>
      </c>
      <c r="AU67" s="70" t="e">
        <f t="shared" si="35"/>
        <v>#REF!</v>
      </c>
      <c r="AV67" s="70" t="e">
        <f t="shared" si="35"/>
        <v>#REF!</v>
      </c>
      <c r="AW67" s="70" t="e">
        <f t="shared" si="35"/>
        <v>#REF!</v>
      </c>
      <c r="AX67" s="70" t="e">
        <f t="shared" si="35"/>
        <v>#REF!</v>
      </c>
      <c r="AY67" s="70" t="e">
        <f t="shared" si="35"/>
        <v>#REF!</v>
      </c>
      <c r="AZ67" s="70" t="e">
        <f t="shared" si="35"/>
        <v>#REF!</v>
      </c>
      <c r="BA67" s="70" t="e">
        <f t="shared" si="35"/>
        <v>#REF!</v>
      </c>
    </row>
    <row r="68" spans="27:53" hidden="1">
      <c r="AA68" s="71" t="s">
        <v>41</v>
      </c>
      <c r="AB68" s="35"/>
      <c r="AF68" s="70" t="e">
        <f t="shared" ref="AF68:AO68" si="36">AF27+AF28+AF33</f>
        <v>#REF!</v>
      </c>
      <c r="AG68" s="70" t="e">
        <f t="shared" si="36"/>
        <v>#REF!</v>
      </c>
      <c r="AH68" s="70" t="e">
        <f t="shared" si="36"/>
        <v>#REF!</v>
      </c>
      <c r="AI68" s="70" t="e">
        <f t="shared" si="36"/>
        <v>#REF!</v>
      </c>
      <c r="AJ68" s="70" t="e">
        <f t="shared" si="36"/>
        <v>#REF!</v>
      </c>
      <c r="AK68" s="70" t="e">
        <f t="shared" si="36"/>
        <v>#REF!</v>
      </c>
      <c r="AL68" s="70" t="e">
        <f t="shared" si="36"/>
        <v>#REF!</v>
      </c>
      <c r="AM68" s="70" t="e">
        <f t="shared" si="36"/>
        <v>#REF!</v>
      </c>
      <c r="AN68" s="70" t="e">
        <f t="shared" si="36"/>
        <v>#REF!</v>
      </c>
      <c r="AO68" s="70" t="e">
        <f t="shared" si="36"/>
        <v>#REF!</v>
      </c>
      <c r="AP68" s="70"/>
      <c r="AQ68" s="70"/>
      <c r="AR68" s="70" t="e">
        <f t="shared" ref="AR68:BA68" si="37">AR27+AR28+AR33</f>
        <v>#REF!</v>
      </c>
      <c r="AS68" s="70" t="e">
        <f t="shared" si="37"/>
        <v>#REF!</v>
      </c>
      <c r="AT68" s="70" t="e">
        <f t="shared" si="37"/>
        <v>#REF!</v>
      </c>
      <c r="AU68" s="70" t="e">
        <f t="shared" si="37"/>
        <v>#REF!</v>
      </c>
      <c r="AV68" s="70" t="e">
        <f t="shared" si="37"/>
        <v>#REF!</v>
      </c>
      <c r="AW68" s="70" t="e">
        <f t="shared" si="37"/>
        <v>#REF!</v>
      </c>
      <c r="AX68" s="70" t="e">
        <f t="shared" si="37"/>
        <v>#REF!</v>
      </c>
      <c r="AY68" s="70" t="e">
        <f t="shared" si="37"/>
        <v>#REF!</v>
      </c>
      <c r="AZ68" s="70" t="e">
        <f t="shared" si="37"/>
        <v>#REF!</v>
      </c>
      <c r="BA68" s="70" t="e">
        <f t="shared" si="37"/>
        <v>#REF!</v>
      </c>
    </row>
    <row r="69" spans="27:53" hidden="1">
      <c r="AA69" s="71" t="s">
        <v>42</v>
      </c>
      <c r="AB69" s="35"/>
      <c r="AF69" s="70" t="e">
        <f t="shared" ref="AF69:AO69" si="38">AF38+AF39+AF44</f>
        <v>#REF!</v>
      </c>
      <c r="AG69" s="70" t="e">
        <f t="shared" si="38"/>
        <v>#REF!</v>
      </c>
      <c r="AH69" s="70" t="e">
        <f t="shared" si="38"/>
        <v>#REF!</v>
      </c>
      <c r="AI69" s="70" t="e">
        <f t="shared" si="38"/>
        <v>#REF!</v>
      </c>
      <c r="AJ69" s="70" t="e">
        <f t="shared" si="38"/>
        <v>#REF!</v>
      </c>
      <c r="AK69" s="70" t="e">
        <f t="shared" si="38"/>
        <v>#REF!</v>
      </c>
      <c r="AL69" s="70" t="e">
        <f t="shared" si="38"/>
        <v>#REF!</v>
      </c>
      <c r="AM69" s="70" t="e">
        <f t="shared" si="38"/>
        <v>#REF!</v>
      </c>
      <c r="AN69" s="70" t="e">
        <f t="shared" si="38"/>
        <v>#REF!</v>
      </c>
      <c r="AO69" s="70" t="e">
        <f t="shared" si="38"/>
        <v>#REF!</v>
      </c>
      <c r="AP69" s="70"/>
      <c r="AQ69" s="70"/>
      <c r="AR69" s="70" t="e">
        <f t="shared" ref="AR69:BA69" si="39">AR38+AR39+AR44</f>
        <v>#REF!</v>
      </c>
      <c r="AS69" s="70" t="e">
        <f t="shared" si="39"/>
        <v>#REF!</v>
      </c>
      <c r="AT69" s="70" t="e">
        <f t="shared" si="39"/>
        <v>#REF!</v>
      </c>
      <c r="AU69" s="70" t="e">
        <f t="shared" si="39"/>
        <v>#REF!</v>
      </c>
      <c r="AV69" s="70" t="e">
        <f t="shared" si="39"/>
        <v>#REF!</v>
      </c>
      <c r="AW69" s="70" t="e">
        <f t="shared" si="39"/>
        <v>#REF!</v>
      </c>
      <c r="AX69" s="70" t="e">
        <f t="shared" si="39"/>
        <v>#REF!</v>
      </c>
      <c r="AY69" s="70" t="e">
        <f t="shared" si="39"/>
        <v>#REF!</v>
      </c>
      <c r="AZ69" s="70" t="e">
        <f t="shared" si="39"/>
        <v>#REF!</v>
      </c>
      <c r="BA69" s="70" t="e">
        <f t="shared" si="39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0">AF16+AF17+AF21+AF23</f>
        <v>#REF!</v>
      </c>
      <c r="AG71" s="70" t="e">
        <f t="shared" si="40"/>
        <v>#REF!</v>
      </c>
      <c r="AH71" s="70" t="e">
        <f t="shared" si="40"/>
        <v>#REF!</v>
      </c>
      <c r="AI71" s="70" t="e">
        <f t="shared" si="40"/>
        <v>#REF!</v>
      </c>
      <c r="AJ71" s="70" t="e">
        <f t="shared" si="40"/>
        <v>#REF!</v>
      </c>
      <c r="AK71" s="70" t="e">
        <f t="shared" si="40"/>
        <v>#REF!</v>
      </c>
      <c r="AL71" s="70" t="e">
        <f t="shared" si="40"/>
        <v>#REF!</v>
      </c>
      <c r="AM71" s="70" t="e">
        <f t="shared" si="40"/>
        <v>#REF!</v>
      </c>
      <c r="AN71" s="70" t="e">
        <f t="shared" si="40"/>
        <v>#REF!</v>
      </c>
      <c r="AO71" s="70" t="e">
        <f t="shared" si="40"/>
        <v>#REF!</v>
      </c>
      <c r="AP71" s="70"/>
      <c r="AQ71" s="70"/>
      <c r="AR71" s="70" t="e">
        <f t="shared" ref="AR71:BA71" si="41">AR16+AR17+AR21+AR23</f>
        <v>#REF!</v>
      </c>
      <c r="AS71" s="70" t="e">
        <f t="shared" si="41"/>
        <v>#REF!</v>
      </c>
      <c r="AT71" s="70" t="e">
        <f t="shared" si="41"/>
        <v>#REF!</v>
      </c>
      <c r="AU71" s="70" t="e">
        <f t="shared" si="41"/>
        <v>#REF!</v>
      </c>
      <c r="AV71" s="70" t="e">
        <f t="shared" si="41"/>
        <v>#REF!</v>
      </c>
      <c r="AW71" s="70" t="e">
        <f t="shared" si="41"/>
        <v>#REF!</v>
      </c>
      <c r="AX71" s="70" t="e">
        <f t="shared" si="41"/>
        <v>#REF!</v>
      </c>
      <c r="AY71" s="70" t="e">
        <f t="shared" si="41"/>
        <v>#REF!</v>
      </c>
      <c r="AZ71" s="70" t="e">
        <f t="shared" si="41"/>
        <v>#REF!</v>
      </c>
      <c r="BA71" s="70" t="e">
        <f t="shared" si="41"/>
        <v>#REF!</v>
      </c>
    </row>
    <row r="72" spans="27:53" hidden="1">
      <c r="AA72" s="71" t="s">
        <v>41</v>
      </c>
      <c r="AB72" s="35"/>
      <c r="AF72" s="70" t="e">
        <f t="shared" ref="AF72:AO72" si="42">AF27+AF28+AF32+AF34</f>
        <v>#REF!</v>
      </c>
      <c r="AG72" s="70" t="e">
        <f t="shared" si="42"/>
        <v>#REF!</v>
      </c>
      <c r="AH72" s="70" t="e">
        <f t="shared" si="42"/>
        <v>#REF!</v>
      </c>
      <c r="AI72" s="70" t="e">
        <f t="shared" si="42"/>
        <v>#REF!</v>
      </c>
      <c r="AJ72" s="70" t="e">
        <f t="shared" si="42"/>
        <v>#REF!</v>
      </c>
      <c r="AK72" s="70" t="e">
        <f t="shared" si="42"/>
        <v>#REF!</v>
      </c>
      <c r="AL72" s="70" t="e">
        <f t="shared" si="42"/>
        <v>#REF!</v>
      </c>
      <c r="AM72" s="70" t="e">
        <f t="shared" si="42"/>
        <v>#REF!</v>
      </c>
      <c r="AN72" s="70" t="e">
        <f t="shared" si="42"/>
        <v>#REF!</v>
      </c>
      <c r="AO72" s="70" t="e">
        <f t="shared" si="42"/>
        <v>#REF!</v>
      </c>
      <c r="AP72" s="70"/>
      <c r="AQ72" s="70"/>
      <c r="AR72" s="70" t="e">
        <f t="shared" ref="AR72:BA72" si="43">AR27+AR28+AR32+AR34</f>
        <v>#REF!</v>
      </c>
      <c r="AS72" s="70" t="e">
        <f t="shared" si="43"/>
        <v>#REF!</v>
      </c>
      <c r="AT72" s="70" t="e">
        <f t="shared" si="43"/>
        <v>#REF!</v>
      </c>
      <c r="AU72" s="70" t="e">
        <f t="shared" si="43"/>
        <v>#REF!</v>
      </c>
      <c r="AV72" s="70" t="e">
        <f t="shared" si="43"/>
        <v>#REF!</v>
      </c>
      <c r="AW72" s="70" t="e">
        <f t="shared" si="43"/>
        <v>#REF!</v>
      </c>
      <c r="AX72" s="70" t="e">
        <f t="shared" si="43"/>
        <v>#REF!</v>
      </c>
      <c r="AY72" s="70" t="e">
        <f t="shared" si="43"/>
        <v>#REF!</v>
      </c>
      <c r="AZ72" s="70" t="e">
        <f t="shared" si="43"/>
        <v>#REF!</v>
      </c>
      <c r="BA72" s="70" t="e">
        <f t="shared" si="43"/>
        <v>#REF!</v>
      </c>
    </row>
    <row r="73" spans="27:53" hidden="1">
      <c r="AA73" s="71" t="s">
        <v>42</v>
      </c>
      <c r="AB73" s="35"/>
      <c r="AF73" s="70" t="e">
        <f t="shared" ref="AF73:AO73" si="44">AF38+AF39+AF43+AF45</f>
        <v>#REF!</v>
      </c>
      <c r="AG73" s="70" t="e">
        <f t="shared" si="44"/>
        <v>#REF!</v>
      </c>
      <c r="AH73" s="70" t="e">
        <f t="shared" si="44"/>
        <v>#REF!</v>
      </c>
      <c r="AI73" s="70" t="e">
        <f t="shared" si="44"/>
        <v>#REF!</v>
      </c>
      <c r="AJ73" s="70" t="e">
        <f t="shared" si="44"/>
        <v>#REF!</v>
      </c>
      <c r="AK73" s="70" t="e">
        <f t="shared" si="44"/>
        <v>#REF!</v>
      </c>
      <c r="AL73" s="70" t="e">
        <f t="shared" si="44"/>
        <v>#REF!</v>
      </c>
      <c r="AM73" s="70" t="e">
        <f t="shared" si="44"/>
        <v>#REF!</v>
      </c>
      <c r="AN73" s="70" t="e">
        <f t="shared" si="44"/>
        <v>#REF!</v>
      </c>
      <c r="AO73" s="70" t="e">
        <f t="shared" si="44"/>
        <v>#REF!</v>
      </c>
      <c r="AP73" s="70"/>
      <c r="AQ73" s="70"/>
      <c r="AR73" s="70" t="e">
        <f t="shared" ref="AR73:BA73" si="45">AR38+AR39+AR43+AR45</f>
        <v>#REF!</v>
      </c>
      <c r="AS73" s="70" t="e">
        <f t="shared" si="45"/>
        <v>#REF!</v>
      </c>
      <c r="AT73" s="70" t="e">
        <f t="shared" si="45"/>
        <v>#REF!</v>
      </c>
      <c r="AU73" s="70" t="e">
        <f t="shared" si="45"/>
        <v>#REF!</v>
      </c>
      <c r="AV73" s="70" t="e">
        <f t="shared" si="45"/>
        <v>#REF!</v>
      </c>
      <c r="AW73" s="70" t="e">
        <f t="shared" si="45"/>
        <v>#REF!</v>
      </c>
      <c r="AX73" s="70" t="e">
        <f t="shared" si="45"/>
        <v>#REF!</v>
      </c>
      <c r="AY73" s="70" t="e">
        <f t="shared" si="45"/>
        <v>#REF!</v>
      </c>
      <c r="AZ73" s="70" t="e">
        <f t="shared" si="45"/>
        <v>#REF!</v>
      </c>
      <c r="BA73" s="70" t="e">
        <f t="shared" si="45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6">AF16+AF17+AF21+AF24</f>
        <v>#REF!</v>
      </c>
      <c r="AG75" s="70" t="e">
        <f t="shared" si="46"/>
        <v>#REF!</v>
      </c>
      <c r="AH75" s="70" t="e">
        <f t="shared" si="46"/>
        <v>#REF!</v>
      </c>
      <c r="AI75" s="70" t="e">
        <f t="shared" si="46"/>
        <v>#REF!</v>
      </c>
      <c r="AJ75" s="70" t="e">
        <f t="shared" si="46"/>
        <v>#REF!</v>
      </c>
      <c r="AK75" s="70" t="e">
        <f t="shared" si="46"/>
        <v>#REF!</v>
      </c>
      <c r="AL75" s="70" t="e">
        <f t="shared" si="46"/>
        <v>#REF!</v>
      </c>
      <c r="AM75" s="70" t="e">
        <f t="shared" si="46"/>
        <v>#REF!</v>
      </c>
      <c r="AN75" s="70" t="e">
        <f t="shared" si="46"/>
        <v>#REF!</v>
      </c>
      <c r="AO75" s="70" t="e">
        <f t="shared" si="46"/>
        <v>#REF!</v>
      </c>
      <c r="AP75" s="70"/>
      <c r="AQ75" s="70"/>
      <c r="AR75" s="70" t="e">
        <f t="shared" ref="AR75:BA75" si="47">AR16+AR17+AR21+AR24</f>
        <v>#REF!</v>
      </c>
      <c r="AS75" s="70" t="e">
        <f t="shared" si="47"/>
        <v>#REF!</v>
      </c>
      <c r="AT75" s="70" t="e">
        <f t="shared" si="47"/>
        <v>#REF!</v>
      </c>
      <c r="AU75" s="70" t="e">
        <f t="shared" si="47"/>
        <v>#REF!</v>
      </c>
      <c r="AV75" s="70" t="e">
        <f t="shared" si="47"/>
        <v>#REF!</v>
      </c>
      <c r="AW75" s="70" t="e">
        <f t="shared" si="47"/>
        <v>#REF!</v>
      </c>
      <c r="AX75" s="70" t="e">
        <f t="shared" si="47"/>
        <v>#REF!</v>
      </c>
      <c r="AY75" s="70" t="e">
        <f t="shared" si="47"/>
        <v>#REF!</v>
      </c>
      <c r="AZ75" s="70" t="e">
        <f t="shared" si="47"/>
        <v>#REF!</v>
      </c>
      <c r="BA75" s="70" t="e">
        <f t="shared" si="47"/>
        <v>#REF!</v>
      </c>
    </row>
    <row r="76" spans="27:53" hidden="1">
      <c r="AA76" s="71" t="s">
        <v>41</v>
      </c>
      <c r="AB76" s="35"/>
      <c r="AF76" s="70" t="e">
        <f t="shared" ref="AF76:AO76" si="48">AF27+AF28+AF32+AF35</f>
        <v>#REF!</v>
      </c>
      <c r="AG76" s="70" t="e">
        <f t="shared" si="48"/>
        <v>#REF!</v>
      </c>
      <c r="AH76" s="70" t="e">
        <f t="shared" si="48"/>
        <v>#REF!</v>
      </c>
      <c r="AI76" s="70" t="e">
        <f t="shared" si="48"/>
        <v>#REF!</v>
      </c>
      <c r="AJ76" s="70" t="e">
        <f t="shared" si="48"/>
        <v>#REF!</v>
      </c>
      <c r="AK76" s="70" t="e">
        <f t="shared" si="48"/>
        <v>#REF!</v>
      </c>
      <c r="AL76" s="70" t="e">
        <f t="shared" si="48"/>
        <v>#REF!</v>
      </c>
      <c r="AM76" s="70" t="e">
        <f t="shared" si="48"/>
        <v>#REF!</v>
      </c>
      <c r="AN76" s="70" t="e">
        <f t="shared" si="48"/>
        <v>#REF!</v>
      </c>
      <c r="AO76" s="70" t="e">
        <f t="shared" si="48"/>
        <v>#REF!</v>
      </c>
      <c r="AP76" s="70"/>
      <c r="AQ76" s="70"/>
      <c r="AR76" s="70" t="e">
        <f t="shared" ref="AR76:BA76" si="49">AR27+AR28+AR32+AR35</f>
        <v>#REF!</v>
      </c>
      <c r="AS76" s="70" t="e">
        <f t="shared" si="49"/>
        <v>#REF!</v>
      </c>
      <c r="AT76" s="70" t="e">
        <f t="shared" si="49"/>
        <v>#REF!</v>
      </c>
      <c r="AU76" s="70" t="e">
        <f t="shared" si="49"/>
        <v>#REF!</v>
      </c>
      <c r="AV76" s="70" t="e">
        <f t="shared" si="49"/>
        <v>#REF!</v>
      </c>
      <c r="AW76" s="70" t="e">
        <f t="shared" si="49"/>
        <v>#REF!</v>
      </c>
      <c r="AX76" s="70" t="e">
        <f t="shared" si="49"/>
        <v>#REF!</v>
      </c>
      <c r="AY76" s="70" t="e">
        <f t="shared" si="49"/>
        <v>#REF!</v>
      </c>
      <c r="AZ76" s="70" t="e">
        <f t="shared" si="49"/>
        <v>#REF!</v>
      </c>
      <c r="BA76" s="70" t="e">
        <f t="shared" si="49"/>
        <v>#REF!</v>
      </c>
    </row>
    <row r="77" spans="27:53" hidden="1">
      <c r="AA77" s="71" t="s">
        <v>42</v>
      </c>
      <c r="AB77" s="35"/>
      <c r="AF77" s="70" t="e">
        <f t="shared" ref="AF77:AO77" si="50">AF38+AF39+AF43+AF46</f>
        <v>#REF!</v>
      </c>
      <c r="AG77" s="70" t="e">
        <f t="shared" si="50"/>
        <v>#REF!</v>
      </c>
      <c r="AH77" s="70" t="e">
        <f t="shared" si="50"/>
        <v>#REF!</v>
      </c>
      <c r="AI77" s="70" t="e">
        <f t="shared" si="50"/>
        <v>#REF!</v>
      </c>
      <c r="AJ77" s="70" t="e">
        <f t="shared" si="50"/>
        <v>#REF!</v>
      </c>
      <c r="AK77" s="70" t="e">
        <f t="shared" si="50"/>
        <v>#REF!</v>
      </c>
      <c r="AL77" s="70" t="e">
        <f t="shared" si="50"/>
        <v>#REF!</v>
      </c>
      <c r="AM77" s="70" t="e">
        <f t="shared" si="50"/>
        <v>#REF!</v>
      </c>
      <c r="AN77" s="70" t="e">
        <f t="shared" si="50"/>
        <v>#REF!</v>
      </c>
      <c r="AO77" s="70" t="e">
        <f t="shared" si="50"/>
        <v>#REF!</v>
      </c>
      <c r="AP77" s="70"/>
      <c r="AQ77" s="70"/>
      <c r="AR77" s="70" t="e">
        <f t="shared" ref="AR77:BA77" si="51">AR38+AR39+AR43+AR46</f>
        <v>#REF!</v>
      </c>
      <c r="AS77" s="70" t="e">
        <f t="shared" si="51"/>
        <v>#REF!</v>
      </c>
      <c r="AT77" s="70" t="e">
        <f t="shared" si="51"/>
        <v>#REF!</v>
      </c>
      <c r="AU77" s="70" t="e">
        <f t="shared" si="51"/>
        <v>#REF!</v>
      </c>
      <c r="AV77" s="70" t="e">
        <f t="shared" si="51"/>
        <v>#REF!</v>
      </c>
      <c r="AW77" s="70" t="e">
        <f t="shared" si="51"/>
        <v>#REF!</v>
      </c>
      <c r="AX77" s="70" t="e">
        <f t="shared" si="51"/>
        <v>#REF!</v>
      </c>
      <c r="AY77" s="70" t="e">
        <f t="shared" si="51"/>
        <v>#REF!</v>
      </c>
      <c r="AZ77" s="70" t="e">
        <f t="shared" si="51"/>
        <v>#REF!</v>
      </c>
      <c r="BA77" s="70" t="e">
        <f t="shared" si="51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45" t="s">
        <v>55</v>
      </c>
      <c r="G89" s="545" t="s">
        <v>73</v>
      </c>
      <c r="H89" s="545" t="s">
        <v>74</v>
      </c>
      <c r="I89" s="545" t="s">
        <v>58</v>
      </c>
      <c r="J89" s="545" t="s">
        <v>59</v>
      </c>
      <c r="K89" s="545" t="s">
        <v>60</v>
      </c>
      <c r="L89" s="544" t="s">
        <v>75</v>
      </c>
      <c r="M89" s="544" t="s">
        <v>76</v>
      </c>
      <c r="N89" s="544" t="s">
        <v>61</v>
      </c>
      <c r="O89" s="544" t="s">
        <v>62</v>
      </c>
      <c r="P89" s="544" t="s">
        <v>63</v>
      </c>
      <c r="AN89" s="38"/>
      <c r="AZ89" s="36"/>
    </row>
    <row r="90" spans="1:52" ht="25.5">
      <c r="A90" s="44" t="str">
        <f t="shared" ref="A90:C91" si="52">A4</f>
        <v>Substation General Construction</v>
      </c>
      <c r="B90" s="45" t="str">
        <f t="shared" si="52"/>
        <v>Light-Duty Truck, catalyst</v>
      </c>
      <c r="C90" s="46">
        <f t="shared" si="52"/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2" si="53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si="52"/>
        <v>Substation Wiring</v>
      </c>
      <c r="B91" s="45" t="str">
        <f t="shared" si="52"/>
        <v>Light-Duty Truck, catalyst</v>
      </c>
      <c r="C91" s="46">
        <f t="shared" si="52"/>
        <v>1</v>
      </c>
      <c r="D91" s="46">
        <v>35</v>
      </c>
      <c r="E91" s="46">
        <v>80</v>
      </c>
      <c r="F91" s="50">
        <f>C5*($E5*$F5+($G5))/453.59</f>
        <v>0.48571938588092006</v>
      </c>
      <c r="G91" s="50">
        <f>C5*($E5*$H5+($I5))/453.59</f>
        <v>4.367065729437801E-2</v>
      </c>
      <c r="H91" s="50">
        <f>C5*(($E5*$J5)+($K5)+($L5)+($E5*$N5)+(($M5+$O5)))/453.59</f>
        <v>5.0499980323953329E-2</v>
      </c>
      <c r="I91" s="50">
        <f>C5*($E5*$P5+($Q5))/453.59</f>
        <v>7.2679702716061593E-4</v>
      </c>
      <c r="J91" s="50">
        <f>C5*(($E5*($R5+$T5+$U5))+($S5))/453.59</f>
        <v>8.5240904552078972E-3</v>
      </c>
      <c r="K91" s="50">
        <f>$C5*(($E5*($V5+$X5+$Y5))+($W5))/453.59</f>
        <v>3.7120053242531417E-3</v>
      </c>
      <c r="L91" s="50">
        <f>$B$23*C5*(E5+6)</f>
        <v>8.4385825860718994E-3</v>
      </c>
      <c r="M91" s="50">
        <f t="shared" si="53"/>
        <v>3.4598188602894785E-3</v>
      </c>
      <c r="N91" s="50">
        <f>C5*($E5*$Z5+($AA5))/453.59</f>
        <v>55.423576726038895</v>
      </c>
      <c r="O91" s="50">
        <f>C5*($E5*$AB5+($AC5))/453.59</f>
        <v>3.1704753890302493E-3</v>
      </c>
      <c r="P91" s="50">
        <f>C5*($E5*$AD5+($AE5))/453.59</f>
        <v>5.7711199138433603E-3</v>
      </c>
      <c r="AN91" s="38"/>
      <c r="AZ91" s="36"/>
    </row>
    <row r="92" spans="1:52" ht="25.5">
      <c r="A92" s="44" t="str">
        <f t="shared" ref="A92:C92" si="54">A6</f>
        <v>Telecom</v>
      </c>
      <c r="B92" s="45" t="str">
        <f t="shared" si="54"/>
        <v>Light-Duty Truck, catalyst</v>
      </c>
      <c r="C92" s="46">
        <f t="shared" si="54"/>
        <v>2</v>
      </c>
      <c r="D92" s="46">
        <v>35</v>
      </c>
      <c r="E92" s="46">
        <v>80</v>
      </c>
      <c r="F92" s="50">
        <f>C6*($E6*$F6+($G6))/453.59</f>
        <v>0.97143877176184013</v>
      </c>
      <c r="G92" s="50">
        <f>C6*($E6*$H6+($I6))/453.59</f>
        <v>8.7341314588756019E-2</v>
      </c>
      <c r="H92" s="50">
        <f t="shared" ref="H92" si="55">C6*(($E6*$J6)+($K6)+($L6)+($E6*$N6)+(($M6+$O6)))/453.59</f>
        <v>0.10099996064790666</v>
      </c>
      <c r="I92" s="50">
        <f>C6*($E6*$P6+($Q6))/453.59</f>
        <v>1.4535940543212319E-3</v>
      </c>
      <c r="J92" s="50">
        <f>C6*(($E6*($R6+$T6+$U6))+($S6))/453.59</f>
        <v>1.7048180910415794E-2</v>
      </c>
      <c r="K92" s="50">
        <f>$C6*(($E6*($V6+$X6+$Y6))+($W6))/453.59</f>
        <v>7.4240106485062834E-3</v>
      </c>
      <c r="L92" s="50">
        <f>$B$23*C6*(E6+6)</f>
        <v>1.6877165172143799E-2</v>
      </c>
      <c r="M92" s="50">
        <f t="shared" si="53"/>
        <v>6.9196377205789569E-3</v>
      </c>
      <c r="N92" s="50">
        <f>C6*($E6*$Z6+($AA6))/453.59</f>
        <v>110.84715345207779</v>
      </c>
      <c r="O92" s="50">
        <f>C6*($E6*$AB6+($AC6))/453.59</f>
        <v>6.3409507780604986E-3</v>
      </c>
      <c r="P92" s="50">
        <f>C6*($E6*$AD6+($AE6))/453.59</f>
        <v>1.1542239827686721E-2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 t="shared" ref="F93:P93" si="56">SUM(F90:F92)</f>
        <v>2.9143163152855203</v>
      </c>
      <c r="G93" s="81">
        <f t="shared" si="56"/>
        <v>0.26202394376626803</v>
      </c>
      <c r="H93" s="81">
        <f t="shared" si="56"/>
        <v>0.30299988194371996</v>
      </c>
      <c r="I93" s="81">
        <f t="shared" si="56"/>
        <v>4.3607821629636952E-3</v>
      </c>
      <c r="J93" s="81">
        <f t="shared" si="56"/>
        <v>5.1144542731247383E-2</v>
      </c>
      <c r="K93" s="81">
        <f t="shared" si="56"/>
        <v>2.2272031945518848E-2</v>
      </c>
      <c r="L93" s="81">
        <f t="shared" si="56"/>
        <v>5.0631495516431396E-2</v>
      </c>
      <c r="M93" s="81">
        <f t="shared" si="56"/>
        <v>2.0758913161736871E-2</v>
      </c>
      <c r="N93" s="81">
        <f t="shared" si="56"/>
        <v>332.54146035623342</v>
      </c>
      <c r="O93" s="81">
        <f t="shared" si="56"/>
        <v>1.9022852334181495E-2</v>
      </c>
      <c r="P93" s="81">
        <f t="shared" si="56"/>
        <v>3.4626719483060162E-2</v>
      </c>
      <c r="AN93" s="38"/>
      <c r="AZ93" s="36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8"/>
  <sheetViews>
    <sheetView zoomScale="75" zoomScaleNormal="75" workbookViewId="0">
      <selection activeCell="D33" sqref="D33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537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64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314</v>
      </c>
      <c r="B7" s="571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8</v>
      </c>
      <c r="P8" s="88">
        <v>125</v>
      </c>
      <c r="Q8" s="34">
        <f t="shared" ref="Q8:Y10" si="2">(E8*$N8*$O8)</f>
        <v>0.49946184642775621</v>
      </c>
      <c r="R8" s="26">
        <f t="shared" si="2"/>
        <v>2.4431746031746027</v>
      </c>
      <c r="S8" s="26">
        <f t="shared" si="2"/>
        <v>3.1176888888888881</v>
      </c>
      <c r="T8" s="26">
        <f t="shared" si="2"/>
        <v>4.4060015200662857E-3</v>
      </c>
      <c r="U8" s="26">
        <f t="shared" si="2"/>
        <v>0.19809523809523807</v>
      </c>
      <c r="V8" s="26">
        <f t="shared" si="2"/>
        <v>0.17630476190476188</v>
      </c>
      <c r="W8" s="26">
        <f t="shared" si="2"/>
        <v>375.60183859341714</v>
      </c>
      <c r="X8" s="26">
        <f t="shared" si="2"/>
        <v>5.4697471816927752E-2</v>
      </c>
      <c r="Y8" s="26">
        <f t="shared" si="2"/>
        <v>0.29618044444444436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9</v>
      </c>
      <c r="P9" s="363">
        <v>125</v>
      </c>
      <c r="Q9" s="34">
        <f t="shared" si="2"/>
        <v>1.0612998664693185</v>
      </c>
      <c r="R9" s="26">
        <f t="shared" si="2"/>
        <v>3.2860974016937274</v>
      </c>
      <c r="S9" s="26">
        <f t="shared" si="2"/>
        <v>7.8103317854039886</v>
      </c>
      <c r="T9" s="26">
        <f t="shared" si="2"/>
        <v>1.6865295748293957E-2</v>
      </c>
      <c r="U9" s="26">
        <f t="shared" si="2"/>
        <v>0.26137541066030878</v>
      </c>
      <c r="V9" s="26">
        <f t="shared" si="2"/>
        <v>0.23262411548767484</v>
      </c>
      <c r="W9" s="26">
        <f t="shared" si="2"/>
        <v>1498.908740620727</v>
      </c>
      <c r="X9" s="26">
        <f t="shared" si="2"/>
        <v>9.5759396799267066E-2</v>
      </c>
      <c r="Y9" s="26">
        <f t="shared" si="2"/>
        <v>0.74198151961337888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3</v>
      </c>
      <c r="P10" s="363">
        <v>125</v>
      </c>
      <c r="Q10" s="34">
        <f t="shared" si="2"/>
        <v>3.9051121312432671E-2</v>
      </c>
      <c r="R10" s="26">
        <f t="shared" si="2"/>
        <v>0.1468253968253968</v>
      </c>
      <c r="S10" s="26">
        <f t="shared" si="2"/>
        <v>0.13018518518518515</v>
      </c>
      <c r="T10" s="26">
        <f t="shared" si="2"/>
        <v>4.7652059865273245E-4</v>
      </c>
      <c r="U10" s="26">
        <f t="shared" si="2"/>
        <v>1.4682539682539681E-2</v>
      </c>
      <c r="V10" s="26">
        <f t="shared" si="2"/>
        <v>1.3067460317460314E-2</v>
      </c>
      <c r="W10" s="26">
        <f t="shared" si="2"/>
        <v>30.622980859093083</v>
      </c>
      <c r="X10" s="26">
        <f t="shared" si="2"/>
        <v>3.8388136396804665E-3</v>
      </c>
      <c r="Y10" s="26">
        <f t="shared" si="2"/>
        <v>1.236759259259259E-2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1.5998128342095075</v>
      </c>
      <c r="R11" s="101">
        <f t="shared" ref="R11:Y11" si="3">SUM(R8:R10)</f>
        <v>5.8760974016937269</v>
      </c>
      <c r="S11" s="101">
        <f t="shared" si="3"/>
        <v>11.058205859478063</v>
      </c>
      <c r="T11" s="101">
        <f t="shared" si="3"/>
        <v>2.1747817867012974E-2</v>
      </c>
      <c r="U11" s="101">
        <f t="shared" si="3"/>
        <v>0.47415318843808657</v>
      </c>
      <c r="V11" s="101">
        <f t="shared" si="3"/>
        <v>0.42199633770989703</v>
      </c>
      <c r="W11" s="101">
        <f t="shared" si="3"/>
        <v>1905.1335600732373</v>
      </c>
      <c r="X11" s="101">
        <f t="shared" si="3"/>
        <v>0.15429568225587528</v>
      </c>
      <c r="Y11" s="101">
        <f t="shared" si="3"/>
        <v>1.0505295566504158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87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7" t="s">
        <v>281</v>
      </c>
      <c r="B13" s="90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30"/>
      <c r="O13" s="30"/>
      <c r="P13" s="30"/>
      <c r="Q13" s="20"/>
      <c r="R13" s="20"/>
      <c r="S13" s="27"/>
      <c r="T13" s="20"/>
      <c r="U13" s="20"/>
      <c r="V13" s="20"/>
      <c r="W13" s="21"/>
      <c r="X13" s="20"/>
      <c r="Y13" s="20"/>
    </row>
    <row r="14" spans="1:25" s="3" customFormat="1">
      <c r="A14" s="100" t="s">
        <v>120</v>
      </c>
      <c r="B14" s="29" t="s">
        <v>27</v>
      </c>
      <c r="C14" s="22">
        <v>358</v>
      </c>
      <c r="D14" s="22">
        <v>0.4</v>
      </c>
      <c r="E14" s="108">
        <v>0.27937428148624566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0.82081128747795418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1.2776243386243384</v>
      </c>
      <c r="H14" s="108">
        <v>2.5998088533883764E-3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4.735449735449735E-2</v>
      </c>
      <c r="J14" s="100">
        <f t="shared" ref="J14:J19" si="4">0.89*I14</f>
        <v>4.2145502645502646E-2</v>
      </c>
      <c r="K14" s="108">
        <v>264.8725636721183</v>
      </c>
      <c r="L14" s="108">
        <v>2.6451144743432839E-2</v>
      </c>
      <c r="M14" s="102">
        <f t="shared" ref="M14:M19" si="5">0.095*G14</f>
        <v>0.12137431216931216</v>
      </c>
      <c r="N14" s="98">
        <v>1</v>
      </c>
      <c r="O14" s="87">
        <v>8</v>
      </c>
      <c r="P14" s="363">
        <v>75</v>
      </c>
      <c r="Q14" s="34">
        <f t="shared" ref="Q14:Y19" si="6">(E14*$N14*$O14)</f>
        <v>2.2349942518899653</v>
      </c>
      <c r="R14" s="26">
        <f t="shared" si="6"/>
        <v>6.5664902998236334</v>
      </c>
      <c r="S14" s="26">
        <f t="shared" si="6"/>
        <v>10.220994708994708</v>
      </c>
      <c r="T14" s="26">
        <f t="shared" si="6"/>
        <v>2.0798470827107011E-2</v>
      </c>
      <c r="U14" s="26">
        <f t="shared" si="6"/>
        <v>0.3788359788359788</v>
      </c>
      <c r="V14" s="26">
        <f t="shared" si="6"/>
        <v>0.33716402116402117</v>
      </c>
      <c r="W14" s="26">
        <f t="shared" si="6"/>
        <v>2118.9805093769464</v>
      </c>
      <c r="X14" s="26">
        <f t="shared" si="6"/>
        <v>0.21160915794746271</v>
      </c>
      <c r="Y14" s="26">
        <f t="shared" si="6"/>
        <v>0.97099449735449728</v>
      </c>
    </row>
    <row r="15" spans="1:25" s="3" customFormat="1">
      <c r="A15" s="100" t="s">
        <v>121</v>
      </c>
      <c r="B15" s="29" t="s">
        <v>27</v>
      </c>
      <c r="C15" s="22">
        <v>162</v>
      </c>
      <c r="D15" s="22">
        <v>0.41</v>
      </c>
      <c r="E15" s="108">
        <v>0.12153885438656534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0.5417857142857142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0.60233392857142853</v>
      </c>
      <c r="H15" s="108">
        <v>1.3943296443626662E-3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3.2214285714285709E-2</v>
      </c>
      <c r="J15" s="100">
        <f t="shared" si="4"/>
        <v>2.8670714285714282E-2</v>
      </c>
      <c r="K15" s="365">
        <v>123.92149503712022</v>
      </c>
      <c r="L15" s="23">
        <v>1.1720218383966691E-2</v>
      </c>
      <c r="M15" s="102">
        <f t="shared" si="5"/>
        <v>5.7221723214285709E-2</v>
      </c>
      <c r="N15" s="98">
        <v>1</v>
      </c>
      <c r="O15" s="87">
        <v>8</v>
      </c>
      <c r="P15" s="363">
        <v>75</v>
      </c>
      <c r="Q15" s="34">
        <f t="shared" si="6"/>
        <v>0.9723108350925227</v>
      </c>
      <c r="R15" s="26">
        <f t="shared" si="6"/>
        <v>4.3342857142857136</v>
      </c>
      <c r="S15" s="26">
        <f t="shared" si="6"/>
        <v>4.8186714285714283</v>
      </c>
      <c r="T15" s="26">
        <f t="shared" si="6"/>
        <v>1.115463715490133E-2</v>
      </c>
      <c r="U15" s="26">
        <f t="shared" si="6"/>
        <v>0.25771428571428567</v>
      </c>
      <c r="V15" s="26">
        <f t="shared" si="6"/>
        <v>0.22936571428571426</v>
      </c>
      <c r="W15" s="26">
        <f t="shared" si="6"/>
        <v>991.37196029696179</v>
      </c>
      <c r="X15" s="26">
        <f t="shared" si="6"/>
        <v>9.3761747071733528E-2</v>
      </c>
      <c r="Y15" s="26">
        <f t="shared" si="6"/>
        <v>0.45777378571428567</v>
      </c>
    </row>
    <row r="16" spans="1:25" s="3" customFormat="1">
      <c r="A16" s="100" t="s">
        <v>123</v>
      </c>
      <c r="B16" s="29" t="s">
        <v>27</v>
      </c>
      <c r="C16" s="22">
        <v>84</v>
      </c>
      <c r="D16" s="22">
        <v>0.38</v>
      </c>
      <c r="E16" s="102">
        <v>7.9534395197012789E-2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0.26037037037037036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0.33225370370370361</v>
      </c>
      <c r="H16" s="102">
        <v>6.9196834691909377E-4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2.1111111111111112E-2</v>
      </c>
      <c r="J16" s="100">
        <f t="shared" si="4"/>
        <v>1.878888888888889E-2</v>
      </c>
      <c r="K16" s="103">
        <v>58.988746640295226</v>
      </c>
      <c r="L16" s="102">
        <v>7.7311979659905822E-3</v>
      </c>
      <c r="M16" s="102">
        <f t="shared" si="5"/>
        <v>3.1564101851851843E-2</v>
      </c>
      <c r="N16" s="363">
        <v>1</v>
      </c>
      <c r="O16" s="87">
        <v>8</v>
      </c>
      <c r="P16" s="363">
        <v>75</v>
      </c>
      <c r="Q16" s="34">
        <f t="shared" si="6"/>
        <v>0.63627516157610231</v>
      </c>
      <c r="R16" s="26">
        <f t="shared" si="6"/>
        <v>2.0829629629629629</v>
      </c>
      <c r="S16" s="26">
        <f t="shared" si="6"/>
        <v>2.6580296296296289</v>
      </c>
      <c r="T16" s="26">
        <f t="shared" si="6"/>
        <v>5.5357467753527501E-3</v>
      </c>
      <c r="U16" s="26">
        <f t="shared" si="6"/>
        <v>0.16888888888888889</v>
      </c>
      <c r="V16" s="26">
        <f t="shared" si="6"/>
        <v>0.15031111111111112</v>
      </c>
      <c r="W16" s="26">
        <f t="shared" si="6"/>
        <v>471.90997312236181</v>
      </c>
      <c r="X16" s="26">
        <f t="shared" si="6"/>
        <v>6.1849583727924658E-2</v>
      </c>
      <c r="Y16" s="26">
        <f t="shared" si="6"/>
        <v>0.25251281481481475</v>
      </c>
    </row>
    <row r="17" spans="1:25" s="3" customFormat="1">
      <c r="A17" s="100" t="s">
        <v>282</v>
      </c>
      <c r="B17" s="29" t="s">
        <v>27</v>
      </c>
      <c r="C17" s="97">
        <v>37</v>
      </c>
      <c r="D17" s="22">
        <v>0.37</v>
      </c>
      <c r="E17" s="102">
        <v>3.2313389441625637E-2</v>
      </c>
      <c r="F17" s="397">
        <f>IF($C17&lt;11,'Offroad Tiers EF (2)'!$AN$4*$C17*$D17,IF($C17&lt;25,'Offroad Tiers EF (2)'!$AN$5*$C17*$D17,IF($C17&lt;50,'Offroad Tiers EF (2)'!$AN$6*$C17*$D17,IF($C17&lt;75,'Offroad Tiers EF (2)'!$AN$7*$C17*$D17,IF($C17&lt;100,'Offroad Tiers EF (2)'!$AN$8*$C17*$D17,IF($C17&lt;175,'Offroad Tiers EF (2)'!$AN$9*$C17*$D17,IF($C17&lt;300,'Offroad Tiers EF (2)'!$AN$10*$C17*$D17,IF($C17&lt;600,'Offroad Tiers EF (2)'!$AN$11*$C17*$D17,"!"))))))))</f>
        <v>0.12374118165784832</v>
      </c>
      <c r="G17" s="397">
        <f>IF($C17&lt;11,'Offroad Tiers EF (2)'!$AM$4*$C17*$D17,IF($C17&lt;25,'Offroad Tiers EF (2)'!$AM$5*$C17*$D17,IF($C17&lt;50,'Offroad Tiers EF (2)'!$AM$6*$C17*$D17,IF($C17&lt;75,'Offroad Tiers EF (2)'!$AM$7*$C17*$D17,IF($C17&lt;100,'Offroad Tiers EF (2)'!$AM$8*$C17*$D17,IF($C17&lt;175,'Offroad Tiers EF (2)'!$AM$9*$C17*$D17,IF($C17&lt;300,'Offroad Tiers EF (2)'!$AM$10*$C17*$D17,IF($C17&lt;600,'Offroad Tiers EF (2)'!$AM$11*$C17*$D17,"!"))))))))</f>
        <v>0.16056172839506169</v>
      </c>
      <c r="H17" s="102">
        <v>3.2989906092678058E-4</v>
      </c>
      <c r="I17" s="397">
        <f>IF($C17&lt;11,'Offroad Tiers EF (2)'!$AO$4*$C17*$D17,IF($C17&lt;25,'Offroad Tiers EF (2)'!$AO$5*$C17*$D17,IF($C17&lt;50,'Offroad Tiers EF (2)'!$AO$6*$C17*$D17,IF($C17&lt;75,'Offroad Tiers EF (2)'!$AO$7*$C17*$D17,IF($C17&lt;100,'Offroad Tiers EF (2)'!$AO$8*$C17*$D17,IF($C17&lt;175,'Offroad Tiers EF (2)'!$AO$9*$C17*$D17,IF($C17&lt;300,'Offroad Tiers EF (2)'!$AO$10*$C17*$D17,IF($C17&lt;600,'Offroad Tiers EF (2)'!$AO$11*$C17*$D17,"!"))))))))</f>
        <v>1.3581349206349205E-2</v>
      </c>
      <c r="J17" s="100">
        <f t="shared" si="4"/>
        <v>1.2087400793650793E-2</v>
      </c>
      <c r="K17" s="103">
        <v>25.519156990664225</v>
      </c>
      <c r="L17" s="102">
        <v>3.413848047070189E-3</v>
      </c>
      <c r="M17" s="104">
        <f t="shared" si="5"/>
        <v>1.5253364197530862E-2</v>
      </c>
      <c r="N17" s="87">
        <v>1</v>
      </c>
      <c r="O17" s="87">
        <v>8</v>
      </c>
      <c r="P17" s="363">
        <v>75</v>
      </c>
      <c r="Q17" s="34">
        <f t="shared" si="6"/>
        <v>0.25850711553300509</v>
      </c>
      <c r="R17" s="26">
        <f t="shared" si="6"/>
        <v>0.98992945326278659</v>
      </c>
      <c r="S17" s="26">
        <f t="shared" si="6"/>
        <v>1.2844938271604935</v>
      </c>
      <c r="T17" s="26">
        <f t="shared" si="6"/>
        <v>2.6391924874142447E-3</v>
      </c>
      <c r="U17" s="26">
        <f t="shared" si="6"/>
        <v>0.10865079365079364</v>
      </c>
      <c r="V17" s="26">
        <f t="shared" si="6"/>
        <v>9.669920634920634E-2</v>
      </c>
      <c r="W17" s="26">
        <f t="shared" si="6"/>
        <v>204.1532559253138</v>
      </c>
      <c r="X17" s="26">
        <f t="shared" si="6"/>
        <v>2.7310784376561512E-2</v>
      </c>
      <c r="Y17" s="26">
        <f t="shared" si="6"/>
        <v>0.12202691358024689</v>
      </c>
    </row>
    <row r="18" spans="1:25" s="3" customFormat="1">
      <c r="A18" s="100" t="s">
        <v>283</v>
      </c>
      <c r="B18" s="29" t="s">
        <v>27</v>
      </c>
      <c r="C18" s="22">
        <v>88</v>
      </c>
      <c r="D18" s="22"/>
      <c r="E18" s="102">
        <v>7.7350469494183435E-2</v>
      </c>
      <c r="F18" s="102">
        <v>0.50168655138603524</v>
      </c>
      <c r="G18" s="102">
        <v>0.53236808560333904</v>
      </c>
      <c r="H18" s="102">
        <v>8.8025852246575076E-4</v>
      </c>
      <c r="I18" s="102">
        <v>3.9192407788964947E-2</v>
      </c>
      <c r="J18" s="100">
        <f t="shared" si="4"/>
        <v>3.4881242932178806E-2</v>
      </c>
      <c r="K18" s="103">
        <v>75.040091008231684</v>
      </c>
      <c r="L18" s="102">
        <v>6.9792086054076847E-3</v>
      </c>
      <c r="M18" s="102">
        <f t="shared" si="5"/>
        <v>5.0574968132317211E-2</v>
      </c>
      <c r="N18" s="98">
        <v>1</v>
      </c>
      <c r="O18" s="87">
        <v>8</v>
      </c>
      <c r="P18" s="363">
        <v>30</v>
      </c>
      <c r="Q18" s="34">
        <f t="shared" si="6"/>
        <v>0.61880375595346748</v>
      </c>
      <c r="R18" s="26">
        <f t="shared" si="6"/>
        <v>4.0134924110882819</v>
      </c>
      <c r="S18" s="26">
        <f t="shared" si="6"/>
        <v>4.2589446848267123</v>
      </c>
      <c r="T18" s="26">
        <f t="shared" si="6"/>
        <v>7.0420681797260061E-3</v>
      </c>
      <c r="U18" s="26">
        <f t="shared" si="6"/>
        <v>0.31353926231171958</v>
      </c>
      <c r="V18" s="26">
        <f t="shared" si="6"/>
        <v>0.27904994345743045</v>
      </c>
      <c r="W18" s="26">
        <f t="shared" si="6"/>
        <v>600.32072806585347</v>
      </c>
      <c r="X18" s="26">
        <f t="shared" si="6"/>
        <v>5.5833668843261477E-2</v>
      </c>
      <c r="Y18" s="26">
        <f t="shared" si="6"/>
        <v>0.40459974505853769</v>
      </c>
    </row>
    <row r="19" spans="1:25" s="3" customFormat="1">
      <c r="A19" s="100" t="s">
        <v>126</v>
      </c>
      <c r="B19" s="29" t="s">
        <v>27</v>
      </c>
      <c r="C19" s="22">
        <v>175</v>
      </c>
      <c r="D19" s="22"/>
      <c r="E19" s="102">
        <v>0.11792220738547983</v>
      </c>
      <c r="F19" s="102">
        <v>0.36512193352152528</v>
      </c>
      <c r="G19" s="102">
        <v>0.86781464282266541</v>
      </c>
      <c r="H19" s="102">
        <v>1.8739217498104396E-3</v>
      </c>
      <c r="I19" s="102">
        <v>2.9041712295589866E-2</v>
      </c>
      <c r="J19" s="100">
        <f t="shared" si="4"/>
        <v>2.5847123943074982E-2</v>
      </c>
      <c r="K19" s="103">
        <v>166.54541562452522</v>
      </c>
      <c r="L19" s="102">
        <v>1.063993297769634E-2</v>
      </c>
      <c r="M19" s="104">
        <f t="shared" si="5"/>
        <v>8.2442391068153209E-2</v>
      </c>
      <c r="N19" s="98">
        <v>2</v>
      </c>
      <c r="O19" s="87">
        <v>8</v>
      </c>
      <c r="P19" s="363">
        <v>75</v>
      </c>
      <c r="Q19" s="34">
        <f t="shared" si="6"/>
        <v>1.8867553181676773</v>
      </c>
      <c r="R19" s="26">
        <f t="shared" si="6"/>
        <v>5.8419509363444044</v>
      </c>
      <c r="S19" s="26">
        <f t="shared" si="6"/>
        <v>13.885034285162646</v>
      </c>
      <c r="T19" s="26">
        <f t="shared" si="6"/>
        <v>2.9982747996967034E-2</v>
      </c>
      <c r="U19" s="26">
        <f t="shared" si="6"/>
        <v>0.46466739672943785</v>
      </c>
      <c r="V19" s="26">
        <f t="shared" si="6"/>
        <v>0.41355398308919972</v>
      </c>
      <c r="W19" s="26">
        <f t="shared" si="6"/>
        <v>2664.7266499924035</v>
      </c>
      <c r="X19" s="26">
        <f t="shared" si="6"/>
        <v>0.17023892764314144</v>
      </c>
      <c r="Y19" s="26">
        <f t="shared" si="6"/>
        <v>1.3190782570904513</v>
      </c>
    </row>
    <row r="20" spans="1:25" s="3" customFormat="1">
      <c r="A20" s="11" t="s">
        <v>28</v>
      </c>
      <c r="B20" s="571"/>
      <c r="C20" s="18"/>
      <c r="D20" s="22"/>
      <c r="E20" s="19"/>
      <c r="F20" s="19"/>
      <c r="G20" s="19"/>
      <c r="H20" s="19"/>
      <c r="I20" s="19"/>
      <c r="J20" s="19"/>
      <c r="K20" s="19"/>
      <c r="L20" s="19"/>
      <c r="M20" s="19"/>
      <c r="N20" s="30"/>
      <c r="O20" s="30"/>
      <c r="P20" s="364"/>
      <c r="Q20" s="20">
        <f t="shared" ref="Q20:Y20" si="7">SUM(Q14:Q19)</f>
        <v>6.6076464382127398</v>
      </c>
      <c r="R20" s="20">
        <f t="shared" si="7"/>
        <v>23.829111777767782</v>
      </c>
      <c r="S20" s="27">
        <f t="shared" si="7"/>
        <v>37.126168564345619</v>
      </c>
      <c r="T20" s="20">
        <f t="shared" si="7"/>
        <v>7.7152863421468376E-2</v>
      </c>
      <c r="U20" s="20">
        <f t="shared" si="7"/>
        <v>1.6922966061311044</v>
      </c>
      <c r="V20" s="20">
        <f t="shared" si="7"/>
        <v>1.5061439794566829</v>
      </c>
      <c r="W20" s="20">
        <f t="shared" si="7"/>
        <v>7051.4630767798408</v>
      </c>
      <c r="X20" s="20">
        <f t="shared" si="7"/>
        <v>0.62060386961008529</v>
      </c>
      <c r="Y20" s="20">
        <f t="shared" si="7"/>
        <v>3.5269860136128335</v>
      </c>
    </row>
    <row r="21" spans="1:25" s="3" customFormat="1">
      <c r="A21" s="11"/>
      <c r="B21" s="571"/>
      <c r="C21" s="18"/>
      <c r="D21" s="22"/>
      <c r="E21" s="19"/>
      <c r="F21" s="19"/>
      <c r="G21" s="19"/>
      <c r="H21" s="19"/>
      <c r="I21" s="19"/>
      <c r="J21" s="19"/>
      <c r="K21" s="19"/>
      <c r="L21" s="19"/>
      <c r="M21" s="19"/>
      <c r="N21" s="30"/>
      <c r="O21" s="375"/>
      <c r="P21" s="364"/>
      <c r="Q21" s="20"/>
      <c r="R21" s="20"/>
      <c r="S21" s="27"/>
      <c r="T21" s="20"/>
      <c r="U21" s="20"/>
      <c r="V21" s="20"/>
      <c r="W21" s="21"/>
      <c r="X21" s="20"/>
      <c r="Y21" s="20"/>
    </row>
    <row r="22" spans="1:25" s="3" customFormat="1">
      <c r="A22" s="11" t="s">
        <v>275</v>
      </c>
      <c r="B22" s="90"/>
      <c r="C22" s="18"/>
      <c r="D22" s="22"/>
      <c r="E22" s="19"/>
      <c r="F22" s="19"/>
      <c r="G22" s="19"/>
      <c r="H22" s="19"/>
      <c r="I22" s="19"/>
      <c r="J22" s="19"/>
      <c r="K22" s="19"/>
      <c r="L22" s="19"/>
      <c r="M22" s="19"/>
      <c r="N22" s="30"/>
      <c r="O22" s="87"/>
      <c r="P22" s="363"/>
      <c r="Q22" s="20"/>
      <c r="R22" s="20"/>
      <c r="S22" s="27"/>
      <c r="T22" s="20"/>
      <c r="U22" s="20"/>
      <c r="V22" s="20"/>
      <c r="W22" s="21"/>
      <c r="X22" s="20"/>
      <c r="Y22" s="20"/>
    </row>
    <row r="23" spans="1:25" s="3" customFormat="1">
      <c r="A23" s="100" t="s">
        <v>120</v>
      </c>
      <c r="B23" s="29" t="s">
        <v>27</v>
      </c>
      <c r="C23" s="22">
        <v>358</v>
      </c>
      <c r="D23" s="22">
        <v>0.4</v>
      </c>
      <c r="E23" s="108">
        <v>0.27937428148624566</v>
      </c>
      <c r="F23" s="397">
        <f>IF($C23&lt;11,'Offroad Tiers EF (2)'!$AN$4*$C23*$D23,IF($C23&lt;25,'Offroad Tiers EF (2)'!$AN$5*$C23*$D23,IF($C23&lt;50,'Offroad Tiers EF (2)'!$AN$6*$C23*$D23,IF($C23&lt;75,'Offroad Tiers EF (2)'!$AN$7*$C23*$D23,IF($C23&lt;100,'Offroad Tiers EF (2)'!$AN$8*$C23*$D23,IF($C23&lt;175,'Offroad Tiers EF (2)'!$AN$9*$C23*$D23,IF($C23&lt;300,'Offroad Tiers EF (2)'!$AN$10*$C23*$D23,IF($C23&lt;600,'Offroad Tiers EF (2)'!$AN$11*$C23*$D23,"!"))))))))</f>
        <v>0.82081128747795418</v>
      </c>
      <c r="G23" s="397">
        <f>IF($C23&lt;11,'Offroad Tiers EF (2)'!$AM$4*$C23*$D23,IF($C23&lt;25,'Offroad Tiers EF (2)'!$AM$5*$C23*$D23,IF($C23&lt;50,'Offroad Tiers EF (2)'!$AM$6*$C23*$D23,IF($C23&lt;75,'Offroad Tiers EF (2)'!$AM$7*$C23*$D23,IF($C23&lt;100,'Offroad Tiers EF (2)'!$AM$8*$C23*$D23,IF($C23&lt;175,'Offroad Tiers EF (2)'!$AM$9*$C23*$D23,IF($C23&lt;300,'Offroad Tiers EF (2)'!$AM$10*$C23*$D23,IF($C23&lt;600,'Offroad Tiers EF (2)'!$AM$11*$C23*$D23,"!"))))))))</f>
        <v>1.2776243386243384</v>
      </c>
      <c r="H23" s="108">
        <v>2.5998088533883764E-3</v>
      </c>
      <c r="I23" s="397">
        <f>IF($C23&lt;11,'Offroad Tiers EF (2)'!$AO$4*$C23*$D23,IF($C23&lt;25,'Offroad Tiers EF (2)'!$AO$5*$C23*$D23,IF($C23&lt;50,'Offroad Tiers EF (2)'!$AO$6*$C23*$D23,IF($C23&lt;75,'Offroad Tiers EF (2)'!$AO$7*$C23*$D23,IF($C23&lt;100,'Offroad Tiers EF (2)'!$AO$8*$C23*$D23,IF($C23&lt;175,'Offroad Tiers EF (2)'!$AO$9*$C23*$D23,IF($C23&lt;300,'Offroad Tiers EF (2)'!$AO$10*$C23*$D23,IF($C23&lt;600,'Offroad Tiers EF (2)'!$AO$11*$C23*$D23,"!"))))))))</f>
        <v>4.735449735449735E-2</v>
      </c>
      <c r="J23" s="100">
        <f t="shared" ref="J23:J26" si="8">0.89*I23</f>
        <v>4.2145502645502646E-2</v>
      </c>
      <c r="K23" s="108">
        <v>264.8725636721183</v>
      </c>
      <c r="L23" s="108">
        <v>2.6451144743432839E-2</v>
      </c>
      <c r="M23" s="102">
        <f t="shared" ref="M23:M26" si="9">0.095*G23</f>
        <v>0.12137431216931216</v>
      </c>
      <c r="N23" s="88">
        <v>1</v>
      </c>
      <c r="O23" s="88">
        <v>8</v>
      </c>
      <c r="P23" s="367">
        <v>30</v>
      </c>
      <c r="Q23" s="26">
        <f t="shared" ref="Q23:Y26" si="10">(E23*$N23*$O23)</f>
        <v>2.2349942518899653</v>
      </c>
      <c r="R23" s="26">
        <f t="shared" si="10"/>
        <v>6.5664902998236334</v>
      </c>
      <c r="S23" s="26">
        <f t="shared" si="10"/>
        <v>10.220994708994708</v>
      </c>
      <c r="T23" s="26">
        <f t="shared" si="10"/>
        <v>2.0798470827107011E-2</v>
      </c>
      <c r="U23" s="26">
        <f t="shared" si="10"/>
        <v>0.3788359788359788</v>
      </c>
      <c r="V23" s="26">
        <f t="shared" si="10"/>
        <v>0.33716402116402117</v>
      </c>
      <c r="W23" s="26">
        <f t="shared" si="10"/>
        <v>2118.9805093769464</v>
      </c>
      <c r="X23" s="26">
        <f t="shared" si="10"/>
        <v>0.21160915794746271</v>
      </c>
      <c r="Y23" s="26">
        <f t="shared" si="10"/>
        <v>0.97099449735449728</v>
      </c>
    </row>
    <row r="24" spans="1:25" s="3" customFormat="1">
      <c r="A24" s="100" t="s">
        <v>121</v>
      </c>
      <c r="B24" s="29" t="s">
        <v>27</v>
      </c>
      <c r="C24" s="22">
        <v>162</v>
      </c>
      <c r="D24" s="22">
        <v>0.41</v>
      </c>
      <c r="E24" s="108">
        <v>0.12153885438656534</v>
      </c>
      <c r="F24" s="397">
        <f>IF($C24&lt;11,'Offroad Tiers EF (2)'!$AN$4*$C24*$D24,IF($C24&lt;25,'Offroad Tiers EF (2)'!$AN$5*$C24*$D24,IF($C24&lt;50,'Offroad Tiers EF (2)'!$AN$6*$C24*$D24,IF($C24&lt;75,'Offroad Tiers EF (2)'!$AN$7*$C24*$D24,IF($C24&lt;100,'Offroad Tiers EF (2)'!$AN$8*$C24*$D24,IF($C24&lt;175,'Offroad Tiers EF (2)'!$AN$9*$C24*$D24,IF($C24&lt;300,'Offroad Tiers EF (2)'!$AN$10*$C24*$D24,IF($C24&lt;600,'Offroad Tiers EF (2)'!$AN$11*$C24*$D24,"!"))))))))</f>
        <v>0.5417857142857142</v>
      </c>
      <c r="G24" s="397">
        <f>IF($C24&lt;11,'Offroad Tiers EF (2)'!$AM$4*$C24*$D24,IF($C24&lt;25,'Offroad Tiers EF (2)'!$AM$5*$C24*$D24,IF($C24&lt;50,'Offroad Tiers EF (2)'!$AM$6*$C24*$D24,IF($C24&lt;75,'Offroad Tiers EF (2)'!$AM$7*$C24*$D24,IF($C24&lt;100,'Offroad Tiers EF (2)'!$AM$8*$C24*$D24,IF($C24&lt;175,'Offroad Tiers EF (2)'!$AM$9*$C24*$D24,IF($C24&lt;300,'Offroad Tiers EF (2)'!$AM$10*$C24*$D24,IF($C24&lt;600,'Offroad Tiers EF (2)'!$AM$11*$C24*$D24,"!"))))))))</f>
        <v>0.60233392857142853</v>
      </c>
      <c r="H24" s="108">
        <v>1.3943296443626662E-3</v>
      </c>
      <c r="I24" s="397">
        <f>IF($C24&lt;11,'Offroad Tiers EF (2)'!$AO$4*$C24*$D24,IF($C24&lt;25,'Offroad Tiers EF (2)'!$AO$5*$C24*$D24,IF($C24&lt;50,'Offroad Tiers EF (2)'!$AO$6*$C24*$D24,IF($C24&lt;75,'Offroad Tiers EF (2)'!$AO$7*$C24*$D24,IF($C24&lt;100,'Offroad Tiers EF (2)'!$AO$8*$C24*$D24,IF($C24&lt;175,'Offroad Tiers EF (2)'!$AO$9*$C24*$D24,IF($C24&lt;300,'Offroad Tiers EF (2)'!$AO$10*$C24*$D24,IF($C24&lt;600,'Offroad Tiers EF (2)'!$AO$11*$C24*$D24,"!"))))))))</f>
        <v>3.2214285714285709E-2</v>
      </c>
      <c r="J24" s="100">
        <f t="shared" si="8"/>
        <v>2.8670714285714282E-2</v>
      </c>
      <c r="K24" s="365">
        <v>123.92149503712022</v>
      </c>
      <c r="L24" s="23">
        <v>1.1720218383966691E-2</v>
      </c>
      <c r="M24" s="102">
        <f t="shared" si="9"/>
        <v>5.7221723214285709E-2</v>
      </c>
      <c r="N24" s="88">
        <v>1</v>
      </c>
      <c r="O24" s="88">
        <v>8</v>
      </c>
      <c r="P24" s="367">
        <v>30</v>
      </c>
      <c r="Q24" s="26">
        <f t="shared" si="10"/>
        <v>0.9723108350925227</v>
      </c>
      <c r="R24" s="26">
        <f t="shared" si="10"/>
        <v>4.3342857142857136</v>
      </c>
      <c r="S24" s="26">
        <f t="shared" si="10"/>
        <v>4.8186714285714283</v>
      </c>
      <c r="T24" s="26">
        <f t="shared" si="10"/>
        <v>1.115463715490133E-2</v>
      </c>
      <c r="U24" s="26">
        <f t="shared" si="10"/>
        <v>0.25771428571428567</v>
      </c>
      <c r="V24" s="26">
        <f t="shared" si="10"/>
        <v>0.22936571428571426</v>
      </c>
      <c r="W24" s="26">
        <f t="shared" si="10"/>
        <v>991.37196029696179</v>
      </c>
      <c r="X24" s="26">
        <f t="shared" si="10"/>
        <v>9.3761747071733528E-2</v>
      </c>
      <c r="Y24" s="26">
        <f t="shared" si="10"/>
        <v>0.45777378571428567</v>
      </c>
    </row>
    <row r="25" spans="1:25" s="3" customFormat="1">
      <c r="A25" s="100" t="s">
        <v>124</v>
      </c>
      <c r="B25" s="29" t="s">
        <v>27</v>
      </c>
      <c r="C25" s="97">
        <v>87</v>
      </c>
      <c r="D25" s="22">
        <v>0.37</v>
      </c>
      <c r="E25" s="102">
        <v>7.7253202863558038E-2</v>
      </c>
      <c r="F25" s="397">
        <f>IF($C25&lt;11,'Offroad Tiers EF (2)'!$AN$4*$C25*$D25,IF($C25&lt;25,'Offroad Tiers EF (2)'!$AN$5*$C25*$D25,IF($C25&lt;50,'Offroad Tiers EF (2)'!$AN$6*$C25*$D25,IF($C25&lt;75,'Offroad Tiers EF (2)'!$AN$7*$C25*$D25,IF($C25&lt;100,'Offroad Tiers EF (2)'!$AN$8*$C25*$D25,IF($C25&lt;175,'Offroad Tiers EF (2)'!$AN$9*$C25*$D25,IF($C25&lt;300,'Offroad Tiers EF (2)'!$AN$10*$C25*$D25,IF($C25&lt;600,'Offroad Tiers EF (2)'!$AN$11*$C25*$D25,"!"))))))))</f>
        <v>0.26257275132275132</v>
      </c>
      <c r="G25" s="397">
        <f>IF($C25&lt;11,'Offroad Tiers EF (2)'!$AM$4*$C25*$D25,IF($C25&lt;25,'Offroad Tiers EF (2)'!$AM$5*$C25*$D25,IF($C25&lt;50,'Offroad Tiers EF (2)'!$AM$6*$C25*$D25,IF($C25&lt;75,'Offroad Tiers EF (2)'!$AM$7*$C25*$D25,IF($C25&lt;100,'Offroad Tiers EF (2)'!$AM$8*$C25*$D25,IF($C25&lt;175,'Offroad Tiers EF (2)'!$AM$9*$C25*$D25,IF($C25&lt;300,'Offroad Tiers EF (2)'!$AM$10*$C25*$D25,IF($C25&lt;600,'Offroad Tiers EF (2)'!$AM$11*$C25*$D25,"!"))))))))</f>
        <v>0.33506412037037031</v>
      </c>
      <c r="H25" s="102">
        <v>6.910856115004858E-4</v>
      </c>
      <c r="I25" s="397">
        <f>IF($C25&lt;11,'Offroad Tiers EF (2)'!$AO$4*$C25*$D25,IF($C25&lt;25,'Offroad Tiers EF (2)'!$AO$5*$C25*$D25,IF($C25&lt;50,'Offroad Tiers EF (2)'!$AO$6*$C25*$D25,IF($C25&lt;75,'Offroad Tiers EF (2)'!$AO$7*$C25*$D25,IF($C25&lt;100,'Offroad Tiers EF (2)'!$AO$8*$C25*$D25,IF($C25&lt;175,'Offroad Tiers EF (2)'!$AO$9*$C25*$D25,IF($C25&lt;300,'Offroad Tiers EF (2)'!$AO$10*$C25*$D25,IF($C25&lt;600,'Offroad Tiers EF (2)'!$AO$11*$C25*$D25,"!"))))))))</f>
        <v>2.1289682539682539E-2</v>
      </c>
      <c r="J25" s="100">
        <f t="shared" si="8"/>
        <v>1.894781746031746E-2</v>
      </c>
      <c r="K25" s="103">
        <v>58.913505111712794</v>
      </c>
      <c r="L25" s="102">
        <v>7.5344751889799754E-3</v>
      </c>
      <c r="M25" s="102">
        <f t="shared" si="9"/>
        <v>3.1831091435185178E-2</v>
      </c>
      <c r="N25" s="88">
        <v>1</v>
      </c>
      <c r="O25" s="88">
        <v>8</v>
      </c>
      <c r="P25" s="367">
        <v>30</v>
      </c>
      <c r="Q25" s="26">
        <f t="shared" si="10"/>
        <v>0.6180256229084643</v>
      </c>
      <c r="R25" s="26">
        <f t="shared" si="10"/>
        <v>2.1005820105820106</v>
      </c>
      <c r="S25" s="26">
        <f t="shared" si="10"/>
        <v>2.6805129629629625</v>
      </c>
      <c r="T25" s="26">
        <f t="shared" si="10"/>
        <v>5.5286848920038864E-3</v>
      </c>
      <c r="U25" s="26">
        <f t="shared" si="10"/>
        <v>0.17031746031746031</v>
      </c>
      <c r="V25" s="26">
        <f t="shared" si="10"/>
        <v>0.15158253968253968</v>
      </c>
      <c r="W25" s="26">
        <f t="shared" si="10"/>
        <v>471.30804089370235</v>
      </c>
      <c r="X25" s="26">
        <f t="shared" si="10"/>
        <v>6.0275801511839804E-2</v>
      </c>
      <c r="Y25" s="26">
        <f t="shared" si="10"/>
        <v>0.25464873148148143</v>
      </c>
    </row>
    <row r="26" spans="1:25">
      <c r="A26" s="100" t="s">
        <v>126</v>
      </c>
      <c r="B26" s="29" t="s">
        <v>27</v>
      </c>
      <c r="C26" s="22">
        <v>175</v>
      </c>
      <c r="D26" s="22"/>
      <c r="E26" s="102">
        <v>0.11792220738547983</v>
      </c>
      <c r="F26" s="102">
        <v>0.36512193352152528</v>
      </c>
      <c r="G26" s="102">
        <v>0.86781464282266541</v>
      </c>
      <c r="H26" s="102">
        <v>1.8739217498104396E-3</v>
      </c>
      <c r="I26" s="102">
        <v>2.9041712295589866E-2</v>
      </c>
      <c r="J26" s="100">
        <f t="shared" si="8"/>
        <v>2.5847123943074982E-2</v>
      </c>
      <c r="K26" s="103">
        <v>166.54541562452522</v>
      </c>
      <c r="L26" s="102">
        <v>1.063993297769634E-2</v>
      </c>
      <c r="M26" s="104">
        <f t="shared" si="9"/>
        <v>8.2442391068153209E-2</v>
      </c>
      <c r="N26" s="88">
        <v>1</v>
      </c>
      <c r="O26" s="88">
        <v>8</v>
      </c>
      <c r="P26" s="367">
        <v>30</v>
      </c>
      <c r="Q26" s="26">
        <f t="shared" si="10"/>
        <v>0.94337765908383864</v>
      </c>
      <c r="R26" s="26">
        <f t="shared" si="10"/>
        <v>2.9209754681722022</v>
      </c>
      <c r="S26" s="26">
        <f t="shared" si="10"/>
        <v>6.9425171425813232</v>
      </c>
      <c r="T26" s="26">
        <f t="shared" si="10"/>
        <v>1.4991373998483517E-2</v>
      </c>
      <c r="U26" s="26">
        <f t="shared" si="10"/>
        <v>0.23233369836471893</v>
      </c>
      <c r="V26" s="26">
        <f t="shared" si="10"/>
        <v>0.20677699154459986</v>
      </c>
      <c r="W26" s="26">
        <f t="shared" si="10"/>
        <v>1332.3633249962018</v>
      </c>
      <c r="X26" s="26">
        <f t="shared" si="10"/>
        <v>8.5119463821570721E-2</v>
      </c>
      <c r="Y26" s="26">
        <f t="shared" si="10"/>
        <v>0.65953912854522567</v>
      </c>
    </row>
    <row r="27" spans="1:25">
      <c r="A27" s="17" t="s">
        <v>28</v>
      </c>
      <c r="B27" s="29"/>
      <c r="C27" s="22"/>
      <c r="D27" s="22"/>
      <c r="E27" s="23"/>
      <c r="F27" s="23"/>
      <c r="G27" s="23"/>
      <c r="H27" s="23"/>
      <c r="I27" s="23"/>
      <c r="J27" s="100"/>
      <c r="K27" s="365"/>
      <c r="L27" s="23"/>
      <c r="M27" s="102"/>
      <c r="N27" s="30"/>
      <c r="O27" s="98"/>
      <c r="P27" s="363"/>
      <c r="Q27" s="101">
        <f t="shared" ref="Q27:Y27" si="11">SUM(Q22:Q26)</f>
        <v>4.7687083689747904</v>
      </c>
      <c r="R27" s="101">
        <f t="shared" si="11"/>
        <v>15.92233349286356</v>
      </c>
      <c r="S27" s="101">
        <f t="shared" si="11"/>
        <v>24.662696243110421</v>
      </c>
      <c r="T27" s="101">
        <f t="shared" si="11"/>
        <v>5.2473166872495744E-2</v>
      </c>
      <c r="U27" s="101">
        <f t="shared" si="11"/>
        <v>1.0392014232324438</v>
      </c>
      <c r="V27" s="101">
        <f t="shared" si="11"/>
        <v>0.92488926667687488</v>
      </c>
      <c r="W27" s="101">
        <f t="shared" si="11"/>
        <v>4914.0238355638121</v>
      </c>
      <c r="X27" s="101">
        <f t="shared" si="11"/>
        <v>0.45076617035260674</v>
      </c>
      <c r="Y27" s="101">
        <f t="shared" si="11"/>
        <v>2.3429561430954902</v>
      </c>
    </row>
    <row r="28" spans="1:25">
      <c r="A28" s="17" t="s">
        <v>365</v>
      </c>
      <c r="B28" s="571"/>
      <c r="C28" s="18"/>
      <c r="D28" s="22"/>
      <c r="E28" s="19"/>
      <c r="F28" s="19"/>
      <c r="G28" s="19"/>
      <c r="H28" s="19"/>
      <c r="I28" s="19"/>
      <c r="J28" s="19"/>
      <c r="K28" s="19"/>
      <c r="L28" s="19"/>
      <c r="M28" s="19"/>
      <c r="N28" s="30"/>
      <c r="O28" s="30"/>
      <c r="P28" s="364"/>
      <c r="Q28" s="20">
        <f t="shared" ref="Q28:Y28" si="12">Q11+Q20+Q27</f>
        <v>12.976167641397037</v>
      </c>
      <c r="R28" s="20">
        <f t="shared" si="12"/>
        <v>45.62754267232507</v>
      </c>
      <c r="S28" s="20">
        <f t="shared" si="12"/>
        <v>72.847070666934101</v>
      </c>
      <c r="T28" s="20">
        <f t="shared" si="12"/>
        <v>0.1513738481609771</v>
      </c>
      <c r="U28" s="20">
        <f t="shared" si="12"/>
        <v>3.205651217801635</v>
      </c>
      <c r="V28" s="20">
        <f t="shared" si="12"/>
        <v>2.8530295838434547</v>
      </c>
      <c r="W28" s="20">
        <f t="shared" si="12"/>
        <v>13870.620472416891</v>
      </c>
      <c r="X28" s="20">
        <f t="shared" si="12"/>
        <v>1.2256657222185674</v>
      </c>
      <c r="Y28" s="20">
        <f t="shared" si="12"/>
        <v>6.9204717133587392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9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708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317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24" t="s">
        <v>311</v>
      </c>
      <c r="B14" s="29" t="s">
        <v>27</v>
      </c>
      <c r="C14" s="22">
        <v>175</v>
      </c>
      <c r="D14" s="22"/>
      <c r="E14" s="102">
        <v>0.11792220738547983</v>
      </c>
      <c r="F14" s="102">
        <v>0.36512193352152528</v>
      </c>
      <c r="G14" s="102">
        <v>0.86781464282266541</v>
      </c>
      <c r="H14" s="102">
        <v>1.8739217498104396E-3</v>
      </c>
      <c r="I14" s="102">
        <v>2.9041712295589866E-2</v>
      </c>
      <c r="J14" s="100">
        <f t="shared" ref="J14" si="4">0.89*I14</f>
        <v>2.5847123943074982E-2</v>
      </c>
      <c r="K14" s="103">
        <v>166.54541562452522</v>
      </c>
      <c r="L14" s="102">
        <v>1.063993297769634E-2</v>
      </c>
      <c r="M14" s="104">
        <f t="shared" ref="M14" si="5">0.095*G14</f>
        <v>8.2442391068153209E-2</v>
      </c>
      <c r="N14" s="98">
        <v>1</v>
      </c>
      <c r="O14" s="87">
        <v>2</v>
      </c>
      <c r="P14" s="363">
        <v>280</v>
      </c>
      <c r="Q14" s="34">
        <f t="shared" ref="Q14:Y14" si="6">(E14*$N14*$O14)</f>
        <v>0.23584441477095966</v>
      </c>
      <c r="R14" s="26">
        <f t="shared" si="6"/>
        <v>0.73024386704305055</v>
      </c>
      <c r="S14" s="26">
        <f t="shared" si="6"/>
        <v>1.7356292856453308</v>
      </c>
      <c r="T14" s="26">
        <f t="shared" si="6"/>
        <v>3.7478434996208792E-3</v>
      </c>
      <c r="U14" s="26">
        <f t="shared" si="6"/>
        <v>5.8083424591179732E-2</v>
      </c>
      <c r="V14" s="26">
        <f t="shared" si="6"/>
        <v>5.1694247886149965E-2</v>
      </c>
      <c r="W14" s="26">
        <f t="shared" si="6"/>
        <v>333.09083124905044</v>
      </c>
      <c r="X14" s="26">
        <f t="shared" si="6"/>
        <v>2.127986595539268E-2</v>
      </c>
      <c r="Y14" s="26">
        <f t="shared" si="6"/>
        <v>0.16488478213630642</v>
      </c>
    </row>
    <row r="15" spans="1:25" s="3" customFormat="1">
      <c r="A15" s="17" t="s">
        <v>28</v>
      </c>
      <c r="B15" s="97"/>
      <c r="C15" s="22"/>
      <c r="D15" s="22"/>
      <c r="E15" s="23"/>
      <c r="F15" s="23"/>
      <c r="G15" s="23"/>
      <c r="H15" s="23"/>
      <c r="I15" s="23"/>
      <c r="J15" s="24"/>
      <c r="K15" s="25"/>
      <c r="L15" s="23"/>
      <c r="M15" s="23"/>
      <c r="N15" s="88"/>
      <c r="O15" s="88"/>
      <c r="P15" s="88"/>
      <c r="Q15" s="27">
        <f t="shared" ref="Q15:Y15" si="7">SUM(Q14:Q14)</f>
        <v>0.23584441477095966</v>
      </c>
      <c r="R15" s="27">
        <f t="shared" si="7"/>
        <v>0.73024386704305055</v>
      </c>
      <c r="S15" s="27">
        <f t="shared" si="7"/>
        <v>1.7356292856453308</v>
      </c>
      <c r="T15" s="27">
        <f t="shared" si="7"/>
        <v>3.7478434996208792E-3</v>
      </c>
      <c r="U15" s="27">
        <f t="shared" si="7"/>
        <v>5.8083424591179732E-2</v>
      </c>
      <c r="V15" s="27">
        <f t="shared" si="7"/>
        <v>5.1694247886149965E-2</v>
      </c>
      <c r="W15" s="27">
        <f t="shared" si="7"/>
        <v>333.09083124905044</v>
      </c>
      <c r="X15" s="27">
        <f t="shared" si="7"/>
        <v>2.127986595539268E-2</v>
      </c>
      <c r="Y15" s="27">
        <f t="shared" si="7"/>
        <v>0.16488478213630642</v>
      </c>
    </row>
    <row r="16" spans="1:25" s="3" customFormat="1">
      <c r="A16" s="24"/>
      <c r="B16" s="29"/>
      <c r="C16" s="22"/>
      <c r="D16" s="22"/>
      <c r="E16" s="108"/>
      <c r="F16" s="108"/>
      <c r="G16" s="108"/>
      <c r="H16" s="108"/>
      <c r="I16" s="108"/>
      <c r="J16" s="100"/>
      <c r="K16" s="365"/>
      <c r="L16" s="110"/>
      <c r="M16" s="102"/>
      <c r="N16" s="98"/>
      <c r="O16" s="98"/>
      <c r="P16" s="363"/>
      <c r="Q16" s="34"/>
      <c r="R16" s="26"/>
      <c r="S16" s="26"/>
      <c r="T16" s="26"/>
      <c r="U16" s="26"/>
      <c r="V16" s="26"/>
      <c r="W16" s="26"/>
      <c r="X16" s="26"/>
      <c r="Y16" s="26"/>
    </row>
    <row r="17" spans="1:25" s="3" customFormat="1">
      <c r="A17" s="11" t="s">
        <v>518</v>
      </c>
      <c r="B17" s="22"/>
      <c r="C17" s="18"/>
      <c r="D17" s="22"/>
      <c r="E17" s="19"/>
      <c r="F17" s="19"/>
      <c r="G17" s="19"/>
      <c r="H17" s="19"/>
      <c r="I17" s="19"/>
      <c r="J17" s="19"/>
      <c r="K17" s="19"/>
      <c r="L17" s="19"/>
      <c r="M17" s="19"/>
      <c r="N17" s="11"/>
      <c r="O17" s="11"/>
      <c r="P17" s="11"/>
      <c r="Q17" s="27"/>
      <c r="R17" s="27"/>
      <c r="S17" s="27"/>
      <c r="T17" s="27"/>
      <c r="U17" s="27"/>
      <c r="V17" s="27"/>
      <c r="W17" s="28"/>
      <c r="X17" s="27"/>
      <c r="Y17" s="27"/>
    </row>
    <row r="18" spans="1:25" s="3" customFormat="1">
      <c r="A18" s="17" t="s">
        <v>28</v>
      </c>
      <c r="B18" s="97"/>
      <c r="C18" s="22"/>
      <c r="D18" s="22"/>
      <c r="E18" s="102"/>
      <c r="F18" s="102"/>
      <c r="G18" s="102"/>
      <c r="H18" s="102"/>
      <c r="I18" s="102"/>
      <c r="J18" s="100"/>
      <c r="K18" s="103"/>
      <c r="L18" s="102"/>
      <c r="M18" s="104"/>
      <c r="N18" s="88"/>
      <c r="O18" s="88"/>
      <c r="P18" s="88"/>
      <c r="Q18" s="27"/>
      <c r="R18" s="27"/>
      <c r="S18" s="27"/>
      <c r="T18" s="27"/>
      <c r="U18" s="27"/>
      <c r="V18" s="27"/>
      <c r="W18" s="27"/>
      <c r="X18" s="27"/>
      <c r="Y18" s="27"/>
    </row>
    <row r="19" spans="1:25">
      <c r="A19" s="17" t="s">
        <v>499</v>
      </c>
      <c r="B19" s="549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30"/>
      <c r="O19" s="30"/>
      <c r="P19" s="364"/>
      <c r="Q19" s="20">
        <f>Q11+Q15</f>
        <v>0.9504215378625569</v>
      </c>
      <c r="R19" s="20">
        <f t="shared" ref="R19:Y19" si="8">R11+R15</f>
        <v>3.6844030780014445</v>
      </c>
      <c r="S19" s="20">
        <f t="shared" si="8"/>
        <v>6.1566857317844876</v>
      </c>
      <c r="T19" s="20">
        <f t="shared" si="8"/>
        <v>1.207090973569876E-2</v>
      </c>
      <c r="U19" s="20">
        <f t="shared" si="8"/>
        <v>0.30389171690722716</v>
      </c>
      <c r="V19" s="20">
        <f t="shared" si="8"/>
        <v>0.27046362804743218</v>
      </c>
      <c r="W19" s="20">
        <f t="shared" si="8"/>
        <v>1029.5443237340787</v>
      </c>
      <c r="X19" s="20">
        <f t="shared" si="8"/>
        <v>9.3819672145962416E-2</v>
      </c>
      <c r="Y19" s="20">
        <f t="shared" si="8"/>
        <v>0.58488514451952633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3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709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315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C9*(F9)*$B$326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5" t="s">
        <v>28</v>
      </c>
      <c r="B10" s="74"/>
      <c r="C10" s="112"/>
      <c r="D10" s="112"/>
      <c r="E10" s="74"/>
      <c r="F10" s="74"/>
      <c r="G10" s="577"/>
      <c r="H10" s="41"/>
      <c r="I10" s="41"/>
      <c r="J10" s="41"/>
      <c r="K10" s="574"/>
      <c r="L10" s="574"/>
      <c r="M10" s="574"/>
      <c r="N10" s="574"/>
      <c r="O10" s="574"/>
      <c r="P10" s="574"/>
      <c r="Q10" s="41"/>
      <c r="R10" s="574"/>
      <c r="S10" s="574"/>
      <c r="T10" s="81">
        <f t="shared" ref="T10:AD10" si="0">SUM(T9:T9)</f>
        <v>9.9891275533645019E-2</v>
      </c>
      <c r="U10" s="81">
        <f t="shared" si="0"/>
        <v>0.18440937782971867</v>
      </c>
      <c r="V10" s="81">
        <f t="shared" si="0"/>
        <v>2.253067276294635E-2</v>
      </c>
      <c r="W10" s="81">
        <f t="shared" si="0"/>
        <v>1.3898613406074772E-3</v>
      </c>
      <c r="X10" s="81">
        <f t="shared" si="0"/>
        <v>3.6369464870151122E-2</v>
      </c>
      <c r="Y10" s="81">
        <f t="shared" si="0"/>
        <v>2.4166098982977401E-2</v>
      </c>
      <c r="Z10" s="81">
        <f t="shared" si="0"/>
        <v>0</v>
      </c>
      <c r="AA10" s="81">
        <f t="shared" si="0"/>
        <v>0</v>
      </c>
      <c r="AB10" s="81">
        <f t="shared" si="0"/>
        <v>96.814105590256631</v>
      </c>
      <c r="AC10" s="81">
        <f t="shared" si="0"/>
        <v>5.5322484357440338E-3</v>
      </c>
      <c r="AD10" s="81">
        <f t="shared" si="0"/>
        <v>2.4799901288000137E-3</v>
      </c>
    </row>
    <row r="11" spans="1:30">
      <c r="A11" s="75"/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</row>
    <row r="12" spans="1:30">
      <c r="A12" s="114" t="s">
        <v>336</v>
      </c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>
      <c r="A13" s="78" t="s">
        <v>320</v>
      </c>
      <c r="B13" s="76" t="s">
        <v>95</v>
      </c>
      <c r="C13" s="79">
        <v>3</v>
      </c>
      <c r="D13" s="77"/>
      <c r="E13" s="77">
        <v>35</v>
      </c>
      <c r="F13" s="77">
        <v>60</v>
      </c>
      <c r="G13" s="106">
        <v>0.25172046482947802</v>
      </c>
      <c r="H13" s="106">
        <v>0.464701387165456</v>
      </c>
      <c r="I13" s="106">
        <v>5.6776043658582402E-2</v>
      </c>
      <c r="J13" s="106">
        <v>3.5023733638119199E-3</v>
      </c>
      <c r="K13" s="106">
        <v>4.6899256897933901E-2</v>
      </c>
      <c r="L13" s="47">
        <v>7.99995847163921E-3</v>
      </c>
      <c r="M13" s="47">
        <v>3.6749815577381599E-2</v>
      </c>
      <c r="N13" s="106">
        <v>4.3147317248333997E-2</v>
      </c>
      <c r="O13" s="47">
        <v>1.9999896145790402E-3</v>
      </c>
      <c r="P13" s="47">
        <v>1.57499200131354E-2</v>
      </c>
      <c r="Q13" s="106">
        <v>243.966167526025</v>
      </c>
      <c r="R13" s="47">
        <f>0.000057143*Q13</f>
        <v>1.3940958710939646E-2</v>
      </c>
      <c r="S13" s="80">
        <f>0.000025616*Q13</f>
        <v>6.2494373473466567E-3</v>
      </c>
      <c r="T13" s="50">
        <f>C13*($F13*$G13)/453.59</f>
        <v>9.9891275533645019E-2</v>
      </c>
      <c r="U13" s="50">
        <f>C13*($F13*$H13)/453.59</f>
        <v>0.18440937782971867</v>
      </c>
      <c r="V13" s="50">
        <f>C13*(($F13*$I13))/453.59</f>
        <v>2.253067276294635E-2</v>
      </c>
      <c r="W13" s="50">
        <f>C13*($F13*$J13)/453.59</f>
        <v>1.3898613406074772E-3</v>
      </c>
      <c r="X13" s="50">
        <f>C13*(($F13*($K13+$L13+$M13)))/453.59</f>
        <v>3.6369464870151122E-2</v>
      </c>
      <c r="Y13" s="50">
        <f>C13*(($F13*($N13+$O13+$P13)))/453.59</f>
        <v>2.4166098982977401E-2</v>
      </c>
      <c r="Z13" s="50">
        <f>C13*(F13)*$B$287</f>
        <v>0</v>
      </c>
      <c r="AA13" s="50">
        <f>Z13*0.21</f>
        <v>0</v>
      </c>
      <c r="AB13" s="50">
        <f>C13*(($F13*($Q13)))/453.59</f>
        <v>96.814105590256631</v>
      </c>
      <c r="AC13" s="50">
        <f>C13*(($F13*($R13)))/453.59</f>
        <v>5.5322484357440338E-3</v>
      </c>
      <c r="AD13" s="50">
        <f>C13*(($F13*($S13)))/453.59</f>
        <v>2.4799901288000137E-3</v>
      </c>
    </row>
    <row r="14" spans="1:30">
      <c r="A14" s="75" t="s">
        <v>28</v>
      </c>
      <c r="B14" s="74"/>
      <c r="C14" s="112"/>
      <c r="D14" s="112"/>
      <c r="E14" s="74"/>
      <c r="F14" s="74"/>
      <c r="G14" s="577"/>
      <c r="H14" s="41"/>
      <c r="I14" s="41"/>
      <c r="J14" s="41"/>
      <c r="K14" s="574"/>
      <c r="L14" s="574"/>
      <c r="M14" s="574"/>
      <c r="N14" s="574"/>
      <c r="O14" s="574"/>
      <c r="P14" s="574"/>
      <c r="Q14" s="41"/>
      <c r="R14" s="574"/>
      <c r="S14" s="574"/>
      <c r="T14" s="81">
        <f t="shared" ref="T14:AD14" si="1">SUM(T13:T13)</f>
        <v>9.9891275533645019E-2</v>
      </c>
      <c r="U14" s="81">
        <f t="shared" si="1"/>
        <v>0.18440937782971867</v>
      </c>
      <c r="V14" s="81">
        <f t="shared" si="1"/>
        <v>2.253067276294635E-2</v>
      </c>
      <c r="W14" s="81">
        <f t="shared" si="1"/>
        <v>1.3898613406074772E-3</v>
      </c>
      <c r="X14" s="81">
        <f t="shared" si="1"/>
        <v>3.6369464870151122E-2</v>
      </c>
      <c r="Y14" s="81">
        <f t="shared" si="1"/>
        <v>2.4166098982977401E-2</v>
      </c>
      <c r="Z14" s="81">
        <f t="shared" si="1"/>
        <v>0</v>
      </c>
      <c r="AA14" s="81">
        <f t="shared" si="1"/>
        <v>0</v>
      </c>
      <c r="AB14" s="81">
        <f t="shared" si="1"/>
        <v>96.814105590256631</v>
      </c>
      <c r="AC14" s="81">
        <f t="shared" si="1"/>
        <v>5.5322484357440338E-3</v>
      </c>
      <c r="AD14" s="81">
        <f t="shared" si="1"/>
        <v>2.4799901288000137E-3</v>
      </c>
    </row>
    <row r="15" spans="1:30">
      <c r="A15" s="75"/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</row>
    <row r="16" spans="1:30">
      <c r="A16" s="114" t="s">
        <v>319</v>
      </c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61"/>
      <c r="U16" s="61"/>
      <c r="V16" s="61"/>
      <c r="W16" s="61"/>
      <c r="X16" s="61"/>
      <c r="Y16" s="61"/>
      <c r="Z16" s="62"/>
      <c r="AA16" s="62"/>
      <c r="AB16" s="62"/>
      <c r="AC16" s="62"/>
      <c r="AD16" s="62"/>
    </row>
    <row r="17" spans="1:30">
      <c r="A17" s="78" t="s">
        <v>320</v>
      </c>
      <c r="B17" s="76" t="s">
        <v>95</v>
      </c>
      <c r="C17" s="79">
        <v>1</v>
      </c>
      <c r="D17" s="77"/>
      <c r="E17" s="77">
        <v>35</v>
      </c>
      <c r="F17" s="77">
        <v>60</v>
      </c>
      <c r="G17" s="106">
        <v>0.25172046482947802</v>
      </c>
      <c r="H17" s="106">
        <v>0.464701387165456</v>
      </c>
      <c r="I17" s="106">
        <v>5.6776043658582402E-2</v>
      </c>
      <c r="J17" s="106">
        <v>3.5023733638119199E-3</v>
      </c>
      <c r="K17" s="106">
        <v>4.6899256897933901E-2</v>
      </c>
      <c r="L17" s="47">
        <v>7.99995847163921E-3</v>
      </c>
      <c r="M17" s="47">
        <v>3.6749815577381599E-2</v>
      </c>
      <c r="N17" s="106">
        <v>4.3147317248333997E-2</v>
      </c>
      <c r="O17" s="47">
        <v>1.9999896145790402E-3</v>
      </c>
      <c r="P17" s="47">
        <v>1.57499200131354E-2</v>
      </c>
      <c r="Q17" s="106">
        <v>243.966167526025</v>
      </c>
      <c r="R17" s="47">
        <f>0.000057143*Q17</f>
        <v>1.3940958710939646E-2</v>
      </c>
      <c r="S17" s="80">
        <f>0.000025616*Q17</f>
        <v>6.2494373473466567E-3</v>
      </c>
      <c r="T17" s="50">
        <f>C17*($F17*$G17)/453.59</f>
        <v>3.3297091844548342E-2</v>
      </c>
      <c r="U17" s="50">
        <f>C17*($F17*$H17)/453.59</f>
        <v>6.1469792609906218E-2</v>
      </c>
      <c r="V17" s="50">
        <f>C17*(($F17*$I17))/453.59</f>
        <v>7.5102242543154491E-3</v>
      </c>
      <c r="W17" s="50">
        <f>C17*($F17*$J17)/453.59</f>
        <v>4.6328711353582576E-4</v>
      </c>
      <c r="X17" s="50">
        <f>C17*(($F17*($K17+$L17+$M17)))/453.59</f>
        <v>1.2123154956717041E-2</v>
      </c>
      <c r="Y17" s="50">
        <f>C17*(($F17*($N17+$O17+$P17)))/453.59</f>
        <v>8.0553663276591338E-3</v>
      </c>
      <c r="Z17" s="50">
        <f>C17*(F17)*$B$292</f>
        <v>0</v>
      </c>
      <c r="AA17" s="50">
        <f>Z17*0.21</f>
        <v>0</v>
      </c>
      <c r="AB17" s="50">
        <f>C17*(($F17*($Q17)))/453.59</f>
        <v>32.271368530085546</v>
      </c>
      <c r="AC17" s="50">
        <f>C17*(($F17*($R17)))/453.59</f>
        <v>1.844082811914678E-3</v>
      </c>
      <c r="AD17" s="50">
        <f>C17*(($F17*($S17)))/453.59</f>
        <v>8.2666337626667119E-4</v>
      </c>
    </row>
    <row r="18" spans="1:30">
      <c r="A18" s="75" t="s">
        <v>28</v>
      </c>
      <c r="B18" s="74"/>
      <c r="C18" s="112"/>
      <c r="D18" s="112"/>
      <c r="E18" s="74"/>
      <c r="F18" s="74"/>
      <c r="G18" s="577"/>
      <c r="H18" s="41"/>
      <c r="I18" s="41"/>
      <c r="J18" s="41"/>
      <c r="K18" s="574"/>
      <c r="L18" s="574"/>
      <c r="M18" s="574"/>
      <c r="N18" s="574"/>
      <c r="O18" s="574"/>
      <c r="P18" s="574"/>
      <c r="Q18" s="41"/>
      <c r="R18" s="574"/>
      <c r="S18" s="574"/>
      <c r="T18" s="81">
        <f t="shared" ref="T18:AD18" si="2">SUM(T17:T17)</f>
        <v>3.3297091844548342E-2</v>
      </c>
      <c r="U18" s="81">
        <f t="shared" si="2"/>
        <v>6.1469792609906218E-2</v>
      </c>
      <c r="V18" s="81">
        <f t="shared" si="2"/>
        <v>7.5102242543154491E-3</v>
      </c>
      <c r="W18" s="81">
        <f t="shared" si="2"/>
        <v>4.6328711353582576E-4</v>
      </c>
      <c r="X18" s="81">
        <f t="shared" si="2"/>
        <v>1.2123154956717041E-2</v>
      </c>
      <c r="Y18" s="81">
        <f t="shared" si="2"/>
        <v>8.0553663276591338E-3</v>
      </c>
      <c r="Z18" s="81">
        <f t="shared" si="2"/>
        <v>0</v>
      </c>
      <c r="AA18" s="81">
        <f t="shared" si="2"/>
        <v>0</v>
      </c>
      <c r="AB18" s="81">
        <f t="shared" si="2"/>
        <v>32.271368530085546</v>
      </c>
      <c r="AC18" s="81">
        <f t="shared" si="2"/>
        <v>1.844082811914678E-3</v>
      </c>
      <c r="AD18" s="81">
        <f t="shared" si="2"/>
        <v>8.2666337626667119E-4</v>
      </c>
    </row>
    <row r="19" spans="1:30">
      <c r="A19" s="75" t="s">
        <v>388</v>
      </c>
      <c r="B19" s="74"/>
      <c r="C19" s="112"/>
      <c r="D19" s="112"/>
      <c r="E19" s="74"/>
      <c r="F19" s="74"/>
      <c r="G19" s="547"/>
      <c r="H19" s="41"/>
      <c r="I19" s="41"/>
      <c r="J19" s="41"/>
      <c r="K19" s="544"/>
      <c r="L19" s="544"/>
      <c r="M19" s="544"/>
      <c r="N19" s="544"/>
      <c r="O19" s="544"/>
      <c r="P19" s="544"/>
      <c r="Q19" s="41"/>
      <c r="R19" s="544"/>
      <c r="S19" s="544"/>
      <c r="T19" s="81">
        <f>T10+T14+T18</f>
        <v>0.23307964291183839</v>
      </c>
      <c r="U19" s="81">
        <f t="shared" ref="U19:AD19" si="3">U10+U14+U18</f>
        <v>0.43028854826934354</v>
      </c>
      <c r="V19" s="81">
        <f t="shared" si="3"/>
        <v>5.2571569780208147E-2</v>
      </c>
      <c r="W19" s="81">
        <f t="shared" si="3"/>
        <v>3.2430097947507802E-3</v>
      </c>
      <c r="X19" s="81">
        <f t="shared" si="3"/>
        <v>8.486208469701928E-2</v>
      </c>
      <c r="Y19" s="81">
        <f t="shared" si="3"/>
        <v>5.638756429361394E-2</v>
      </c>
      <c r="Z19" s="81">
        <f t="shared" si="3"/>
        <v>0</v>
      </c>
      <c r="AA19" s="81">
        <f t="shared" si="3"/>
        <v>0</v>
      </c>
      <c r="AB19" s="81">
        <f t="shared" si="3"/>
        <v>225.8995797105988</v>
      </c>
      <c r="AC19" s="81">
        <f t="shared" si="3"/>
        <v>1.2908579683402746E-2</v>
      </c>
      <c r="AD19" s="81">
        <f t="shared" si="3"/>
        <v>5.7866436338666989E-3</v>
      </c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371" spans="1:2" ht="25.5">
      <c r="A371" s="82" t="s">
        <v>109</v>
      </c>
    </row>
    <row r="373" spans="1:2">
      <c r="A373" s="36" t="s">
        <v>81</v>
      </c>
    </row>
    <row r="374" spans="1:2">
      <c r="A374" s="36" t="s">
        <v>82</v>
      </c>
    </row>
    <row r="375" spans="1:2">
      <c r="A375" s="36" t="s">
        <v>83</v>
      </c>
    </row>
    <row r="376" spans="1:2">
      <c r="A376" s="37" t="s">
        <v>96</v>
      </c>
    </row>
    <row r="377" spans="1:2">
      <c r="A377" s="36" t="s">
        <v>85</v>
      </c>
    </row>
    <row r="378" spans="1:2">
      <c r="A378" s="36" t="s">
        <v>86</v>
      </c>
    </row>
    <row r="379" spans="1:2">
      <c r="A379" s="36" t="s">
        <v>87</v>
      </c>
    </row>
    <row r="380" spans="1:2">
      <c r="A380" s="36" t="s">
        <v>0</v>
      </c>
    </row>
    <row r="381" spans="1:2">
      <c r="A381" s="37" t="s">
        <v>97</v>
      </c>
      <c r="B381" s="36">
        <f>(0.016*(0.03/2)^0.65*(2/3)^1.5)-0.00047</f>
        <v>9.8123053326417428E-5</v>
      </c>
    </row>
    <row r="382" spans="1:2">
      <c r="A382" s="37" t="s">
        <v>98</v>
      </c>
      <c r="B382" s="36">
        <f>(0.016*(0.03/2)^0.65*(13/3)^1.5)-0.00047</f>
        <v>8.9448292388582783E-3</v>
      </c>
    </row>
    <row r="383" spans="1:2">
      <c r="A383" s="37" t="s">
        <v>99</v>
      </c>
      <c r="B383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710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67" ht="25.5">
      <c r="A5" s="44" t="s">
        <v>335</v>
      </c>
      <c r="B5" s="45" t="s">
        <v>102</v>
      </c>
      <c r="C5" s="46">
        <v>1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319</v>
      </c>
      <c r="B6" s="45" t="s">
        <v>102</v>
      </c>
      <c r="C6" s="46">
        <v>2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546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2">AG$11*$AC16</f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>AR$11*$AC16</f>
        <v>#REF!</v>
      </c>
      <c r="AS16" s="36" t="e">
        <f t="shared" ref="AS16:BA24" si="3">AS$11*$AC16</f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4">AF$11*$AC17</f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ref="AR17:AR24" si="5">AR$11*$AC17</f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6">AF$11*$AC27</f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ref="AR27:BA35" si="7">AR$11*$AC27</f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8">AF$11*$AC38</f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ref="AR38:BA46" si="9">AR$11*$AC38</f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0">AF16+AF18+AF19</f>
        <v>#REF!</v>
      </c>
      <c r="AG51" s="70" t="e">
        <f t="shared" si="10"/>
        <v>#REF!</v>
      </c>
      <c r="AH51" s="70" t="e">
        <f t="shared" si="10"/>
        <v>#REF!</v>
      </c>
      <c r="AI51" s="70" t="e">
        <f t="shared" si="10"/>
        <v>#REF!</v>
      </c>
      <c r="AJ51" s="70" t="e">
        <f t="shared" si="10"/>
        <v>#REF!</v>
      </c>
      <c r="AK51" s="70" t="e">
        <f t="shared" si="10"/>
        <v>#REF!</v>
      </c>
      <c r="AL51" s="70" t="e">
        <f t="shared" si="10"/>
        <v>#REF!</v>
      </c>
      <c r="AM51" s="70" t="e">
        <f t="shared" si="10"/>
        <v>#REF!</v>
      </c>
      <c r="AN51" s="70" t="e">
        <f t="shared" si="10"/>
        <v>#REF!</v>
      </c>
      <c r="AO51" s="70" t="e">
        <f t="shared" si="10"/>
        <v>#REF!</v>
      </c>
      <c r="AP51" s="70"/>
      <c r="AQ51" s="70"/>
      <c r="AR51" s="70" t="e">
        <f t="shared" ref="AR51:BA51" si="11">AR16+AR18+AR19</f>
        <v>#REF!</v>
      </c>
      <c r="AS51" s="70" t="e">
        <f t="shared" si="11"/>
        <v>#REF!</v>
      </c>
      <c r="AT51" s="70" t="e">
        <f t="shared" si="11"/>
        <v>#REF!</v>
      </c>
      <c r="AU51" s="70" t="e">
        <f t="shared" si="11"/>
        <v>#REF!</v>
      </c>
      <c r="AV51" s="70" t="e">
        <f t="shared" si="11"/>
        <v>#REF!</v>
      </c>
      <c r="AW51" s="70" t="e">
        <f t="shared" si="11"/>
        <v>#REF!</v>
      </c>
      <c r="AX51" s="70" t="e">
        <f t="shared" si="11"/>
        <v>#REF!</v>
      </c>
      <c r="AY51" s="70" t="e">
        <f t="shared" si="11"/>
        <v>#REF!</v>
      </c>
      <c r="AZ51" s="70" t="e">
        <f t="shared" si="11"/>
        <v>#REF!</v>
      </c>
      <c r="BA51" s="70" t="e">
        <f t="shared" si="11"/>
        <v>#REF!</v>
      </c>
    </row>
    <row r="52" spans="27:53" hidden="1">
      <c r="AA52" s="71" t="s">
        <v>41</v>
      </c>
      <c r="AB52" s="35"/>
      <c r="AF52" s="70" t="e">
        <f t="shared" ref="AF52:AO52" si="12">AF27+AF29+AF30</f>
        <v>#REF!</v>
      </c>
      <c r="AG52" s="70" t="e">
        <f t="shared" si="12"/>
        <v>#REF!</v>
      </c>
      <c r="AH52" s="70" t="e">
        <f t="shared" si="12"/>
        <v>#REF!</v>
      </c>
      <c r="AI52" s="70" t="e">
        <f t="shared" si="12"/>
        <v>#REF!</v>
      </c>
      <c r="AJ52" s="70" t="e">
        <f t="shared" si="12"/>
        <v>#REF!</v>
      </c>
      <c r="AK52" s="70" t="e">
        <f t="shared" si="12"/>
        <v>#REF!</v>
      </c>
      <c r="AL52" s="70" t="e">
        <f t="shared" si="12"/>
        <v>#REF!</v>
      </c>
      <c r="AM52" s="70" t="e">
        <f t="shared" si="12"/>
        <v>#REF!</v>
      </c>
      <c r="AN52" s="70" t="e">
        <f t="shared" si="12"/>
        <v>#REF!</v>
      </c>
      <c r="AO52" s="70" t="e">
        <f t="shared" si="12"/>
        <v>#REF!</v>
      </c>
      <c r="AP52" s="70"/>
      <c r="AQ52" s="70"/>
      <c r="AR52" s="70" t="e">
        <f t="shared" ref="AR52:BA52" si="13">AR27+AR29+AR30</f>
        <v>#REF!</v>
      </c>
      <c r="AS52" s="70" t="e">
        <f t="shared" si="13"/>
        <v>#REF!</v>
      </c>
      <c r="AT52" s="70" t="e">
        <f t="shared" si="13"/>
        <v>#REF!</v>
      </c>
      <c r="AU52" s="70" t="e">
        <f t="shared" si="13"/>
        <v>#REF!</v>
      </c>
      <c r="AV52" s="70" t="e">
        <f t="shared" si="13"/>
        <v>#REF!</v>
      </c>
      <c r="AW52" s="70" t="e">
        <f t="shared" si="13"/>
        <v>#REF!</v>
      </c>
      <c r="AX52" s="70" t="e">
        <f t="shared" si="13"/>
        <v>#REF!</v>
      </c>
      <c r="AY52" s="70" t="e">
        <f t="shared" si="13"/>
        <v>#REF!</v>
      </c>
      <c r="AZ52" s="70" t="e">
        <f t="shared" si="13"/>
        <v>#REF!</v>
      </c>
      <c r="BA52" s="70" t="e">
        <f t="shared" si="13"/>
        <v>#REF!</v>
      </c>
    </row>
    <row r="53" spans="27:53" hidden="1">
      <c r="AA53" s="71" t="s">
        <v>42</v>
      </c>
      <c r="AB53" s="35"/>
      <c r="AF53" s="70" t="e">
        <f t="shared" ref="AF53:AO53" si="14">AF38+AF40+AF41</f>
        <v>#REF!</v>
      </c>
      <c r="AG53" s="70" t="e">
        <f t="shared" si="14"/>
        <v>#REF!</v>
      </c>
      <c r="AH53" s="70" t="e">
        <f t="shared" si="14"/>
        <v>#REF!</v>
      </c>
      <c r="AI53" s="70" t="e">
        <f t="shared" si="14"/>
        <v>#REF!</v>
      </c>
      <c r="AJ53" s="70" t="e">
        <f t="shared" si="14"/>
        <v>#REF!</v>
      </c>
      <c r="AK53" s="70" t="e">
        <f t="shared" si="14"/>
        <v>#REF!</v>
      </c>
      <c r="AL53" s="70" t="e">
        <f t="shared" si="14"/>
        <v>#REF!</v>
      </c>
      <c r="AM53" s="70" t="e">
        <f t="shared" si="14"/>
        <v>#REF!</v>
      </c>
      <c r="AN53" s="70" t="e">
        <f t="shared" si="14"/>
        <v>#REF!</v>
      </c>
      <c r="AO53" s="70" t="e">
        <f t="shared" si="14"/>
        <v>#REF!</v>
      </c>
      <c r="AP53" s="70"/>
      <c r="AQ53" s="70"/>
      <c r="AR53" s="70" t="e">
        <f t="shared" ref="AR53:BA53" si="15">AR38+AR40+AR41</f>
        <v>#REF!</v>
      </c>
      <c r="AS53" s="70" t="e">
        <f t="shared" si="15"/>
        <v>#REF!</v>
      </c>
      <c r="AT53" s="70" t="e">
        <f t="shared" si="15"/>
        <v>#REF!</v>
      </c>
      <c r="AU53" s="70" t="e">
        <f t="shared" si="15"/>
        <v>#REF!</v>
      </c>
      <c r="AV53" s="70" t="e">
        <f t="shared" si="15"/>
        <v>#REF!</v>
      </c>
      <c r="AW53" s="70" t="e">
        <f t="shared" si="15"/>
        <v>#REF!</v>
      </c>
      <c r="AX53" s="70" t="e">
        <f t="shared" si="15"/>
        <v>#REF!</v>
      </c>
      <c r="AY53" s="70" t="e">
        <f t="shared" si="15"/>
        <v>#REF!</v>
      </c>
      <c r="AZ53" s="70" t="e">
        <f t="shared" si="15"/>
        <v>#REF!</v>
      </c>
      <c r="BA53" s="70" t="e">
        <f t="shared" si="15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6">AF16+AF18+AF20+AF22</f>
        <v>#REF!</v>
      </c>
      <c r="AG55" s="70" t="e">
        <f t="shared" si="16"/>
        <v>#REF!</v>
      </c>
      <c r="AH55" s="70" t="e">
        <f t="shared" si="16"/>
        <v>#REF!</v>
      </c>
      <c r="AI55" s="70" t="e">
        <f t="shared" si="16"/>
        <v>#REF!</v>
      </c>
      <c r="AJ55" s="70" t="e">
        <f t="shared" si="16"/>
        <v>#REF!</v>
      </c>
      <c r="AK55" s="70" t="e">
        <f t="shared" si="16"/>
        <v>#REF!</v>
      </c>
      <c r="AL55" s="70" t="e">
        <f t="shared" si="16"/>
        <v>#REF!</v>
      </c>
      <c r="AM55" s="70" t="e">
        <f t="shared" si="16"/>
        <v>#REF!</v>
      </c>
      <c r="AN55" s="70" t="e">
        <f t="shared" si="16"/>
        <v>#REF!</v>
      </c>
      <c r="AO55" s="70" t="e">
        <f t="shared" si="16"/>
        <v>#REF!</v>
      </c>
      <c r="AP55" s="70"/>
      <c r="AQ55" s="70"/>
      <c r="AR55" s="70" t="e">
        <f t="shared" ref="AR55:BA55" si="17">AR16+AR18+AR20+AR22</f>
        <v>#REF!</v>
      </c>
      <c r="AS55" s="70" t="e">
        <f t="shared" si="17"/>
        <v>#REF!</v>
      </c>
      <c r="AT55" s="70" t="e">
        <f t="shared" si="17"/>
        <v>#REF!</v>
      </c>
      <c r="AU55" s="70" t="e">
        <f t="shared" si="17"/>
        <v>#REF!</v>
      </c>
      <c r="AV55" s="70" t="e">
        <f t="shared" si="17"/>
        <v>#REF!</v>
      </c>
      <c r="AW55" s="70" t="e">
        <f t="shared" si="17"/>
        <v>#REF!</v>
      </c>
      <c r="AX55" s="70" t="e">
        <f t="shared" si="17"/>
        <v>#REF!</v>
      </c>
      <c r="AY55" s="70" t="e">
        <f t="shared" si="17"/>
        <v>#REF!</v>
      </c>
      <c r="AZ55" s="70" t="e">
        <f t="shared" si="17"/>
        <v>#REF!</v>
      </c>
      <c r="BA55" s="70" t="e">
        <f t="shared" si="17"/>
        <v>#REF!</v>
      </c>
    </row>
    <row r="56" spans="27:53" hidden="1">
      <c r="AA56" s="71" t="s">
        <v>41</v>
      </c>
      <c r="AB56" s="35"/>
      <c r="AF56" s="70" t="e">
        <f t="shared" ref="AF56:AO56" si="18">AF27+AF29+AF31+AF33</f>
        <v>#REF!</v>
      </c>
      <c r="AG56" s="70" t="e">
        <f t="shared" si="18"/>
        <v>#REF!</v>
      </c>
      <c r="AH56" s="70" t="e">
        <f t="shared" si="18"/>
        <v>#REF!</v>
      </c>
      <c r="AI56" s="70" t="e">
        <f t="shared" si="18"/>
        <v>#REF!</v>
      </c>
      <c r="AJ56" s="70" t="e">
        <f t="shared" si="18"/>
        <v>#REF!</v>
      </c>
      <c r="AK56" s="70" t="e">
        <f t="shared" si="18"/>
        <v>#REF!</v>
      </c>
      <c r="AL56" s="70" t="e">
        <f t="shared" si="18"/>
        <v>#REF!</v>
      </c>
      <c r="AM56" s="70" t="e">
        <f t="shared" si="18"/>
        <v>#REF!</v>
      </c>
      <c r="AN56" s="70" t="e">
        <f t="shared" si="18"/>
        <v>#REF!</v>
      </c>
      <c r="AO56" s="70" t="e">
        <f t="shared" si="18"/>
        <v>#REF!</v>
      </c>
      <c r="AP56" s="70"/>
      <c r="AQ56" s="70"/>
      <c r="AR56" s="70" t="e">
        <f t="shared" ref="AR56:BA56" si="19">AR27+AR29+AR31+AR33</f>
        <v>#REF!</v>
      </c>
      <c r="AS56" s="70" t="e">
        <f t="shared" si="19"/>
        <v>#REF!</v>
      </c>
      <c r="AT56" s="70" t="e">
        <f t="shared" si="19"/>
        <v>#REF!</v>
      </c>
      <c r="AU56" s="70" t="e">
        <f t="shared" si="19"/>
        <v>#REF!</v>
      </c>
      <c r="AV56" s="70" t="e">
        <f t="shared" si="19"/>
        <v>#REF!</v>
      </c>
      <c r="AW56" s="70" t="e">
        <f t="shared" si="19"/>
        <v>#REF!</v>
      </c>
      <c r="AX56" s="70" t="e">
        <f t="shared" si="19"/>
        <v>#REF!</v>
      </c>
      <c r="AY56" s="70" t="e">
        <f t="shared" si="19"/>
        <v>#REF!</v>
      </c>
      <c r="AZ56" s="70" t="e">
        <f t="shared" si="19"/>
        <v>#REF!</v>
      </c>
      <c r="BA56" s="70" t="e">
        <f t="shared" si="19"/>
        <v>#REF!</v>
      </c>
    </row>
    <row r="57" spans="27:53" hidden="1">
      <c r="AA57" s="71" t="s">
        <v>42</v>
      </c>
      <c r="AB57" s="35"/>
      <c r="AF57" s="70" t="e">
        <f t="shared" ref="AF57:AO57" si="20">AF38+AF40+AF42+AF44</f>
        <v>#REF!</v>
      </c>
      <c r="AG57" s="70" t="e">
        <f t="shared" si="20"/>
        <v>#REF!</v>
      </c>
      <c r="AH57" s="70" t="e">
        <f t="shared" si="20"/>
        <v>#REF!</v>
      </c>
      <c r="AI57" s="70" t="e">
        <f t="shared" si="20"/>
        <v>#REF!</v>
      </c>
      <c r="AJ57" s="70" t="e">
        <f t="shared" si="20"/>
        <v>#REF!</v>
      </c>
      <c r="AK57" s="70" t="e">
        <f t="shared" si="20"/>
        <v>#REF!</v>
      </c>
      <c r="AL57" s="70" t="e">
        <f t="shared" si="20"/>
        <v>#REF!</v>
      </c>
      <c r="AM57" s="70" t="e">
        <f t="shared" si="20"/>
        <v>#REF!</v>
      </c>
      <c r="AN57" s="70" t="e">
        <f t="shared" si="20"/>
        <v>#REF!</v>
      </c>
      <c r="AO57" s="70" t="e">
        <f t="shared" si="20"/>
        <v>#REF!</v>
      </c>
      <c r="AP57" s="70"/>
      <c r="AQ57" s="70"/>
      <c r="AR57" s="70" t="e">
        <f t="shared" ref="AR57:BA57" si="21">AR38+AR40+AR42+AR44</f>
        <v>#REF!</v>
      </c>
      <c r="AS57" s="70" t="e">
        <f t="shared" si="21"/>
        <v>#REF!</v>
      </c>
      <c r="AT57" s="70" t="e">
        <f t="shared" si="21"/>
        <v>#REF!</v>
      </c>
      <c r="AU57" s="70" t="e">
        <f t="shared" si="21"/>
        <v>#REF!</v>
      </c>
      <c r="AV57" s="70" t="e">
        <f t="shared" si="21"/>
        <v>#REF!</v>
      </c>
      <c r="AW57" s="70" t="e">
        <f t="shared" si="21"/>
        <v>#REF!</v>
      </c>
      <c r="AX57" s="70" t="e">
        <f t="shared" si="21"/>
        <v>#REF!</v>
      </c>
      <c r="AY57" s="70" t="e">
        <f t="shared" si="21"/>
        <v>#REF!</v>
      </c>
      <c r="AZ57" s="70" t="e">
        <f t="shared" si="21"/>
        <v>#REF!</v>
      </c>
      <c r="BA57" s="70" t="e">
        <f t="shared" si="21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2">AF16+AF18+AF20+AF21+AF23</f>
        <v>#REF!</v>
      </c>
      <c r="AG59" s="70" t="e">
        <f t="shared" si="22"/>
        <v>#REF!</v>
      </c>
      <c r="AH59" s="70" t="e">
        <f t="shared" si="22"/>
        <v>#REF!</v>
      </c>
      <c r="AI59" s="70" t="e">
        <f t="shared" si="22"/>
        <v>#REF!</v>
      </c>
      <c r="AJ59" s="70" t="e">
        <f t="shared" si="22"/>
        <v>#REF!</v>
      </c>
      <c r="AK59" s="70" t="e">
        <f t="shared" si="22"/>
        <v>#REF!</v>
      </c>
      <c r="AL59" s="70" t="e">
        <f t="shared" si="22"/>
        <v>#REF!</v>
      </c>
      <c r="AM59" s="70" t="e">
        <f t="shared" si="22"/>
        <v>#REF!</v>
      </c>
      <c r="AN59" s="70" t="e">
        <f t="shared" si="22"/>
        <v>#REF!</v>
      </c>
      <c r="AO59" s="70" t="e">
        <f t="shared" si="22"/>
        <v>#REF!</v>
      </c>
      <c r="AP59" s="70"/>
      <c r="AQ59" s="70"/>
      <c r="AR59" s="70" t="e">
        <f t="shared" ref="AR59:BA59" si="23">AR16+AR18+AR20+AR21+AR23</f>
        <v>#REF!</v>
      </c>
      <c r="AS59" s="70" t="e">
        <f t="shared" si="23"/>
        <v>#REF!</v>
      </c>
      <c r="AT59" s="70" t="e">
        <f t="shared" si="23"/>
        <v>#REF!</v>
      </c>
      <c r="AU59" s="70" t="e">
        <f t="shared" si="23"/>
        <v>#REF!</v>
      </c>
      <c r="AV59" s="70" t="e">
        <f t="shared" si="23"/>
        <v>#REF!</v>
      </c>
      <c r="AW59" s="70" t="e">
        <f t="shared" si="23"/>
        <v>#REF!</v>
      </c>
      <c r="AX59" s="70" t="e">
        <f t="shared" si="23"/>
        <v>#REF!</v>
      </c>
      <c r="AY59" s="70" t="e">
        <f t="shared" si="23"/>
        <v>#REF!</v>
      </c>
      <c r="AZ59" s="70" t="e">
        <f t="shared" si="23"/>
        <v>#REF!</v>
      </c>
      <c r="BA59" s="70" t="e">
        <f t="shared" si="23"/>
        <v>#REF!</v>
      </c>
    </row>
    <row r="60" spans="27:53" hidden="1">
      <c r="AA60" s="71" t="s">
        <v>41</v>
      </c>
      <c r="AB60" s="35"/>
      <c r="AF60" s="70" t="e">
        <f t="shared" ref="AF60:AO60" si="24">AF27+AF29+AF31+AF32+AF34</f>
        <v>#REF!</v>
      </c>
      <c r="AG60" s="70" t="e">
        <f t="shared" si="24"/>
        <v>#REF!</v>
      </c>
      <c r="AH60" s="70" t="e">
        <f t="shared" si="24"/>
        <v>#REF!</v>
      </c>
      <c r="AI60" s="70" t="e">
        <f t="shared" si="24"/>
        <v>#REF!</v>
      </c>
      <c r="AJ60" s="70" t="e">
        <f t="shared" si="24"/>
        <v>#REF!</v>
      </c>
      <c r="AK60" s="70" t="e">
        <f t="shared" si="24"/>
        <v>#REF!</v>
      </c>
      <c r="AL60" s="70" t="e">
        <f t="shared" si="24"/>
        <v>#REF!</v>
      </c>
      <c r="AM60" s="70" t="e">
        <f t="shared" si="24"/>
        <v>#REF!</v>
      </c>
      <c r="AN60" s="70" t="e">
        <f t="shared" si="24"/>
        <v>#REF!</v>
      </c>
      <c r="AO60" s="70" t="e">
        <f t="shared" si="24"/>
        <v>#REF!</v>
      </c>
      <c r="AP60" s="70"/>
      <c r="AQ60" s="70"/>
      <c r="AR60" s="70" t="e">
        <f t="shared" ref="AR60:BA60" si="25">AR27+AR29+AR31+AR32+AR34</f>
        <v>#REF!</v>
      </c>
      <c r="AS60" s="70" t="e">
        <f t="shared" si="25"/>
        <v>#REF!</v>
      </c>
      <c r="AT60" s="70" t="e">
        <f t="shared" si="25"/>
        <v>#REF!</v>
      </c>
      <c r="AU60" s="70" t="e">
        <f t="shared" si="25"/>
        <v>#REF!</v>
      </c>
      <c r="AV60" s="70" t="e">
        <f t="shared" si="25"/>
        <v>#REF!</v>
      </c>
      <c r="AW60" s="70" t="e">
        <f t="shared" si="25"/>
        <v>#REF!</v>
      </c>
      <c r="AX60" s="70" t="e">
        <f t="shared" si="25"/>
        <v>#REF!</v>
      </c>
      <c r="AY60" s="70" t="e">
        <f t="shared" si="25"/>
        <v>#REF!</v>
      </c>
      <c r="AZ60" s="70" t="e">
        <f t="shared" si="25"/>
        <v>#REF!</v>
      </c>
      <c r="BA60" s="70" t="e">
        <f t="shared" si="25"/>
        <v>#REF!</v>
      </c>
    </row>
    <row r="61" spans="27:53" hidden="1">
      <c r="AA61" s="71" t="s">
        <v>42</v>
      </c>
      <c r="AB61" s="35"/>
      <c r="AF61" s="70" t="e">
        <f t="shared" ref="AF61:AO61" si="26">AF38+AF40+AF42+AF43+AF45</f>
        <v>#REF!</v>
      </c>
      <c r="AG61" s="70" t="e">
        <f t="shared" si="26"/>
        <v>#REF!</v>
      </c>
      <c r="AH61" s="70" t="e">
        <f t="shared" si="26"/>
        <v>#REF!</v>
      </c>
      <c r="AI61" s="70" t="e">
        <f t="shared" si="26"/>
        <v>#REF!</v>
      </c>
      <c r="AJ61" s="70" t="e">
        <f t="shared" si="26"/>
        <v>#REF!</v>
      </c>
      <c r="AK61" s="70" t="e">
        <f t="shared" si="26"/>
        <v>#REF!</v>
      </c>
      <c r="AL61" s="70" t="e">
        <f t="shared" si="26"/>
        <v>#REF!</v>
      </c>
      <c r="AM61" s="70" t="e">
        <f t="shared" si="26"/>
        <v>#REF!</v>
      </c>
      <c r="AN61" s="70" t="e">
        <f t="shared" si="26"/>
        <v>#REF!</v>
      </c>
      <c r="AO61" s="70" t="e">
        <f t="shared" si="26"/>
        <v>#REF!</v>
      </c>
      <c r="AP61" s="70"/>
      <c r="AQ61" s="70"/>
      <c r="AR61" s="70" t="e">
        <f t="shared" ref="AR61:BA61" si="27">AR38+AR40+AR42+AR43+AR45</f>
        <v>#REF!</v>
      </c>
      <c r="AS61" s="70" t="e">
        <f t="shared" si="27"/>
        <v>#REF!</v>
      </c>
      <c r="AT61" s="70" t="e">
        <f t="shared" si="27"/>
        <v>#REF!</v>
      </c>
      <c r="AU61" s="70" t="e">
        <f t="shared" si="27"/>
        <v>#REF!</v>
      </c>
      <c r="AV61" s="70" t="e">
        <f t="shared" si="27"/>
        <v>#REF!</v>
      </c>
      <c r="AW61" s="70" t="e">
        <f t="shared" si="27"/>
        <v>#REF!</v>
      </c>
      <c r="AX61" s="70" t="e">
        <f t="shared" si="27"/>
        <v>#REF!</v>
      </c>
      <c r="AY61" s="70" t="e">
        <f t="shared" si="27"/>
        <v>#REF!</v>
      </c>
      <c r="AZ61" s="70" t="e">
        <f t="shared" si="27"/>
        <v>#REF!</v>
      </c>
      <c r="BA61" s="70" t="e">
        <f t="shared" si="27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28">AF16+AF18+AF20+AF21+AF24</f>
        <v>#REF!</v>
      </c>
      <c r="AG63" s="70" t="e">
        <f t="shared" si="28"/>
        <v>#REF!</v>
      </c>
      <c r="AH63" s="70" t="e">
        <f t="shared" si="28"/>
        <v>#REF!</v>
      </c>
      <c r="AI63" s="70" t="e">
        <f t="shared" si="28"/>
        <v>#REF!</v>
      </c>
      <c r="AJ63" s="70" t="e">
        <f t="shared" si="28"/>
        <v>#REF!</v>
      </c>
      <c r="AK63" s="70" t="e">
        <f t="shared" si="28"/>
        <v>#REF!</v>
      </c>
      <c r="AL63" s="70" t="e">
        <f t="shared" si="28"/>
        <v>#REF!</v>
      </c>
      <c r="AM63" s="70" t="e">
        <f t="shared" si="28"/>
        <v>#REF!</v>
      </c>
      <c r="AN63" s="70" t="e">
        <f t="shared" si="28"/>
        <v>#REF!</v>
      </c>
      <c r="AO63" s="70" t="e">
        <f t="shared" si="28"/>
        <v>#REF!</v>
      </c>
      <c r="AP63" s="70"/>
      <c r="AQ63" s="70"/>
      <c r="AR63" s="70" t="e">
        <f t="shared" ref="AR63:BA63" si="29">AR16+AR18+AR20+AR21+AR24</f>
        <v>#REF!</v>
      </c>
      <c r="AS63" s="70" t="e">
        <f t="shared" si="29"/>
        <v>#REF!</v>
      </c>
      <c r="AT63" s="70" t="e">
        <f t="shared" si="29"/>
        <v>#REF!</v>
      </c>
      <c r="AU63" s="70" t="e">
        <f t="shared" si="29"/>
        <v>#REF!</v>
      </c>
      <c r="AV63" s="70" t="e">
        <f t="shared" si="29"/>
        <v>#REF!</v>
      </c>
      <c r="AW63" s="70" t="e">
        <f t="shared" si="29"/>
        <v>#REF!</v>
      </c>
      <c r="AX63" s="70" t="e">
        <f t="shared" si="29"/>
        <v>#REF!</v>
      </c>
      <c r="AY63" s="70" t="e">
        <f t="shared" si="29"/>
        <v>#REF!</v>
      </c>
      <c r="AZ63" s="70" t="e">
        <f t="shared" si="29"/>
        <v>#REF!</v>
      </c>
      <c r="BA63" s="70" t="e">
        <f t="shared" si="29"/>
        <v>#REF!</v>
      </c>
    </row>
    <row r="64" spans="27:53" hidden="1">
      <c r="AA64" s="71" t="s">
        <v>41</v>
      </c>
      <c r="AB64" s="35"/>
      <c r="AF64" s="70" t="e">
        <f t="shared" ref="AF64:AO64" si="30">AF27+AF29+AF31+AF32+AF35</f>
        <v>#REF!</v>
      </c>
      <c r="AG64" s="70" t="e">
        <f t="shared" si="30"/>
        <v>#REF!</v>
      </c>
      <c r="AH64" s="70" t="e">
        <f t="shared" si="30"/>
        <v>#REF!</v>
      </c>
      <c r="AI64" s="70" t="e">
        <f t="shared" si="30"/>
        <v>#REF!</v>
      </c>
      <c r="AJ64" s="70" t="e">
        <f t="shared" si="30"/>
        <v>#REF!</v>
      </c>
      <c r="AK64" s="70" t="e">
        <f t="shared" si="30"/>
        <v>#REF!</v>
      </c>
      <c r="AL64" s="70" t="e">
        <f t="shared" si="30"/>
        <v>#REF!</v>
      </c>
      <c r="AM64" s="70" t="e">
        <f t="shared" si="30"/>
        <v>#REF!</v>
      </c>
      <c r="AN64" s="70" t="e">
        <f t="shared" si="30"/>
        <v>#REF!</v>
      </c>
      <c r="AO64" s="70" t="e">
        <f t="shared" si="30"/>
        <v>#REF!</v>
      </c>
      <c r="AP64" s="70"/>
      <c r="AQ64" s="70"/>
      <c r="AR64" s="70" t="e">
        <f t="shared" ref="AR64:BA64" si="31">AR27+AR29+AR31+AR32+AR35</f>
        <v>#REF!</v>
      </c>
      <c r="AS64" s="70" t="e">
        <f t="shared" si="31"/>
        <v>#REF!</v>
      </c>
      <c r="AT64" s="70" t="e">
        <f t="shared" si="31"/>
        <v>#REF!</v>
      </c>
      <c r="AU64" s="70" t="e">
        <f t="shared" si="31"/>
        <v>#REF!</v>
      </c>
      <c r="AV64" s="70" t="e">
        <f t="shared" si="31"/>
        <v>#REF!</v>
      </c>
      <c r="AW64" s="70" t="e">
        <f t="shared" si="31"/>
        <v>#REF!</v>
      </c>
      <c r="AX64" s="70" t="e">
        <f t="shared" si="31"/>
        <v>#REF!</v>
      </c>
      <c r="AY64" s="70" t="e">
        <f t="shared" si="31"/>
        <v>#REF!</v>
      </c>
      <c r="AZ64" s="70" t="e">
        <f t="shared" si="31"/>
        <v>#REF!</v>
      </c>
      <c r="BA64" s="70" t="e">
        <f t="shared" si="31"/>
        <v>#REF!</v>
      </c>
    </row>
    <row r="65" spans="27:53" hidden="1">
      <c r="AA65" s="71" t="s">
        <v>42</v>
      </c>
      <c r="AB65" s="35"/>
      <c r="AF65" s="70" t="e">
        <f t="shared" ref="AF65:AO65" si="32">AF38+AF40+AF42+AF43+AF46</f>
        <v>#REF!</v>
      </c>
      <c r="AG65" s="70" t="e">
        <f t="shared" si="32"/>
        <v>#REF!</v>
      </c>
      <c r="AH65" s="70" t="e">
        <f t="shared" si="32"/>
        <v>#REF!</v>
      </c>
      <c r="AI65" s="70" t="e">
        <f t="shared" si="32"/>
        <v>#REF!</v>
      </c>
      <c r="AJ65" s="70" t="e">
        <f t="shared" si="32"/>
        <v>#REF!</v>
      </c>
      <c r="AK65" s="70" t="e">
        <f t="shared" si="32"/>
        <v>#REF!</v>
      </c>
      <c r="AL65" s="70" t="e">
        <f t="shared" si="32"/>
        <v>#REF!</v>
      </c>
      <c r="AM65" s="70" t="e">
        <f t="shared" si="32"/>
        <v>#REF!</v>
      </c>
      <c r="AN65" s="70" t="e">
        <f t="shared" si="32"/>
        <v>#REF!</v>
      </c>
      <c r="AO65" s="70" t="e">
        <f t="shared" si="32"/>
        <v>#REF!</v>
      </c>
      <c r="AP65" s="70"/>
      <c r="AQ65" s="70"/>
      <c r="AR65" s="70" t="e">
        <f t="shared" ref="AR65:BA65" si="33">AR38+AR40+AR42+AR43+AR46</f>
        <v>#REF!</v>
      </c>
      <c r="AS65" s="70" t="e">
        <f t="shared" si="33"/>
        <v>#REF!</v>
      </c>
      <c r="AT65" s="70" t="e">
        <f t="shared" si="33"/>
        <v>#REF!</v>
      </c>
      <c r="AU65" s="70" t="e">
        <f t="shared" si="33"/>
        <v>#REF!</v>
      </c>
      <c r="AV65" s="70" t="e">
        <f t="shared" si="33"/>
        <v>#REF!</v>
      </c>
      <c r="AW65" s="70" t="e">
        <f t="shared" si="33"/>
        <v>#REF!</v>
      </c>
      <c r="AX65" s="70" t="e">
        <f t="shared" si="33"/>
        <v>#REF!</v>
      </c>
      <c r="AY65" s="70" t="e">
        <f t="shared" si="33"/>
        <v>#REF!</v>
      </c>
      <c r="AZ65" s="70" t="e">
        <f t="shared" si="33"/>
        <v>#REF!</v>
      </c>
      <c r="BA65" s="70" t="e">
        <f t="shared" si="33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4">AF16+AF17+AF22</f>
        <v>#REF!</v>
      </c>
      <c r="AG67" s="70" t="e">
        <f t="shared" si="34"/>
        <v>#REF!</v>
      </c>
      <c r="AH67" s="70" t="e">
        <f t="shared" si="34"/>
        <v>#REF!</v>
      </c>
      <c r="AI67" s="70" t="e">
        <f t="shared" si="34"/>
        <v>#REF!</v>
      </c>
      <c r="AJ67" s="70" t="e">
        <f t="shared" si="34"/>
        <v>#REF!</v>
      </c>
      <c r="AK67" s="70" t="e">
        <f t="shared" si="34"/>
        <v>#REF!</v>
      </c>
      <c r="AL67" s="70" t="e">
        <f t="shared" si="34"/>
        <v>#REF!</v>
      </c>
      <c r="AM67" s="70" t="e">
        <f t="shared" si="34"/>
        <v>#REF!</v>
      </c>
      <c r="AN67" s="70" t="e">
        <f t="shared" si="34"/>
        <v>#REF!</v>
      </c>
      <c r="AO67" s="70" t="e">
        <f t="shared" si="34"/>
        <v>#REF!</v>
      </c>
      <c r="AP67" s="70"/>
      <c r="AQ67" s="70"/>
      <c r="AR67" s="70" t="e">
        <f t="shared" ref="AR67:BA67" si="35">AR16+AR17+AR22</f>
        <v>#REF!</v>
      </c>
      <c r="AS67" s="70" t="e">
        <f t="shared" si="35"/>
        <v>#REF!</v>
      </c>
      <c r="AT67" s="70" t="e">
        <f t="shared" si="35"/>
        <v>#REF!</v>
      </c>
      <c r="AU67" s="70" t="e">
        <f t="shared" si="35"/>
        <v>#REF!</v>
      </c>
      <c r="AV67" s="70" t="e">
        <f t="shared" si="35"/>
        <v>#REF!</v>
      </c>
      <c r="AW67" s="70" t="e">
        <f t="shared" si="35"/>
        <v>#REF!</v>
      </c>
      <c r="AX67" s="70" t="e">
        <f t="shared" si="35"/>
        <v>#REF!</v>
      </c>
      <c r="AY67" s="70" t="e">
        <f t="shared" si="35"/>
        <v>#REF!</v>
      </c>
      <c r="AZ67" s="70" t="e">
        <f t="shared" si="35"/>
        <v>#REF!</v>
      </c>
      <c r="BA67" s="70" t="e">
        <f t="shared" si="35"/>
        <v>#REF!</v>
      </c>
    </row>
    <row r="68" spans="27:53" hidden="1">
      <c r="AA68" s="71" t="s">
        <v>41</v>
      </c>
      <c r="AB68" s="35"/>
      <c r="AF68" s="70" t="e">
        <f t="shared" ref="AF68:AO68" si="36">AF27+AF28+AF33</f>
        <v>#REF!</v>
      </c>
      <c r="AG68" s="70" t="e">
        <f t="shared" si="36"/>
        <v>#REF!</v>
      </c>
      <c r="AH68" s="70" t="e">
        <f t="shared" si="36"/>
        <v>#REF!</v>
      </c>
      <c r="AI68" s="70" t="e">
        <f t="shared" si="36"/>
        <v>#REF!</v>
      </c>
      <c r="AJ68" s="70" t="e">
        <f t="shared" si="36"/>
        <v>#REF!</v>
      </c>
      <c r="AK68" s="70" t="e">
        <f t="shared" si="36"/>
        <v>#REF!</v>
      </c>
      <c r="AL68" s="70" t="e">
        <f t="shared" si="36"/>
        <v>#REF!</v>
      </c>
      <c r="AM68" s="70" t="e">
        <f t="shared" si="36"/>
        <v>#REF!</v>
      </c>
      <c r="AN68" s="70" t="e">
        <f t="shared" si="36"/>
        <v>#REF!</v>
      </c>
      <c r="AO68" s="70" t="e">
        <f t="shared" si="36"/>
        <v>#REF!</v>
      </c>
      <c r="AP68" s="70"/>
      <c r="AQ68" s="70"/>
      <c r="AR68" s="70" t="e">
        <f t="shared" ref="AR68:BA68" si="37">AR27+AR28+AR33</f>
        <v>#REF!</v>
      </c>
      <c r="AS68" s="70" t="e">
        <f t="shared" si="37"/>
        <v>#REF!</v>
      </c>
      <c r="AT68" s="70" t="e">
        <f t="shared" si="37"/>
        <v>#REF!</v>
      </c>
      <c r="AU68" s="70" t="e">
        <f t="shared" si="37"/>
        <v>#REF!</v>
      </c>
      <c r="AV68" s="70" t="e">
        <f t="shared" si="37"/>
        <v>#REF!</v>
      </c>
      <c r="AW68" s="70" t="e">
        <f t="shared" si="37"/>
        <v>#REF!</v>
      </c>
      <c r="AX68" s="70" t="e">
        <f t="shared" si="37"/>
        <v>#REF!</v>
      </c>
      <c r="AY68" s="70" t="e">
        <f t="shared" si="37"/>
        <v>#REF!</v>
      </c>
      <c r="AZ68" s="70" t="e">
        <f t="shared" si="37"/>
        <v>#REF!</v>
      </c>
      <c r="BA68" s="70" t="e">
        <f t="shared" si="37"/>
        <v>#REF!</v>
      </c>
    </row>
    <row r="69" spans="27:53" hidden="1">
      <c r="AA69" s="71" t="s">
        <v>42</v>
      </c>
      <c r="AB69" s="35"/>
      <c r="AF69" s="70" t="e">
        <f t="shared" ref="AF69:AO69" si="38">AF38+AF39+AF44</f>
        <v>#REF!</v>
      </c>
      <c r="AG69" s="70" t="e">
        <f t="shared" si="38"/>
        <v>#REF!</v>
      </c>
      <c r="AH69" s="70" t="e">
        <f t="shared" si="38"/>
        <v>#REF!</v>
      </c>
      <c r="AI69" s="70" t="e">
        <f t="shared" si="38"/>
        <v>#REF!</v>
      </c>
      <c r="AJ69" s="70" t="e">
        <f t="shared" si="38"/>
        <v>#REF!</v>
      </c>
      <c r="AK69" s="70" t="e">
        <f t="shared" si="38"/>
        <v>#REF!</v>
      </c>
      <c r="AL69" s="70" t="e">
        <f t="shared" si="38"/>
        <v>#REF!</v>
      </c>
      <c r="AM69" s="70" t="e">
        <f t="shared" si="38"/>
        <v>#REF!</v>
      </c>
      <c r="AN69" s="70" t="e">
        <f t="shared" si="38"/>
        <v>#REF!</v>
      </c>
      <c r="AO69" s="70" t="e">
        <f t="shared" si="38"/>
        <v>#REF!</v>
      </c>
      <c r="AP69" s="70"/>
      <c r="AQ69" s="70"/>
      <c r="AR69" s="70" t="e">
        <f t="shared" ref="AR69:BA69" si="39">AR38+AR39+AR44</f>
        <v>#REF!</v>
      </c>
      <c r="AS69" s="70" t="e">
        <f t="shared" si="39"/>
        <v>#REF!</v>
      </c>
      <c r="AT69" s="70" t="e">
        <f t="shared" si="39"/>
        <v>#REF!</v>
      </c>
      <c r="AU69" s="70" t="e">
        <f t="shared" si="39"/>
        <v>#REF!</v>
      </c>
      <c r="AV69" s="70" t="e">
        <f t="shared" si="39"/>
        <v>#REF!</v>
      </c>
      <c r="AW69" s="70" t="e">
        <f t="shared" si="39"/>
        <v>#REF!</v>
      </c>
      <c r="AX69" s="70" t="e">
        <f t="shared" si="39"/>
        <v>#REF!</v>
      </c>
      <c r="AY69" s="70" t="e">
        <f t="shared" si="39"/>
        <v>#REF!</v>
      </c>
      <c r="AZ69" s="70" t="e">
        <f t="shared" si="39"/>
        <v>#REF!</v>
      </c>
      <c r="BA69" s="70" t="e">
        <f t="shared" si="39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0">AF16+AF17+AF21+AF23</f>
        <v>#REF!</v>
      </c>
      <c r="AG71" s="70" t="e">
        <f t="shared" si="40"/>
        <v>#REF!</v>
      </c>
      <c r="AH71" s="70" t="e">
        <f t="shared" si="40"/>
        <v>#REF!</v>
      </c>
      <c r="AI71" s="70" t="e">
        <f t="shared" si="40"/>
        <v>#REF!</v>
      </c>
      <c r="AJ71" s="70" t="e">
        <f t="shared" si="40"/>
        <v>#REF!</v>
      </c>
      <c r="AK71" s="70" t="e">
        <f t="shared" si="40"/>
        <v>#REF!</v>
      </c>
      <c r="AL71" s="70" t="e">
        <f t="shared" si="40"/>
        <v>#REF!</v>
      </c>
      <c r="AM71" s="70" t="e">
        <f t="shared" si="40"/>
        <v>#REF!</v>
      </c>
      <c r="AN71" s="70" t="e">
        <f t="shared" si="40"/>
        <v>#REF!</v>
      </c>
      <c r="AO71" s="70" t="e">
        <f t="shared" si="40"/>
        <v>#REF!</v>
      </c>
      <c r="AP71" s="70"/>
      <c r="AQ71" s="70"/>
      <c r="AR71" s="70" t="e">
        <f t="shared" ref="AR71:BA71" si="41">AR16+AR17+AR21+AR23</f>
        <v>#REF!</v>
      </c>
      <c r="AS71" s="70" t="e">
        <f t="shared" si="41"/>
        <v>#REF!</v>
      </c>
      <c r="AT71" s="70" t="e">
        <f t="shared" si="41"/>
        <v>#REF!</v>
      </c>
      <c r="AU71" s="70" t="e">
        <f t="shared" si="41"/>
        <v>#REF!</v>
      </c>
      <c r="AV71" s="70" t="e">
        <f t="shared" si="41"/>
        <v>#REF!</v>
      </c>
      <c r="AW71" s="70" t="e">
        <f t="shared" si="41"/>
        <v>#REF!</v>
      </c>
      <c r="AX71" s="70" t="e">
        <f t="shared" si="41"/>
        <v>#REF!</v>
      </c>
      <c r="AY71" s="70" t="e">
        <f t="shared" si="41"/>
        <v>#REF!</v>
      </c>
      <c r="AZ71" s="70" t="e">
        <f t="shared" si="41"/>
        <v>#REF!</v>
      </c>
      <c r="BA71" s="70" t="e">
        <f t="shared" si="41"/>
        <v>#REF!</v>
      </c>
    </row>
    <row r="72" spans="27:53" hidden="1">
      <c r="AA72" s="71" t="s">
        <v>41</v>
      </c>
      <c r="AB72" s="35"/>
      <c r="AF72" s="70" t="e">
        <f t="shared" ref="AF72:AO72" si="42">AF27+AF28+AF32+AF34</f>
        <v>#REF!</v>
      </c>
      <c r="AG72" s="70" t="e">
        <f t="shared" si="42"/>
        <v>#REF!</v>
      </c>
      <c r="AH72" s="70" t="e">
        <f t="shared" si="42"/>
        <v>#REF!</v>
      </c>
      <c r="AI72" s="70" t="e">
        <f t="shared" si="42"/>
        <v>#REF!</v>
      </c>
      <c r="AJ72" s="70" t="e">
        <f t="shared" si="42"/>
        <v>#REF!</v>
      </c>
      <c r="AK72" s="70" t="e">
        <f t="shared" si="42"/>
        <v>#REF!</v>
      </c>
      <c r="AL72" s="70" t="e">
        <f t="shared" si="42"/>
        <v>#REF!</v>
      </c>
      <c r="AM72" s="70" t="e">
        <f t="shared" si="42"/>
        <v>#REF!</v>
      </c>
      <c r="AN72" s="70" t="e">
        <f t="shared" si="42"/>
        <v>#REF!</v>
      </c>
      <c r="AO72" s="70" t="e">
        <f t="shared" si="42"/>
        <v>#REF!</v>
      </c>
      <c r="AP72" s="70"/>
      <c r="AQ72" s="70"/>
      <c r="AR72" s="70" t="e">
        <f t="shared" ref="AR72:BA72" si="43">AR27+AR28+AR32+AR34</f>
        <v>#REF!</v>
      </c>
      <c r="AS72" s="70" t="e">
        <f t="shared" si="43"/>
        <v>#REF!</v>
      </c>
      <c r="AT72" s="70" t="e">
        <f t="shared" si="43"/>
        <v>#REF!</v>
      </c>
      <c r="AU72" s="70" t="e">
        <f t="shared" si="43"/>
        <v>#REF!</v>
      </c>
      <c r="AV72" s="70" t="e">
        <f t="shared" si="43"/>
        <v>#REF!</v>
      </c>
      <c r="AW72" s="70" t="e">
        <f t="shared" si="43"/>
        <v>#REF!</v>
      </c>
      <c r="AX72" s="70" t="e">
        <f t="shared" si="43"/>
        <v>#REF!</v>
      </c>
      <c r="AY72" s="70" t="e">
        <f t="shared" si="43"/>
        <v>#REF!</v>
      </c>
      <c r="AZ72" s="70" t="e">
        <f t="shared" si="43"/>
        <v>#REF!</v>
      </c>
      <c r="BA72" s="70" t="e">
        <f t="shared" si="43"/>
        <v>#REF!</v>
      </c>
    </row>
    <row r="73" spans="27:53" hidden="1">
      <c r="AA73" s="71" t="s">
        <v>42</v>
      </c>
      <c r="AB73" s="35"/>
      <c r="AF73" s="70" t="e">
        <f t="shared" ref="AF73:AO73" si="44">AF38+AF39+AF43+AF45</f>
        <v>#REF!</v>
      </c>
      <c r="AG73" s="70" t="e">
        <f t="shared" si="44"/>
        <v>#REF!</v>
      </c>
      <c r="AH73" s="70" t="e">
        <f t="shared" si="44"/>
        <v>#REF!</v>
      </c>
      <c r="AI73" s="70" t="e">
        <f t="shared" si="44"/>
        <v>#REF!</v>
      </c>
      <c r="AJ73" s="70" t="e">
        <f t="shared" si="44"/>
        <v>#REF!</v>
      </c>
      <c r="AK73" s="70" t="e">
        <f t="shared" si="44"/>
        <v>#REF!</v>
      </c>
      <c r="AL73" s="70" t="e">
        <f t="shared" si="44"/>
        <v>#REF!</v>
      </c>
      <c r="AM73" s="70" t="e">
        <f t="shared" si="44"/>
        <v>#REF!</v>
      </c>
      <c r="AN73" s="70" t="e">
        <f t="shared" si="44"/>
        <v>#REF!</v>
      </c>
      <c r="AO73" s="70" t="e">
        <f t="shared" si="44"/>
        <v>#REF!</v>
      </c>
      <c r="AP73" s="70"/>
      <c r="AQ73" s="70"/>
      <c r="AR73" s="70" t="e">
        <f t="shared" ref="AR73:BA73" si="45">AR38+AR39+AR43+AR45</f>
        <v>#REF!</v>
      </c>
      <c r="AS73" s="70" t="e">
        <f t="shared" si="45"/>
        <v>#REF!</v>
      </c>
      <c r="AT73" s="70" t="e">
        <f t="shared" si="45"/>
        <v>#REF!</v>
      </c>
      <c r="AU73" s="70" t="e">
        <f t="shared" si="45"/>
        <v>#REF!</v>
      </c>
      <c r="AV73" s="70" t="e">
        <f t="shared" si="45"/>
        <v>#REF!</v>
      </c>
      <c r="AW73" s="70" t="e">
        <f t="shared" si="45"/>
        <v>#REF!</v>
      </c>
      <c r="AX73" s="70" t="e">
        <f t="shared" si="45"/>
        <v>#REF!</v>
      </c>
      <c r="AY73" s="70" t="e">
        <f t="shared" si="45"/>
        <v>#REF!</v>
      </c>
      <c r="AZ73" s="70" t="e">
        <f t="shared" si="45"/>
        <v>#REF!</v>
      </c>
      <c r="BA73" s="70" t="e">
        <f t="shared" si="45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6">AF16+AF17+AF21+AF24</f>
        <v>#REF!</v>
      </c>
      <c r="AG75" s="70" t="e">
        <f t="shared" si="46"/>
        <v>#REF!</v>
      </c>
      <c r="AH75" s="70" t="e">
        <f t="shared" si="46"/>
        <v>#REF!</v>
      </c>
      <c r="AI75" s="70" t="e">
        <f t="shared" si="46"/>
        <v>#REF!</v>
      </c>
      <c r="AJ75" s="70" t="e">
        <f t="shared" si="46"/>
        <v>#REF!</v>
      </c>
      <c r="AK75" s="70" t="e">
        <f t="shared" si="46"/>
        <v>#REF!</v>
      </c>
      <c r="AL75" s="70" t="e">
        <f t="shared" si="46"/>
        <v>#REF!</v>
      </c>
      <c r="AM75" s="70" t="e">
        <f t="shared" si="46"/>
        <v>#REF!</v>
      </c>
      <c r="AN75" s="70" t="e">
        <f t="shared" si="46"/>
        <v>#REF!</v>
      </c>
      <c r="AO75" s="70" t="e">
        <f t="shared" si="46"/>
        <v>#REF!</v>
      </c>
      <c r="AP75" s="70"/>
      <c r="AQ75" s="70"/>
      <c r="AR75" s="70" t="e">
        <f t="shared" ref="AR75:BA75" si="47">AR16+AR17+AR21+AR24</f>
        <v>#REF!</v>
      </c>
      <c r="AS75" s="70" t="e">
        <f t="shared" si="47"/>
        <v>#REF!</v>
      </c>
      <c r="AT75" s="70" t="e">
        <f t="shared" si="47"/>
        <v>#REF!</v>
      </c>
      <c r="AU75" s="70" t="e">
        <f t="shared" si="47"/>
        <v>#REF!</v>
      </c>
      <c r="AV75" s="70" t="e">
        <f t="shared" si="47"/>
        <v>#REF!</v>
      </c>
      <c r="AW75" s="70" t="e">
        <f t="shared" si="47"/>
        <v>#REF!</v>
      </c>
      <c r="AX75" s="70" t="e">
        <f t="shared" si="47"/>
        <v>#REF!</v>
      </c>
      <c r="AY75" s="70" t="e">
        <f t="shared" si="47"/>
        <v>#REF!</v>
      </c>
      <c r="AZ75" s="70" t="e">
        <f t="shared" si="47"/>
        <v>#REF!</v>
      </c>
      <c r="BA75" s="70" t="e">
        <f t="shared" si="47"/>
        <v>#REF!</v>
      </c>
    </row>
    <row r="76" spans="27:53" hidden="1">
      <c r="AA76" s="71" t="s">
        <v>41</v>
      </c>
      <c r="AB76" s="35"/>
      <c r="AF76" s="70" t="e">
        <f t="shared" ref="AF76:AO76" si="48">AF27+AF28+AF32+AF35</f>
        <v>#REF!</v>
      </c>
      <c r="AG76" s="70" t="e">
        <f t="shared" si="48"/>
        <v>#REF!</v>
      </c>
      <c r="AH76" s="70" t="e">
        <f t="shared" si="48"/>
        <v>#REF!</v>
      </c>
      <c r="AI76" s="70" t="e">
        <f t="shared" si="48"/>
        <v>#REF!</v>
      </c>
      <c r="AJ76" s="70" t="e">
        <f t="shared" si="48"/>
        <v>#REF!</v>
      </c>
      <c r="AK76" s="70" t="e">
        <f t="shared" si="48"/>
        <v>#REF!</v>
      </c>
      <c r="AL76" s="70" t="e">
        <f t="shared" si="48"/>
        <v>#REF!</v>
      </c>
      <c r="AM76" s="70" t="e">
        <f t="shared" si="48"/>
        <v>#REF!</v>
      </c>
      <c r="AN76" s="70" t="e">
        <f t="shared" si="48"/>
        <v>#REF!</v>
      </c>
      <c r="AO76" s="70" t="e">
        <f t="shared" si="48"/>
        <v>#REF!</v>
      </c>
      <c r="AP76" s="70"/>
      <c r="AQ76" s="70"/>
      <c r="AR76" s="70" t="e">
        <f t="shared" ref="AR76:BA76" si="49">AR27+AR28+AR32+AR35</f>
        <v>#REF!</v>
      </c>
      <c r="AS76" s="70" t="e">
        <f t="shared" si="49"/>
        <v>#REF!</v>
      </c>
      <c r="AT76" s="70" t="e">
        <f t="shared" si="49"/>
        <v>#REF!</v>
      </c>
      <c r="AU76" s="70" t="e">
        <f t="shared" si="49"/>
        <v>#REF!</v>
      </c>
      <c r="AV76" s="70" t="e">
        <f t="shared" si="49"/>
        <v>#REF!</v>
      </c>
      <c r="AW76" s="70" t="e">
        <f t="shared" si="49"/>
        <v>#REF!</v>
      </c>
      <c r="AX76" s="70" t="e">
        <f t="shared" si="49"/>
        <v>#REF!</v>
      </c>
      <c r="AY76" s="70" t="e">
        <f t="shared" si="49"/>
        <v>#REF!</v>
      </c>
      <c r="AZ76" s="70" t="e">
        <f t="shared" si="49"/>
        <v>#REF!</v>
      </c>
      <c r="BA76" s="70" t="e">
        <f t="shared" si="49"/>
        <v>#REF!</v>
      </c>
    </row>
    <row r="77" spans="27:53" hidden="1">
      <c r="AA77" s="71" t="s">
        <v>42</v>
      </c>
      <c r="AB77" s="35"/>
      <c r="AF77" s="70" t="e">
        <f t="shared" ref="AF77:AO77" si="50">AF38+AF39+AF43+AF46</f>
        <v>#REF!</v>
      </c>
      <c r="AG77" s="70" t="e">
        <f t="shared" si="50"/>
        <v>#REF!</v>
      </c>
      <c r="AH77" s="70" t="e">
        <f t="shared" si="50"/>
        <v>#REF!</v>
      </c>
      <c r="AI77" s="70" t="e">
        <f t="shared" si="50"/>
        <v>#REF!</v>
      </c>
      <c r="AJ77" s="70" t="e">
        <f t="shared" si="50"/>
        <v>#REF!</v>
      </c>
      <c r="AK77" s="70" t="e">
        <f t="shared" si="50"/>
        <v>#REF!</v>
      </c>
      <c r="AL77" s="70" t="e">
        <f t="shared" si="50"/>
        <v>#REF!</v>
      </c>
      <c r="AM77" s="70" t="e">
        <f t="shared" si="50"/>
        <v>#REF!</v>
      </c>
      <c r="AN77" s="70" t="e">
        <f t="shared" si="50"/>
        <v>#REF!</v>
      </c>
      <c r="AO77" s="70" t="e">
        <f t="shared" si="50"/>
        <v>#REF!</v>
      </c>
      <c r="AP77" s="70"/>
      <c r="AQ77" s="70"/>
      <c r="AR77" s="70" t="e">
        <f t="shared" ref="AR77:BA77" si="51">AR38+AR39+AR43+AR46</f>
        <v>#REF!</v>
      </c>
      <c r="AS77" s="70" t="e">
        <f t="shared" si="51"/>
        <v>#REF!</v>
      </c>
      <c r="AT77" s="70" t="e">
        <f t="shared" si="51"/>
        <v>#REF!</v>
      </c>
      <c r="AU77" s="70" t="e">
        <f t="shared" si="51"/>
        <v>#REF!</v>
      </c>
      <c r="AV77" s="70" t="e">
        <f t="shared" si="51"/>
        <v>#REF!</v>
      </c>
      <c r="AW77" s="70" t="e">
        <f t="shared" si="51"/>
        <v>#REF!</v>
      </c>
      <c r="AX77" s="70" t="e">
        <f t="shared" si="51"/>
        <v>#REF!</v>
      </c>
      <c r="AY77" s="70" t="e">
        <f t="shared" si="51"/>
        <v>#REF!</v>
      </c>
      <c r="AZ77" s="70" t="e">
        <f t="shared" si="51"/>
        <v>#REF!</v>
      </c>
      <c r="BA77" s="70" t="e">
        <f t="shared" si="51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45" t="s">
        <v>55</v>
      </c>
      <c r="G89" s="545" t="s">
        <v>73</v>
      </c>
      <c r="H89" s="545" t="s">
        <v>74</v>
      </c>
      <c r="I89" s="545" t="s">
        <v>58</v>
      </c>
      <c r="J89" s="545" t="s">
        <v>59</v>
      </c>
      <c r="K89" s="545" t="s">
        <v>60</v>
      </c>
      <c r="L89" s="544" t="s">
        <v>75</v>
      </c>
      <c r="M89" s="544" t="s">
        <v>76</v>
      </c>
      <c r="N89" s="544" t="s">
        <v>61</v>
      </c>
      <c r="O89" s="544" t="s">
        <v>62</v>
      </c>
      <c r="P89" s="544" t="s">
        <v>63</v>
      </c>
      <c r="AN89" s="38"/>
      <c r="AZ89" s="36"/>
    </row>
    <row r="90" spans="1:52" ht="25.5">
      <c r="A90" s="44" t="str">
        <f t="shared" ref="A90:C91" si="52">A4</f>
        <v>Substation General Construction</v>
      </c>
      <c r="B90" s="45" t="str">
        <f t="shared" si="52"/>
        <v>Light-Duty Truck, catalyst</v>
      </c>
      <c r="C90" s="46">
        <f t="shared" si="52"/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2" si="53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si="52"/>
        <v>Substation Wiring</v>
      </c>
      <c r="B91" s="45" t="str">
        <f t="shared" si="52"/>
        <v>Light-Duty Truck, catalyst</v>
      </c>
      <c r="C91" s="46">
        <f t="shared" si="52"/>
        <v>1</v>
      </c>
      <c r="D91" s="46">
        <v>35</v>
      </c>
      <c r="E91" s="46">
        <v>80</v>
      </c>
      <c r="F91" s="50">
        <f>C5*($E5*$F5+($G5))/453.59</f>
        <v>0.48571938588092006</v>
      </c>
      <c r="G91" s="50">
        <f>C5*($E5*$H5+($I5))/453.59</f>
        <v>4.367065729437801E-2</v>
      </c>
      <c r="H91" s="50">
        <f>C5*(($E5*$J5)+($K5)+($L5)+($E5*$N5)+(($M5+$O5)))/453.59</f>
        <v>5.0499980323953329E-2</v>
      </c>
      <c r="I91" s="50">
        <f>C5*($E5*$P5+($Q5))/453.59</f>
        <v>7.2679702716061593E-4</v>
      </c>
      <c r="J91" s="50">
        <f>C5*(($E5*($R5+$T5+$U5))+($S5))/453.59</f>
        <v>8.5240904552078972E-3</v>
      </c>
      <c r="K91" s="50">
        <f>$C5*(($E5*($V5+$X5+$Y5))+($W5))/453.59</f>
        <v>3.7120053242531417E-3</v>
      </c>
      <c r="L91" s="50">
        <f>$B$23*C5*(E5+6)</f>
        <v>8.4385825860718994E-3</v>
      </c>
      <c r="M91" s="50">
        <f t="shared" si="53"/>
        <v>3.4598188602894785E-3</v>
      </c>
      <c r="N91" s="50">
        <f>C5*($E5*$Z5+($AA5))/453.59</f>
        <v>55.423576726038895</v>
      </c>
      <c r="O91" s="50">
        <f>C5*($E5*$AB5+($AC5))/453.59</f>
        <v>3.1704753890302493E-3</v>
      </c>
      <c r="P91" s="50">
        <f>C5*($E5*$AD5+($AE5))/453.59</f>
        <v>5.7711199138433603E-3</v>
      </c>
      <c r="AN91" s="38"/>
      <c r="AZ91" s="36"/>
    </row>
    <row r="92" spans="1:52" ht="25.5">
      <c r="A92" s="44" t="str">
        <f t="shared" ref="A92:C92" si="54">A6</f>
        <v>Telecom</v>
      </c>
      <c r="B92" s="45" t="str">
        <f t="shared" si="54"/>
        <v>Light-Duty Truck, catalyst</v>
      </c>
      <c r="C92" s="46">
        <f t="shared" si="54"/>
        <v>2</v>
      </c>
      <c r="D92" s="46">
        <v>35</v>
      </c>
      <c r="E92" s="46">
        <v>80</v>
      </c>
      <c r="F92" s="50">
        <f>C6*($E6*$F6+($G6))/453.59</f>
        <v>0.97143877176184013</v>
      </c>
      <c r="G92" s="50">
        <f>C6*($E6*$H6+($I6))/453.59</f>
        <v>8.7341314588756019E-2</v>
      </c>
      <c r="H92" s="50">
        <f>C6*(($E6*$J6)+($K6)+($L6)+($E6*$N6)+(($M6+$O6)))/453.59</f>
        <v>0.10099996064790666</v>
      </c>
      <c r="I92" s="50">
        <f>C6*($E6*$P6+($Q6))/453.59</f>
        <v>1.4535940543212319E-3</v>
      </c>
      <c r="J92" s="50">
        <f>C6*(($E6*($R6+$T6+$U6))+($S6))/453.59</f>
        <v>1.7048180910415794E-2</v>
      </c>
      <c r="K92" s="50">
        <f>$C6*(($E6*($V6+$X6+$Y6))+($W6))/453.59</f>
        <v>7.4240106485062834E-3</v>
      </c>
      <c r="L92" s="50">
        <f>$B$23*C6*(E6+6)</f>
        <v>1.6877165172143799E-2</v>
      </c>
      <c r="M92" s="50">
        <f t="shared" si="53"/>
        <v>6.9196377205789569E-3</v>
      </c>
      <c r="N92" s="50">
        <f>C6*($E6*$Z6+($AA6))/453.59</f>
        <v>110.84715345207779</v>
      </c>
      <c r="O92" s="50">
        <f>C6*($E6*$AB6+($AC6))/453.59</f>
        <v>6.3409507780604986E-3</v>
      </c>
      <c r="P92" s="50">
        <f>C6*($E6*$AD6+($AE6))/453.59</f>
        <v>1.1542239827686721E-2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 t="shared" ref="F93:P93" si="55">SUM(F90:F92)</f>
        <v>2.9143163152855203</v>
      </c>
      <c r="G93" s="81">
        <f t="shared" si="55"/>
        <v>0.26202394376626803</v>
      </c>
      <c r="H93" s="81">
        <f t="shared" si="55"/>
        <v>0.30299988194371996</v>
      </c>
      <c r="I93" s="81">
        <f t="shared" si="55"/>
        <v>4.3607821629636952E-3</v>
      </c>
      <c r="J93" s="81">
        <f t="shared" si="55"/>
        <v>5.1144542731247383E-2</v>
      </c>
      <c r="K93" s="81">
        <f t="shared" si="55"/>
        <v>2.2272031945518848E-2</v>
      </c>
      <c r="L93" s="81">
        <f t="shared" si="55"/>
        <v>5.0631495516431396E-2</v>
      </c>
      <c r="M93" s="81">
        <f t="shared" si="55"/>
        <v>2.0758913161736871E-2</v>
      </c>
      <c r="N93" s="81">
        <f t="shared" si="55"/>
        <v>332.54146035623342</v>
      </c>
      <c r="O93" s="81">
        <f t="shared" si="55"/>
        <v>1.9022852334181495E-2</v>
      </c>
      <c r="P93" s="81">
        <f t="shared" si="55"/>
        <v>3.4626719483060162E-2</v>
      </c>
      <c r="AN93" s="38"/>
      <c r="AZ93" s="36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5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711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518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17" t="s">
        <v>28</v>
      </c>
      <c r="B14" s="97"/>
      <c r="C14" s="22"/>
      <c r="D14" s="22"/>
      <c r="E14" s="102"/>
      <c r="F14" s="102"/>
      <c r="G14" s="102"/>
      <c r="H14" s="102"/>
      <c r="I14" s="102"/>
      <c r="J14" s="100"/>
      <c r="K14" s="103"/>
      <c r="L14" s="102"/>
      <c r="M14" s="104"/>
      <c r="N14" s="88"/>
      <c r="O14" s="88"/>
      <c r="P14" s="88"/>
      <c r="Q14" s="27"/>
      <c r="R14" s="27"/>
      <c r="S14" s="27"/>
      <c r="T14" s="27"/>
      <c r="U14" s="27"/>
      <c r="V14" s="27"/>
      <c r="W14" s="27"/>
      <c r="X14" s="27"/>
      <c r="Y14" s="27"/>
    </row>
    <row r="15" spans="1:25">
      <c r="A15" s="17" t="s">
        <v>499</v>
      </c>
      <c r="B15" s="549"/>
      <c r="C15" s="18"/>
      <c r="D15" s="22"/>
      <c r="E15" s="19"/>
      <c r="F15" s="19"/>
      <c r="G15" s="19"/>
      <c r="H15" s="19"/>
      <c r="I15" s="19"/>
      <c r="J15" s="19"/>
      <c r="K15" s="19"/>
      <c r="L15" s="19"/>
      <c r="M15" s="19"/>
      <c r="N15" s="30"/>
      <c r="O15" s="30"/>
      <c r="P15" s="364"/>
      <c r="Q15" s="20">
        <f>Q11</f>
        <v>0.71457712309159727</v>
      </c>
      <c r="R15" s="20">
        <f t="shared" ref="R15:Y15" si="4">R11</f>
        <v>2.9541592109583941</v>
      </c>
      <c r="S15" s="20">
        <f t="shared" si="4"/>
        <v>4.4210564461391568</v>
      </c>
      <c r="T15" s="20">
        <f t="shared" si="4"/>
        <v>8.32306623607788E-3</v>
      </c>
      <c r="U15" s="20">
        <f t="shared" si="4"/>
        <v>0.24580829231604745</v>
      </c>
      <c r="V15" s="20">
        <f t="shared" si="4"/>
        <v>0.21876938016128222</v>
      </c>
      <c r="W15" s="20">
        <f t="shared" si="4"/>
        <v>696.45349248502816</v>
      </c>
      <c r="X15" s="20">
        <f t="shared" si="4"/>
        <v>7.2539806190569739E-2</v>
      </c>
      <c r="Y15" s="20">
        <f t="shared" si="4"/>
        <v>0.42000036238321992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79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712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315</v>
      </c>
      <c r="B8" s="74"/>
      <c r="C8" s="112"/>
      <c r="D8" s="112"/>
      <c r="E8" s="74"/>
      <c r="F8" s="74"/>
      <c r="G8" s="547"/>
      <c r="H8" s="41"/>
      <c r="I8" s="41"/>
      <c r="J8" s="41"/>
      <c r="K8" s="544"/>
      <c r="L8" s="544"/>
      <c r="M8" s="544"/>
      <c r="N8" s="544"/>
      <c r="O8" s="544"/>
      <c r="P8" s="544"/>
      <c r="Q8" s="41"/>
      <c r="R8" s="544"/>
      <c r="S8" s="54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C9*(F9)*$B$377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5" t="s">
        <v>28</v>
      </c>
      <c r="B10" s="74"/>
      <c r="C10" s="112"/>
      <c r="D10" s="112"/>
      <c r="E10" s="74"/>
      <c r="F10" s="74"/>
      <c r="G10" s="547"/>
      <c r="H10" s="41"/>
      <c r="I10" s="41"/>
      <c r="J10" s="41"/>
      <c r="K10" s="544"/>
      <c r="L10" s="544"/>
      <c r="M10" s="544"/>
      <c r="N10" s="544"/>
      <c r="O10" s="544"/>
      <c r="P10" s="544"/>
      <c r="Q10" s="41"/>
      <c r="R10" s="544"/>
      <c r="S10" s="544"/>
      <c r="T10" s="81">
        <f t="shared" ref="T10:AD10" si="0">SUM(T9:T9)</f>
        <v>9.9891275533645019E-2</v>
      </c>
      <c r="U10" s="81">
        <f t="shared" si="0"/>
        <v>0.18440937782971867</v>
      </c>
      <c r="V10" s="81">
        <f t="shared" si="0"/>
        <v>2.253067276294635E-2</v>
      </c>
      <c r="W10" s="81">
        <f t="shared" si="0"/>
        <v>1.3898613406074772E-3</v>
      </c>
      <c r="X10" s="81">
        <f t="shared" si="0"/>
        <v>3.6369464870151122E-2</v>
      </c>
      <c r="Y10" s="81">
        <f t="shared" si="0"/>
        <v>2.4166098982977401E-2</v>
      </c>
      <c r="Z10" s="81">
        <f t="shared" si="0"/>
        <v>1.7662149598755138E-2</v>
      </c>
      <c r="AA10" s="81">
        <f t="shared" si="0"/>
        <v>3.7090514157385786E-3</v>
      </c>
      <c r="AB10" s="81">
        <f t="shared" si="0"/>
        <v>96.814105590256631</v>
      </c>
      <c r="AC10" s="81">
        <f t="shared" si="0"/>
        <v>5.5322484357440338E-3</v>
      </c>
      <c r="AD10" s="81">
        <f t="shared" si="0"/>
        <v>2.4799901288000137E-3</v>
      </c>
    </row>
    <row r="11" spans="1:30">
      <c r="A11" s="75"/>
      <c r="B11" s="74"/>
      <c r="C11" s="112"/>
      <c r="D11" s="112"/>
      <c r="E11" s="74"/>
      <c r="F11" s="74"/>
      <c r="G11" s="547"/>
      <c r="H11" s="41"/>
      <c r="I11" s="41"/>
      <c r="J11" s="41"/>
      <c r="K11" s="544"/>
      <c r="L11" s="544"/>
      <c r="M11" s="544"/>
      <c r="N11" s="544"/>
      <c r="O11" s="544"/>
      <c r="P11" s="544"/>
      <c r="Q11" s="41"/>
      <c r="R11" s="544"/>
      <c r="S11" s="544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</row>
    <row r="12" spans="1:30">
      <c r="A12" s="114" t="s">
        <v>319</v>
      </c>
      <c r="B12" s="74"/>
      <c r="C12" s="112"/>
      <c r="D12" s="112"/>
      <c r="E12" s="74"/>
      <c r="F12" s="74"/>
      <c r="G12" s="547"/>
      <c r="H12" s="41"/>
      <c r="I12" s="41"/>
      <c r="J12" s="41"/>
      <c r="K12" s="544"/>
      <c r="L12" s="544"/>
      <c r="M12" s="544"/>
      <c r="N12" s="544"/>
      <c r="O12" s="544"/>
      <c r="P12" s="544"/>
      <c r="Q12" s="41"/>
      <c r="R12" s="544"/>
      <c r="S12" s="54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>
      <c r="A13" s="78" t="s">
        <v>320</v>
      </c>
      <c r="B13" s="76" t="s">
        <v>95</v>
      </c>
      <c r="C13" s="79">
        <v>1</v>
      </c>
      <c r="D13" s="77"/>
      <c r="E13" s="77">
        <v>35</v>
      </c>
      <c r="F13" s="77">
        <v>60</v>
      </c>
      <c r="G13" s="106">
        <v>0.25172046482947802</v>
      </c>
      <c r="H13" s="106">
        <v>0.464701387165456</v>
      </c>
      <c r="I13" s="106">
        <v>5.6776043658582402E-2</v>
      </c>
      <c r="J13" s="106">
        <v>3.5023733638119199E-3</v>
      </c>
      <c r="K13" s="106">
        <v>4.6899256897933901E-2</v>
      </c>
      <c r="L13" s="47">
        <v>7.99995847163921E-3</v>
      </c>
      <c r="M13" s="47">
        <v>3.6749815577381599E-2</v>
      </c>
      <c r="N13" s="106">
        <v>4.3147317248333997E-2</v>
      </c>
      <c r="O13" s="47">
        <v>1.9999896145790402E-3</v>
      </c>
      <c r="P13" s="47">
        <v>1.57499200131354E-2</v>
      </c>
      <c r="Q13" s="106">
        <v>243.966167526025</v>
      </c>
      <c r="R13" s="47">
        <f>0.000057143*Q13</f>
        <v>1.3940958710939646E-2</v>
      </c>
      <c r="S13" s="80">
        <f>0.000025616*Q13</f>
        <v>6.2494373473466567E-3</v>
      </c>
      <c r="T13" s="50">
        <f>C13*($F13*$G13)/453.59</f>
        <v>3.3297091844548342E-2</v>
      </c>
      <c r="U13" s="50">
        <f>C13*($F13*$H13)/453.59</f>
        <v>6.1469792609906218E-2</v>
      </c>
      <c r="V13" s="50">
        <f>C13*(($F13*$I13))/453.59</f>
        <v>7.5102242543154491E-3</v>
      </c>
      <c r="W13" s="50">
        <f>C13*($F13*$J13)/453.59</f>
        <v>4.6328711353582576E-4</v>
      </c>
      <c r="X13" s="50">
        <f>C13*(($F13*($K13+$L13+$M13)))/453.59</f>
        <v>1.2123154956717041E-2</v>
      </c>
      <c r="Y13" s="50">
        <f>C13*(($F13*($N13+$O13+$P13)))/453.59</f>
        <v>8.0553663276591338E-3</v>
      </c>
      <c r="Z13" s="50">
        <f>C13*(F13)*$B$338</f>
        <v>0</v>
      </c>
      <c r="AA13" s="50">
        <f>Z13*0.21</f>
        <v>0</v>
      </c>
      <c r="AB13" s="50">
        <f>C13*(($F13*($Q13)))/453.59</f>
        <v>32.271368530085546</v>
      </c>
      <c r="AC13" s="50">
        <f>C13*(($F13*($R13)))/453.59</f>
        <v>1.844082811914678E-3</v>
      </c>
      <c r="AD13" s="50">
        <f>C13*(($F13*($S13)))/453.59</f>
        <v>8.2666337626667119E-4</v>
      </c>
    </row>
    <row r="14" spans="1:30">
      <c r="A14" s="75" t="s">
        <v>28</v>
      </c>
      <c r="B14" s="74"/>
      <c r="C14" s="112"/>
      <c r="D14" s="112"/>
      <c r="E14" s="74"/>
      <c r="F14" s="74"/>
      <c r="G14" s="547"/>
      <c r="H14" s="41"/>
      <c r="I14" s="41"/>
      <c r="J14" s="41"/>
      <c r="K14" s="544"/>
      <c r="L14" s="544"/>
      <c r="M14" s="544"/>
      <c r="N14" s="544"/>
      <c r="O14" s="544"/>
      <c r="P14" s="544"/>
      <c r="Q14" s="41"/>
      <c r="R14" s="544"/>
      <c r="S14" s="544"/>
      <c r="T14" s="81">
        <f t="shared" ref="T14:AD14" si="1">SUM(T13:T13)</f>
        <v>3.3297091844548342E-2</v>
      </c>
      <c r="U14" s="81">
        <f t="shared" si="1"/>
        <v>6.1469792609906218E-2</v>
      </c>
      <c r="V14" s="81">
        <f t="shared" si="1"/>
        <v>7.5102242543154491E-3</v>
      </c>
      <c r="W14" s="81">
        <f t="shared" si="1"/>
        <v>4.6328711353582576E-4</v>
      </c>
      <c r="X14" s="81">
        <f t="shared" si="1"/>
        <v>1.2123154956717041E-2</v>
      </c>
      <c r="Y14" s="81">
        <f t="shared" si="1"/>
        <v>8.0553663276591338E-3</v>
      </c>
      <c r="Z14" s="81">
        <f t="shared" si="1"/>
        <v>0</v>
      </c>
      <c r="AA14" s="81">
        <f t="shared" si="1"/>
        <v>0</v>
      </c>
      <c r="AB14" s="81">
        <f t="shared" si="1"/>
        <v>32.271368530085546</v>
      </c>
      <c r="AC14" s="81">
        <f t="shared" si="1"/>
        <v>1.844082811914678E-3</v>
      </c>
      <c r="AD14" s="81">
        <f t="shared" si="1"/>
        <v>8.2666337626667119E-4</v>
      </c>
    </row>
    <row r="15" spans="1:30">
      <c r="A15" s="75" t="s">
        <v>388</v>
      </c>
      <c r="B15" s="74"/>
      <c r="C15" s="112"/>
      <c r="D15" s="112"/>
      <c r="E15" s="74"/>
      <c r="F15" s="74"/>
      <c r="G15" s="547"/>
      <c r="H15" s="41"/>
      <c r="I15" s="41"/>
      <c r="J15" s="41"/>
      <c r="K15" s="544"/>
      <c r="L15" s="544"/>
      <c r="M15" s="544"/>
      <c r="N15" s="544"/>
      <c r="O15" s="544"/>
      <c r="P15" s="544"/>
      <c r="Q15" s="41"/>
      <c r="R15" s="544"/>
      <c r="S15" s="544"/>
      <c r="T15" s="81">
        <f>T10+T14</f>
        <v>0.13318836737819337</v>
      </c>
      <c r="U15" s="81">
        <f t="shared" ref="U15:AD15" si="2">U10+U14</f>
        <v>0.24587917043962487</v>
      </c>
      <c r="V15" s="81">
        <f t="shared" si="2"/>
        <v>3.00408970172618E-2</v>
      </c>
      <c r="W15" s="81">
        <f t="shared" si="2"/>
        <v>1.853148454143303E-3</v>
      </c>
      <c r="X15" s="81">
        <f t="shared" si="2"/>
        <v>4.8492619826868165E-2</v>
      </c>
      <c r="Y15" s="81">
        <f t="shared" si="2"/>
        <v>3.2221465310636535E-2</v>
      </c>
      <c r="Z15" s="81">
        <f t="shared" si="2"/>
        <v>1.7662149598755138E-2</v>
      </c>
      <c r="AA15" s="81">
        <f t="shared" si="2"/>
        <v>3.7090514157385786E-3</v>
      </c>
      <c r="AB15" s="81">
        <f t="shared" si="2"/>
        <v>129.08547412034218</v>
      </c>
      <c r="AC15" s="81">
        <f t="shared" si="2"/>
        <v>7.376331247658712E-3</v>
      </c>
      <c r="AD15" s="81">
        <f t="shared" si="2"/>
        <v>3.3066535050666848E-3</v>
      </c>
    </row>
    <row r="16" spans="1:30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367" spans="1:1" ht="25.5">
      <c r="A367" s="82" t="s">
        <v>109</v>
      </c>
    </row>
    <row r="369" spans="1:2">
      <c r="A369" s="36" t="s">
        <v>81</v>
      </c>
    </row>
    <row r="370" spans="1:2">
      <c r="A370" s="36" t="s">
        <v>82</v>
      </c>
    </row>
    <row r="371" spans="1:2">
      <c r="A371" s="36" t="s">
        <v>83</v>
      </c>
    </row>
    <row r="372" spans="1:2">
      <c r="A372" s="37" t="s">
        <v>96</v>
      </c>
    </row>
    <row r="373" spans="1:2">
      <c r="A373" s="36" t="s">
        <v>85</v>
      </c>
    </row>
    <row r="374" spans="1:2">
      <c r="A374" s="36" t="s">
        <v>86</v>
      </c>
    </row>
    <row r="375" spans="1:2">
      <c r="A375" s="36" t="s">
        <v>87</v>
      </c>
    </row>
    <row r="376" spans="1:2">
      <c r="A376" s="36" t="s">
        <v>0</v>
      </c>
    </row>
    <row r="377" spans="1:2">
      <c r="A377" s="37" t="s">
        <v>97</v>
      </c>
      <c r="B377" s="36">
        <f>(0.016*(0.03/2)^0.65*(2/3)^1.5)-0.00047</f>
        <v>9.8123053326417428E-5</v>
      </c>
    </row>
    <row r="378" spans="1:2">
      <c r="A378" s="37" t="s">
        <v>98</v>
      </c>
      <c r="B378" s="36">
        <f>(0.016*(0.03/2)^0.65*(13/3)^1.5)-0.00047</f>
        <v>8.9448292388582783E-3</v>
      </c>
    </row>
    <row r="379" spans="1:2">
      <c r="A379" s="37" t="s">
        <v>99</v>
      </c>
      <c r="B379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713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319</v>
      </c>
      <c r="B5" s="45" t="s">
        <v>102</v>
      </c>
      <c r="C5" s="46">
        <v>2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54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545" t="s">
        <v>55</v>
      </c>
      <c r="G88" s="545" t="s">
        <v>73</v>
      </c>
      <c r="H88" s="545" t="s">
        <v>74</v>
      </c>
      <c r="I88" s="545" t="s">
        <v>58</v>
      </c>
      <c r="J88" s="545" t="s">
        <v>59</v>
      </c>
      <c r="K88" s="545" t="s">
        <v>60</v>
      </c>
      <c r="L88" s="544" t="s">
        <v>75</v>
      </c>
      <c r="M88" s="544" t="s">
        <v>76</v>
      </c>
      <c r="N88" s="544" t="s">
        <v>61</v>
      </c>
      <c r="O88" s="544" t="s">
        <v>62</v>
      </c>
      <c r="P88" s="544" t="s">
        <v>63</v>
      </c>
      <c r="AN88" s="38"/>
      <c r="AZ88" s="36"/>
    </row>
    <row r="89" spans="1:52" ht="25.5">
      <c r="A89" s="44" t="str">
        <f>A4</f>
        <v>Substation General Construction</v>
      </c>
      <c r="B89" s="45" t="str">
        <f>B4</f>
        <v>Light-Duty Truck, catalyst</v>
      </c>
      <c r="C89" s="46">
        <f>C4</f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52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ref="A90:C90" si="53">A5</f>
        <v>Telecom</v>
      </c>
      <c r="B90" s="45" t="str">
        <f t="shared" si="53"/>
        <v>Light-Duty Truck, catalyst</v>
      </c>
      <c r="C90" s="46">
        <f t="shared" si="53"/>
        <v>2</v>
      </c>
      <c r="D90" s="46">
        <v>35</v>
      </c>
      <c r="E90" s="46">
        <v>80</v>
      </c>
      <c r="F90" s="50">
        <f>C5*($E5*$F5+($G5))/453.59</f>
        <v>0.97143877176184013</v>
      </c>
      <c r="G90" s="50">
        <f>C5*($E5*$H5+($I5))/453.59</f>
        <v>8.7341314588756019E-2</v>
      </c>
      <c r="H90" s="50">
        <f>C5*(($E5*$J5)+($K5)+($L5)+($E5*$N5)+(($M5+$O5)))/453.59</f>
        <v>0.10099996064790666</v>
      </c>
      <c r="I90" s="50">
        <f>C5*($E5*$P5+($Q5))/453.59</f>
        <v>1.4535940543212319E-3</v>
      </c>
      <c r="J90" s="50">
        <f>C5*(($E5*($R5+$T5+$U5))+($S5))/453.59</f>
        <v>1.7048180910415794E-2</v>
      </c>
      <c r="K90" s="50">
        <f>$C5*(($E5*($V5+$X5+$Y5))+($W5))/453.59</f>
        <v>7.4240106485062834E-3</v>
      </c>
      <c r="L90" s="50">
        <f>$B$22*C5*(E5+6)</f>
        <v>1.6877165172143799E-2</v>
      </c>
      <c r="M90" s="50">
        <f t="shared" si="52"/>
        <v>6.9196377205789569E-3</v>
      </c>
      <c r="N90" s="50">
        <f>C5*($E5*$Z5+($AA5))/453.59</f>
        <v>110.84715345207779</v>
      </c>
      <c r="O90" s="50">
        <f>C5*($E5*$AB5+($AC5))/453.59</f>
        <v>6.3409507780604986E-3</v>
      </c>
      <c r="P90" s="50">
        <f>C5*($E5*$AD5+($AE5))/453.59</f>
        <v>1.1542239827686721E-2</v>
      </c>
      <c r="AN90" s="38"/>
      <c r="AZ90" s="36"/>
    </row>
    <row r="91" spans="1:52">
      <c r="A91" s="61" t="s">
        <v>389</v>
      </c>
      <c r="B91" s="40"/>
      <c r="C91" s="40"/>
      <c r="D91" s="40"/>
      <c r="E91" s="40"/>
      <c r="F91" s="81">
        <f t="shared" ref="F91:P91" si="54">SUM(F89:F90)</f>
        <v>2.4285969294046001</v>
      </c>
      <c r="G91" s="81">
        <f t="shared" si="54"/>
        <v>0.21835328647189003</v>
      </c>
      <c r="H91" s="81">
        <f t="shared" si="54"/>
        <v>0.25249990161976665</v>
      </c>
      <c r="I91" s="81">
        <f t="shared" si="54"/>
        <v>3.6339851358030795E-3</v>
      </c>
      <c r="J91" s="81">
        <f t="shared" si="54"/>
        <v>4.2620452276039486E-2</v>
      </c>
      <c r="K91" s="81">
        <f t="shared" si="54"/>
        <v>1.8560026621265709E-2</v>
      </c>
      <c r="L91" s="81">
        <f t="shared" si="54"/>
        <v>4.2192912930359497E-2</v>
      </c>
      <c r="M91" s="81">
        <f t="shared" si="54"/>
        <v>1.7299094301447392E-2</v>
      </c>
      <c r="N91" s="81">
        <f t="shared" si="54"/>
        <v>277.11788363019451</v>
      </c>
      <c r="O91" s="81">
        <f t="shared" si="54"/>
        <v>1.5852376945151247E-2</v>
      </c>
      <c r="P91" s="81">
        <f t="shared" si="54"/>
        <v>2.8855599569216801E-2</v>
      </c>
      <c r="AN91" s="38"/>
      <c r="AZ91" s="36"/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5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32">
      <c r="A1" s="3" t="s">
        <v>714</v>
      </c>
    </row>
    <row r="3" spans="1:32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32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32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32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32" s="3" customFormat="1">
      <c r="A7" s="17" t="s">
        <v>498</v>
      </c>
      <c r="B7" s="54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32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32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32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32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32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32" s="3" customFormat="1">
      <c r="A13" s="11" t="s">
        <v>319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32" s="6" customFormat="1">
      <c r="A14" s="17" t="s">
        <v>28</v>
      </c>
      <c r="B14" s="97"/>
      <c r="C14" s="22"/>
      <c r="D14" s="22"/>
      <c r="E14" s="23"/>
      <c r="F14" s="23"/>
      <c r="G14" s="23"/>
      <c r="H14" s="23"/>
      <c r="I14" s="23"/>
      <c r="J14" s="24"/>
      <c r="K14" s="25"/>
      <c r="L14" s="23"/>
      <c r="M14" s="23"/>
      <c r="N14" s="88"/>
      <c r="O14" s="88"/>
      <c r="P14" s="88"/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AF14" s="7"/>
    </row>
    <row r="15" spans="1:32">
      <c r="A15" s="17" t="s">
        <v>499</v>
      </c>
      <c r="B15" s="549"/>
      <c r="C15" s="18"/>
      <c r="D15" s="22"/>
      <c r="E15" s="19"/>
      <c r="F15" s="19"/>
      <c r="G15" s="19"/>
      <c r="H15" s="19"/>
      <c r="I15" s="19"/>
      <c r="J15" s="19"/>
      <c r="K15" s="19"/>
      <c r="L15" s="19"/>
      <c r="M15" s="19"/>
      <c r="N15" s="30"/>
      <c r="O15" s="30"/>
      <c r="P15" s="364"/>
      <c r="Q15" s="20">
        <f>Q11+Q14</f>
        <v>0.71457712309159727</v>
      </c>
      <c r="R15" s="20">
        <f t="shared" ref="R15:Y15" si="4">R11+R14</f>
        <v>2.9541592109583941</v>
      </c>
      <c r="S15" s="20">
        <f t="shared" si="4"/>
        <v>4.4210564461391568</v>
      </c>
      <c r="T15" s="20">
        <f t="shared" si="4"/>
        <v>8.32306623607788E-3</v>
      </c>
      <c r="U15" s="20">
        <f t="shared" si="4"/>
        <v>0.24580829231604745</v>
      </c>
      <c r="V15" s="20">
        <f t="shared" si="4"/>
        <v>0.21876938016128222</v>
      </c>
      <c r="W15" s="20">
        <f t="shared" si="4"/>
        <v>696.45349248502816</v>
      </c>
      <c r="X15" s="20">
        <f t="shared" si="4"/>
        <v>7.2539806190569739E-2</v>
      </c>
      <c r="Y15" s="20">
        <f t="shared" si="4"/>
        <v>0.42000036238321992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79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715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315</v>
      </c>
      <c r="B8" s="74"/>
      <c r="C8" s="112"/>
      <c r="D8" s="112"/>
      <c r="E8" s="74"/>
      <c r="F8" s="74"/>
      <c r="G8" s="547"/>
      <c r="H8" s="41"/>
      <c r="I8" s="41"/>
      <c r="J8" s="41"/>
      <c r="K8" s="544"/>
      <c r="L8" s="544"/>
      <c r="M8" s="544"/>
      <c r="N8" s="544"/>
      <c r="O8" s="544"/>
      <c r="P8" s="544"/>
      <c r="Q8" s="41"/>
      <c r="R8" s="544"/>
      <c r="S8" s="54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C9*(F9)*$B$377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5" t="s">
        <v>28</v>
      </c>
      <c r="B10" s="74"/>
      <c r="C10" s="112"/>
      <c r="D10" s="112"/>
      <c r="E10" s="74"/>
      <c r="F10" s="74"/>
      <c r="G10" s="547"/>
      <c r="H10" s="41"/>
      <c r="I10" s="41"/>
      <c r="J10" s="41"/>
      <c r="K10" s="544"/>
      <c r="L10" s="544"/>
      <c r="M10" s="544"/>
      <c r="N10" s="544"/>
      <c r="O10" s="544"/>
      <c r="P10" s="544"/>
      <c r="Q10" s="41"/>
      <c r="R10" s="544"/>
      <c r="S10" s="544"/>
      <c r="T10" s="81">
        <f t="shared" ref="T10:AD10" si="0">SUM(T9:T9)</f>
        <v>9.9891275533645019E-2</v>
      </c>
      <c r="U10" s="81">
        <f t="shared" si="0"/>
        <v>0.18440937782971867</v>
      </c>
      <c r="V10" s="81">
        <f t="shared" si="0"/>
        <v>2.253067276294635E-2</v>
      </c>
      <c r="W10" s="81">
        <f t="shared" si="0"/>
        <v>1.3898613406074772E-3</v>
      </c>
      <c r="X10" s="81">
        <f t="shared" si="0"/>
        <v>3.6369464870151122E-2</v>
      </c>
      <c r="Y10" s="81">
        <f t="shared" si="0"/>
        <v>2.4166098982977401E-2</v>
      </c>
      <c r="Z10" s="81">
        <f t="shared" si="0"/>
        <v>1.7662149598755138E-2</v>
      </c>
      <c r="AA10" s="81">
        <f t="shared" si="0"/>
        <v>3.7090514157385786E-3</v>
      </c>
      <c r="AB10" s="81">
        <f t="shared" si="0"/>
        <v>96.814105590256631</v>
      </c>
      <c r="AC10" s="81">
        <f t="shared" si="0"/>
        <v>5.5322484357440338E-3</v>
      </c>
      <c r="AD10" s="81">
        <f t="shared" si="0"/>
        <v>2.4799901288000137E-3</v>
      </c>
    </row>
    <row r="11" spans="1:30">
      <c r="A11" s="75"/>
      <c r="B11" s="74"/>
      <c r="C11" s="112"/>
      <c r="D11" s="112"/>
      <c r="E11" s="74"/>
      <c r="F11" s="74"/>
      <c r="G11" s="547"/>
      <c r="H11" s="41"/>
      <c r="I11" s="41"/>
      <c r="J11" s="41"/>
      <c r="K11" s="544"/>
      <c r="L11" s="544"/>
      <c r="M11" s="544"/>
      <c r="N11" s="544"/>
      <c r="O11" s="544"/>
      <c r="P11" s="544"/>
      <c r="Q11" s="41"/>
      <c r="R11" s="544"/>
      <c r="S11" s="544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</row>
    <row r="12" spans="1:30">
      <c r="A12" s="114" t="s">
        <v>319</v>
      </c>
      <c r="B12" s="74"/>
      <c r="C12" s="112"/>
      <c r="D12" s="112"/>
      <c r="E12" s="74"/>
      <c r="F12" s="74"/>
      <c r="G12" s="547"/>
      <c r="H12" s="41"/>
      <c r="I12" s="41"/>
      <c r="J12" s="41"/>
      <c r="K12" s="544"/>
      <c r="L12" s="544"/>
      <c r="M12" s="544"/>
      <c r="N12" s="544"/>
      <c r="O12" s="544"/>
      <c r="P12" s="544"/>
      <c r="Q12" s="41"/>
      <c r="R12" s="544"/>
      <c r="S12" s="54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>
      <c r="A13" s="78" t="s">
        <v>320</v>
      </c>
      <c r="B13" s="76" t="s">
        <v>95</v>
      </c>
      <c r="C13" s="79">
        <v>1</v>
      </c>
      <c r="D13" s="77"/>
      <c r="E13" s="77">
        <v>35</v>
      </c>
      <c r="F13" s="77">
        <v>60</v>
      </c>
      <c r="G13" s="106">
        <v>0.25172046482947802</v>
      </c>
      <c r="H13" s="106">
        <v>0.464701387165456</v>
      </c>
      <c r="I13" s="106">
        <v>5.6776043658582402E-2</v>
      </c>
      <c r="J13" s="106">
        <v>3.5023733638119199E-3</v>
      </c>
      <c r="K13" s="106">
        <v>4.6899256897933901E-2</v>
      </c>
      <c r="L13" s="47">
        <v>7.99995847163921E-3</v>
      </c>
      <c r="M13" s="47">
        <v>3.6749815577381599E-2</v>
      </c>
      <c r="N13" s="106">
        <v>4.3147317248333997E-2</v>
      </c>
      <c r="O13" s="47">
        <v>1.9999896145790402E-3</v>
      </c>
      <c r="P13" s="47">
        <v>1.57499200131354E-2</v>
      </c>
      <c r="Q13" s="106">
        <v>243.966167526025</v>
      </c>
      <c r="R13" s="47">
        <f>0.000057143*Q13</f>
        <v>1.3940958710939646E-2</v>
      </c>
      <c r="S13" s="80">
        <f>0.000025616*Q13</f>
        <v>6.2494373473466567E-3</v>
      </c>
      <c r="T13" s="50">
        <f>C13*($F13*$G13)/453.59</f>
        <v>3.3297091844548342E-2</v>
      </c>
      <c r="U13" s="50">
        <f>C13*($F13*$H13)/453.59</f>
        <v>6.1469792609906218E-2</v>
      </c>
      <c r="V13" s="50">
        <f>C13*(($F13*$I13))/453.59</f>
        <v>7.5102242543154491E-3</v>
      </c>
      <c r="W13" s="50">
        <f>C13*($F13*$J13)/453.59</f>
        <v>4.6328711353582576E-4</v>
      </c>
      <c r="X13" s="50">
        <f>C13*(($F13*($K13+$L13+$M13)))/453.59</f>
        <v>1.2123154956717041E-2</v>
      </c>
      <c r="Y13" s="50">
        <f>C13*(($F13*($N13+$O13+$P13)))/453.59</f>
        <v>8.0553663276591338E-3</v>
      </c>
      <c r="Z13" s="50">
        <f>C13*(F13)*$B$338</f>
        <v>0</v>
      </c>
      <c r="AA13" s="50">
        <f>Z13*0.21</f>
        <v>0</v>
      </c>
      <c r="AB13" s="50">
        <f>C13*(($F13*($Q13)))/453.59</f>
        <v>32.271368530085546</v>
      </c>
      <c r="AC13" s="50">
        <f>C13*(($F13*($R13)))/453.59</f>
        <v>1.844082811914678E-3</v>
      </c>
      <c r="AD13" s="50">
        <f>C13*(($F13*($S13)))/453.59</f>
        <v>8.2666337626667119E-4</v>
      </c>
    </row>
    <row r="14" spans="1:30">
      <c r="A14" s="75" t="s">
        <v>28</v>
      </c>
      <c r="B14" s="74"/>
      <c r="C14" s="112"/>
      <c r="D14" s="112"/>
      <c r="E14" s="74"/>
      <c r="F14" s="74"/>
      <c r="G14" s="547"/>
      <c r="H14" s="41"/>
      <c r="I14" s="41"/>
      <c r="J14" s="41"/>
      <c r="K14" s="544"/>
      <c r="L14" s="544"/>
      <c r="M14" s="544"/>
      <c r="N14" s="544"/>
      <c r="O14" s="544"/>
      <c r="P14" s="544"/>
      <c r="Q14" s="41"/>
      <c r="R14" s="544"/>
      <c r="S14" s="544"/>
      <c r="T14" s="81">
        <f t="shared" ref="T14:AD14" si="1">SUM(T13:T13)</f>
        <v>3.3297091844548342E-2</v>
      </c>
      <c r="U14" s="81">
        <f t="shared" si="1"/>
        <v>6.1469792609906218E-2</v>
      </c>
      <c r="V14" s="81">
        <f t="shared" si="1"/>
        <v>7.5102242543154491E-3</v>
      </c>
      <c r="W14" s="81">
        <f t="shared" si="1"/>
        <v>4.6328711353582576E-4</v>
      </c>
      <c r="X14" s="81">
        <f t="shared" si="1"/>
        <v>1.2123154956717041E-2</v>
      </c>
      <c r="Y14" s="81">
        <f t="shared" si="1"/>
        <v>8.0553663276591338E-3</v>
      </c>
      <c r="Z14" s="81">
        <f t="shared" si="1"/>
        <v>0</v>
      </c>
      <c r="AA14" s="81">
        <f t="shared" si="1"/>
        <v>0</v>
      </c>
      <c r="AB14" s="81">
        <f t="shared" si="1"/>
        <v>32.271368530085546</v>
      </c>
      <c r="AC14" s="81">
        <f t="shared" si="1"/>
        <v>1.844082811914678E-3</v>
      </c>
      <c r="AD14" s="81">
        <f t="shared" si="1"/>
        <v>8.2666337626667119E-4</v>
      </c>
    </row>
    <row r="15" spans="1:30">
      <c r="A15" s="75" t="s">
        <v>388</v>
      </c>
      <c r="B15" s="74"/>
      <c r="C15" s="112"/>
      <c r="D15" s="112"/>
      <c r="E15" s="74"/>
      <c r="F15" s="74"/>
      <c r="G15" s="547"/>
      <c r="H15" s="41"/>
      <c r="I15" s="41"/>
      <c r="J15" s="41"/>
      <c r="K15" s="544"/>
      <c r="L15" s="544"/>
      <c r="M15" s="544"/>
      <c r="N15" s="544"/>
      <c r="O15" s="544"/>
      <c r="P15" s="544"/>
      <c r="Q15" s="41"/>
      <c r="R15" s="544"/>
      <c r="S15" s="544"/>
      <c r="T15" s="81">
        <f>T10+T14</f>
        <v>0.13318836737819337</v>
      </c>
      <c r="U15" s="81">
        <f t="shared" ref="U15:AD15" si="2">U10+U14</f>
        <v>0.24587917043962487</v>
      </c>
      <c r="V15" s="81">
        <f t="shared" si="2"/>
        <v>3.00408970172618E-2</v>
      </c>
      <c r="W15" s="81">
        <f t="shared" si="2"/>
        <v>1.853148454143303E-3</v>
      </c>
      <c r="X15" s="81">
        <f t="shared" si="2"/>
        <v>4.8492619826868165E-2</v>
      </c>
      <c r="Y15" s="81">
        <f t="shared" si="2"/>
        <v>3.2221465310636535E-2</v>
      </c>
      <c r="Z15" s="81">
        <f t="shared" si="2"/>
        <v>1.7662149598755138E-2</v>
      </c>
      <c r="AA15" s="81">
        <f t="shared" si="2"/>
        <v>3.7090514157385786E-3</v>
      </c>
      <c r="AB15" s="81">
        <f t="shared" si="2"/>
        <v>129.08547412034218</v>
      </c>
      <c r="AC15" s="81">
        <f t="shared" si="2"/>
        <v>7.376331247658712E-3</v>
      </c>
      <c r="AD15" s="81">
        <f t="shared" si="2"/>
        <v>3.3066535050666848E-3</v>
      </c>
    </row>
    <row r="16" spans="1:30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367" spans="1:1" ht="25.5">
      <c r="A367" s="82" t="s">
        <v>109</v>
      </c>
    </row>
    <row r="369" spans="1:2">
      <c r="A369" s="36" t="s">
        <v>81</v>
      </c>
    </row>
    <row r="370" spans="1:2">
      <c r="A370" s="36" t="s">
        <v>82</v>
      </c>
    </row>
    <row r="371" spans="1:2">
      <c r="A371" s="36" t="s">
        <v>83</v>
      </c>
    </row>
    <row r="372" spans="1:2">
      <c r="A372" s="37" t="s">
        <v>96</v>
      </c>
    </row>
    <row r="373" spans="1:2">
      <c r="A373" s="36" t="s">
        <v>85</v>
      </c>
    </row>
    <row r="374" spans="1:2">
      <c r="A374" s="36" t="s">
        <v>86</v>
      </c>
    </row>
    <row r="375" spans="1:2">
      <c r="A375" s="36" t="s">
        <v>87</v>
      </c>
    </row>
    <row r="376" spans="1:2">
      <c r="A376" s="36" t="s">
        <v>0</v>
      </c>
    </row>
    <row r="377" spans="1:2">
      <c r="A377" s="37" t="s">
        <v>97</v>
      </c>
      <c r="B377" s="36">
        <f>(0.016*(0.03/2)^0.65*(2/3)^1.5)-0.00047</f>
        <v>9.8123053326417428E-5</v>
      </c>
    </row>
    <row r="378" spans="1:2">
      <c r="A378" s="37" t="s">
        <v>98</v>
      </c>
      <c r="B378" s="36">
        <f>(0.016*(0.03/2)^0.65*(13/3)^1.5)-0.00047</f>
        <v>8.9448292388582783E-3</v>
      </c>
    </row>
    <row r="379" spans="1:2">
      <c r="A379" s="37" t="s">
        <v>99</v>
      </c>
      <c r="B379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716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319</v>
      </c>
      <c r="B5" s="45" t="s">
        <v>102</v>
      </c>
      <c r="C5" s="46">
        <v>2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54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545" t="s">
        <v>55</v>
      </c>
      <c r="G88" s="545" t="s">
        <v>73</v>
      </c>
      <c r="H88" s="545" t="s">
        <v>74</v>
      </c>
      <c r="I88" s="545" t="s">
        <v>58</v>
      </c>
      <c r="J88" s="545" t="s">
        <v>59</v>
      </c>
      <c r="K88" s="545" t="s">
        <v>60</v>
      </c>
      <c r="L88" s="544" t="s">
        <v>75</v>
      </c>
      <c r="M88" s="544" t="s">
        <v>76</v>
      </c>
      <c r="N88" s="544" t="s">
        <v>61</v>
      </c>
      <c r="O88" s="544" t="s">
        <v>62</v>
      </c>
      <c r="P88" s="544" t="s">
        <v>63</v>
      </c>
      <c r="AN88" s="38"/>
      <c r="AZ88" s="36"/>
    </row>
    <row r="89" spans="1:52" ht="25.5">
      <c r="A89" s="44" t="str">
        <f>A4</f>
        <v>Substation General Construction</v>
      </c>
      <c r="B89" s="45" t="str">
        <f>B4</f>
        <v>Light-Duty Truck, catalyst</v>
      </c>
      <c r="C89" s="46">
        <f>C4</f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52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ref="A90:C90" si="53">A5</f>
        <v>Telecom</v>
      </c>
      <c r="B90" s="45" t="str">
        <f t="shared" si="53"/>
        <v>Light-Duty Truck, catalyst</v>
      </c>
      <c r="C90" s="46">
        <f t="shared" si="53"/>
        <v>2</v>
      </c>
      <c r="D90" s="46">
        <v>35</v>
      </c>
      <c r="E90" s="46">
        <v>80</v>
      </c>
      <c r="F90" s="50">
        <f>C5*($E5*$F5+($G5))/453.59</f>
        <v>0.97143877176184013</v>
      </c>
      <c r="G90" s="50">
        <f>C5*($E5*$H5+($I5))/453.59</f>
        <v>8.7341314588756019E-2</v>
      </c>
      <c r="H90" s="50">
        <f>C5*(($E5*$J5)+($K5)+($L5)+($E5*$N5)+(($M5+$O5)))/453.59</f>
        <v>0.10099996064790666</v>
      </c>
      <c r="I90" s="50">
        <f>C5*($E5*$P5+($Q5))/453.59</f>
        <v>1.4535940543212319E-3</v>
      </c>
      <c r="J90" s="50">
        <f>C5*(($E5*($R5+$T5+$U5))+($S5))/453.59</f>
        <v>1.7048180910415794E-2</v>
      </c>
      <c r="K90" s="50">
        <f>$C5*(($E5*($V5+$X5+$Y5))+($W5))/453.59</f>
        <v>7.4240106485062834E-3</v>
      </c>
      <c r="L90" s="50">
        <f>$B$22*C5*(E5+6)</f>
        <v>1.6877165172143799E-2</v>
      </c>
      <c r="M90" s="50">
        <f t="shared" si="52"/>
        <v>6.9196377205789569E-3</v>
      </c>
      <c r="N90" s="50">
        <f>C5*($E5*$Z5+($AA5))/453.59</f>
        <v>110.84715345207779</v>
      </c>
      <c r="O90" s="50">
        <f>C5*($E5*$AB5+($AC5))/453.59</f>
        <v>6.3409507780604986E-3</v>
      </c>
      <c r="P90" s="50">
        <f>C5*($E5*$AD5+($AE5))/453.59</f>
        <v>1.1542239827686721E-2</v>
      </c>
      <c r="AN90" s="38"/>
      <c r="AZ90" s="36"/>
    </row>
    <row r="91" spans="1:52">
      <c r="A91" s="61" t="s">
        <v>389</v>
      </c>
      <c r="B91" s="40"/>
      <c r="C91" s="40"/>
      <c r="D91" s="40"/>
      <c r="E91" s="40"/>
      <c r="F91" s="81">
        <f t="shared" ref="F91:P91" si="54">SUM(F89:F90)</f>
        <v>2.4285969294046001</v>
      </c>
      <c r="G91" s="81">
        <f t="shared" si="54"/>
        <v>0.21835328647189003</v>
      </c>
      <c r="H91" s="81">
        <f t="shared" si="54"/>
        <v>0.25249990161976665</v>
      </c>
      <c r="I91" s="81">
        <f t="shared" si="54"/>
        <v>3.6339851358030795E-3</v>
      </c>
      <c r="J91" s="81">
        <f t="shared" si="54"/>
        <v>4.2620452276039486E-2</v>
      </c>
      <c r="K91" s="81">
        <f t="shared" si="54"/>
        <v>1.8560026621265709E-2</v>
      </c>
      <c r="L91" s="81">
        <f t="shared" si="54"/>
        <v>4.2192912930359497E-2</v>
      </c>
      <c r="M91" s="81">
        <f t="shared" si="54"/>
        <v>1.7299094301447392E-2</v>
      </c>
      <c r="N91" s="81">
        <f t="shared" si="54"/>
        <v>277.11788363019451</v>
      </c>
      <c r="O91" s="81">
        <f t="shared" si="54"/>
        <v>1.5852376945151247E-2</v>
      </c>
      <c r="P91" s="81">
        <f t="shared" si="54"/>
        <v>2.8855599569216801E-2</v>
      </c>
      <c r="AN91" s="38"/>
      <c r="AZ91" s="36"/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5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32">
      <c r="A1" s="3" t="s">
        <v>717</v>
      </c>
    </row>
    <row r="3" spans="1:32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32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32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32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32" s="3" customFormat="1">
      <c r="A7" s="17" t="s">
        <v>498</v>
      </c>
      <c r="B7" s="54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32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32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32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32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32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32" s="3" customFormat="1">
      <c r="A13" s="11" t="s">
        <v>319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32" s="6" customFormat="1">
      <c r="A14" s="17" t="s">
        <v>28</v>
      </c>
      <c r="B14" s="97"/>
      <c r="C14" s="22"/>
      <c r="D14" s="22"/>
      <c r="E14" s="23"/>
      <c r="F14" s="23"/>
      <c r="G14" s="23"/>
      <c r="H14" s="23"/>
      <c r="I14" s="23"/>
      <c r="J14" s="24"/>
      <c r="K14" s="25"/>
      <c r="L14" s="23"/>
      <c r="M14" s="23"/>
      <c r="N14" s="88"/>
      <c r="O14" s="88"/>
      <c r="P14" s="88"/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AF14" s="7"/>
    </row>
    <row r="15" spans="1:32">
      <c r="A15" s="17" t="s">
        <v>499</v>
      </c>
      <c r="B15" s="549"/>
      <c r="C15" s="18"/>
      <c r="D15" s="22"/>
      <c r="E15" s="19"/>
      <c r="F15" s="19"/>
      <c r="G15" s="19"/>
      <c r="H15" s="19"/>
      <c r="I15" s="19"/>
      <c r="J15" s="19"/>
      <c r="K15" s="19"/>
      <c r="L15" s="19"/>
      <c r="M15" s="19"/>
      <c r="N15" s="30"/>
      <c r="O15" s="30"/>
      <c r="P15" s="364"/>
      <c r="Q15" s="20">
        <f>Q11</f>
        <v>0.71457712309159727</v>
      </c>
      <c r="R15" s="20">
        <f t="shared" ref="R15:Y15" si="4">R11</f>
        <v>2.9541592109583941</v>
      </c>
      <c r="S15" s="20">
        <f t="shared" si="4"/>
        <v>4.4210564461391568</v>
      </c>
      <c r="T15" s="20">
        <f t="shared" si="4"/>
        <v>8.32306623607788E-3</v>
      </c>
      <c r="U15" s="20">
        <f t="shared" si="4"/>
        <v>0.24580829231604745</v>
      </c>
      <c r="V15" s="20">
        <f t="shared" si="4"/>
        <v>0.21876938016128222</v>
      </c>
      <c r="W15" s="20">
        <f t="shared" si="4"/>
        <v>696.45349248502816</v>
      </c>
      <c r="X15" s="20">
        <f t="shared" si="4"/>
        <v>7.2539806190569739E-2</v>
      </c>
      <c r="Y15" s="20">
        <f t="shared" si="4"/>
        <v>0.42000036238321992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5"/>
  <sheetViews>
    <sheetView zoomScale="75" workbookViewId="0">
      <selection activeCell="B26" sqref="B26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520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25" t="s">
        <v>55</v>
      </c>
      <c r="H6" s="425" t="s">
        <v>56</v>
      </c>
      <c r="I6" s="421" t="s">
        <v>57</v>
      </c>
      <c r="J6" s="425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25" t="s">
        <v>61</v>
      </c>
      <c r="R6" s="421" t="s">
        <v>62</v>
      </c>
      <c r="S6" s="421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424" t="s">
        <v>69</v>
      </c>
      <c r="H7" s="41" t="s">
        <v>69</v>
      </c>
      <c r="I7" s="41" t="s">
        <v>69</v>
      </c>
      <c r="J7" s="41" t="s">
        <v>69</v>
      </c>
      <c r="K7" s="421" t="s">
        <v>69</v>
      </c>
      <c r="L7" s="421" t="s">
        <v>71</v>
      </c>
      <c r="M7" s="421" t="s">
        <v>72</v>
      </c>
      <c r="N7" s="421" t="s">
        <v>69</v>
      </c>
      <c r="O7" s="421" t="s">
        <v>71</v>
      </c>
      <c r="P7" s="421" t="s">
        <v>72</v>
      </c>
      <c r="Q7" s="41" t="s">
        <v>69</v>
      </c>
      <c r="R7" s="421" t="s">
        <v>69</v>
      </c>
      <c r="S7" s="421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424"/>
      <c r="H8" s="41"/>
      <c r="I8" s="41"/>
      <c r="J8" s="41"/>
      <c r="K8" s="421"/>
      <c r="L8" s="421"/>
      <c r="M8" s="421"/>
      <c r="N8" s="421"/>
      <c r="O8" s="421"/>
      <c r="P8" s="421"/>
      <c r="Q8" s="41"/>
      <c r="R8" s="421"/>
      <c r="S8" s="421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C9*(F9)*$B$383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6">
        <v>3.59998119015979E-2</v>
      </c>
      <c r="M10" s="556">
        <v>6.1739677411240299E-2</v>
      </c>
      <c r="N10" s="106">
        <v>6.5945508986370194E-2</v>
      </c>
      <c r="O10" s="556">
        <v>2.9999843251331498E-3</v>
      </c>
      <c r="P10" s="55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C10*(F10)*$B$383</f>
        <v>7.8498442661133934E-3</v>
      </c>
      <c r="AA10" s="50">
        <f>Z10*0.21</f>
        <v>1.6484672958838125E-3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424"/>
      <c r="H11" s="41"/>
      <c r="I11" s="41"/>
      <c r="J11" s="41"/>
      <c r="K11" s="421"/>
      <c r="L11" s="421"/>
      <c r="M11" s="421"/>
      <c r="N11" s="421"/>
      <c r="O11" s="421"/>
      <c r="P11" s="421"/>
      <c r="Q11" s="41"/>
      <c r="R11" s="421"/>
      <c r="S11" s="421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2.5511993864868531E-2</v>
      </c>
      <c r="AA11" s="81">
        <f t="shared" si="0"/>
        <v>5.3575187116223916E-3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424"/>
      <c r="H12" s="41"/>
      <c r="I12" s="41"/>
      <c r="J12" s="41"/>
      <c r="K12" s="421"/>
      <c r="L12" s="421"/>
      <c r="M12" s="421"/>
      <c r="N12" s="421"/>
      <c r="O12" s="421"/>
      <c r="P12" s="421"/>
      <c r="Q12" s="41"/>
      <c r="R12" s="421"/>
      <c r="S12" s="42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329</v>
      </c>
      <c r="B13" s="74"/>
      <c r="C13" s="112"/>
      <c r="D13" s="112"/>
      <c r="E13" s="74"/>
      <c r="F13" s="74"/>
      <c r="G13" s="437"/>
      <c r="H13" s="41"/>
      <c r="I13" s="41"/>
      <c r="J13" s="41"/>
      <c r="K13" s="434"/>
      <c r="L13" s="434"/>
      <c r="M13" s="434"/>
      <c r="N13" s="434"/>
      <c r="O13" s="434"/>
      <c r="P13" s="434"/>
      <c r="Q13" s="41"/>
      <c r="R13" s="434"/>
      <c r="S13" s="43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9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0.29967382660093506</v>
      </c>
      <c r="U14" s="50">
        <f>C14*($F14*$H14)/453.59</f>
        <v>0.553228133489156</v>
      </c>
      <c r="V14" s="50">
        <f>C14*(($F14*$I14))/453.59</f>
        <v>6.759201828883904E-2</v>
      </c>
      <c r="W14" s="50">
        <f>C14*($F14*$J14)/453.59</f>
        <v>4.1695840218224315E-3</v>
      </c>
      <c r="X14" s="50">
        <f>C14*(($F14*($K14+$L14+$M14)))/453.59</f>
        <v>0.10910839461045337</v>
      </c>
      <c r="Y14" s="50">
        <f>C14*(($F14*($N14+$O14+$P14)))/453.59</f>
        <v>7.2498296948932214E-2</v>
      </c>
      <c r="Z14" s="50">
        <f>C14*(F14)*$B$373</f>
        <v>0</v>
      </c>
      <c r="AA14" s="50">
        <f>Z14*0.21</f>
        <v>0</v>
      </c>
      <c r="AB14" s="50">
        <f>C14*(($F14*($Q14)))/453.59</f>
        <v>290.44231677076993</v>
      </c>
      <c r="AC14" s="50">
        <f>C14*(($F14*($R14)))/453.59</f>
        <v>1.65967453072321E-2</v>
      </c>
      <c r="AD14" s="50">
        <f>C14*(($F14*($S14)))/453.59</f>
        <v>7.439970386400041E-3</v>
      </c>
    </row>
    <row r="15" spans="1:30">
      <c r="A15" s="75" t="s">
        <v>28</v>
      </c>
      <c r="B15" s="74"/>
      <c r="C15" s="112"/>
      <c r="D15" s="112"/>
      <c r="E15" s="74"/>
      <c r="F15" s="74"/>
      <c r="G15" s="437"/>
      <c r="H15" s="41"/>
      <c r="I15" s="41"/>
      <c r="J15" s="41"/>
      <c r="K15" s="434"/>
      <c r="L15" s="434"/>
      <c r="M15" s="434"/>
      <c r="N15" s="434"/>
      <c r="O15" s="434"/>
      <c r="P15" s="434"/>
      <c r="Q15" s="41"/>
      <c r="R15" s="434"/>
      <c r="S15" s="434"/>
      <c r="T15" s="81">
        <f t="shared" ref="T15:AD15" si="1">SUM(T14:T14)</f>
        <v>0.29967382660093506</v>
      </c>
      <c r="U15" s="81">
        <f t="shared" si="1"/>
        <v>0.553228133489156</v>
      </c>
      <c r="V15" s="81">
        <f t="shared" si="1"/>
        <v>6.759201828883904E-2</v>
      </c>
      <c r="W15" s="81">
        <f t="shared" si="1"/>
        <v>4.1695840218224315E-3</v>
      </c>
      <c r="X15" s="81">
        <f t="shared" si="1"/>
        <v>0.10910839461045337</v>
      </c>
      <c r="Y15" s="81">
        <f t="shared" si="1"/>
        <v>7.2498296948932214E-2</v>
      </c>
      <c r="Z15" s="81">
        <f t="shared" si="1"/>
        <v>0</v>
      </c>
      <c r="AA15" s="81">
        <f t="shared" si="1"/>
        <v>0</v>
      </c>
      <c r="AB15" s="81">
        <f t="shared" si="1"/>
        <v>290.44231677076993</v>
      </c>
      <c r="AC15" s="81">
        <f t="shared" si="1"/>
        <v>1.65967453072321E-2</v>
      </c>
      <c r="AD15" s="81">
        <f t="shared" si="1"/>
        <v>7.439970386400041E-3</v>
      </c>
    </row>
    <row r="16" spans="1:30">
      <c r="A16" s="75"/>
      <c r="B16" s="74"/>
      <c r="C16" s="112"/>
      <c r="D16" s="112"/>
      <c r="E16" s="74"/>
      <c r="F16" s="74"/>
      <c r="G16" s="437"/>
      <c r="H16" s="41"/>
      <c r="I16" s="41"/>
      <c r="J16" s="41"/>
      <c r="K16" s="434"/>
      <c r="L16" s="434"/>
      <c r="M16" s="434"/>
      <c r="N16" s="434"/>
      <c r="O16" s="434"/>
      <c r="P16" s="434"/>
      <c r="Q16" s="41"/>
      <c r="R16" s="434"/>
      <c r="S16" s="434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</row>
    <row r="17" spans="1:30">
      <c r="A17" s="114" t="s">
        <v>330</v>
      </c>
      <c r="B17" s="74"/>
      <c r="C17" s="112"/>
      <c r="D17" s="112"/>
      <c r="E17" s="74"/>
      <c r="F17" s="74"/>
      <c r="G17" s="424"/>
      <c r="H17" s="41"/>
      <c r="I17" s="41"/>
      <c r="J17" s="41"/>
      <c r="K17" s="421"/>
      <c r="L17" s="421"/>
      <c r="M17" s="421"/>
      <c r="N17" s="421"/>
      <c r="O17" s="421"/>
      <c r="P17" s="421"/>
      <c r="Q17" s="41"/>
      <c r="R17" s="421"/>
      <c r="S17" s="421"/>
      <c r="T17" s="61"/>
      <c r="U17" s="61"/>
      <c r="V17" s="61"/>
      <c r="W17" s="61"/>
      <c r="X17" s="61"/>
      <c r="Y17" s="61"/>
      <c r="Z17" s="62"/>
      <c r="AA17" s="62"/>
      <c r="AB17" s="62"/>
      <c r="AC17" s="62"/>
      <c r="AD17" s="62"/>
    </row>
    <row r="18" spans="1:30">
      <c r="A18" s="78" t="s">
        <v>320</v>
      </c>
      <c r="B18" s="76" t="s">
        <v>95</v>
      </c>
      <c r="C18" s="79">
        <v>12</v>
      </c>
      <c r="D18" s="77"/>
      <c r="E18" s="77">
        <v>35</v>
      </c>
      <c r="F18" s="77">
        <v>60</v>
      </c>
      <c r="G18" s="106">
        <v>0.25172046482947802</v>
      </c>
      <c r="H18" s="106">
        <v>0.464701387165456</v>
      </c>
      <c r="I18" s="106">
        <v>5.6776043658582402E-2</v>
      </c>
      <c r="J18" s="106">
        <v>3.5023733638119199E-3</v>
      </c>
      <c r="K18" s="106">
        <v>4.6899256897933901E-2</v>
      </c>
      <c r="L18" s="47">
        <v>7.99995847163921E-3</v>
      </c>
      <c r="M18" s="47">
        <v>3.6749815577381599E-2</v>
      </c>
      <c r="N18" s="106">
        <v>4.3147317248333997E-2</v>
      </c>
      <c r="O18" s="47">
        <v>1.9999896145790402E-3</v>
      </c>
      <c r="P18" s="47">
        <v>1.57499200131354E-2</v>
      </c>
      <c r="Q18" s="106">
        <v>243.966167526025</v>
      </c>
      <c r="R18" s="47">
        <f>0.000057143*Q18</f>
        <v>1.3940958710939646E-2</v>
      </c>
      <c r="S18" s="80">
        <f>0.000025616*Q18</f>
        <v>6.2494373473466567E-3</v>
      </c>
      <c r="T18" s="50">
        <f>C18*($F18*$G18)/453.59</f>
        <v>0.39956510213458007</v>
      </c>
      <c r="U18" s="50">
        <f>C18*($F18*$H18)/453.59</f>
        <v>0.73763751131887467</v>
      </c>
      <c r="V18" s="50">
        <f>C18*(($F18*$I18))/453.59</f>
        <v>9.01226910517854E-2</v>
      </c>
      <c r="W18" s="50">
        <f>C18*($F18*$J18)/453.59</f>
        <v>5.5594453624299087E-3</v>
      </c>
      <c r="X18" s="50">
        <f>C18*(($F18*($K18+$L18+$M18)))/453.59</f>
        <v>0.14547785948060449</v>
      </c>
      <c r="Y18" s="50">
        <f>C18*(($F18*($N18+$O18+$P18)))/453.59</f>
        <v>9.6664395931909605E-2</v>
      </c>
      <c r="Z18" s="50">
        <f>C18*(F18)*$B$383</f>
        <v>7.0648598395020551E-2</v>
      </c>
      <c r="AA18" s="50">
        <f>Z18*0.21</f>
        <v>1.4836205662954315E-2</v>
      </c>
      <c r="AB18" s="50">
        <f>C18*(($F18*($Q18)))/453.59</f>
        <v>387.25642236102652</v>
      </c>
      <c r="AC18" s="50">
        <f>C18*(($F18*($R18)))/453.59</f>
        <v>2.2128993742976135E-2</v>
      </c>
      <c r="AD18" s="50">
        <f>C18*(($F18*($S18)))/453.59</f>
        <v>9.9199605152000547E-3</v>
      </c>
    </row>
    <row r="19" spans="1:30">
      <c r="A19" s="75" t="s">
        <v>28</v>
      </c>
      <c r="B19" s="74"/>
      <c r="C19" s="112"/>
      <c r="D19" s="112"/>
      <c r="E19" s="74"/>
      <c r="F19" s="74"/>
      <c r="G19" s="424"/>
      <c r="H19" s="41"/>
      <c r="I19" s="41"/>
      <c r="J19" s="41"/>
      <c r="K19" s="421"/>
      <c r="L19" s="421"/>
      <c r="M19" s="421"/>
      <c r="N19" s="421"/>
      <c r="O19" s="421"/>
      <c r="P19" s="421"/>
      <c r="Q19" s="41"/>
      <c r="R19" s="421"/>
      <c r="S19" s="421"/>
      <c r="T19" s="81">
        <f t="shared" ref="T19:AD19" si="2">SUM(T18:T18)</f>
        <v>0.39956510213458007</v>
      </c>
      <c r="U19" s="81">
        <f t="shared" si="2"/>
        <v>0.73763751131887467</v>
      </c>
      <c r="V19" s="81">
        <f t="shared" si="2"/>
        <v>9.01226910517854E-2</v>
      </c>
      <c r="W19" s="81">
        <f t="shared" si="2"/>
        <v>5.5594453624299087E-3</v>
      </c>
      <c r="X19" s="81">
        <f t="shared" si="2"/>
        <v>0.14547785948060449</v>
      </c>
      <c r="Y19" s="81">
        <f t="shared" si="2"/>
        <v>9.6664395931909605E-2</v>
      </c>
      <c r="Z19" s="81">
        <f t="shared" si="2"/>
        <v>7.0648598395020551E-2</v>
      </c>
      <c r="AA19" s="81">
        <f t="shared" si="2"/>
        <v>1.4836205662954315E-2</v>
      </c>
      <c r="AB19" s="81">
        <f t="shared" si="2"/>
        <v>387.25642236102652</v>
      </c>
      <c r="AC19" s="81">
        <f t="shared" si="2"/>
        <v>2.2128993742976135E-2</v>
      </c>
      <c r="AD19" s="81">
        <f t="shared" si="2"/>
        <v>9.9199605152000547E-3</v>
      </c>
    </row>
    <row r="20" spans="1:30">
      <c r="A20" s="420"/>
      <c r="B20" s="74"/>
      <c r="C20" s="112"/>
      <c r="D20" s="112"/>
      <c r="E20" s="74"/>
      <c r="F20" s="74"/>
      <c r="G20" s="424"/>
      <c r="H20" s="41"/>
      <c r="I20" s="41"/>
      <c r="J20" s="41"/>
      <c r="K20" s="421"/>
      <c r="L20" s="421"/>
      <c r="M20" s="421"/>
      <c r="N20" s="421"/>
      <c r="O20" s="421"/>
      <c r="P20" s="421"/>
      <c r="Q20" s="41"/>
      <c r="R20" s="421"/>
      <c r="S20" s="421"/>
      <c r="T20" s="61"/>
      <c r="U20" s="61"/>
      <c r="V20" s="61"/>
      <c r="W20" s="61"/>
      <c r="X20" s="61"/>
      <c r="Y20" s="61"/>
      <c r="Z20" s="62"/>
      <c r="AA20" s="62"/>
      <c r="AB20" s="62"/>
      <c r="AC20" s="62"/>
      <c r="AD20" s="62"/>
    </row>
    <row r="21" spans="1:30">
      <c r="A21" s="75" t="s">
        <v>388</v>
      </c>
      <c r="B21" s="74"/>
      <c r="C21" s="112"/>
      <c r="D21" s="112"/>
      <c r="E21" s="74"/>
      <c r="F21" s="74"/>
      <c r="G21" s="424"/>
      <c r="H21" s="41"/>
      <c r="I21" s="41"/>
      <c r="J21" s="41"/>
      <c r="K21" s="421"/>
      <c r="L21" s="421"/>
      <c r="M21" s="421"/>
      <c r="N21" s="421"/>
      <c r="O21" s="421"/>
      <c r="P21" s="421"/>
      <c r="Q21" s="41"/>
      <c r="R21" s="421"/>
      <c r="S21" s="421"/>
      <c r="T21" s="81">
        <f>T11+T15+T19</f>
        <v>0.99007617155841254</v>
      </c>
      <c r="U21" s="81">
        <f t="shared" ref="U21:AD21" si="3">U11+U15+U19</f>
        <v>2.3520618814236149</v>
      </c>
      <c r="V21" s="81">
        <f t="shared" si="3"/>
        <v>0.22653919382784493</v>
      </c>
      <c r="W21" s="81">
        <f t="shared" si="3"/>
        <v>1.3008141898827498E-2</v>
      </c>
      <c r="X21" s="81">
        <f t="shared" si="3"/>
        <v>0.32083634073593587</v>
      </c>
      <c r="Y21" s="81">
        <f t="shared" si="3"/>
        <v>0.21534077650995037</v>
      </c>
      <c r="Z21" s="81">
        <f t="shared" si="3"/>
        <v>9.6160592259889086E-2</v>
      </c>
      <c r="AA21" s="81">
        <f t="shared" si="3"/>
        <v>2.0193724374576706E-2</v>
      </c>
      <c r="AB21" s="81">
        <f t="shared" si="3"/>
        <v>1076.2348544456186</v>
      </c>
      <c r="AC21" s="81">
        <f t="shared" si="3"/>
        <v>4.6945039013993342E-2</v>
      </c>
      <c r="AD21" s="81">
        <f t="shared" si="3"/>
        <v>2.756883203147896E-2</v>
      </c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25" spans="1:30">
      <c r="A25" s="370"/>
      <c r="B25" s="371"/>
      <c r="C25" s="372"/>
      <c r="D25" s="372"/>
      <c r="E25" s="371"/>
      <c r="F25" s="371"/>
      <c r="G25" s="373"/>
      <c r="H25" s="373"/>
      <c r="I25" s="373"/>
      <c r="J25" s="373"/>
      <c r="K25" s="373"/>
      <c r="L25" s="373"/>
      <c r="M25" s="373"/>
      <c r="N25" s="373"/>
      <c r="O25" s="373"/>
      <c r="P25" s="373"/>
      <c r="Q25" s="373"/>
      <c r="R25" s="373"/>
      <c r="S25" s="373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</row>
    <row r="373" spans="1:2" ht="25.5">
      <c r="A373" s="82" t="s">
        <v>109</v>
      </c>
    </row>
    <row r="375" spans="1:2">
      <c r="A375" s="36" t="s">
        <v>81</v>
      </c>
    </row>
    <row r="376" spans="1:2">
      <c r="A376" s="36" t="s">
        <v>82</v>
      </c>
    </row>
    <row r="377" spans="1:2">
      <c r="A377" s="36" t="s">
        <v>83</v>
      </c>
    </row>
    <row r="378" spans="1:2">
      <c r="A378" s="37" t="s">
        <v>96</v>
      </c>
    </row>
    <row r="379" spans="1:2">
      <c r="A379" s="36" t="s">
        <v>85</v>
      </c>
    </row>
    <row r="380" spans="1:2">
      <c r="A380" s="36" t="s">
        <v>86</v>
      </c>
    </row>
    <row r="381" spans="1:2">
      <c r="A381" s="36" t="s">
        <v>87</v>
      </c>
    </row>
    <row r="382" spans="1:2">
      <c r="A382" s="36" t="s">
        <v>0</v>
      </c>
    </row>
    <row r="383" spans="1:2">
      <c r="A383" s="37" t="s">
        <v>97</v>
      </c>
      <c r="B383" s="36">
        <f>(0.016*(0.03/2)^0.65*(2/3)^1.5)-0.00047</f>
        <v>9.8123053326417428E-5</v>
      </c>
    </row>
    <row r="384" spans="1:2">
      <c r="A384" s="37" t="s">
        <v>98</v>
      </c>
      <c r="B384" s="36">
        <f>(0.016*(0.03/2)^0.65*(13/3)^1.5)-0.00047</f>
        <v>8.9448292388582783E-3</v>
      </c>
    </row>
    <row r="385" spans="1:2">
      <c r="A385" s="37" t="s">
        <v>99</v>
      </c>
      <c r="B385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5"/>
  <sheetViews>
    <sheetView zoomScale="75" workbookViewId="0">
      <selection activeCell="K29" sqref="K29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2.855468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538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70" t="s">
        <v>55</v>
      </c>
      <c r="H6" s="570" t="s">
        <v>56</v>
      </c>
      <c r="I6" s="566" t="s">
        <v>57</v>
      </c>
      <c r="J6" s="570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70" t="s">
        <v>61</v>
      </c>
      <c r="R6" s="566" t="s">
        <v>62</v>
      </c>
      <c r="S6" s="566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69" t="s">
        <v>69</v>
      </c>
      <c r="H7" s="41" t="s">
        <v>69</v>
      </c>
      <c r="I7" s="41" t="s">
        <v>69</v>
      </c>
      <c r="J7" s="41" t="s">
        <v>69</v>
      </c>
      <c r="K7" s="566" t="s">
        <v>69</v>
      </c>
      <c r="L7" s="566" t="s">
        <v>71</v>
      </c>
      <c r="M7" s="566" t="s">
        <v>72</v>
      </c>
      <c r="N7" s="566" t="s">
        <v>69</v>
      </c>
      <c r="O7" s="566" t="s">
        <v>71</v>
      </c>
      <c r="P7" s="566" t="s">
        <v>72</v>
      </c>
      <c r="Q7" s="41" t="s">
        <v>69</v>
      </c>
      <c r="R7" s="566" t="s">
        <v>69</v>
      </c>
      <c r="S7" s="566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69"/>
      <c r="H8" s="41"/>
      <c r="I8" s="41"/>
      <c r="J8" s="41"/>
      <c r="K8" s="566"/>
      <c r="L8" s="566"/>
      <c r="M8" s="566"/>
      <c r="N8" s="566"/>
      <c r="O8" s="566"/>
      <c r="P8" s="566"/>
      <c r="Q8" s="41"/>
      <c r="R8" s="566"/>
      <c r="S8" s="566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C9*(F9)*$B$383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68">
        <v>3.59998119015979E-2</v>
      </c>
      <c r="M10" s="568">
        <v>6.1739677411240299E-2</v>
      </c>
      <c r="N10" s="106">
        <v>6.5945508986370194E-2</v>
      </c>
      <c r="O10" s="568">
        <v>2.9999843251331498E-3</v>
      </c>
      <c r="P10" s="568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C10*(F10)*$B$383</f>
        <v>7.8498442661133934E-3</v>
      </c>
      <c r="AA10" s="50">
        <f>Z10*0.21</f>
        <v>1.6484672958838125E-3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69"/>
      <c r="H11" s="41"/>
      <c r="I11" s="41"/>
      <c r="J11" s="41"/>
      <c r="K11" s="566"/>
      <c r="L11" s="566"/>
      <c r="M11" s="566"/>
      <c r="N11" s="566"/>
      <c r="O11" s="566"/>
      <c r="P11" s="566"/>
      <c r="Q11" s="41"/>
      <c r="R11" s="566"/>
      <c r="S11" s="566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2.5511993864868531E-2</v>
      </c>
      <c r="AA11" s="81">
        <f t="shared" si="0"/>
        <v>5.3575187116223916E-3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69"/>
      <c r="H12" s="41"/>
      <c r="I12" s="41"/>
      <c r="J12" s="41"/>
      <c r="K12" s="566"/>
      <c r="L12" s="566"/>
      <c r="M12" s="566"/>
      <c r="N12" s="566"/>
      <c r="O12" s="566"/>
      <c r="P12" s="566"/>
      <c r="Q12" s="41"/>
      <c r="R12" s="566"/>
      <c r="S12" s="566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330</v>
      </c>
      <c r="B13" s="74"/>
      <c r="C13" s="112"/>
      <c r="D13" s="112"/>
      <c r="E13" s="74"/>
      <c r="F13" s="74"/>
      <c r="G13" s="569"/>
      <c r="H13" s="41"/>
      <c r="I13" s="41"/>
      <c r="J13" s="41"/>
      <c r="K13" s="566"/>
      <c r="L13" s="566"/>
      <c r="M13" s="566"/>
      <c r="N13" s="566"/>
      <c r="O13" s="566"/>
      <c r="P13" s="566"/>
      <c r="Q13" s="41"/>
      <c r="R13" s="566"/>
      <c r="S13" s="566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12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0.39956510213458007</v>
      </c>
      <c r="U14" s="50">
        <f>C14*($F14*$H14)/453.59</f>
        <v>0.73763751131887467</v>
      </c>
      <c r="V14" s="50">
        <f>C14*(($F14*$I14))/453.59</f>
        <v>9.01226910517854E-2</v>
      </c>
      <c r="W14" s="50">
        <f>C14*($F14*$J14)/453.59</f>
        <v>5.5594453624299087E-3</v>
      </c>
      <c r="X14" s="50">
        <f>C14*(($F14*($K14+$L14+$M14)))/453.59</f>
        <v>0.14547785948060449</v>
      </c>
      <c r="Y14" s="50">
        <f>C14*(($F14*($N14+$O14+$P14)))/453.59</f>
        <v>9.6664395931909605E-2</v>
      </c>
      <c r="Z14" s="50">
        <f>C14*(F14)*$B$383</f>
        <v>7.0648598395020551E-2</v>
      </c>
      <c r="AA14" s="50">
        <f>Z14*0.21</f>
        <v>1.4836205662954315E-2</v>
      </c>
      <c r="AB14" s="50">
        <f>C14*(($F14*($Q14)))/453.59</f>
        <v>387.25642236102652</v>
      </c>
      <c r="AC14" s="50">
        <f>C14*(($F14*($R14)))/453.59</f>
        <v>2.2128993742976135E-2</v>
      </c>
      <c r="AD14" s="50">
        <f>C14*(($F14*($S14)))/453.59</f>
        <v>9.9199605152000547E-3</v>
      </c>
    </row>
    <row r="15" spans="1:30">
      <c r="A15" s="78" t="s">
        <v>331</v>
      </c>
      <c r="B15" s="76" t="s">
        <v>105</v>
      </c>
      <c r="C15" s="374">
        <v>80</v>
      </c>
      <c r="D15" s="77"/>
      <c r="E15" s="77">
        <v>35</v>
      </c>
      <c r="F15" s="77">
        <v>80</v>
      </c>
      <c r="G15" s="106">
        <v>1.08263976628415</v>
      </c>
      <c r="H15" s="106">
        <v>4.9712718909585103</v>
      </c>
      <c r="I15" s="106">
        <v>0.26248012575016899</v>
      </c>
      <c r="J15" s="106">
        <v>1.0711818E-2</v>
      </c>
      <c r="K15" s="106">
        <v>7.1679901072141505E-2</v>
      </c>
      <c r="L15" s="568">
        <v>3.59998119015979E-2</v>
      </c>
      <c r="M15" s="568">
        <v>6.1739677411240299E-2</v>
      </c>
      <c r="N15" s="106">
        <v>6.5945508986370194E-2</v>
      </c>
      <c r="O15" s="568">
        <v>2.9999843251331498E-3</v>
      </c>
      <c r="P15" s="568">
        <v>5.5859708133979398E-2</v>
      </c>
      <c r="Q15" s="106">
        <v>1710.7260798814</v>
      </c>
      <c r="R15" s="47">
        <v>1.5235246282551899E-2</v>
      </c>
      <c r="S15" s="80">
        <f>0.000025616*Q15</f>
        <v>4.3821959262241944E-2</v>
      </c>
      <c r="T15" s="50">
        <f>C15*($F15*$G15)/453.59</f>
        <v>15.275677383140195</v>
      </c>
      <c r="U15" s="50">
        <f>C15*($F15*$H15)/453.59</f>
        <v>70.142948702869262</v>
      </c>
      <c r="V15" s="50">
        <f>C15*(($F15*$I15))/453.59</f>
        <v>3.7035049379419336</v>
      </c>
      <c r="W15" s="50">
        <f>C15*($F15*$J15)/453.59</f>
        <v>0.1511400939174144</v>
      </c>
      <c r="X15" s="50">
        <f>C15*(($F15*($K15+$L15+$M15)))/453.59</f>
        <v>2.3904497419781525</v>
      </c>
      <c r="Y15" s="50">
        <f>C15*(($F15*($N15+$O15+$P15)))/453.59</f>
        <v>1.7609587716904906</v>
      </c>
      <c r="Z15" s="50">
        <f>C15*(F15)*$B$383</f>
        <v>0.62798754128907153</v>
      </c>
      <c r="AA15" s="50">
        <f>Z15*0.21</f>
        <v>0.13187738367070501</v>
      </c>
      <c r="AB15" s="50">
        <f>C15*(($F15*($Q15)))/453.59</f>
        <v>24137.760777885233</v>
      </c>
      <c r="AC15" s="50">
        <f>C15*(($F15*($R15)))/453.59</f>
        <v>0.21496412224328618</v>
      </c>
      <c r="AD15" s="50">
        <f>C15*(($F15*($S15)))/453.59</f>
        <v>0.61831288008630803</v>
      </c>
    </row>
    <row r="16" spans="1:30">
      <c r="A16" s="75" t="s">
        <v>28</v>
      </c>
      <c r="B16" s="74"/>
      <c r="C16" s="112"/>
      <c r="D16" s="112"/>
      <c r="E16" s="74"/>
      <c r="F16" s="74"/>
      <c r="G16" s="569"/>
      <c r="H16" s="41"/>
      <c r="I16" s="41"/>
      <c r="J16" s="41"/>
      <c r="K16" s="566"/>
      <c r="L16" s="566"/>
      <c r="M16" s="566"/>
      <c r="N16" s="566"/>
      <c r="O16" s="566"/>
      <c r="P16" s="566"/>
      <c r="Q16" s="41"/>
      <c r="R16" s="566"/>
      <c r="S16" s="566"/>
      <c r="T16" s="81">
        <f>SUM(T14:T15)</f>
        <v>15.675242485274776</v>
      </c>
      <c r="U16" s="81">
        <f t="shared" ref="U16:AD16" si="1">SUM(U14:U15)</f>
        <v>70.880586214188142</v>
      </c>
      <c r="V16" s="81">
        <f t="shared" si="1"/>
        <v>3.7936276289937192</v>
      </c>
      <c r="W16" s="81">
        <f t="shared" si="1"/>
        <v>0.15669953927984431</v>
      </c>
      <c r="X16" s="81">
        <f t="shared" si="1"/>
        <v>2.5359276014587571</v>
      </c>
      <c r="Y16" s="81">
        <f t="shared" si="1"/>
        <v>1.8576231676224002</v>
      </c>
      <c r="Z16" s="81">
        <f t="shared" si="1"/>
        <v>0.69863613968409211</v>
      </c>
      <c r="AA16" s="81">
        <f t="shared" si="1"/>
        <v>0.14671358933365933</v>
      </c>
      <c r="AB16" s="81">
        <f t="shared" si="1"/>
        <v>24525.01720024626</v>
      </c>
      <c r="AC16" s="81">
        <f t="shared" si="1"/>
        <v>0.23709311598626231</v>
      </c>
      <c r="AD16" s="81">
        <f t="shared" si="1"/>
        <v>0.62823284060150808</v>
      </c>
    </row>
    <row r="17" spans="1:30">
      <c r="A17" s="565"/>
      <c r="B17" s="74"/>
      <c r="C17" s="112"/>
      <c r="D17" s="112"/>
      <c r="E17" s="74"/>
      <c r="F17" s="74"/>
      <c r="G17" s="569"/>
      <c r="H17" s="41"/>
      <c r="I17" s="41"/>
      <c r="J17" s="41"/>
      <c r="K17" s="566"/>
      <c r="L17" s="566"/>
      <c r="M17" s="566"/>
      <c r="N17" s="566"/>
      <c r="O17" s="566"/>
      <c r="P17" s="566"/>
      <c r="Q17" s="41"/>
      <c r="R17" s="566"/>
      <c r="S17" s="566"/>
      <c r="T17" s="61"/>
      <c r="U17" s="61"/>
      <c r="V17" s="61"/>
      <c r="W17" s="61"/>
      <c r="X17" s="61"/>
      <c r="Y17" s="61"/>
      <c r="Z17" s="62"/>
      <c r="AA17" s="62"/>
      <c r="AB17" s="62"/>
      <c r="AC17" s="62"/>
      <c r="AD17" s="62"/>
    </row>
    <row r="18" spans="1:30">
      <c r="A18" s="114" t="s">
        <v>337</v>
      </c>
      <c r="B18" s="74"/>
      <c r="C18" s="112"/>
      <c r="D18" s="112"/>
      <c r="E18" s="74"/>
      <c r="F18" s="74"/>
      <c r="G18" s="569"/>
      <c r="H18" s="41"/>
      <c r="I18" s="41"/>
      <c r="J18" s="41"/>
      <c r="K18" s="566"/>
      <c r="L18" s="566"/>
      <c r="M18" s="566"/>
      <c r="N18" s="566"/>
      <c r="O18" s="566"/>
      <c r="P18" s="566"/>
      <c r="Q18" s="41"/>
      <c r="R18" s="566"/>
      <c r="S18" s="566"/>
      <c r="T18" s="61"/>
      <c r="U18" s="61"/>
      <c r="V18" s="61"/>
      <c r="W18" s="61"/>
      <c r="X18" s="61"/>
      <c r="Y18" s="61"/>
      <c r="Z18" s="62"/>
      <c r="AA18" s="62"/>
      <c r="AB18" s="62"/>
      <c r="AC18" s="62"/>
      <c r="AD18" s="62"/>
    </row>
    <row r="19" spans="1:30">
      <c r="A19" s="78" t="s">
        <v>320</v>
      </c>
      <c r="B19" s="76" t="s">
        <v>95</v>
      </c>
      <c r="C19" s="79">
        <v>8</v>
      </c>
      <c r="D19" s="77"/>
      <c r="E19" s="77">
        <v>35</v>
      </c>
      <c r="F19" s="77">
        <v>60</v>
      </c>
      <c r="G19" s="106">
        <v>0.25172046482947802</v>
      </c>
      <c r="H19" s="106">
        <v>0.464701387165456</v>
      </c>
      <c r="I19" s="106">
        <v>5.6776043658582402E-2</v>
      </c>
      <c r="J19" s="106">
        <v>3.5023733638119199E-3</v>
      </c>
      <c r="K19" s="106">
        <v>4.6899256897933901E-2</v>
      </c>
      <c r="L19" s="47">
        <v>7.99995847163921E-3</v>
      </c>
      <c r="M19" s="47">
        <v>3.6749815577381599E-2</v>
      </c>
      <c r="N19" s="106">
        <v>4.3147317248333997E-2</v>
      </c>
      <c r="O19" s="47">
        <v>1.9999896145790402E-3</v>
      </c>
      <c r="P19" s="47">
        <v>1.57499200131354E-2</v>
      </c>
      <c r="Q19" s="106">
        <v>243.966167526025</v>
      </c>
      <c r="R19" s="47">
        <f>0.000057143*Q19</f>
        <v>1.3940958710939646E-2</v>
      </c>
      <c r="S19" s="80">
        <f>0.000025616*Q19</f>
        <v>6.2494373473466567E-3</v>
      </c>
      <c r="T19" s="50">
        <f>C19*($F19*$G19)/453.59</f>
        <v>0.26637673475638673</v>
      </c>
      <c r="U19" s="50">
        <f>C19*($F19*$H19)/453.59</f>
        <v>0.49175834087924974</v>
      </c>
      <c r="V19" s="50">
        <f>C19*(($F19*$I19))/453.59</f>
        <v>6.0081794034523593E-2</v>
      </c>
      <c r="W19" s="50">
        <f>C19*($F19*$J19)/453.59</f>
        <v>3.7062969082866061E-3</v>
      </c>
      <c r="X19" s="50">
        <f>C19*(($F19*($K19+$L19+$M19)))/453.59</f>
        <v>9.698523965373633E-2</v>
      </c>
      <c r="Y19" s="50">
        <f>C19*(($F19*($N19+$O19+$P19)))/453.59</f>
        <v>6.444293062127307E-2</v>
      </c>
      <c r="Z19" s="50">
        <f>C19*(F19)*$B$383</f>
        <v>4.7099065596680367E-2</v>
      </c>
      <c r="AA19" s="50">
        <f>Z19*0.21</f>
        <v>9.8908037753028775E-3</v>
      </c>
      <c r="AB19" s="50">
        <f>C19*(($F19*($Q19)))/453.59</f>
        <v>258.17094824068437</v>
      </c>
      <c r="AC19" s="50">
        <f>C19*(($F19*($R19)))/453.59</f>
        <v>1.4752662495317424E-2</v>
      </c>
      <c r="AD19" s="50">
        <f>C19*(($F19*($S19)))/453.59</f>
        <v>6.6133070101333695E-3</v>
      </c>
    </row>
    <row r="20" spans="1:30">
      <c r="A20" s="75" t="s">
        <v>28</v>
      </c>
      <c r="B20" s="74"/>
      <c r="C20" s="112"/>
      <c r="D20" s="112"/>
      <c r="E20" s="74"/>
      <c r="F20" s="74"/>
      <c r="G20" s="569"/>
      <c r="H20" s="41"/>
      <c r="I20" s="41"/>
      <c r="J20" s="41"/>
      <c r="K20" s="566"/>
      <c r="L20" s="566"/>
      <c r="M20" s="566"/>
      <c r="N20" s="566"/>
      <c r="O20" s="566"/>
      <c r="P20" s="566"/>
      <c r="Q20" s="41"/>
      <c r="R20" s="566"/>
      <c r="S20" s="566"/>
      <c r="T20" s="81">
        <f t="shared" ref="T20:AD20" si="2">SUM(T19:T19)</f>
        <v>0.26637673475638673</v>
      </c>
      <c r="U20" s="81">
        <f t="shared" si="2"/>
        <v>0.49175834087924974</v>
      </c>
      <c r="V20" s="81">
        <f t="shared" si="2"/>
        <v>6.0081794034523593E-2</v>
      </c>
      <c r="W20" s="81">
        <f t="shared" si="2"/>
        <v>3.7062969082866061E-3</v>
      </c>
      <c r="X20" s="81">
        <f t="shared" si="2"/>
        <v>9.698523965373633E-2</v>
      </c>
      <c r="Y20" s="81">
        <f t="shared" si="2"/>
        <v>6.444293062127307E-2</v>
      </c>
      <c r="Z20" s="81">
        <f t="shared" si="2"/>
        <v>4.7099065596680367E-2</v>
      </c>
      <c r="AA20" s="81">
        <f t="shared" si="2"/>
        <v>9.8908037753028775E-3</v>
      </c>
      <c r="AB20" s="81">
        <f t="shared" si="2"/>
        <v>258.17094824068437</v>
      </c>
      <c r="AC20" s="81">
        <f t="shared" si="2"/>
        <v>1.4752662495317424E-2</v>
      </c>
      <c r="AD20" s="81">
        <f t="shared" si="2"/>
        <v>6.6133070101333695E-3</v>
      </c>
    </row>
    <row r="21" spans="1:30">
      <c r="A21" s="75" t="s">
        <v>388</v>
      </c>
      <c r="B21" s="74"/>
      <c r="C21" s="112"/>
      <c r="D21" s="112"/>
      <c r="E21" s="74"/>
      <c r="F21" s="74"/>
      <c r="G21" s="569"/>
      <c r="H21" s="41"/>
      <c r="I21" s="41"/>
      <c r="J21" s="41"/>
      <c r="K21" s="566"/>
      <c r="L21" s="566"/>
      <c r="M21" s="566"/>
      <c r="N21" s="566"/>
      <c r="O21" s="566"/>
      <c r="P21" s="566"/>
      <c r="Q21" s="41"/>
      <c r="R21" s="566"/>
      <c r="S21" s="566"/>
      <c r="T21" s="81">
        <f t="shared" ref="T21:AD21" si="3">T11+T16+T20</f>
        <v>16.23245646285406</v>
      </c>
      <c r="U21" s="81">
        <f t="shared" si="3"/>
        <v>72.433540791682972</v>
      </c>
      <c r="V21" s="81">
        <f t="shared" si="3"/>
        <v>3.9225339075154633</v>
      </c>
      <c r="W21" s="81">
        <f t="shared" si="3"/>
        <v>0.16368494870270608</v>
      </c>
      <c r="X21" s="81">
        <f t="shared" si="3"/>
        <v>2.6991629277573717</v>
      </c>
      <c r="Y21" s="81">
        <f t="shared" si="3"/>
        <v>1.9682441818727818</v>
      </c>
      <c r="Z21" s="81">
        <f t="shared" si="3"/>
        <v>0.7712471991456411</v>
      </c>
      <c r="AA21" s="81">
        <f t="shared" si="3"/>
        <v>0.16196191182058461</v>
      </c>
      <c r="AB21" s="81">
        <f t="shared" si="3"/>
        <v>25181.724263800766</v>
      </c>
      <c r="AC21" s="81">
        <f t="shared" si="3"/>
        <v>0.26006507844536486</v>
      </c>
      <c r="AD21" s="81">
        <f t="shared" si="3"/>
        <v>0.64505504874152031</v>
      </c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25" spans="1:30">
      <c r="A25" s="370"/>
      <c r="B25" s="371"/>
      <c r="C25" s="372"/>
      <c r="D25" s="372"/>
      <c r="E25" s="371"/>
      <c r="F25" s="371"/>
      <c r="G25" s="373"/>
      <c r="H25" s="373"/>
      <c r="I25" s="373"/>
      <c r="J25" s="373"/>
      <c r="K25" s="373"/>
      <c r="L25" s="373"/>
      <c r="M25" s="373"/>
      <c r="N25" s="373"/>
      <c r="O25" s="373"/>
      <c r="P25" s="373"/>
      <c r="Q25" s="373"/>
      <c r="R25" s="373"/>
      <c r="S25" s="373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</row>
    <row r="373" spans="1:2" ht="25.5">
      <c r="A373" s="82" t="s">
        <v>109</v>
      </c>
    </row>
    <row r="375" spans="1:2">
      <c r="A375" s="36" t="s">
        <v>81</v>
      </c>
    </row>
    <row r="376" spans="1:2">
      <c r="A376" s="36" t="s">
        <v>82</v>
      </c>
    </row>
    <row r="377" spans="1:2">
      <c r="A377" s="36" t="s">
        <v>83</v>
      </c>
    </row>
    <row r="378" spans="1:2">
      <c r="A378" s="37" t="s">
        <v>96</v>
      </c>
    </row>
    <row r="379" spans="1:2">
      <c r="A379" s="36" t="s">
        <v>85</v>
      </c>
    </row>
    <row r="380" spans="1:2">
      <c r="A380" s="36" t="s">
        <v>86</v>
      </c>
    </row>
    <row r="381" spans="1:2">
      <c r="A381" s="36" t="s">
        <v>87</v>
      </c>
    </row>
    <row r="382" spans="1:2">
      <c r="A382" s="36" t="s">
        <v>0</v>
      </c>
    </row>
    <row r="383" spans="1:2">
      <c r="A383" s="37" t="s">
        <v>97</v>
      </c>
      <c r="B383" s="36">
        <f>(0.016*(0.03/2)^0.65*(2/3)^1.5)-0.00047</f>
        <v>9.8123053326417428E-5</v>
      </c>
    </row>
    <row r="384" spans="1:2">
      <c r="A384" s="37" t="s">
        <v>98</v>
      </c>
      <c r="B384" s="36">
        <f>(0.016*(0.03/2)^0.65*(13/3)^1.5)-0.00047</f>
        <v>8.9448292388582783E-3</v>
      </c>
    </row>
    <row r="385" spans="1:2">
      <c r="A385" s="37" t="s">
        <v>99</v>
      </c>
      <c r="B385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79"/>
  <sheetViews>
    <sheetView zoomScale="75" workbookViewId="0">
      <selection activeCell="G29" sqref="G29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718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315</v>
      </c>
      <c r="B8" s="74"/>
      <c r="C8" s="112"/>
      <c r="D8" s="112"/>
      <c r="E8" s="74"/>
      <c r="F8" s="74"/>
      <c r="G8" s="547"/>
      <c r="H8" s="41"/>
      <c r="I8" s="41"/>
      <c r="J8" s="41"/>
      <c r="K8" s="544"/>
      <c r="L8" s="544"/>
      <c r="M8" s="544"/>
      <c r="N8" s="544"/>
      <c r="O8" s="544"/>
      <c r="P8" s="544"/>
      <c r="Q8" s="41"/>
      <c r="R8" s="544"/>
      <c r="S8" s="54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C9*(F9)*$B$377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5" t="s">
        <v>28</v>
      </c>
      <c r="B10" s="74"/>
      <c r="C10" s="112"/>
      <c r="D10" s="112"/>
      <c r="E10" s="74"/>
      <c r="F10" s="74"/>
      <c r="G10" s="547"/>
      <c r="H10" s="41"/>
      <c r="I10" s="41"/>
      <c r="J10" s="41"/>
      <c r="K10" s="544"/>
      <c r="L10" s="544"/>
      <c r="M10" s="544"/>
      <c r="N10" s="544"/>
      <c r="O10" s="544"/>
      <c r="P10" s="544"/>
      <c r="Q10" s="41"/>
      <c r="R10" s="544"/>
      <c r="S10" s="544"/>
      <c r="T10" s="81">
        <f t="shared" ref="T10:AD10" si="0">SUM(T9:T9)</f>
        <v>9.9891275533645019E-2</v>
      </c>
      <c r="U10" s="81">
        <f t="shared" si="0"/>
        <v>0.18440937782971867</v>
      </c>
      <c r="V10" s="81">
        <f t="shared" si="0"/>
        <v>2.253067276294635E-2</v>
      </c>
      <c r="W10" s="81">
        <f t="shared" si="0"/>
        <v>1.3898613406074772E-3</v>
      </c>
      <c r="X10" s="81">
        <f t="shared" si="0"/>
        <v>3.6369464870151122E-2</v>
      </c>
      <c r="Y10" s="81">
        <f t="shared" si="0"/>
        <v>2.4166098982977401E-2</v>
      </c>
      <c r="Z10" s="81">
        <f t="shared" si="0"/>
        <v>1.7662149598755138E-2</v>
      </c>
      <c r="AA10" s="81">
        <f t="shared" si="0"/>
        <v>3.7090514157385786E-3</v>
      </c>
      <c r="AB10" s="81">
        <f t="shared" si="0"/>
        <v>96.814105590256631</v>
      </c>
      <c r="AC10" s="81">
        <f t="shared" si="0"/>
        <v>5.5322484357440338E-3</v>
      </c>
      <c r="AD10" s="81">
        <f t="shared" si="0"/>
        <v>2.4799901288000137E-3</v>
      </c>
    </row>
    <row r="11" spans="1:30">
      <c r="A11" s="75"/>
      <c r="B11" s="74"/>
      <c r="C11" s="112"/>
      <c r="D11" s="112"/>
      <c r="E11" s="74"/>
      <c r="F11" s="74"/>
      <c r="G11" s="547"/>
      <c r="H11" s="41"/>
      <c r="I11" s="41"/>
      <c r="J11" s="41"/>
      <c r="K11" s="544"/>
      <c r="L11" s="544"/>
      <c r="M11" s="544"/>
      <c r="N11" s="544"/>
      <c r="O11" s="544"/>
      <c r="P11" s="544"/>
      <c r="Q11" s="41"/>
      <c r="R11" s="544"/>
      <c r="S11" s="544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</row>
    <row r="12" spans="1:30">
      <c r="A12" s="114" t="s">
        <v>319</v>
      </c>
      <c r="B12" s="74"/>
      <c r="C12" s="112"/>
      <c r="D12" s="112"/>
      <c r="E12" s="74"/>
      <c r="F12" s="74"/>
      <c r="G12" s="547"/>
      <c r="H12" s="41"/>
      <c r="I12" s="41"/>
      <c r="J12" s="41"/>
      <c r="K12" s="544"/>
      <c r="L12" s="544"/>
      <c r="M12" s="544"/>
      <c r="N12" s="544"/>
      <c r="O12" s="544"/>
      <c r="P12" s="544"/>
      <c r="Q12" s="41"/>
      <c r="R12" s="544"/>
      <c r="S12" s="54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>
      <c r="A13" s="78" t="s">
        <v>320</v>
      </c>
      <c r="B13" s="76" t="s">
        <v>95</v>
      </c>
      <c r="C13" s="79">
        <v>1</v>
      </c>
      <c r="D13" s="77"/>
      <c r="E13" s="77">
        <v>35</v>
      </c>
      <c r="F13" s="77">
        <v>60</v>
      </c>
      <c r="G13" s="106">
        <v>0.25172046482947802</v>
      </c>
      <c r="H13" s="106">
        <v>0.464701387165456</v>
      </c>
      <c r="I13" s="106">
        <v>5.6776043658582402E-2</v>
      </c>
      <c r="J13" s="106">
        <v>3.5023733638119199E-3</v>
      </c>
      <c r="K13" s="106">
        <v>4.6899256897933901E-2</v>
      </c>
      <c r="L13" s="47">
        <v>7.99995847163921E-3</v>
      </c>
      <c r="M13" s="47">
        <v>3.6749815577381599E-2</v>
      </c>
      <c r="N13" s="106">
        <v>4.3147317248333997E-2</v>
      </c>
      <c r="O13" s="47">
        <v>1.9999896145790402E-3</v>
      </c>
      <c r="P13" s="47">
        <v>1.57499200131354E-2</v>
      </c>
      <c r="Q13" s="106">
        <v>243.966167526025</v>
      </c>
      <c r="R13" s="47">
        <f>0.000057143*Q13</f>
        <v>1.3940958710939646E-2</v>
      </c>
      <c r="S13" s="80">
        <f>0.000025616*Q13</f>
        <v>6.2494373473466567E-3</v>
      </c>
      <c r="T13" s="50">
        <f>C13*($F13*$G13)/453.59</f>
        <v>3.3297091844548342E-2</v>
      </c>
      <c r="U13" s="50">
        <f>C13*($F13*$H13)/453.59</f>
        <v>6.1469792609906218E-2</v>
      </c>
      <c r="V13" s="50">
        <f>C13*(($F13*$I13))/453.59</f>
        <v>7.5102242543154491E-3</v>
      </c>
      <c r="W13" s="50">
        <f>C13*($F13*$J13)/453.59</f>
        <v>4.6328711353582576E-4</v>
      </c>
      <c r="X13" s="50">
        <f>C13*(($F13*($K13+$L13+$M13)))/453.59</f>
        <v>1.2123154956717041E-2</v>
      </c>
      <c r="Y13" s="50">
        <f>C13*(($F13*($N13+$O13+$P13)))/453.59</f>
        <v>8.0553663276591338E-3</v>
      </c>
      <c r="Z13" s="50">
        <f>C13*(F13)*$B$338</f>
        <v>0</v>
      </c>
      <c r="AA13" s="50">
        <f>Z13*0.21</f>
        <v>0</v>
      </c>
      <c r="AB13" s="50">
        <f>C13*(($F13*($Q13)))/453.59</f>
        <v>32.271368530085546</v>
      </c>
      <c r="AC13" s="50">
        <f>C13*(($F13*($R13)))/453.59</f>
        <v>1.844082811914678E-3</v>
      </c>
      <c r="AD13" s="50">
        <f>C13*(($F13*($S13)))/453.59</f>
        <v>8.2666337626667119E-4</v>
      </c>
    </row>
    <row r="14" spans="1:30">
      <c r="A14" s="75" t="s">
        <v>28</v>
      </c>
      <c r="B14" s="74"/>
      <c r="C14" s="112"/>
      <c r="D14" s="112"/>
      <c r="E14" s="74"/>
      <c r="F14" s="74"/>
      <c r="G14" s="547"/>
      <c r="H14" s="41"/>
      <c r="I14" s="41"/>
      <c r="J14" s="41"/>
      <c r="K14" s="544"/>
      <c r="L14" s="544"/>
      <c r="M14" s="544"/>
      <c r="N14" s="544"/>
      <c r="O14" s="544"/>
      <c r="P14" s="544"/>
      <c r="Q14" s="41"/>
      <c r="R14" s="544"/>
      <c r="S14" s="544"/>
      <c r="T14" s="81">
        <f t="shared" ref="T14:AD14" si="1">SUM(T13:T13)</f>
        <v>3.3297091844548342E-2</v>
      </c>
      <c r="U14" s="81">
        <f t="shared" si="1"/>
        <v>6.1469792609906218E-2</v>
      </c>
      <c r="V14" s="81">
        <f t="shared" si="1"/>
        <v>7.5102242543154491E-3</v>
      </c>
      <c r="W14" s="81">
        <f t="shared" si="1"/>
        <v>4.6328711353582576E-4</v>
      </c>
      <c r="X14" s="81">
        <f t="shared" si="1"/>
        <v>1.2123154956717041E-2</v>
      </c>
      <c r="Y14" s="81">
        <f t="shared" si="1"/>
        <v>8.0553663276591338E-3</v>
      </c>
      <c r="Z14" s="81">
        <f t="shared" si="1"/>
        <v>0</v>
      </c>
      <c r="AA14" s="81">
        <f t="shared" si="1"/>
        <v>0</v>
      </c>
      <c r="AB14" s="81">
        <f t="shared" si="1"/>
        <v>32.271368530085546</v>
      </c>
      <c r="AC14" s="81">
        <f t="shared" si="1"/>
        <v>1.844082811914678E-3</v>
      </c>
      <c r="AD14" s="81">
        <f t="shared" si="1"/>
        <v>8.2666337626667119E-4</v>
      </c>
    </row>
    <row r="15" spans="1:30">
      <c r="A15" s="75" t="s">
        <v>388</v>
      </c>
      <c r="B15" s="74"/>
      <c r="C15" s="112"/>
      <c r="D15" s="112"/>
      <c r="E15" s="74"/>
      <c r="F15" s="74"/>
      <c r="G15" s="547"/>
      <c r="H15" s="41"/>
      <c r="I15" s="41"/>
      <c r="J15" s="41"/>
      <c r="K15" s="544"/>
      <c r="L15" s="544"/>
      <c r="M15" s="544"/>
      <c r="N15" s="544"/>
      <c r="O15" s="544"/>
      <c r="P15" s="544"/>
      <c r="Q15" s="41"/>
      <c r="R15" s="544"/>
      <c r="S15" s="544"/>
      <c r="T15" s="81">
        <f>T10+T14</f>
        <v>0.13318836737819337</v>
      </c>
      <c r="U15" s="81">
        <f t="shared" ref="U15:AD15" si="2">U10+U14</f>
        <v>0.24587917043962487</v>
      </c>
      <c r="V15" s="81">
        <f t="shared" si="2"/>
        <v>3.00408970172618E-2</v>
      </c>
      <c r="W15" s="81">
        <f t="shared" si="2"/>
        <v>1.853148454143303E-3</v>
      </c>
      <c r="X15" s="81">
        <f t="shared" si="2"/>
        <v>4.8492619826868165E-2</v>
      </c>
      <c r="Y15" s="81">
        <f t="shared" si="2"/>
        <v>3.2221465310636535E-2</v>
      </c>
      <c r="Z15" s="81">
        <f t="shared" si="2"/>
        <v>1.7662149598755138E-2</v>
      </c>
      <c r="AA15" s="81">
        <f t="shared" si="2"/>
        <v>3.7090514157385786E-3</v>
      </c>
      <c r="AB15" s="81">
        <f t="shared" si="2"/>
        <v>129.08547412034218</v>
      </c>
      <c r="AC15" s="81">
        <f t="shared" si="2"/>
        <v>7.376331247658712E-3</v>
      </c>
      <c r="AD15" s="81">
        <f t="shared" si="2"/>
        <v>3.3066535050666848E-3</v>
      </c>
    </row>
    <row r="16" spans="1:30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367" spans="1:1" ht="25.5">
      <c r="A367" s="82" t="s">
        <v>109</v>
      </c>
    </row>
    <row r="369" spans="1:2">
      <c r="A369" s="36" t="s">
        <v>81</v>
      </c>
    </row>
    <row r="370" spans="1:2">
      <c r="A370" s="36" t="s">
        <v>82</v>
      </c>
    </row>
    <row r="371" spans="1:2">
      <c r="A371" s="36" t="s">
        <v>83</v>
      </c>
    </row>
    <row r="372" spans="1:2">
      <c r="A372" s="37" t="s">
        <v>96</v>
      </c>
    </row>
    <row r="373" spans="1:2">
      <c r="A373" s="36" t="s">
        <v>85</v>
      </c>
    </row>
    <row r="374" spans="1:2">
      <c r="A374" s="36" t="s">
        <v>86</v>
      </c>
    </row>
    <row r="375" spans="1:2">
      <c r="A375" s="36" t="s">
        <v>87</v>
      </c>
    </row>
    <row r="376" spans="1:2">
      <c r="A376" s="36" t="s">
        <v>0</v>
      </c>
    </row>
    <row r="377" spans="1:2">
      <c r="A377" s="37" t="s">
        <v>97</v>
      </c>
      <c r="B377" s="36">
        <f>(0.016*(0.03/2)^0.65*(2/3)^1.5)-0.00047</f>
        <v>9.8123053326417428E-5</v>
      </c>
    </row>
    <row r="378" spans="1:2">
      <c r="A378" s="37" t="s">
        <v>98</v>
      </c>
      <c r="B378" s="36">
        <f>(0.016*(0.03/2)^0.65*(13/3)^1.5)-0.00047</f>
        <v>8.9448292388582783E-3</v>
      </c>
    </row>
    <row r="379" spans="1:2">
      <c r="A379" s="37" t="s">
        <v>99</v>
      </c>
      <c r="B379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A5" sqref="A5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719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319</v>
      </c>
      <c r="B5" s="45" t="s">
        <v>102</v>
      </c>
      <c r="C5" s="46">
        <v>2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54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545" t="s">
        <v>55</v>
      </c>
      <c r="G88" s="545" t="s">
        <v>73</v>
      </c>
      <c r="H88" s="545" t="s">
        <v>74</v>
      </c>
      <c r="I88" s="545" t="s">
        <v>58</v>
      </c>
      <c r="J88" s="545" t="s">
        <v>59</v>
      </c>
      <c r="K88" s="545" t="s">
        <v>60</v>
      </c>
      <c r="L88" s="544" t="s">
        <v>75</v>
      </c>
      <c r="M88" s="544" t="s">
        <v>76</v>
      </c>
      <c r="N88" s="544" t="s">
        <v>61</v>
      </c>
      <c r="O88" s="544" t="s">
        <v>62</v>
      </c>
      <c r="P88" s="544" t="s">
        <v>63</v>
      </c>
      <c r="AN88" s="38"/>
      <c r="AZ88" s="36"/>
    </row>
    <row r="89" spans="1:52" ht="25.5">
      <c r="A89" s="44" t="str">
        <f>A4</f>
        <v>Substation General Construction</v>
      </c>
      <c r="B89" s="45" t="str">
        <f>B4</f>
        <v>Light-Duty Truck, catalyst</v>
      </c>
      <c r="C89" s="46">
        <f>C4</f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52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ref="A90:C90" si="53">A5</f>
        <v>Telecom</v>
      </c>
      <c r="B90" s="45" t="str">
        <f t="shared" si="53"/>
        <v>Light-Duty Truck, catalyst</v>
      </c>
      <c r="C90" s="46">
        <f t="shared" si="53"/>
        <v>2</v>
      </c>
      <c r="D90" s="46">
        <v>35</v>
      </c>
      <c r="E90" s="46">
        <v>80</v>
      </c>
      <c r="F90" s="50">
        <f>C5*($E5*$F5+($G5))/453.59</f>
        <v>0.97143877176184013</v>
      </c>
      <c r="G90" s="50">
        <f>C5*($E5*$H5+($I5))/453.59</f>
        <v>8.7341314588756019E-2</v>
      </c>
      <c r="H90" s="50">
        <f>C5*(($E5*$J5)+($K5)+($L5)+($E5*$N5)+(($M5+$O5)))/453.59</f>
        <v>0.10099996064790666</v>
      </c>
      <c r="I90" s="50">
        <f>C5*($E5*$P5+($Q5))/453.59</f>
        <v>1.4535940543212319E-3</v>
      </c>
      <c r="J90" s="50">
        <f>C5*(($E5*($R5+$T5+$U5))+($S5))/453.59</f>
        <v>1.7048180910415794E-2</v>
      </c>
      <c r="K90" s="50">
        <f>$C5*(($E5*($V5+$X5+$Y5))+($W5))/453.59</f>
        <v>7.4240106485062834E-3</v>
      </c>
      <c r="L90" s="50">
        <f>$B$22*C5*(E5+6)</f>
        <v>1.6877165172143799E-2</v>
      </c>
      <c r="M90" s="50">
        <f t="shared" si="52"/>
        <v>6.9196377205789569E-3</v>
      </c>
      <c r="N90" s="50">
        <f>C5*($E5*$Z5+($AA5))/453.59</f>
        <v>110.84715345207779</v>
      </c>
      <c r="O90" s="50">
        <f>C5*($E5*$AB5+($AC5))/453.59</f>
        <v>6.3409507780604986E-3</v>
      </c>
      <c r="P90" s="50">
        <f>C5*($E5*$AD5+($AE5))/453.59</f>
        <v>1.1542239827686721E-2</v>
      </c>
      <c r="AN90" s="38"/>
      <c r="AZ90" s="36"/>
    </row>
    <row r="91" spans="1:52">
      <c r="A91" s="61" t="s">
        <v>389</v>
      </c>
      <c r="B91" s="40"/>
      <c r="C91" s="40"/>
      <c r="D91" s="40"/>
      <c r="E91" s="40"/>
      <c r="F91" s="81">
        <f t="shared" ref="F91:P91" si="54">SUM(F89:F90)</f>
        <v>2.4285969294046001</v>
      </c>
      <c r="G91" s="81">
        <f t="shared" si="54"/>
        <v>0.21835328647189003</v>
      </c>
      <c r="H91" s="81">
        <f t="shared" si="54"/>
        <v>0.25249990161976665</v>
      </c>
      <c r="I91" s="81">
        <f t="shared" si="54"/>
        <v>3.6339851358030795E-3</v>
      </c>
      <c r="J91" s="81">
        <f t="shared" si="54"/>
        <v>4.2620452276039486E-2</v>
      </c>
      <c r="K91" s="81">
        <f t="shared" si="54"/>
        <v>1.8560026621265709E-2</v>
      </c>
      <c r="L91" s="81">
        <f t="shared" si="54"/>
        <v>4.2192912930359497E-2</v>
      </c>
      <c r="M91" s="81">
        <f t="shared" si="54"/>
        <v>1.7299094301447392E-2</v>
      </c>
      <c r="N91" s="81">
        <f t="shared" si="54"/>
        <v>277.11788363019451</v>
      </c>
      <c r="O91" s="81">
        <f t="shared" si="54"/>
        <v>1.5852376945151247E-2</v>
      </c>
      <c r="P91" s="81">
        <f t="shared" si="54"/>
        <v>2.8855599569216801E-2</v>
      </c>
      <c r="AN91" s="38"/>
      <c r="AZ91" s="36"/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5"/>
  <sheetViews>
    <sheetView zoomScale="75" zoomScaleNormal="75" workbookViewId="0">
      <selection activeCell="A30" sqref="A30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32">
      <c r="A1" s="3" t="s">
        <v>720</v>
      </c>
    </row>
    <row r="3" spans="1:32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32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32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32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32" s="3" customFormat="1">
      <c r="A7" s="17" t="s">
        <v>498</v>
      </c>
      <c r="B7" s="54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32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32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32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32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32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32" s="6" customFormat="1">
      <c r="A13" s="11" t="s">
        <v>319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  <c r="AF13" s="7"/>
    </row>
    <row r="14" spans="1:32">
      <c r="A14" s="17" t="s">
        <v>28</v>
      </c>
      <c r="B14" s="97"/>
      <c r="C14" s="22"/>
      <c r="D14" s="22"/>
      <c r="E14" s="23"/>
      <c r="F14" s="23"/>
      <c r="G14" s="23"/>
      <c r="H14" s="23"/>
      <c r="I14" s="23"/>
      <c r="J14" s="24"/>
      <c r="K14" s="25"/>
      <c r="L14" s="23"/>
      <c r="M14" s="23"/>
      <c r="N14" s="88"/>
      <c r="O14" s="88"/>
      <c r="P14" s="88"/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</row>
    <row r="15" spans="1:32">
      <c r="A15" s="17" t="s">
        <v>499</v>
      </c>
      <c r="B15" s="549"/>
      <c r="C15" s="18"/>
      <c r="D15" s="22"/>
      <c r="E15" s="19"/>
      <c r="F15" s="19"/>
      <c r="G15" s="19"/>
      <c r="H15" s="19"/>
      <c r="I15" s="19"/>
      <c r="J15" s="19"/>
      <c r="K15" s="19"/>
      <c r="L15" s="19"/>
      <c r="M15" s="19"/>
      <c r="N15" s="30"/>
      <c r="O15" s="30"/>
      <c r="P15" s="364"/>
      <c r="Q15" s="20">
        <f>Q11</f>
        <v>0.71457712309159727</v>
      </c>
      <c r="R15" s="20">
        <f t="shared" ref="R15:Y15" si="4">R11</f>
        <v>2.9541592109583941</v>
      </c>
      <c r="S15" s="20">
        <f t="shared" si="4"/>
        <v>4.4210564461391568</v>
      </c>
      <c r="T15" s="20">
        <f t="shared" si="4"/>
        <v>8.32306623607788E-3</v>
      </c>
      <c r="U15" s="20">
        <f t="shared" si="4"/>
        <v>0.24580829231604745</v>
      </c>
      <c r="V15" s="20">
        <f t="shared" si="4"/>
        <v>0.21876938016128222</v>
      </c>
      <c r="W15" s="20">
        <f t="shared" si="4"/>
        <v>696.45349248502816</v>
      </c>
      <c r="X15" s="20">
        <f t="shared" si="4"/>
        <v>7.2539806190569739E-2</v>
      </c>
      <c r="Y15" s="20">
        <f t="shared" si="4"/>
        <v>0.42000036238321992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79"/>
  <sheetViews>
    <sheetView zoomScale="75" workbookViewId="0">
      <selection activeCell="A25" sqref="A25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721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315</v>
      </c>
      <c r="B8" s="74"/>
      <c r="C8" s="112"/>
      <c r="D8" s="112"/>
      <c r="E8" s="74"/>
      <c r="F8" s="74"/>
      <c r="G8" s="547"/>
      <c r="H8" s="41"/>
      <c r="I8" s="41"/>
      <c r="J8" s="41"/>
      <c r="K8" s="544"/>
      <c r="L8" s="544"/>
      <c r="M8" s="544"/>
      <c r="N8" s="544"/>
      <c r="O8" s="544"/>
      <c r="P8" s="544"/>
      <c r="Q8" s="41"/>
      <c r="R8" s="544"/>
      <c r="S8" s="54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C9*(F9)*$B$377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5" t="s">
        <v>28</v>
      </c>
      <c r="B10" s="74"/>
      <c r="C10" s="112"/>
      <c r="D10" s="112"/>
      <c r="E10" s="74"/>
      <c r="F10" s="74"/>
      <c r="G10" s="547"/>
      <c r="H10" s="41"/>
      <c r="I10" s="41"/>
      <c r="J10" s="41"/>
      <c r="K10" s="544"/>
      <c r="L10" s="544"/>
      <c r="M10" s="544"/>
      <c r="N10" s="544"/>
      <c r="O10" s="544"/>
      <c r="P10" s="544"/>
      <c r="Q10" s="41"/>
      <c r="R10" s="544"/>
      <c r="S10" s="544"/>
      <c r="T10" s="81">
        <f t="shared" ref="T10:AD10" si="0">SUM(T9:T9)</f>
        <v>9.9891275533645019E-2</v>
      </c>
      <c r="U10" s="81">
        <f t="shared" si="0"/>
        <v>0.18440937782971867</v>
      </c>
      <c r="V10" s="81">
        <f t="shared" si="0"/>
        <v>2.253067276294635E-2</v>
      </c>
      <c r="W10" s="81">
        <f t="shared" si="0"/>
        <v>1.3898613406074772E-3</v>
      </c>
      <c r="X10" s="81">
        <f t="shared" si="0"/>
        <v>3.6369464870151122E-2</v>
      </c>
      <c r="Y10" s="81">
        <f t="shared" si="0"/>
        <v>2.4166098982977401E-2</v>
      </c>
      <c r="Z10" s="81">
        <f t="shared" si="0"/>
        <v>1.7662149598755138E-2</v>
      </c>
      <c r="AA10" s="81">
        <f t="shared" si="0"/>
        <v>3.7090514157385786E-3</v>
      </c>
      <c r="AB10" s="81">
        <f t="shared" si="0"/>
        <v>96.814105590256631</v>
      </c>
      <c r="AC10" s="81">
        <f t="shared" si="0"/>
        <v>5.5322484357440338E-3</v>
      </c>
      <c r="AD10" s="81">
        <f t="shared" si="0"/>
        <v>2.4799901288000137E-3</v>
      </c>
    </row>
    <row r="11" spans="1:30">
      <c r="A11" s="75"/>
      <c r="B11" s="74"/>
      <c r="C11" s="112"/>
      <c r="D11" s="112"/>
      <c r="E11" s="74"/>
      <c r="F11" s="74"/>
      <c r="G11" s="547"/>
      <c r="H11" s="41"/>
      <c r="I11" s="41"/>
      <c r="J11" s="41"/>
      <c r="K11" s="544"/>
      <c r="L11" s="544"/>
      <c r="M11" s="544"/>
      <c r="N11" s="544"/>
      <c r="O11" s="544"/>
      <c r="P11" s="544"/>
      <c r="Q11" s="41"/>
      <c r="R11" s="544"/>
      <c r="S11" s="544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</row>
    <row r="12" spans="1:30">
      <c r="A12" s="114" t="s">
        <v>319</v>
      </c>
      <c r="B12" s="74"/>
      <c r="C12" s="112"/>
      <c r="D12" s="112"/>
      <c r="E12" s="74"/>
      <c r="F12" s="74"/>
      <c r="G12" s="547"/>
      <c r="H12" s="41"/>
      <c r="I12" s="41"/>
      <c r="J12" s="41"/>
      <c r="K12" s="544"/>
      <c r="L12" s="544"/>
      <c r="M12" s="544"/>
      <c r="N12" s="544"/>
      <c r="O12" s="544"/>
      <c r="P12" s="544"/>
      <c r="Q12" s="41"/>
      <c r="R12" s="544"/>
      <c r="S12" s="54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>
      <c r="A13" s="78" t="s">
        <v>320</v>
      </c>
      <c r="B13" s="76" t="s">
        <v>95</v>
      </c>
      <c r="C13" s="79">
        <v>1</v>
      </c>
      <c r="D13" s="77"/>
      <c r="E13" s="77">
        <v>35</v>
      </c>
      <c r="F13" s="77">
        <v>60</v>
      </c>
      <c r="G13" s="106">
        <v>0.25172046482947802</v>
      </c>
      <c r="H13" s="106">
        <v>0.464701387165456</v>
      </c>
      <c r="I13" s="106">
        <v>5.6776043658582402E-2</v>
      </c>
      <c r="J13" s="106">
        <v>3.5023733638119199E-3</v>
      </c>
      <c r="K13" s="106">
        <v>4.6899256897933901E-2</v>
      </c>
      <c r="L13" s="47">
        <v>7.99995847163921E-3</v>
      </c>
      <c r="M13" s="47">
        <v>3.6749815577381599E-2</v>
      </c>
      <c r="N13" s="106">
        <v>4.3147317248333997E-2</v>
      </c>
      <c r="O13" s="47">
        <v>1.9999896145790402E-3</v>
      </c>
      <c r="P13" s="47">
        <v>1.57499200131354E-2</v>
      </c>
      <c r="Q13" s="106">
        <v>243.966167526025</v>
      </c>
      <c r="R13" s="47">
        <f>0.000057143*Q13</f>
        <v>1.3940958710939646E-2</v>
      </c>
      <c r="S13" s="80">
        <f>0.000025616*Q13</f>
        <v>6.2494373473466567E-3</v>
      </c>
      <c r="T13" s="50">
        <f>C13*($F13*$G13)/453.59</f>
        <v>3.3297091844548342E-2</v>
      </c>
      <c r="U13" s="50">
        <f>C13*($F13*$H13)/453.59</f>
        <v>6.1469792609906218E-2</v>
      </c>
      <c r="V13" s="50">
        <f>C13*(($F13*$I13))/453.59</f>
        <v>7.5102242543154491E-3</v>
      </c>
      <c r="W13" s="50">
        <f>C13*($F13*$J13)/453.59</f>
        <v>4.6328711353582576E-4</v>
      </c>
      <c r="X13" s="50">
        <f>C13*(($F13*($K13+$L13+$M13)))/453.59</f>
        <v>1.2123154956717041E-2</v>
      </c>
      <c r="Y13" s="50">
        <f>C13*(($F13*($N13+$O13+$P13)))/453.59</f>
        <v>8.0553663276591338E-3</v>
      </c>
      <c r="Z13" s="50">
        <f>C13*(F13)*$B$338</f>
        <v>0</v>
      </c>
      <c r="AA13" s="50">
        <f>Z13*0.21</f>
        <v>0</v>
      </c>
      <c r="AB13" s="50">
        <f>C13*(($F13*($Q13)))/453.59</f>
        <v>32.271368530085546</v>
      </c>
      <c r="AC13" s="50">
        <f>C13*(($F13*($R13)))/453.59</f>
        <v>1.844082811914678E-3</v>
      </c>
      <c r="AD13" s="50">
        <f>C13*(($F13*($S13)))/453.59</f>
        <v>8.2666337626667119E-4</v>
      </c>
    </row>
    <row r="14" spans="1:30">
      <c r="A14" s="75" t="s">
        <v>28</v>
      </c>
      <c r="B14" s="74"/>
      <c r="C14" s="112"/>
      <c r="D14" s="112"/>
      <c r="E14" s="74"/>
      <c r="F14" s="74"/>
      <c r="G14" s="547"/>
      <c r="H14" s="41"/>
      <c r="I14" s="41"/>
      <c r="J14" s="41"/>
      <c r="K14" s="544"/>
      <c r="L14" s="544"/>
      <c r="M14" s="544"/>
      <c r="N14" s="544"/>
      <c r="O14" s="544"/>
      <c r="P14" s="544"/>
      <c r="Q14" s="41"/>
      <c r="R14" s="544"/>
      <c r="S14" s="544"/>
      <c r="T14" s="81">
        <f>SUM(T13:T13)</f>
        <v>3.3297091844548342E-2</v>
      </c>
      <c r="U14" s="81">
        <f t="shared" ref="U14:AD14" si="1">SUM(U13:U13)</f>
        <v>6.1469792609906218E-2</v>
      </c>
      <c r="V14" s="81">
        <f t="shared" si="1"/>
        <v>7.5102242543154491E-3</v>
      </c>
      <c r="W14" s="81">
        <f t="shared" si="1"/>
        <v>4.6328711353582576E-4</v>
      </c>
      <c r="X14" s="81">
        <f t="shared" si="1"/>
        <v>1.2123154956717041E-2</v>
      </c>
      <c r="Y14" s="81">
        <f t="shared" si="1"/>
        <v>8.0553663276591338E-3</v>
      </c>
      <c r="Z14" s="81">
        <f t="shared" si="1"/>
        <v>0</v>
      </c>
      <c r="AA14" s="81">
        <f t="shared" si="1"/>
        <v>0</v>
      </c>
      <c r="AB14" s="81">
        <f t="shared" si="1"/>
        <v>32.271368530085546</v>
      </c>
      <c r="AC14" s="81">
        <f t="shared" si="1"/>
        <v>1.844082811914678E-3</v>
      </c>
      <c r="AD14" s="81">
        <f t="shared" si="1"/>
        <v>8.2666337626667119E-4</v>
      </c>
    </row>
    <row r="15" spans="1:30">
      <c r="A15" s="75" t="s">
        <v>388</v>
      </c>
      <c r="B15" s="74"/>
      <c r="C15" s="112"/>
      <c r="D15" s="112"/>
      <c r="E15" s="74"/>
      <c r="F15" s="74"/>
      <c r="G15" s="547"/>
      <c r="H15" s="41"/>
      <c r="I15" s="41"/>
      <c r="J15" s="41"/>
      <c r="K15" s="544"/>
      <c r="L15" s="544"/>
      <c r="M15" s="544"/>
      <c r="N15" s="544"/>
      <c r="O15" s="544"/>
      <c r="P15" s="544"/>
      <c r="Q15" s="41"/>
      <c r="R15" s="544"/>
      <c r="S15" s="544"/>
      <c r="T15" s="81">
        <f>T10+T14</f>
        <v>0.13318836737819337</v>
      </c>
      <c r="U15" s="81">
        <f t="shared" ref="U15:AD15" si="2">U10+U14</f>
        <v>0.24587917043962487</v>
      </c>
      <c r="V15" s="81">
        <f t="shared" si="2"/>
        <v>3.00408970172618E-2</v>
      </c>
      <c r="W15" s="81">
        <f t="shared" si="2"/>
        <v>1.853148454143303E-3</v>
      </c>
      <c r="X15" s="81">
        <f t="shared" si="2"/>
        <v>4.8492619826868165E-2</v>
      </c>
      <c r="Y15" s="81">
        <f t="shared" si="2"/>
        <v>3.2221465310636535E-2</v>
      </c>
      <c r="Z15" s="81">
        <f t="shared" si="2"/>
        <v>1.7662149598755138E-2</v>
      </c>
      <c r="AA15" s="81">
        <f t="shared" si="2"/>
        <v>3.7090514157385786E-3</v>
      </c>
      <c r="AB15" s="81">
        <f t="shared" si="2"/>
        <v>129.08547412034218</v>
      </c>
      <c r="AC15" s="81">
        <f t="shared" si="2"/>
        <v>7.376331247658712E-3</v>
      </c>
      <c r="AD15" s="81">
        <f t="shared" si="2"/>
        <v>3.3066535050666848E-3</v>
      </c>
    </row>
    <row r="16" spans="1:30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367" spans="1:1" ht="25.5">
      <c r="A367" s="82" t="s">
        <v>109</v>
      </c>
    </row>
    <row r="369" spans="1:2">
      <c r="A369" s="36" t="s">
        <v>81</v>
      </c>
    </row>
    <row r="370" spans="1:2">
      <c r="A370" s="36" t="s">
        <v>82</v>
      </c>
    </row>
    <row r="371" spans="1:2">
      <c r="A371" s="36" t="s">
        <v>83</v>
      </c>
    </row>
    <row r="372" spans="1:2">
      <c r="A372" s="37" t="s">
        <v>96</v>
      </c>
    </row>
    <row r="373" spans="1:2">
      <c r="A373" s="36" t="s">
        <v>85</v>
      </c>
    </row>
    <row r="374" spans="1:2">
      <c r="A374" s="36" t="s">
        <v>86</v>
      </c>
    </row>
    <row r="375" spans="1:2">
      <c r="A375" s="36" t="s">
        <v>87</v>
      </c>
    </row>
    <row r="376" spans="1:2">
      <c r="A376" s="36" t="s">
        <v>0</v>
      </c>
    </row>
    <row r="377" spans="1:2">
      <c r="A377" s="37" t="s">
        <v>97</v>
      </c>
      <c r="B377" s="36">
        <f>(0.016*(0.03/2)^0.65*(2/3)^1.5)-0.00047</f>
        <v>9.8123053326417428E-5</v>
      </c>
    </row>
    <row r="378" spans="1:2">
      <c r="A378" s="37" t="s">
        <v>98</v>
      </c>
      <c r="B378" s="36">
        <f>(0.016*(0.03/2)^0.65*(13/3)^1.5)-0.00047</f>
        <v>8.9448292388582783E-3</v>
      </c>
    </row>
    <row r="379" spans="1:2">
      <c r="A379" s="37" t="s">
        <v>99</v>
      </c>
      <c r="B379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A97" sqref="A97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722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319</v>
      </c>
      <c r="B5" s="45" t="s">
        <v>102</v>
      </c>
      <c r="C5" s="46">
        <v>2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54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545" t="s">
        <v>55</v>
      </c>
      <c r="G88" s="545" t="s">
        <v>73</v>
      </c>
      <c r="H88" s="545" t="s">
        <v>74</v>
      </c>
      <c r="I88" s="545" t="s">
        <v>58</v>
      </c>
      <c r="J88" s="545" t="s">
        <v>59</v>
      </c>
      <c r="K88" s="545" t="s">
        <v>60</v>
      </c>
      <c r="L88" s="544" t="s">
        <v>75</v>
      </c>
      <c r="M88" s="544" t="s">
        <v>76</v>
      </c>
      <c r="N88" s="544" t="s">
        <v>61</v>
      </c>
      <c r="O88" s="544" t="s">
        <v>62</v>
      </c>
      <c r="P88" s="544" t="s">
        <v>63</v>
      </c>
      <c r="AN88" s="38"/>
      <c r="AZ88" s="36"/>
    </row>
    <row r="89" spans="1:52" ht="25.5">
      <c r="A89" s="44" t="str">
        <f>A4</f>
        <v>Substation General Construction</v>
      </c>
      <c r="B89" s="45" t="str">
        <f>B4</f>
        <v>Light-Duty Truck, catalyst</v>
      </c>
      <c r="C89" s="46">
        <f>C4</f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52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ref="A90:C90" si="53">A5</f>
        <v>Telecom</v>
      </c>
      <c r="B90" s="45" t="str">
        <f t="shared" si="53"/>
        <v>Light-Duty Truck, catalyst</v>
      </c>
      <c r="C90" s="46">
        <f t="shared" si="53"/>
        <v>2</v>
      </c>
      <c r="D90" s="46">
        <v>35</v>
      </c>
      <c r="E90" s="46">
        <v>80</v>
      </c>
      <c r="F90" s="50">
        <f>C5*($E5*$F5+($G5))/453.59</f>
        <v>0.97143877176184013</v>
      </c>
      <c r="G90" s="50">
        <f>C5*($E5*$H5+($I5))/453.59</f>
        <v>8.7341314588756019E-2</v>
      </c>
      <c r="H90" s="50">
        <f>C5*(($E5*$J5)+($K5)+($L5)+($E5*$N5)+(($M5+$O5)))/453.59</f>
        <v>0.10099996064790666</v>
      </c>
      <c r="I90" s="50">
        <f>C5*($E5*$P5+($Q5))/453.59</f>
        <v>1.4535940543212319E-3</v>
      </c>
      <c r="J90" s="50">
        <f>C5*(($E5*($R5+$T5+$U5))+($S5))/453.59</f>
        <v>1.7048180910415794E-2</v>
      </c>
      <c r="K90" s="50">
        <f>$C5*(($E5*($V5+$X5+$Y5))+($W5))/453.59</f>
        <v>7.4240106485062834E-3</v>
      </c>
      <c r="L90" s="50">
        <f>$B$22*C5*(E5+6)</f>
        <v>1.6877165172143799E-2</v>
      </c>
      <c r="M90" s="50">
        <f t="shared" si="52"/>
        <v>6.9196377205789569E-3</v>
      </c>
      <c r="N90" s="50">
        <f>C5*($E5*$Z5+($AA5))/453.59</f>
        <v>110.84715345207779</v>
      </c>
      <c r="O90" s="50">
        <f>C5*($E5*$AB5+($AC5))/453.59</f>
        <v>6.3409507780604986E-3</v>
      </c>
      <c r="P90" s="50">
        <f>C5*($E5*$AD5+($AE5))/453.59</f>
        <v>1.1542239827686721E-2</v>
      </c>
      <c r="AN90" s="38"/>
      <c r="AZ90" s="36"/>
    </row>
    <row r="91" spans="1:52">
      <c r="A91" s="61" t="s">
        <v>389</v>
      </c>
      <c r="B91" s="40"/>
      <c r="C91" s="40"/>
      <c r="D91" s="40"/>
      <c r="E91" s="40"/>
      <c r="F91" s="81">
        <f t="shared" ref="F91:P91" si="54">SUM(F89:F90)</f>
        <v>2.4285969294046001</v>
      </c>
      <c r="G91" s="81">
        <f t="shared" si="54"/>
        <v>0.21835328647189003</v>
      </c>
      <c r="H91" s="81">
        <f t="shared" si="54"/>
        <v>0.25249990161976665</v>
      </c>
      <c r="I91" s="81">
        <f t="shared" si="54"/>
        <v>3.6339851358030795E-3</v>
      </c>
      <c r="J91" s="81">
        <f t="shared" si="54"/>
        <v>4.2620452276039486E-2</v>
      </c>
      <c r="K91" s="81">
        <f t="shared" si="54"/>
        <v>1.8560026621265709E-2</v>
      </c>
      <c r="L91" s="81">
        <f t="shared" si="54"/>
        <v>4.2192912930359497E-2</v>
      </c>
      <c r="M91" s="81">
        <f t="shared" si="54"/>
        <v>1.7299094301447392E-2</v>
      </c>
      <c r="N91" s="81">
        <f t="shared" si="54"/>
        <v>277.11788363019451</v>
      </c>
      <c r="O91" s="81">
        <f t="shared" si="54"/>
        <v>1.5852376945151247E-2</v>
      </c>
      <c r="P91" s="81">
        <f t="shared" si="54"/>
        <v>2.8855599569216801E-2</v>
      </c>
      <c r="AN91" s="38"/>
      <c r="AZ91" s="36"/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5"/>
  <sheetViews>
    <sheetView zoomScale="75" zoomScaleNormal="75" workbookViewId="0">
      <selection activeCell="A24" sqref="A24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723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498</v>
      </c>
      <c r="B7" s="54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>
      <c r="A13" s="11" t="s">
        <v>319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>
      <c r="A14" s="17" t="s">
        <v>28</v>
      </c>
      <c r="B14" s="97"/>
      <c r="C14" s="22"/>
      <c r="D14" s="22"/>
      <c r="E14" s="23"/>
      <c r="F14" s="23"/>
      <c r="G14" s="23"/>
      <c r="H14" s="23"/>
      <c r="I14" s="23"/>
      <c r="J14" s="24"/>
      <c r="K14" s="25"/>
      <c r="L14" s="23"/>
      <c r="M14" s="23"/>
      <c r="N14" s="88"/>
      <c r="O14" s="88"/>
      <c r="P14" s="88"/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</row>
    <row r="15" spans="1:25">
      <c r="A15" s="17" t="s">
        <v>499</v>
      </c>
      <c r="B15" s="549"/>
      <c r="C15" s="18"/>
      <c r="D15" s="22"/>
      <c r="E15" s="19"/>
      <c r="F15" s="19"/>
      <c r="G15" s="19"/>
      <c r="H15" s="19"/>
      <c r="I15" s="19"/>
      <c r="J15" s="19"/>
      <c r="K15" s="19"/>
      <c r="L15" s="19"/>
      <c r="M15" s="19"/>
      <c r="N15" s="30"/>
      <c r="O15" s="30"/>
      <c r="P15" s="364"/>
      <c r="Q15" s="20">
        <f>Q11</f>
        <v>0.71457712309159727</v>
      </c>
      <c r="R15" s="20">
        <f t="shared" ref="R15:Y15" si="4">R11</f>
        <v>2.9541592109583941</v>
      </c>
      <c r="S15" s="20">
        <f t="shared" si="4"/>
        <v>4.4210564461391568</v>
      </c>
      <c r="T15" s="20">
        <f t="shared" si="4"/>
        <v>8.32306623607788E-3</v>
      </c>
      <c r="U15" s="20">
        <f t="shared" si="4"/>
        <v>0.24580829231604745</v>
      </c>
      <c r="V15" s="20">
        <f t="shared" si="4"/>
        <v>0.21876938016128222</v>
      </c>
      <c r="W15" s="20">
        <f t="shared" si="4"/>
        <v>696.45349248502816</v>
      </c>
      <c r="X15" s="20">
        <f t="shared" si="4"/>
        <v>7.2539806190569739E-2</v>
      </c>
      <c r="Y15" s="20">
        <f t="shared" si="4"/>
        <v>0.42000036238321992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79"/>
  <sheetViews>
    <sheetView zoomScale="75" workbookViewId="0">
      <selection activeCell="A32" sqref="A3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724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315</v>
      </c>
      <c r="B8" s="74"/>
      <c r="C8" s="112"/>
      <c r="D8" s="112"/>
      <c r="E8" s="74"/>
      <c r="F8" s="74"/>
      <c r="G8" s="547"/>
      <c r="H8" s="41"/>
      <c r="I8" s="41"/>
      <c r="J8" s="41"/>
      <c r="K8" s="544"/>
      <c r="L8" s="544"/>
      <c r="M8" s="544"/>
      <c r="N8" s="544"/>
      <c r="O8" s="544"/>
      <c r="P8" s="544"/>
      <c r="Q8" s="41"/>
      <c r="R8" s="544"/>
      <c r="S8" s="54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C9*(F9)*$B$377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5" t="s">
        <v>28</v>
      </c>
      <c r="B10" s="74"/>
      <c r="C10" s="112"/>
      <c r="D10" s="112"/>
      <c r="E10" s="74"/>
      <c r="F10" s="74"/>
      <c r="G10" s="547"/>
      <c r="H10" s="41"/>
      <c r="I10" s="41"/>
      <c r="J10" s="41"/>
      <c r="K10" s="544"/>
      <c r="L10" s="544"/>
      <c r="M10" s="544"/>
      <c r="N10" s="544"/>
      <c r="O10" s="544"/>
      <c r="P10" s="544"/>
      <c r="Q10" s="41"/>
      <c r="R10" s="544"/>
      <c r="S10" s="544"/>
      <c r="T10" s="81">
        <f t="shared" ref="T10:AD10" si="0">SUM(T9:T9)</f>
        <v>9.9891275533645019E-2</v>
      </c>
      <c r="U10" s="81">
        <f t="shared" si="0"/>
        <v>0.18440937782971867</v>
      </c>
      <c r="V10" s="81">
        <f t="shared" si="0"/>
        <v>2.253067276294635E-2</v>
      </c>
      <c r="W10" s="81">
        <f t="shared" si="0"/>
        <v>1.3898613406074772E-3</v>
      </c>
      <c r="X10" s="81">
        <f t="shared" si="0"/>
        <v>3.6369464870151122E-2</v>
      </c>
      <c r="Y10" s="81">
        <f t="shared" si="0"/>
        <v>2.4166098982977401E-2</v>
      </c>
      <c r="Z10" s="81">
        <f t="shared" si="0"/>
        <v>1.7662149598755138E-2</v>
      </c>
      <c r="AA10" s="81">
        <f t="shared" si="0"/>
        <v>3.7090514157385786E-3</v>
      </c>
      <c r="AB10" s="81">
        <f t="shared" si="0"/>
        <v>96.814105590256631</v>
      </c>
      <c r="AC10" s="81">
        <f t="shared" si="0"/>
        <v>5.5322484357440338E-3</v>
      </c>
      <c r="AD10" s="81">
        <f t="shared" si="0"/>
        <v>2.4799901288000137E-3</v>
      </c>
    </row>
    <row r="11" spans="1:30">
      <c r="A11" s="75"/>
      <c r="B11" s="74"/>
      <c r="C11" s="112"/>
      <c r="D11" s="112"/>
      <c r="E11" s="74"/>
      <c r="F11" s="74"/>
      <c r="G11" s="547"/>
      <c r="H11" s="41"/>
      <c r="I11" s="41"/>
      <c r="J11" s="41"/>
      <c r="K11" s="544"/>
      <c r="L11" s="544"/>
      <c r="M11" s="544"/>
      <c r="N11" s="544"/>
      <c r="O11" s="544"/>
      <c r="P11" s="544"/>
      <c r="Q11" s="41"/>
      <c r="R11" s="544"/>
      <c r="S11" s="544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</row>
    <row r="12" spans="1:30">
      <c r="A12" s="114" t="s">
        <v>319</v>
      </c>
      <c r="B12" s="74"/>
      <c r="C12" s="112"/>
      <c r="D12" s="112"/>
      <c r="E12" s="74"/>
      <c r="F12" s="74"/>
      <c r="G12" s="547"/>
      <c r="H12" s="41"/>
      <c r="I12" s="41"/>
      <c r="J12" s="41"/>
      <c r="K12" s="544"/>
      <c r="L12" s="544"/>
      <c r="M12" s="544"/>
      <c r="N12" s="544"/>
      <c r="O12" s="544"/>
      <c r="P12" s="544"/>
      <c r="Q12" s="41"/>
      <c r="R12" s="544"/>
      <c r="S12" s="54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>
      <c r="A13" s="78" t="s">
        <v>320</v>
      </c>
      <c r="B13" s="76" t="s">
        <v>95</v>
      </c>
      <c r="C13" s="79">
        <v>1</v>
      </c>
      <c r="D13" s="77"/>
      <c r="E13" s="77">
        <v>35</v>
      </c>
      <c r="F13" s="77">
        <v>60</v>
      </c>
      <c r="G13" s="106">
        <v>0.25172046482947802</v>
      </c>
      <c r="H13" s="106">
        <v>0.464701387165456</v>
      </c>
      <c r="I13" s="106">
        <v>5.6776043658582402E-2</v>
      </c>
      <c r="J13" s="106">
        <v>3.5023733638119199E-3</v>
      </c>
      <c r="K13" s="106">
        <v>4.6899256897933901E-2</v>
      </c>
      <c r="L13" s="47">
        <v>7.99995847163921E-3</v>
      </c>
      <c r="M13" s="47">
        <v>3.6749815577381599E-2</v>
      </c>
      <c r="N13" s="106">
        <v>4.3147317248333997E-2</v>
      </c>
      <c r="O13" s="47">
        <v>1.9999896145790402E-3</v>
      </c>
      <c r="P13" s="47">
        <v>1.57499200131354E-2</v>
      </c>
      <c r="Q13" s="106">
        <v>243.966167526025</v>
      </c>
      <c r="R13" s="47">
        <f>0.000057143*Q13</f>
        <v>1.3940958710939646E-2</v>
      </c>
      <c r="S13" s="80">
        <f>0.000025616*Q13</f>
        <v>6.2494373473466567E-3</v>
      </c>
      <c r="T13" s="50">
        <f>C13*($F13*$G13)/453.59</f>
        <v>3.3297091844548342E-2</v>
      </c>
      <c r="U13" s="50">
        <f>C13*($F13*$H13)/453.59</f>
        <v>6.1469792609906218E-2</v>
      </c>
      <c r="V13" s="50">
        <f>C13*(($F13*$I13))/453.59</f>
        <v>7.5102242543154491E-3</v>
      </c>
      <c r="W13" s="50">
        <f>C13*($F13*$J13)/453.59</f>
        <v>4.6328711353582576E-4</v>
      </c>
      <c r="X13" s="50">
        <f>C13*(($F13*($K13+$L13+$M13)))/453.59</f>
        <v>1.2123154956717041E-2</v>
      </c>
      <c r="Y13" s="50">
        <f>C13*(($F13*($N13+$O13+$P13)))/453.59</f>
        <v>8.0553663276591338E-3</v>
      </c>
      <c r="Z13" s="50">
        <f>C13*(F13)*$B$338</f>
        <v>0</v>
      </c>
      <c r="AA13" s="50">
        <f>Z13*0.21</f>
        <v>0</v>
      </c>
      <c r="AB13" s="50">
        <f>C13*(($F13*($Q13)))/453.59</f>
        <v>32.271368530085546</v>
      </c>
      <c r="AC13" s="50">
        <f>C13*(($F13*($R13)))/453.59</f>
        <v>1.844082811914678E-3</v>
      </c>
      <c r="AD13" s="50">
        <f>C13*(($F13*($S13)))/453.59</f>
        <v>8.2666337626667119E-4</v>
      </c>
    </row>
    <row r="14" spans="1:30">
      <c r="A14" s="75" t="s">
        <v>28</v>
      </c>
      <c r="B14" s="74"/>
      <c r="C14" s="112"/>
      <c r="D14" s="112"/>
      <c r="E14" s="74"/>
      <c r="F14" s="74"/>
      <c r="G14" s="547"/>
      <c r="H14" s="41"/>
      <c r="I14" s="41"/>
      <c r="J14" s="41"/>
      <c r="K14" s="544"/>
      <c r="L14" s="544"/>
      <c r="M14" s="544"/>
      <c r="N14" s="544"/>
      <c r="O14" s="544"/>
      <c r="P14" s="544"/>
      <c r="Q14" s="41"/>
      <c r="R14" s="544"/>
      <c r="S14" s="544"/>
      <c r="T14" s="81">
        <f t="shared" ref="T14:AD14" si="1">SUM(T13:T13)</f>
        <v>3.3297091844548342E-2</v>
      </c>
      <c r="U14" s="81">
        <f t="shared" si="1"/>
        <v>6.1469792609906218E-2</v>
      </c>
      <c r="V14" s="81">
        <f t="shared" si="1"/>
        <v>7.5102242543154491E-3</v>
      </c>
      <c r="W14" s="81">
        <f t="shared" si="1"/>
        <v>4.6328711353582576E-4</v>
      </c>
      <c r="X14" s="81">
        <f t="shared" si="1"/>
        <v>1.2123154956717041E-2</v>
      </c>
      <c r="Y14" s="81">
        <f t="shared" si="1"/>
        <v>8.0553663276591338E-3</v>
      </c>
      <c r="Z14" s="81">
        <f t="shared" si="1"/>
        <v>0</v>
      </c>
      <c r="AA14" s="81">
        <f t="shared" si="1"/>
        <v>0</v>
      </c>
      <c r="AB14" s="81">
        <f t="shared" si="1"/>
        <v>32.271368530085546</v>
      </c>
      <c r="AC14" s="81">
        <f t="shared" si="1"/>
        <v>1.844082811914678E-3</v>
      </c>
      <c r="AD14" s="81">
        <f t="shared" si="1"/>
        <v>8.2666337626667119E-4</v>
      </c>
    </row>
    <row r="15" spans="1:30">
      <c r="A15" s="75" t="s">
        <v>388</v>
      </c>
      <c r="B15" s="74"/>
      <c r="C15" s="112"/>
      <c r="D15" s="112"/>
      <c r="E15" s="74"/>
      <c r="F15" s="74"/>
      <c r="G15" s="547"/>
      <c r="H15" s="41"/>
      <c r="I15" s="41"/>
      <c r="J15" s="41"/>
      <c r="K15" s="544"/>
      <c r="L15" s="544"/>
      <c r="M15" s="544"/>
      <c r="N15" s="544"/>
      <c r="O15" s="544"/>
      <c r="P15" s="544"/>
      <c r="Q15" s="41"/>
      <c r="R15" s="544"/>
      <c r="S15" s="544"/>
      <c r="T15" s="81">
        <f>T10+T14</f>
        <v>0.13318836737819337</v>
      </c>
      <c r="U15" s="81">
        <f t="shared" ref="U15:AD15" si="2">U10+U14</f>
        <v>0.24587917043962487</v>
      </c>
      <c r="V15" s="81">
        <f t="shared" si="2"/>
        <v>3.00408970172618E-2</v>
      </c>
      <c r="W15" s="81">
        <f t="shared" si="2"/>
        <v>1.853148454143303E-3</v>
      </c>
      <c r="X15" s="81">
        <f t="shared" si="2"/>
        <v>4.8492619826868165E-2</v>
      </c>
      <c r="Y15" s="81">
        <f t="shared" si="2"/>
        <v>3.2221465310636535E-2</v>
      </c>
      <c r="Z15" s="81">
        <f t="shared" si="2"/>
        <v>1.7662149598755138E-2</v>
      </c>
      <c r="AA15" s="81">
        <f t="shared" si="2"/>
        <v>3.7090514157385786E-3</v>
      </c>
      <c r="AB15" s="81">
        <f t="shared" si="2"/>
        <v>129.08547412034218</v>
      </c>
      <c r="AC15" s="81">
        <f t="shared" si="2"/>
        <v>7.376331247658712E-3</v>
      </c>
      <c r="AD15" s="81">
        <f t="shared" si="2"/>
        <v>3.3066535050666848E-3</v>
      </c>
    </row>
    <row r="16" spans="1:30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367" spans="1:1" ht="25.5">
      <c r="A367" s="82" t="s">
        <v>109</v>
      </c>
    </row>
    <row r="369" spans="1:2">
      <c r="A369" s="36" t="s">
        <v>81</v>
      </c>
    </row>
    <row r="370" spans="1:2">
      <c r="A370" s="36" t="s">
        <v>82</v>
      </c>
    </row>
    <row r="371" spans="1:2">
      <c r="A371" s="36" t="s">
        <v>83</v>
      </c>
    </row>
    <row r="372" spans="1:2">
      <c r="A372" s="37" t="s">
        <v>96</v>
      </c>
    </row>
    <row r="373" spans="1:2">
      <c r="A373" s="36" t="s">
        <v>85</v>
      </c>
    </row>
    <row r="374" spans="1:2">
      <c r="A374" s="36" t="s">
        <v>86</v>
      </c>
    </row>
    <row r="375" spans="1:2">
      <c r="A375" s="36" t="s">
        <v>87</v>
      </c>
    </row>
    <row r="376" spans="1:2">
      <c r="A376" s="36" t="s">
        <v>0</v>
      </c>
    </row>
    <row r="377" spans="1:2">
      <c r="A377" s="37" t="s">
        <v>97</v>
      </c>
      <c r="B377" s="36">
        <f>(0.016*(0.03/2)^0.65*(2/3)^1.5)-0.00047</f>
        <v>9.8123053326417428E-5</v>
      </c>
    </row>
    <row r="378" spans="1:2">
      <c r="A378" s="37" t="s">
        <v>98</v>
      </c>
      <c r="B378" s="36">
        <f>(0.016*(0.03/2)^0.65*(13/3)^1.5)-0.00047</f>
        <v>8.9448292388582783E-3</v>
      </c>
    </row>
    <row r="379" spans="1:2">
      <c r="A379" s="37" t="s">
        <v>99</v>
      </c>
      <c r="B379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A92" sqref="A92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725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319</v>
      </c>
      <c r="B5" s="45" t="s">
        <v>102</v>
      </c>
      <c r="C5" s="46">
        <v>2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54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545" t="s">
        <v>55</v>
      </c>
      <c r="G88" s="545" t="s">
        <v>73</v>
      </c>
      <c r="H88" s="545" t="s">
        <v>74</v>
      </c>
      <c r="I88" s="545" t="s">
        <v>58</v>
      </c>
      <c r="J88" s="545" t="s">
        <v>59</v>
      </c>
      <c r="K88" s="545" t="s">
        <v>60</v>
      </c>
      <c r="L88" s="544" t="s">
        <v>75</v>
      </c>
      <c r="M88" s="544" t="s">
        <v>76</v>
      </c>
      <c r="N88" s="544" t="s">
        <v>61</v>
      </c>
      <c r="O88" s="544" t="s">
        <v>62</v>
      </c>
      <c r="P88" s="544" t="s">
        <v>63</v>
      </c>
      <c r="AN88" s="38"/>
      <c r="AZ88" s="36"/>
    </row>
    <row r="89" spans="1:52" ht="25.5">
      <c r="A89" s="44" t="str">
        <f>A4</f>
        <v>Substation General Construction</v>
      </c>
      <c r="B89" s="45" t="str">
        <f>B4</f>
        <v>Light-Duty Truck, catalyst</v>
      </c>
      <c r="C89" s="46">
        <f>C4</f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52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ref="A90:C90" si="53">A5</f>
        <v>Telecom</v>
      </c>
      <c r="B90" s="45" t="str">
        <f t="shared" si="53"/>
        <v>Light-Duty Truck, catalyst</v>
      </c>
      <c r="C90" s="46">
        <f t="shared" si="53"/>
        <v>2</v>
      </c>
      <c r="D90" s="46">
        <v>35</v>
      </c>
      <c r="E90" s="46">
        <v>80</v>
      </c>
      <c r="F90" s="50">
        <f>C5*($E5*$F5+($G5))/453.59</f>
        <v>0.97143877176184013</v>
      </c>
      <c r="G90" s="50">
        <f>C5*($E5*$H5+($I5))/453.59</f>
        <v>8.7341314588756019E-2</v>
      </c>
      <c r="H90" s="50">
        <f>C5*(($E5*$J5)+($K5)+($L5)+($E5*$N5)+(($M5+$O5)))/453.59</f>
        <v>0.10099996064790666</v>
      </c>
      <c r="I90" s="50">
        <f>C5*($E5*$P5+($Q5))/453.59</f>
        <v>1.4535940543212319E-3</v>
      </c>
      <c r="J90" s="50">
        <f>C5*(($E5*($R5+$T5+$U5))+($S5))/453.59</f>
        <v>1.7048180910415794E-2</v>
      </c>
      <c r="K90" s="50">
        <f>$C5*(($E5*($V5+$X5+$Y5))+($W5))/453.59</f>
        <v>7.4240106485062834E-3</v>
      </c>
      <c r="L90" s="50">
        <f>$B$22*C5*(E5+6)</f>
        <v>1.6877165172143799E-2</v>
      </c>
      <c r="M90" s="50">
        <f t="shared" si="52"/>
        <v>6.9196377205789569E-3</v>
      </c>
      <c r="N90" s="50">
        <f>C5*($E5*$Z5+($AA5))/453.59</f>
        <v>110.84715345207779</v>
      </c>
      <c r="O90" s="50">
        <f>C5*($E5*$AB5+($AC5))/453.59</f>
        <v>6.3409507780604986E-3</v>
      </c>
      <c r="P90" s="50">
        <f>C5*($E5*$AD5+($AE5))/453.59</f>
        <v>1.1542239827686721E-2</v>
      </c>
      <c r="AN90" s="38"/>
      <c r="AZ90" s="36"/>
    </row>
    <row r="91" spans="1:52">
      <c r="A91" s="61" t="s">
        <v>389</v>
      </c>
      <c r="B91" s="40"/>
      <c r="C91" s="40"/>
      <c r="D91" s="40"/>
      <c r="E91" s="40"/>
      <c r="F91" s="81">
        <f t="shared" ref="F91:P91" si="54">SUM(F89:F90)</f>
        <v>2.4285969294046001</v>
      </c>
      <c r="G91" s="81">
        <f t="shared" si="54"/>
        <v>0.21835328647189003</v>
      </c>
      <c r="H91" s="81">
        <f t="shared" si="54"/>
        <v>0.25249990161976665</v>
      </c>
      <c r="I91" s="81">
        <f t="shared" si="54"/>
        <v>3.6339851358030795E-3</v>
      </c>
      <c r="J91" s="81">
        <f t="shared" si="54"/>
        <v>4.2620452276039486E-2</v>
      </c>
      <c r="K91" s="81">
        <f t="shared" si="54"/>
        <v>1.8560026621265709E-2</v>
      </c>
      <c r="L91" s="81">
        <f t="shared" si="54"/>
        <v>4.2192912930359497E-2</v>
      </c>
      <c r="M91" s="81">
        <f t="shared" si="54"/>
        <v>1.7299094301447392E-2</v>
      </c>
      <c r="N91" s="81">
        <f t="shared" si="54"/>
        <v>277.11788363019451</v>
      </c>
      <c r="O91" s="81">
        <f t="shared" si="54"/>
        <v>1.5852376945151247E-2</v>
      </c>
      <c r="P91" s="81">
        <f t="shared" si="54"/>
        <v>2.8855599569216801E-2</v>
      </c>
      <c r="AN91" s="38"/>
      <c r="AZ91" s="36"/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2"/>
  <sheetViews>
    <sheetView zoomScale="75" zoomScaleNormal="75" workbookViewId="0">
      <selection activeCell="A20" sqref="A20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726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1" t="s">
        <v>319</v>
      </c>
      <c r="B7" s="22"/>
      <c r="C7" s="18"/>
      <c r="D7" s="22"/>
      <c r="E7" s="19"/>
      <c r="F7" s="19"/>
      <c r="G7" s="19"/>
      <c r="H7" s="19"/>
      <c r="I7" s="19"/>
      <c r="J7" s="19"/>
      <c r="K7" s="19"/>
      <c r="L7" s="19"/>
      <c r="M7" s="19"/>
      <c r="N7" s="11"/>
      <c r="O7" s="11"/>
      <c r="P7" s="11"/>
      <c r="Q7" s="27"/>
      <c r="R7" s="27"/>
      <c r="S7" s="27"/>
      <c r="T7" s="27"/>
      <c r="U7" s="27"/>
      <c r="V7" s="27"/>
      <c r="W7" s="28"/>
      <c r="X7" s="27"/>
      <c r="Y7" s="27"/>
    </row>
    <row r="8" spans="1:25" s="3" customFormat="1">
      <c r="A8" s="17" t="s">
        <v>28</v>
      </c>
      <c r="B8" s="97"/>
      <c r="C8" s="22"/>
      <c r="D8" s="22"/>
      <c r="E8" s="23"/>
      <c r="F8" s="23"/>
      <c r="G8" s="23"/>
      <c r="H8" s="23"/>
      <c r="I8" s="23"/>
      <c r="J8" s="24"/>
      <c r="K8" s="25"/>
      <c r="L8" s="23"/>
      <c r="M8" s="23"/>
      <c r="N8" s="88"/>
      <c r="O8" s="88"/>
      <c r="P8" s="88"/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</row>
    <row r="9" spans="1:25" s="3" customFormat="1">
      <c r="A9" s="17"/>
      <c r="B9" s="29"/>
      <c r="C9" s="22"/>
      <c r="D9" s="22"/>
      <c r="E9" s="23"/>
      <c r="F9" s="23"/>
      <c r="G9" s="23"/>
      <c r="H9" s="23"/>
      <c r="I9" s="23"/>
      <c r="J9" s="24"/>
      <c r="K9" s="25"/>
      <c r="L9" s="23"/>
      <c r="M9" s="23"/>
      <c r="N9" s="99"/>
      <c r="O9" s="99"/>
      <c r="P9" s="99"/>
      <c r="Q9" s="27"/>
      <c r="R9" s="27"/>
      <c r="S9" s="27"/>
      <c r="T9" s="27"/>
      <c r="U9" s="27"/>
      <c r="V9" s="27"/>
      <c r="W9" s="27"/>
      <c r="X9" s="27"/>
      <c r="Y9" s="27"/>
    </row>
    <row r="10" spans="1:25" s="3" customFormat="1">
      <c r="A10" s="11" t="s">
        <v>323</v>
      </c>
      <c r="B10" s="22"/>
      <c r="C10" s="18"/>
      <c r="D10" s="22"/>
      <c r="E10" s="19"/>
      <c r="F10" s="19"/>
      <c r="G10" s="19"/>
      <c r="H10" s="19"/>
      <c r="I10" s="19"/>
      <c r="J10" s="19"/>
      <c r="K10" s="19"/>
      <c r="L10" s="19"/>
      <c r="M10" s="19"/>
      <c r="N10" s="11"/>
      <c r="O10" s="11"/>
      <c r="P10" s="11"/>
      <c r="Q10" s="27"/>
      <c r="R10" s="27"/>
      <c r="S10" s="27"/>
      <c r="T10" s="27"/>
      <c r="U10" s="27"/>
      <c r="V10" s="27"/>
      <c r="W10" s="28"/>
      <c r="X10" s="27"/>
      <c r="Y10" s="27"/>
    </row>
    <row r="11" spans="1:25" s="3" customFormat="1">
      <c r="A11" s="17" t="s">
        <v>28</v>
      </c>
      <c r="B11" s="97"/>
      <c r="C11" s="22"/>
      <c r="D11" s="22"/>
      <c r="E11" s="23"/>
      <c r="F11" s="23"/>
      <c r="G11" s="23"/>
      <c r="H11" s="23"/>
      <c r="I11" s="23"/>
      <c r="J11" s="24"/>
      <c r="K11" s="25"/>
      <c r="L11" s="23"/>
      <c r="M11" s="23"/>
      <c r="N11" s="88"/>
      <c r="O11" s="88"/>
      <c r="P11" s="88"/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</row>
    <row r="12" spans="1:25">
      <c r="A12" s="17" t="s">
        <v>499</v>
      </c>
      <c r="B12" s="549"/>
      <c r="C12" s="18"/>
      <c r="D12" s="22"/>
      <c r="E12" s="19"/>
      <c r="F12" s="19"/>
      <c r="G12" s="19"/>
      <c r="H12" s="19"/>
      <c r="I12" s="19"/>
      <c r="J12" s="19"/>
      <c r="K12" s="19"/>
      <c r="L12" s="19"/>
      <c r="M12" s="19"/>
      <c r="N12" s="30"/>
      <c r="O12" s="30"/>
      <c r="P12" s="364"/>
      <c r="Q12" s="20">
        <f>Q8+Q11</f>
        <v>0</v>
      </c>
      <c r="R12" s="20">
        <f t="shared" ref="R12:Y12" si="0">R8+R11</f>
        <v>0</v>
      </c>
      <c r="S12" s="20">
        <f t="shared" si="0"/>
        <v>0</v>
      </c>
      <c r="T12" s="20">
        <f t="shared" si="0"/>
        <v>0</v>
      </c>
      <c r="U12" s="20">
        <f t="shared" si="0"/>
        <v>0</v>
      </c>
      <c r="V12" s="20">
        <f t="shared" si="0"/>
        <v>0</v>
      </c>
      <c r="W12" s="20">
        <f t="shared" si="0"/>
        <v>0</v>
      </c>
      <c r="X12" s="20">
        <f t="shared" si="0"/>
        <v>0</v>
      </c>
      <c r="Y12" s="20">
        <f t="shared" si="0"/>
        <v>0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0"/>
  <sheetViews>
    <sheetView zoomScale="75" workbookViewId="0">
      <selection activeCell="A28" sqref="A28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727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>
      <c r="A8" s="114" t="s">
        <v>319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320</v>
      </c>
      <c r="B9" s="76" t="s">
        <v>95</v>
      </c>
      <c r="C9" s="79">
        <v>1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3.3297091844548342E-2</v>
      </c>
      <c r="U9" s="50">
        <f>C9*($F9*$H9)/453.59</f>
        <v>6.1469792609906218E-2</v>
      </c>
      <c r="V9" s="50">
        <f>C9*(($F9*$I9))/453.59</f>
        <v>7.5102242543154491E-3</v>
      </c>
      <c r="W9" s="50">
        <f>C9*($F9*$J9)/453.59</f>
        <v>4.6328711353582576E-4</v>
      </c>
      <c r="X9" s="50">
        <f>C9*(($F9*($K9+$L9+$M9)))/453.59</f>
        <v>1.2123154956717041E-2</v>
      </c>
      <c r="Y9" s="50">
        <f>C9*(($F9*($N9+$O9+$P9)))/453.59</f>
        <v>8.0553663276591338E-3</v>
      </c>
      <c r="Z9" s="50">
        <f>C9*(F9)*$B$338</f>
        <v>0</v>
      </c>
      <c r="AA9" s="50">
        <f>Z9*0.21</f>
        <v>0</v>
      </c>
      <c r="AB9" s="50">
        <f>C9*(($F9*($Q9)))/453.59</f>
        <v>32.271368530085546</v>
      </c>
      <c r="AC9" s="50">
        <f>C9*(($F9*($R9)))/453.59</f>
        <v>1.844082811914678E-3</v>
      </c>
      <c r="AD9" s="50">
        <f>C9*(($F9*($S9)))/453.59</f>
        <v>8.2666337626667119E-4</v>
      </c>
    </row>
    <row r="10" spans="1:30">
      <c r="A10" s="75" t="s">
        <v>28</v>
      </c>
      <c r="B10" s="74"/>
      <c r="C10" s="112"/>
      <c r="D10" s="112"/>
      <c r="E10" s="74"/>
      <c r="F10" s="74"/>
      <c r="G10" s="577"/>
      <c r="H10" s="41"/>
      <c r="I10" s="41"/>
      <c r="J10" s="41"/>
      <c r="K10" s="574"/>
      <c r="L10" s="574"/>
      <c r="M10" s="574"/>
      <c r="N10" s="574"/>
      <c r="O10" s="574"/>
      <c r="P10" s="574"/>
      <c r="Q10" s="41"/>
      <c r="R10" s="574"/>
      <c r="S10" s="574"/>
      <c r="T10" s="81">
        <f t="shared" ref="T10:AD10" si="0">SUM(T9:T9)</f>
        <v>3.3297091844548342E-2</v>
      </c>
      <c r="U10" s="81">
        <f t="shared" si="0"/>
        <v>6.1469792609906218E-2</v>
      </c>
      <c r="V10" s="81">
        <f t="shared" si="0"/>
        <v>7.5102242543154491E-3</v>
      </c>
      <c r="W10" s="81">
        <f t="shared" si="0"/>
        <v>4.6328711353582576E-4</v>
      </c>
      <c r="X10" s="81">
        <f t="shared" si="0"/>
        <v>1.2123154956717041E-2</v>
      </c>
      <c r="Y10" s="81">
        <f t="shared" si="0"/>
        <v>8.0553663276591338E-3</v>
      </c>
      <c r="Z10" s="81">
        <f t="shared" si="0"/>
        <v>0</v>
      </c>
      <c r="AA10" s="81">
        <f t="shared" si="0"/>
        <v>0</v>
      </c>
      <c r="AB10" s="81">
        <f t="shared" si="0"/>
        <v>32.271368530085546</v>
      </c>
      <c r="AC10" s="81">
        <f t="shared" si="0"/>
        <v>1.844082811914678E-3</v>
      </c>
      <c r="AD10" s="81">
        <f t="shared" si="0"/>
        <v>8.2666337626667119E-4</v>
      </c>
    </row>
    <row r="11" spans="1:30">
      <c r="A11" s="75"/>
      <c r="B11" s="74"/>
      <c r="C11" s="112"/>
      <c r="D11" s="112"/>
      <c r="E11" s="74"/>
      <c r="F11" s="74"/>
      <c r="G11" s="547"/>
      <c r="H11" s="41"/>
      <c r="I11" s="41"/>
      <c r="J11" s="41"/>
      <c r="K11" s="544"/>
      <c r="L11" s="544"/>
      <c r="M11" s="544"/>
      <c r="N11" s="544"/>
      <c r="O11" s="544"/>
      <c r="P11" s="544"/>
      <c r="Q11" s="41"/>
      <c r="R11" s="544"/>
      <c r="S11" s="544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</row>
    <row r="12" spans="1:30">
      <c r="A12" s="114" t="s">
        <v>323</v>
      </c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>
      <c r="A13" s="78" t="s">
        <v>312</v>
      </c>
      <c r="B13" s="76" t="s">
        <v>95</v>
      </c>
      <c r="C13" s="79">
        <v>1</v>
      </c>
      <c r="D13" s="77"/>
      <c r="E13" s="77">
        <v>35</v>
      </c>
      <c r="F13" s="77">
        <v>60</v>
      </c>
      <c r="G13" s="106">
        <v>0.25172046482947802</v>
      </c>
      <c r="H13" s="106">
        <v>0.464701387165456</v>
      </c>
      <c r="I13" s="106">
        <v>5.6776043658582402E-2</v>
      </c>
      <c r="J13" s="106">
        <v>3.5023733638119199E-3</v>
      </c>
      <c r="K13" s="106">
        <v>4.6899256897933901E-2</v>
      </c>
      <c r="L13" s="47">
        <v>7.99995847163921E-3</v>
      </c>
      <c r="M13" s="47">
        <v>3.6749815577381599E-2</v>
      </c>
      <c r="N13" s="106">
        <v>4.3147317248333997E-2</v>
      </c>
      <c r="O13" s="47">
        <v>1.9999896145790402E-3</v>
      </c>
      <c r="P13" s="47">
        <v>1.57499200131354E-2</v>
      </c>
      <c r="Q13" s="106">
        <v>243.966167526025</v>
      </c>
      <c r="R13" s="47">
        <f>0.000057143*Q13</f>
        <v>1.3940958710939646E-2</v>
      </c>
      <c r="S13" s="80">
        <f>0.000025616*Q13</f>
        <v>6.2494373473466567E-3</v>
      </c>
      <c r="T13" s="50">
        <f>C13*($F13*$G13)/453.59</f>
        <v>3.3297091844548342E-2</v>
      </c>
      <c r="U13" s="50">
        <f>C13*($F13*$H13)/453.59</f>
        <v>6.1469792609906218E-2</v>
      </c>
      <c r="V13" s="50">
        <f>C13*(($F13*$I13))/453.59</f>
        <v>7.5102242543154491E-3</v>
      </c>
      <c r="W13" s="50">
        <f>C13*($F13*$J13)/453.59</f>
        <v>4.6328711353582576E-4</v>
      </c>
      <c r="X13" s="50">
        <f>C13*(($F13*($K13+$L13+$M13)))/453.59</f>
        <v>1.2123154956717041E-2</v>
      </c>
      <c r="Y13" s="50">
        <f>C13*(($F13*($N13+$O13+$P13)))/453.59</f>
        <v>8.0553663276591338E-3</v>
      </c>
      <c r="Z13" s="50">
        <f>C13*(F13)*$B$338</f>
        <v>0</v>
      </c>
      <c r="AA13" s="50">
        <f>Z13*0.21</f>
        <v>0</v>
      </c>
      <c r="AB13" s="50">
        <f>C13*(($F13*($Q13)))/453.59</f>
        <v>32.271368530085546</v>
      </c>
      <c r="AC13" s="50">
        <f>C13*(($F13*($R13)))/453.59</f>
        <v>1.844082811914678E-3</v>
      </c>
      <c r="AD13" s="50">
        <f>C13*(($F13*($S13)))/453.59</f>
        <v>8.2666337626667119E-4</v>
      </c>
    </row>
    <row r="14" spans="1:30">
      <c r="A14" s="75" t="s">
        <v>28</v>
      </c>
      <c r="B14" s="74"/>
      <c r="C14" s="112"/>
      <c r="D14" s="112"/>
      <c r="E14" s="74"/>
      <c r="F14" s="74"/>
      <c r="G14" s="577"/>
      <c r="H14" s="41"/>
      <c r="I14" s="41"/>
      <c r="J14" s="41"/>
      <c r="K14" s="574"/>
      <c r="L14" s="574"/>
      <c r="M14" s="574"/>
      <c r="N14" s="574"/>
      <c r="O14" s="574"/>
      <c r="P14" s="574"/>
      <c r="Q14" s="41"/>
      <c r="R14" s="574"/>
      <c r="S14" s="574"/>
      <c r="T14" s="81">
        <f t="shared" ref="T14:AD14" si="1">SUM(T13:T13)</f>
        <v>3.3297091844548342E-2</v>
      </c>
      <c r="U14" s="81">
        <f t="shared" si="1"/>
        <v>6.1469792609906218E-2</v>
      </c>
      <c r="V14" s="81">
        <f t="shared" si="1"/>
        <v>7.5102242543154491E-3</v>
      </c>
      <c r="W14" s="81">
        <f t="shared" si="1"/>
        <v>4.6328711353582576E-4</v>
      </c>
      <c r="X14" s="81">
        <f t="shared" si="1"/>
        <v>1.2123154956717041E-2</v>
      </c>
      <c r="Y14" s="81">
        <f t="shared" si="1"/>
        <v>8.0553663276591338E-3</v>
      </c>
      <c r="Z14" s="81">
        <f t="shared" si="1"/>
        <v>0</v>
      </c>
      <c r="AA14" s="81">
        <f t="shared" si="1"/>
        <v>0</v>
      </c>
      <c r="AB14" s="81">
        <f t="shared" si="1"/>
        <v>32.271368530085546</v>
      </c>
      <c r="AC14" s="81">
        <f t="shared" si="1"/>
        <v>1.844082811914678E-3</v>
      </c>
      <c r="AD14" s="81">
        <f t="shared" si="1"/>
        <v>8.2666337626667119E-4</v>
      </c>
    </row>
    <row r="15" spans="1:30">
      <c r="A15" s="75"/>
      <c r="B15" s="74"/>
      <c r="C15" s="112"/>
      <c r="D15" s="112"/>
      <c r="E15" s="74"/>
      <c r="F15" s="74"/>
      <c r="G15" s="547"/>
      <c r="H15" s="41"/>
      <c r="I15" s="41"/>
      <c r="J15" s="41"/>
      <c r="K15" s="544"/>
      <c r="L15" s="544"/>
      <c r="M15" s="544"/>
      <c r="N15" s="544"/>
      <c r="O15" s="544"/>
      <c r="P15" s="544"/>
      <c r="Q15" s="41"/>
      <c r="R15" s="544"/>
      <c r="S15" s="544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</row>
    <row r="16" spans="1:30">
      <c r="A16" s="75" t="s">
        <v>388</v>
      </c>
      <c r="B16" s="74"/>
      <c r="C16" s="112"/>
      <c r="D16" s="112"/>
      <c r="E16" s="74"/>
      <c r="F16" s="74"/>
      <c r="G16" s="547"/>
      <c r="H16" s="41"/>
      <c r="I16" s="41"/>
      <c r="J16" s="41"/>
      <c r="K16" s="544"/>
      <c r="L16" s="544"/>
      <c r="M16" s="544"/>
      <c r="N16" s="544"/>
      <c r="O16" s="544"/>
      <c r="P16" s="544"/>
      <c r="Q16" s="41"/>
      <c r="R16" s="544"/>
      <c r="S16" s="544"/>
      <c r="T16" s="81">
        <f>T10+T14</f>
        <v>6.6594183689096684E-2</v>
      </c>
      <c r="U16" s="81">
        <f t="shared" ref="U16:AD16" si="2">U10+U14</f>
        <v>0.12293958521981244</v>
      </c>
      <c r="V16" s="81">
        <f t="shared" si="2"/>
        <v>1.5020448508630898E-2</v>
      </c>
      <c r="W16" s="81">
        <f t="shared" si="2"/>
        <v>9.2657422707165152E-4</v>
      </c>
      <c r="X16" s="81">
        <f t="shared" si="2"/>
        <v>2.4246309913434082E-2</v>
      </c>
      <c r="Y16" s="81">
        <f t="shared" si="2"/>
        <v>1.6110732655318268E-2</v>
      </c>
      <c r="Z16" s="81">
        <f t="shared" si="2"/>
        <v>0</v>
      </c>
      <c r="AA16" s="81">
        <f t="shared" si="2"/>
        <v>0</v>
      </c>
      <c r="AB16" s="81">
        <f t="shared" si="2"/>
        <v>64.542737060171092</v>
      </c>
      <c r="AC16" s="81">
        <f t="shared" si="2"/>
        <v>3.688165623829356E-3</v>
      </c>
      <c r="AD16" s="81">
        <f t="shared" si="2"/>
        <v>1.6533267525333424E-3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368" spans="1:1" ht="25.5">
      <c r="A368" s="82" t="s">
        <v>109</v>
      </c>
    </row>
    <row r="370" spans="1:2">
      <c r="A370" s="36" t="s">
        <v>81</v>
      </c>
    </row>
    <row r="371" spans="1:2">
      <c r="A371" s="36" t="s">
        <v>82</v>
      </c>
    </row>
    <row r="372" spans="1:2">
      <c r="A372" s="36" t="s">
        <v>83</v>
      </c>
    </row>
    <row r="373" spans="1:2">
      <c r="A373" s="37" t="s">
        <v>96</v>
      </c>
    </row>
    <row r="374" spans="1:2">
      <c r="A374" s="36" t="s">
        <v>85</v>
      </c>
    </row>
    <row r="375" spans="1:2">
      <c r="A375" s="36" t="s">
        <v>86</v>
      </c>
    </row>
    <row r="376" spans="1:2">
      <c r="A376" s="36" t="s">
        <v>87</v>
      </c>
    </row>
    <row r="377" spans="1:2">
      <c r="A377" s="36" t="s">
        <v>0</v>
      </c>
    </row>
    <row r="378" spans="1:2">
      <c r="A378" s="37" t="s">
        <v>97</v>
      </c>
      <c r="B378" s="36">
        <f>(0.016*(0.03/2)^0.65*(2/3)^1.5)-0.00047</f>
        <v>9.8123053326417428E-5</v>
      </c>
    </row>
    <row r="379" spans="1:2">
      <c r="A379" s="37" t="s">
        <v>98</v>
      </c>
      <c r="B379" s="36">
        <f>(0.016*(0.03/2)^0.65*(13/3)^1.5)-0.00047</f>
        <v>8.9448292388582783E-3</v>
      </c>
    </row>
    <row r="380" spans="1:2">
      <c r="A380" s="37" t="s">
        <v>99</v>
      </c>
      <c r="B38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G96" sqref="G96:G97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539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69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66" t="s">
        <v>69</v>
      </c>
      <c r="S3" s="42" t="s">
        <v>118</v>
      </c>
      <c r="T3" s="566" t="s">
        <v>71</v>
      </c>
      <c r="U3" s="566" t="s">
        <v>72</v>
      </c>
      <c r="V3" s="566" t="s">
        <v>69</v>
      </c>
      <c r="W3" s="42" t="s">
        <v>118</v>
      </c>
      <c r="X3" s="566" t="s">
        <v>71</v>
      </c>
      <c r="Y3" s="566" t="s">
        <v>72</v>
      </c>
      <c r="Z3" s="41" t="s">
        <v>69</v>
      </c>
      <c r="AA3" s="42" t="s">
        <v>118</v>
      </c>
      <c r="AB3" s="566" t="s">
        <v>69</v>
      </c>
      <c r="AC3" s="42" t="s">
        <v>118</v>
      </c>
      <c r="AD3" s="566" t="s">
        <v>69</v>
      </c>
      <c r="AE3" s="42" t="s">
        <v>118</v>
      </c>
    </row>
    <row r="4" spans="1:67" ht="25.5">
      <c r="A4" s="44" t="s">
        <v>346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67" ht="25.5">
      <c r="A5" s="44" t="s">
        <v>330</v>
      </c>
      <c r="B5" s="45" t="s">
        <v>102</v>
      </c>
      <c r="C5" s="46">
        <v>20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337</v>
      </c>
      <c r="B6" s="45" t="s">
        <v>102</v>
      </c>
      <c r="C6" s="46">
        <v>12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568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2">AG$11*$AC16</f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>AR$11*$AC16</f>
        <v>#REF!</v>
      </c>
      <c r="AS16" s="36" t="e">
        <f t="shared" ref="AS16:BA24" si="3">AS$11*$AC16</f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4">AF$11*$AC17</f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ref="AR17:AR24" si="5">AR$11*$AC17</f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6">AF$11*$AC27</f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ref="AR27:BA35" si="7">AR$11*$AC27</f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8">AF$11*$AC38</f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ref="AR38:BA46" si="9">AR$11*$AC38</f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0">AF16+AF18+AF19</f>
        <v>#REF!</v>
      </c>
      <c r="AG51" s="70" t="e">
        <f t="shared" si="10"/>
        <v>#REF!</v>
      </c>
      <c r="AH51" s="70" t="e">
        <f t="shared" si="10"/>
        <v>#REF!</v>
      </c>
      <c r="AI51" s="70" t="e">
        <f t="shared" si="10"/>
        <v>#REF!</v>
      </c>
      <c r="AJ51" s="70" t="e">
        <f t="shared" si="10"/>
        <v>#REF!</v>
      </c>
      <c r="AK51" s="70" t="e">
        <f t="shared" si="10"/>
        <v>#REF!</v>
      </c>
      <c r="AL51" s="70" t="e">
        <f t="shared" si="10"/>
        <v>#REF!</v>
      </c>
      <c r="AM51" s="70" t="e">
        <f t="shared" si="10"/>
        <v>#REF!</v>
      </c>
      <c r="AN51" s="70" t="e">
        <f t="shared" si="10"/>
        <v>#REF!</v>
      </c>
      <c r="AO51" s="70" t="e">
        <f t="shared" si="10"/>
        <v>#REF!</v>
      </c>
      <c r="AP51" s="70"/>
      <c r="AQ51" s="70"/>
      <c r="AR51" s="70" t="e">
        <f t="shared" ref="AR51:BA51" si="11">AR16+AR18+AR19</f>
        <v>#REF!</v>
      </c>
      <c r="AS51" s="70" t="e">
        <f t="shared" si="11"/>
        <v>#REF!</v>
      </c>
      <c r="AT51" s="70" t="e">
        <f t="shared" si="11"/>
        <v>#REF!</v>
      </c>
      <c r="AU51" s="70" t="e">
        <f t="shared" si="11"/>
        <v>#REF!</v>
      </c>
      <c r="AV51" s="70" t="e">
        <f t="shared" si="11"/>
        <v>#REF!</v>
      </c>
      <c r="AW51" s="70" t="e">
        <f t="shared" si="11"/>
        <v>#REF!</v>
      </c>
      <c r="AX51" s="70" t="e">
        <f t="shared" si="11"/>
        <v>#REF!</v>
      </c>
      <c r="AY51" s="70" t="e">
        <f t="shared" si="11"/>
        <v>#REF!</v>
      </c>
      <c r="AZ51" s="70" t="e">
        <f t="shared" si="11"/>
        <v>#REF!</v>
      </c>
      <c r="BA51" s="70" t="e">
        <f t="shared" si="11"/>
        <v>#REF!</v>
      </c>
    </row>
    <row r="52" spans="27:53" hidden="1">
      <c r="AA52" s="71" t="s">
        <v>41</v>
      </c>
      <c r="AB52" s="35"/>
      <c r="AF52" s="70" t="e">
        <f t="shared" ref="AF52:AO52" si="12">AF27+AF29+AF30</f>
        <v>#REF!</v>
      </c>
      <c r="AG52" s="70" t="e">
        <f t="shared" si="12"/>
        <v>#REF!</v>
      </c>
      <c r="AH52" s="70" t="e">
        <f t="shared" si="12"/>
        <v>#REF!</v>
      </c>
      <c r="AI52" s="70" t="e">
        <f t="shared" si="12"/>
        <v>#REF!</v>
      </c>
      <c r="AJ52" s="70" t="e">
        <f t="shared" si="12"/>
        <v>#REF!</v>
      </c>
      <c r="AK52" s="70" t="e">
        <f t="shared" si="12"/>
        <v>#REF!</v>
      </c>
      <c r="AL52" s="70" t="e">
        <f t="shared" si="12"/>
        <v>#REF!</v>
      </c>
      <c r="AM52" s="70" t="e">
        <f t="shared" si="12"/>
        <v>#REF!</v>
      </c>
      <c r="AN52" s="70" t="e">
        <f t="shared" si="12"/>
        <v>#REF!</v>
      </c>
      <c r="AO52" s="70" t="e">
        <f t="shared" si="12"/>
        <v>#REF!</v>
      </c>
      <c r="AP52" s="70"/>
      <c r="AQ52" s="70"/>
      <c r="AR52" s="70" t="e">
        <f t="shared" ref="AR52:BA52" si="13">AR27+AR29+AR30</f>
        <v>#REF!</v>
      </c>
      <c r="AS52" s="70" t="e">
        <f t="shared" si="13"/>
        <v>#REF!</v>
      </c>
      <c r="AT52" s="70" t="e">
        <f t="shared" si="13"/>
        <v>#REF!</v>
      </c>
      <c r="AU52" s="70" t="e">
        <f t="shared" si="13"/>
        <v>#REF!</v>
      </c>
      <c r="AV52" s="70" t="e">
        <f t="shared" si="13"/>
        <v>#REF!</v>
      </c>
      <c r="AW52" s="70" t="e">
        <f t="shared" si="13"/>
        <v>#REF!</v>
      </c>
      <c r="AX52" s="70" t="e">
        <f t="shared" si="13"/>
        <v>#REF!</v>
      </c>
      <c r="AY52" s="70" t="e">
        <f t="shared" si="13"/>
        <v>#REF!</v>
      </c>
      <c r="AZ52" s="70" t="e">
        <f t="shared" si="13"/>
        <v>#REF!</v>
      </c>
      <c r="BA52" s="70" t="e">
        <f t="shared" si="13"/>
        <v>#REF!</v>
      </c>
    </row>
    <row r="53" spans="27:53" hidden="1">
      <c r="AA53" s="71" t="s">
        <v>42</v>
      </c>
      <c r="AB53" s="35"/>
      <c r="AF53" s="70" t="e">
        <f t="shared" ref="AF53:AO53" si="14">AF38+AF40+AF41</f>
        <v>#REF!</v>
      </c>
      <c r="AG53" s="70" t="e">
        <f t="shared" si="14"/>
        <v>#REF!</v>
      </c>
      <c r="AH53" s="70" t="e">
        <f t="shared" si="14"/>
        <v>#REF!</v>
      </c>
      <c r="AI53" s="70" t="e">
        <f t="shared" si="14"/>
        <v>#REF!</v>
      </c>
      <c r="AJ53" s="70" t="e">
        <f t="shared" si="14"/>
        <v>#REF!</v>
      </c>
      <c r="AK53" s="70" t="e">
        <f t="shared" si="14"/>
        <v>#REF!</v>
      </c>
      <c r="AL53" s="70" t="e">
        <f t="shared" si="14"/>
        <v>#REF!</v>
      </c>
      <c r="AM53" s="70" t="e">
        <f t="shared" si="14"/>
        <v>#REF!</v>
      </c>
      <c r="AN53" s="70" t="e">
        <f t="shared" si="14"/>
        <v>#REF!</v>
      </c>
      <c r="AO53" s="70" t="e">
        <f t="shared" si="14"/>
        <v>#REF!</v>
      </c>
      <c r="AP53" s="70"/>
      <c r="AQ53" s="70"/>
      <c r="AR53" s="70" t="e">
        <f t="shared" ref="AR53:BA53" si="15">AR38+AR40+AR41</f>
        <v>#REF!</v>
      </c>
      <c r="AS53" s="70" t="e">
        <f t="shared" si="15"/>
        <v>#REF!</v>
      </c>
      <c r="AT53" s="70" t="e">
        <f t="shared" si="15"/>
        <v>#REF!</v>
      </c>
      <c r="AU53" s="70" t="e">
        <f t="shared" si="15"/>
        <v>#REF!</v>
      </c>
      <c r="AV53" s="70" t="e">
        <f t="shared" si="15"/>
        <v>#REF!</v>
      </c>
      <c r="AW53" s="70" t="e">
        <f t="shared" si="15"/>
        <v>#REF!</v>
      </c>
      <c r="AX53" s="70" t="e">
        <f t="shared" si="15"/>
        <v>#REF!</v>
      </c>
      <c r="AY53" s="70" t="e">
        <f t="shared" si="15"/>
        <v>#REF!</v>
      </c>
      <c r="AZ53" s="70" t="e">
        <f t="shared" si="15"/>
        <v>#REF!</v>
      </c>
      <c r="BA53" s="70" t="e">
        <f t="shared" si="15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6">AF16+AF18+AF20+AF22</f>
        <v>#REF!</v>
      </c>
      <c r="AG55" s="70" t="e">
        <f t="shared" si="16"/>
        <v>#REF!</v>
      </c>
      <c r="AH55" s="70" t="e">
        <f t="shared" si="16"/>
        <v>#REF!</v>
      </c>
      <c r="AI55" s="70" t="e">
        <f t="shared" si="16"/>
        <v>#REF!</v>
      </c>
      <c r="AJ55" s="70" t="e">
        <f t="shared" si="16"/>
        <v>#REF!</v>
      </c>
      <c r="AK55" s="70" t="e">
        <f t="shared" si="16"/>
        <v>#REF!</v>
      </c>
      <c r="AL55" s="70" t="e">
        <f t="shared" si="16"/>
        <v>#REF!</v>
      </c>
      <c r="AM55" s="70" t="e">
        <f t="shared" si="16"/>
        <v>#REF!</v>
      </c>
      <c r="AN55" s="70" t="e">
        <f t="shared" si="16"/>
        <v>#REF!</v>
      </c>
      <c r="AO55" s="70" t="e">
        <f t="shared" si="16"/>
        <v>#REF!</v>
      </c>
      <c r="AP55" s="70"/>
      <c r="AQ55" s="70"/>
      <c r="AR55" s="70" t="e">
        <f t="shared" ref="AR55:BA55" si="17">AR16+AR18+AR20+AR22</f>
        <v>#REF!</v>
      </c>
      <c r="AS55" s="70" t="e">
        <f t="shared" si="17"/>
        <v>#REF!</v>
      </c>
      <c r="AT55" s="70" t="e">
        <f t="shared" si="17"/>
        <v>#REF!</v>
      </c>
      <c r="AU55" s="70" t="e">
        <f t="shared" si="17"/>
        <v>#REF!</v>
      </c>
      <c r="AV55" s="70" t="e">
        <f t="shared" si="17"/>
        <v>#REF!</v>
      </c>
      <c r="AW55" s="70" t="e">
        <f t="shared" si="17"/>
        <v>#REF!</v>
      </c>
      <c r="AX55" s="70" t="e">
        <f t="shared" si="17"/>
        <v>#REF!</v>
      </c>
      <c r="AY55" s="70" t="e">
        <f t="shared" si="17"/>
        <v>#REF!</v>
      </c>
      <c r="AZ55" s="70" t="e">
        <f t="shared" si="17"/>
        <v>#REF!</v>
      </c>
      <c r="BA55" s="70" t="e">
        <f t="shared" si="17"/>
        <v>#REF!</v>
      </c>
    </row>
    <row r="56" spans="27:53" hidden="1">
      <c r="AA56" s="71" t="s">
        <v>41</v>
      </c>
      <c r="AB56" s="35"/>
      <c r="AF56" s="70" t="e">
        <f t="shared" ref="AF56:AO56" si="18">AF27+AF29+AF31+AF33</f>
        <v>#REF!</v>
      </c>
      <c r="AG56" s="70" t="e">
        <f t="shared" si="18"/>
        <v>#REF!</v>
      </c>
      <c r="AH56" s="70" t="e">
        <f t="shared" si="18"/>
        <v>#REF!</v>
      </c>
      <c r="AI56" s="70" t="e">
        <f t="shared" si="18"/>
        <v>#REF!</v>
      </c>
      <c r="AJ56" s="70" t="e">
        <f t="shared" si="18"/>
        <v>#REF!</v>
      </c>
      <c r="AK56" s="70" t="e">
        <f t="shared" si="18"/>
        <v>#REF!</v>
      </c>
      <c r="AL56" s="70" t="e">
        <f t="shared" si="18"/>
        <v>#REF!</v>
      </c>
      <c r="AM56" s="70" t="e">
        <f t="shared" si="18"/>
        <v>#REF!</v>
      </c>
      <c r="AN56" s="70" t="e">
        <f t="shared" si="18"/>
        <v>#REF!</v>
      </c>
      <c r="AO56" s="70" t="e">
        <f t="shared" si="18"/>
        <v>#REF!</v>
      </c>
      <c r="AP56" s="70"/>
      <c r="AQ56" s="70"/>
      <c r="AR56" s="70" t="e">
        <f t="shared" ref="AR56:BA56" si="19">AR27+AR29+AR31+AR33</f>
        <v>#REF!</v>
      </c>
      <c r="AS56" s="70" t="e">
        <f t="shared" si="19"/>
        <v>#REF!</v>
      </c>
      <c r="AT56" s="70" t="e">
        <f t="shared" si="19"/>
        <v>#REF!</v>
      </c>
      <c r="AU56" s="70" t="e">
        <f t="shared" si="19"/>
        <v>#REF!</v>
      </c>
      <c r="AV56" s="70" t="e">
        <f t="shared" si="19"/>
        <v>#REF!</v>
      </c>
      <c r="AW56" s="70" t="e">
        <f t="shared" si="19"/>
        <v>#REF!</v>
      </c>
      <c r="AX56" s="70" t="e">
        <f t="shared" si="19"/>
        <v>#REF!</v>
      </c>
      <c r="AY56" s="70" t="e">
        <f t="shared" si="19"/>
        <v>#REF!</v>
      </c>
      <c r="AZ56" s="70" t="e">
        <f t="shared" si="19"/>
        <v>#REF!</v>
      </c>
      <c r="BA56" s="70" t="e">
        <f t="shared" si="19"/>
        <v>#REF!</v>
      </c>
    </row>
    <row r="57" spans="27:53" hidden="1">
      <c r="AA57" s="71" t="s">
        <v>42</v>
      </c>
      <c r="AB57" s="35"/>
      <c r="AF57" s="70" t="e">
        <f t="shared" ref="AF57:AO57" si="20">AF38+AF40+AF42+AF44</f>
        <v>#REF!</v>
      </c>
      <c r="AG57" s="70" t="e">
        <f t="shared" si="20"/>
        <v>#REF!</v>
      </c>
      <c r="AH57" s="70" t="e">
        <f t="shared" si="20"/>
        <v>#REF!</v>
      </c>
      <c r="AI57" s="70" t="e">
        <f t="shared" si="20"/>
        <v>#REF!</v>
      </c>
      <c r="AJ57" s="70" t="e">
        <f t="shared" si="20"/>
        <v>#REF!</v>
      </c>
      <c r="AK57" s="70" t="e">
        <f t="shared" si="20"/>
        <v>#REF!</v>
      </c>
      <c r="AL57" s="70" t="e">
        <f t="shared" si="20"/>
        <v>#REF!</v>
      </c>
      <c r="AM57" s="70" t="e">
        <f t="shared" si="20"/>
        <v>#REF!</v>
      </c>
      <c r="AN57" s="70" t="e">
        <f t="shared" si="20"/>
        <v>#REF!</v>
      </c>
      <c r="AO57" s="70" t="e">
        <f t="shared" si="20"/>
        <v>#REF!</v>
      </c>
      <c r="AP57" s="70"/>
      <c r="AQ57" s="70"/>
      <c r="AR57" s="70" t="e">
        <f t="shared" ref="AR57:BA57" si="21">AR38+AR40+AR42+AR44</f>
        <v>#REF!</v>
      </c>
      <c r="AS57" s="70" t="e">
        <f t="shared" si="21"/>
        <v>#REF!</v>
      </c>
      <c r="AT57" s="70" t="e">
        <f t="shared" si="21"/>
        <v>#REF!</v>
      </c>
      <c r="AU57" s="70" t="e">
        <f t="shared" si="21"/>
        <v>#REF!</v>
      </c>
      <c r="AV57" s="70" t="e">
        <f t="shared" si="21"/>
        <v>#REF!</v>
      </c>
      <c r="AW57" s="70" t="e">
        <f t="shared" si="21"/>
        <v>#REF!</v>
      </c>
      <c r="AX57" s="70" t="e">
        <f t="shared" si="21"/>
        <v>#REF!</v>
      </c>
      <c r="AY57" s="70" t="e">
        <f t="shared" si="21"/>
        <v>#REF!</v>
      </c>
      <c r="AZ57" s="70" t="e">
        <f t="shared" si="21"/>
        <v>#REF!</v>
      </c>
      <c r="BA57" s="70" t="e">
        <f t="shared" si="21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2">AF16+AF18+AF20+AF21+AF23</f>
        <v>#REF!</v>
      </c>
      <c r="AG59" s="70" t="e">
        <f t="shared" si="22"/>
        <v>#REF!</v>
      </c>
      <c r="AH59" s="70" t="e">
        <f t="shared" si="22"/>
        <v>#REF!</v>
      </c>
      <c r="AI59" s="70" t="e">
        <f t="shared" si="22"/>
        <v>#REF!</v>
      </c>
      <c r="AJ59" s="70" t="e">
        <f t="shared" si="22"/>
        <v>#REF!</v>
      </c>
      <c r="AK59" s="70" t="e">
        <f t="shared" si="22"/>
        <v>#REF!</v>
      </c>
      <c r="AL59" s="70" t="e">
        <f t="shared" si="22"/>
        <v>#REF!</v>
      </c>
      <c r="AM59" s="70" t="e">
        <f t="shared" si="22"/>
        <v>#REF!</v>
      </c>
      <c r="AN59" s="70" t="e">
        <f t="shared" si="22"/>
        <v>#REF!</v>
      </c>
      <c r="AO59" s="70" t="e">
        <f t="shared" si="22"/>
        <v>#REF!</v>
      </c>
      <c r="AP59" s="70"/>
      <c r="AQ59" s="70"/>
      <c r="AR59" s="70" t="e">
        <f t="shared" ref="AR59:BA59" si="23">AR16+AR18+AR20+AR21+AR23</f>
        <v>#REF!</v>
      </c>
      <c r="AS59" s="70" t="e">
        <f t="shared" si="23"/>
        <v>#REF!</v>
      </c>
      <c r="AT59" s="70" t="e">
        <f t="shared" si="23"/>
        <v>#REF!</v>
      </c>
      <c r="AU59" s="70" t="e">
        <f t="shared" si="23"/>
        <v>#REF!</v>
      </c>
      <c r="AV59" s="70" t="e">
        <f t="shared" si="23"/>
        <v>#REF!</v>
      </c>
      <c r="AW59" s="70" t="e">
        <f t="shared" si="23"/>
        <v>#REF!</v>
      </c>
      <c r="AX59" s="70" t="e">
        <f t="shared" si="23"/>
        <v>#REF!</v>
      </c>
      <c r="AY59" s="70" t="e">
        <f t="shared" si="23"/>
        <v>#REF!</v>
      </c>
      <c r="AZ59" s="70" t="e">
        <f t="shared" si="23"/>
        <v>#REF!</v>
      </c>
      <c r="BA59" s="70" t="e">
        <f t="shared" si="23"/>
        <v>#REF!</v>
      </c>
    </row>
    <row r="60" spans="27:53" hidden="1">
      <c r="AA60" s="71" t="s">
        <v>41</v>
      </c>
      <c r="AB60" s="35"/>
      <c r="AF60" s="70" t="e">
        <f t="shared" ref="AF60:AO60" si="24">AF27+AF29+AF31+AF32+AF34</f>
        <v>#REF!</v>
      </c>
      <c r="AG60" s="70" t="e">
        <f t="shared" si="24"/>
        <v>#REF!</v>
      </c>
      <c r="AH60" s="70" t="e">
        <f t="shared" si="24"/>
        <v>#REF!</v>
      </c>
      <c r="AI60" s="70" t="e">
        <f t="shared" si="24"/>
        <v>#REF!</v>
      </c>
      <c r="AJ60" s="70" t="e">
        <f t="shared" si="24"/>
        <v>#REF!</v>
      </c>
      <c r="AK60" s="70" t="e">
        <f t="shared" si="24"/>
        <v>#REF!</v>
      </c>
      <c r="AL60" s="70" t="e">
        <f t="shared" si="24"/>
        <v>#REF!</v>
      </c>
      <c r="AM60" s="70" t="e">
        <f t="shared" si="24"/>
        <v>#REF!</v>
      </c>
      <c r="AN60" s="70" t="e">
        <f t="shared" si="24"/>
        <v>#REF!</v>
      </c>
      <c r="AO60" s="70" t="e">
        <f t="shared" si="24"/>
        <v>#REF!</v>
      </c>
      <c r="AP60" s="70"/>
      <c r="AQ60" s="70"/>
      <c r="AR60" s="70" t="e">
        <f t="shared" ref="AR60:BA60" si="25">AR27+AR29+AR31+AR32+AR34</f>
        <v>#REF!</v>
      </c>
      <c r="AS60" s="70" t="e">
        <f t="shared" si="25"/>
        <v>#REF!</v>
      </c>
      <c r="AT60" s="70" t="e">
        <f t="shared" si="25"/>
        <v>#REF!</v>
      </c>
      <c r="AU60" s="70" t="e">
        <f t="shared" si="25"/>
        <v>#REF!</v>
      </c>
      <c r="AV60" s="70" t="e">
        <f t="shared" si="25"/>
        <v>#REF!</v>
      </c>
      <c r="AW60" s="70" t="e">
        <f t="shared" si="25"/>
        <v>#REF!</v>
      </c>
      <c r="AX60" s="70" t="e">
        <f t="shared" si="25"/>
        <v>#REF!</v>
      </c>
      <c r="AY60" s="70" t="e">
        <f t="shared" si="25"/>
        <v>#REF!</v>
      </c>
      <c r="AZ60" s="70" t="e">
        <f t="shared" si="25"/>
        <v>#REF!</v>
      </c>
      <c r="BA60" s="70" t="e">
        <f t="shared" si="25"/>
        <v>#REF!</v>
      </c>
    </row>
    <row r="61" spans="27:53" hidden="1">
      <c r="AA61" s="71" t="s">
        <v>42</v>
      </c>
      <c r="AB61" s="35"/>
      <c r="AF61" s="70" t="e">
        <f t="shared" ref="AF61:AO61" si="26">AF38+AF40+AF42+AF43+AF45</f>
        <v>#REF!</v>
      </c>
      <c r="AG61" s="70" t="e">
        <f t="shared" si="26"/>
        <v>#REF!</v>
      </c>
      <c r="AH61" s="70" t="e">
        <f t="shared" si="26"/>
        <v>#REF!</v>
      </c>
      <c r="AI61" s="70" t="e">
        <f t="shared" si="26"/>
        <v>#REF!</v>
      </c>
      <c r="AJ61" s="70" t="e">
        <f t="shared" si="26"/>
        <v>#REF!</v>
      </c>
      <c r="AK61" s="70" t="e">
        <f t="shared" si="26"/>
        <v>#REF!</v>
      </c>
      <c r="AL61" s="70" t="e">
        <f t="shared" si="26"/>
        <v>#REF!</v>
      </c>
      <c r="AM61" s="70" t="e">
        <f t="shared" si="26"/>
        <v>#REF!</v>
      </c>
      <c r="AN61" s="70" t="e">
        <f t="shared" si="26"/>
        <v>#REF!</v>
      </c>
      <c r="AO61" s="70" t="e">
        <f t="shared" si="26"/>
        <v>#REF!</v>
      </c>
      <c r="AP61" s="70"/>
      <c r="AQ61" s="70"/>
      <c r="AR61" s="70" t="e">
        <f t="shared" ref="AR61:BA61" si="27">AR38+AR40+AR42+AR43+AR45</f>
        <v>#REF!</v>
      </c>
      <c r="AS61" s="70" t="e">
        <f t="shared" si="27"/>
        <v>#REF!</v>
      </c>
      <c r="AT61" s="70" t="e">
        <f t="shared" si="27"/>
        <v>#REF!</v>
      </c>
      <c r="AU61" s="70" t="e">
        <f t="shared" si="27"/>
        <v>#REF!</v>
      </c>
      <c r="AV61" s="70" t="e">
        <f t="shared" si="27"/>
        <v>#REF!</v>
      </c>
      <c r="AW61" s="70" t="e">
        <f t="shared" si="27"/>
        <v>#REF!</v>
      </c>
      <c r="AX61" s="70" t="e">
        <f t="shared" si="27"/>
        <v>#REF!</v>
      </c>
      <c r="AY61" s="70" t="e">
        <f t="shared" si="27"/>
        <v>#REF!</v>
      </c>
      <c r="AZ61" s="70" t="e">
        <f t="shared" si="27"/>
        <v>#REF!</v>
      </c>
      <c r="BA61" s="70" t="e">
        <f t="shared" si="27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28">AF16+AF18+AF20+AF21+AF24</f>
        <v>#REF!</v>
      </c>
      <c r="AG63" s="70" t="e">
        <f t="shared" si="28"/>
        <v>#REF!</v>
      </c>
      <c r="AH63" s="70" t="e">
        <f t="shared" si="28"/>
        <v>#REF!</v>
      </c>
      <c r="AI63" s="70" t="e">
        <f t="shared" si="28"/>
        <v>#REF!</v>
      </c>
      <c r="AJ63" s="70" t="e">
        <f t="shared" si="28"/>
        <v>#REF!</v>
      </c>
      <c r="AK63" s="70" t="e">
        <f t="shared" si="28"/>
        <v>#REF!</v>
      </c>
      <c r="AL63" s="70" t="e">
        <f t="shared" si="28"/>
        <v>#REF!</v>
      </c>
      <c r="AM63" s="70" t="e">
        <f t="shared" si="28"/>
        <v>#REF!</v>
      </c>
      <c r="AN63" s="70" t="e">
        <f t="shared" si="28"/>
        <v>#REF!</v>
      </c>
      <c r="AO63" s="70" t="e">
        <f t="shared" si="28"/>
        <v>#REF!</v>
      </c>
      <c r="AP63" s="70"/>
      <c r="AQ63" s="70"/>
      <c r="AR63" s="70" t="e">
        <f t="shared" ref="AR63:BA63" si="29">AR16+AR18+AR20+AR21+AR24</f>
        <v>#REF!</v>
      </c>
      <c r="AS63" s="70" t="e">
        <f t="shared" si="29"/>
        <v>#REF!</v>
      </c>
      <c r="AT63" s="70" t="e">
        <f t="shared" si="29"/>
        <v>#REF!</v>
      </c>
      <c r="AU63" s="70" t="e">
        <f t="shared" si="29"/>
        <v>#REF!</v>
      </c>
      <c r="AV63" s="70" t="e">
        <f t="shared" si="29"/>
        <v>#REF!</v>
      </c>
      <c r="AW63" s="70" t="e">
        <f t="shared" si="29"/>
        <v>#REF!</v>
      </c>
      <c r="AX63" s="70" t="e">
        <f t="shared" si="29"/>
        <v>#REF!</v>
      </c>
      <c r="AY63" s="70" t="e">
        <f t="shared" si="29"/>
        <v>#REF!</v>
      </c>
      <c r="AZ63" s="70" t="e">
        <f t="shared" si="29"/>
        <v>#REF!</v>
      </c>
      <c r="BA63" s="70" t="e">
        <f t="shared" si="29"/>
        <v>#REF!</v>
      </c>
    </row>
    <row r="64" spans="27:53" hidden="1">
      <c r="AA64" s="71" t="s">
        <v>41</v>
      </c>
      <c r="AB64" s="35"/>
      <c r="AF64" s="70" t="e">
        <f t="shared" ref="AF64:AO64" si="30">AF27+AF29+AF31+AF32+AF35</f>
        <v>#REF!</v>
      </c>
      <c r="AG64" s="70" t="e">
        <f t="shared" si="30"/>
        <v>#REF!</v>
      </c>
      <c r="AH64" s="70" t="e">
        <f t="shared" si="30"/>
        <v>#REF!</v>
      </c>
      <c r="AI64" s="70" t="e">
        <f t="shared" si="30"/>
        <v>#REF!</v>
      </c>
      <c r="AJ64" s="70" t="e">
        <f t="shared" si="30"/>
        <v>#REF!</v>
      </c>
      <c r="AK64" s="70" t="e">
        <f t="shared" si="30"/>
        <v>#REF!</v>
      </c>
      <c r="AL64" s="70" t="e">
        <f t="shared" si="30"/>
        <v>#REF!</v>
      </c>
      <c r="AM64" s="70" t="e">
        <f t="shared" si="30"/>
        <v>#REF!</v>
      </c>
      <c r="AN64" s="70" t="e">
        <f t="shared" si="30"/>
        <v>#REF!</v>
      </c>
      <c r="AO64" s="70" t="e">
        <f t="shared" si="30"/>
        <v>#REF!</v>
      </c>
      <c r="AP64" s="70"/>
      <c r="AQ64" s="70"/>
      <c r="AR64" s="70" t="e">
        <f t="shared" ref="AR64:BA64" si="31">AR27+AR29+AR31+AR32+AR35</f>
        <v>#REF!</v>
      </c>
      <c r="AS64" s="70" t="e">
        <f t="shared" si="31"/>
        <v>#REF!</v>
      </c>
      <c r="AT64" s="70" t="e">
        <f t="shared" si="31"/>
        <v>#REF!</v>
      </c>
      <c r="AU64" s="70" t="e">
        <f t="shared" si="31"/>
        <v>#REF!</v>
      </c>
      <c r="AV64" s="70" t="e">
        <f t="shared" si="31"/>
        <v>#REF!</v>
      </c>
      <c r="AW64" s="70" t="e">
        <f t="shared" si="31"/>
        <v>#REF!</v>
      </c>
      <c r="AX64" s="70" t="e">
        <f t="shared" si="31"/>
        <v>#REF!</v>
      </c>
      <c r="AY64" s="70" t="e">
        <f t="shared" si="31"/>
        <v>#REF!</v>
      </c>
      <c r="AZ64" s="70" t="e">
        <f t="shared" si="31"/>
        <v>#REF!</v>
      </c>
      <c r="BA64" s="70" t="e">
        <f t="shared" si="31"/>
        <v>#REF!</v>
      </c>
    </row>
    <row r="65" spans="27:53" hidden="1">
      <c r="AA65" s="71" t="s">
        <v>42</v>
      </c>
      <c r="AB65" s="35"/>
      <c r="AF65" s="70" t="e">
        <f t="shared" ref="AF65:AO65" si="32">AF38+AF40+AF42+AF43+AF46</f>
        <v>#REF!</v>
      </c>
      <c r="AG65" s="70" t="e">
        <f t="shared" si="32"/>
        <v>#REF!</v>
      </c>
      <c r="AH65" s="70" t="e">
        <f t="shared" si="32"/>
        <v>#REF!</v>
      </c>
      <c r="AI65" s="70" t="e">
        <f t="shared" si="32"/>
        <v>#REF!</v>
      </c>
      <c r="AJ65" s="70" t="e">
        <f t="shared" si="32"/>
        <v>#REF!</v>
      </c>
      <c r="AK65" s="70" t="e">
        <f t="shared" si="32"/>
        <v>#REF!</v>
      </c>
      <c r="AL65" s="70" t="e">
        <f t="shared" si="32"/>
        <v>#REF!</v>
      </c>
      <c r="AM65" s="70" t="e">
        <f t="shared" si="32"/>
        <v>#REF!</v>
      </c>
      <c r="AN65" s="70" t="e">
        <f t="shared" si="32"/>
        <v>#REF!</v>
      </c>
      <c r="AO65" s="70" t="e">
        <f t="shared" si="32"/>
        <v>#REF!</v>
      </c>
      <c r="AP65" s="70"/>
      <c r="AQ65" s="70"/>
      <c r="AR65" s="70" t="e">
        <f t="shared" ref="AR65:BA65" si="33">AR38+AR40+AR42+AR43+AR46</f>
        <v>#REF!</v>
      </c>
      <c r="AS65" s="70" t="e">
        <f t="shared" si="33"/>
        <v>#REF!</v>
      </c>
      <c r="AT65" s="70" t="e">
        <f t="shared" si="33"/>
        <v>#REF!</v>
      </c>
      <c r="AU65" s="70" t="e">
        <f t="shared" si="33"/>
        <v>#REF!</v>
      </c>
      <c r="AV65" s="70" t="e">
        <f t="shared" si="33"/>
        <v>#REF!</v>
      </c>
      <c r="AW65" s="70" t="e">
        <f t="shared" si="33"/>
        <v>#REF!</v>
      </c>
      <c r="AX65" s="70" t="e">
        <f t="shared" si="33"/>
        <v>#REF!</v>
      </c>
      <c r="AY65" s="70" t="e">
        <f t="shared" si="33"/>
        <v>#REF!</v>
      </c>
      <c r="AZ65" s="70" t="e">
        <f t="shared" si="33"/>
        <v>#REF!</v>
      </c>
      <c r="BA65" s="70" t="e">
        <f t="shared" si="33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4">AF16+AF17+AF22</f>
        <v>#REF!</v>
      </c>
      <c r="AG67" s="70" t="e">
        <f t="shared" si="34"/>
        <v>#REF!</v>
      </c>
      <c r="AH67" s="70" t="e">
        <f t="shared" si="34"/>
        <v>#REF!</v>
      </c>
      <c r="AI67" s="70" t="e">
        <f t="shared" si="34"/>
        <v>#REF!</v>
      </c>
      <c r="AJ67" s="70" t="e">
        <f t="shared" si="34"/>
        <v>#REF!</v>
      </c>
      <c r="AK67" s="70" t="e">
        <f t="shared" si="34"/>
        <v>#REF!</v>
      </c>
      <c r="AL67" s="70" t="e">
        <f t="shared" si="34"/>
        <v>#REF!</v>
      </c>
      <c r="AM67" s="70" t="e">
        <f t="shared" si="34"/>
        <v>#REF!</v>
      </c>
      <c r="AN67" s="70" t="e">
        <f t="shared" si="34"/>
        <v>#REF!</v>
      </c>
      <c r="AO67" s="70" t="e">
        <f t="shared" si="34"/>
        <v>#REF!</v>
      </c>
      <c r="AP67" s="70"/>
      <c r="AQ67" s="70"/>
      <c r="AR67" s="70" t="e">
        <f t="shared" ref="AR67:BA67" si="35">AR16+AR17+AR22</f>
        <v>#REF!</v>
      </c>
      <c r="AS67" s="70" t="e">
        <f t="shared" si="35"/>
        <v>#REF!</v>
      </c>
      <c r="AT67" s="70" t="e">
        <f t="shared" si="35"/>
        <v>#REF!</v>
      </c>
      <c r="AU67" s="70" t="e">
        <f t="shared" si="35"/>
        <v>#REF!</v>
      </c>
      <c r="AV67" s="70" t="e">
        <f t="shared" si="35"/>
        <v>#REF!</v>
      </c>
      <c r="AW67" s="70" t="e">
        <f t="shared" si="35"/>
        <v>#REF!</v>
      </c>
      <c r="AX67" s="70" t="e">
        <f t="shared" si="35"/>
        <v>#REF!</v>
      </c>
      <c r="AY67" s="70" t="e">
        <f t="shared" si="35"/>
        <v>#REF!</v>
      </c>
      <c r="AZ67" s="70" t="e">
        <f t="shared" si="35"/>
        <v>#REF!</v>
      </c>
      <c r="BA67" s="70" t="e">
        <f t="shared" si="35"/>
        <v>#REF!</v>
      </c>
    </row>
    <row r="68" spans="27:53" hidden="1">
      <c r="AA68" s="71" t="s">
        <v>41</v>
      </c>
      <c r="AB68" s="35"/>
      <c r="AF68" s="70" t="e">
        <f t="shared" ref="AF68:AO68" si="36">AF27+AF28+AF33</f>
        <v>#REF!</v>
      </c>
      <c r="AG68" s="70" t="e">
        <f t="shared" si="36"/>
        <v>#REF!</v>
      </c>
      <c r="AH68" s="70" t="e">
        <f t="shared" si="36"/>
        <v>#REF!</v>
      </c>
      <c r="AI68" s="70" t="e">
        <f t="shared" si="36"/>
        <v>#REF!</v>
      </c>
      <c r="AJ68" s="70" t="e">
        <f t="shared" si="36"/>
        <v>#REF!</v>
      </c>
      <c r="AK68" s="70" t="e">
        <f t="shared" si="36"/>
        <v>#REF!</v>
      </c>
      <c r="AL68" s="70" t="e">
        <f t="shared" si="36"/>
        <v>#REF!</v>
      </c>
      <c r="AM68" s="70" t="e">
        <f t="shared" si="36"/>
        <v>#REF!</v>
      </c>
      <c r="AN68" s="70" t="e">
        <f t="shared" si="36"/>
        <v>#REF!</v>
      </c>
      <c r="AO68" s="70" t="e">
        <f t="shared" si="36"/>
        <v>#REF!</v>
      </c>
      <c r="AP68" s="70"/>
      <c r="AQ68" s="70"/>
      <c r="AR68" s="70" t="e">
        <f t="shared" ref="AR68:BA68" si="37">AR27+AR28+AR33</f>
        <v>#REF!</v>
      </c>
      <c r="AS68" s="70" t="e">
        <f t="shared" si="37"/>
        <v>#REF!</v>
      </c>
      <c r="AT68" s="70" t="e">
        <f t="shared" si="37"/>
        <v>#REF!</v>
      </c>
      <c r="AU68" s="70" t="e">
        <f t="shared" si="37"/>
        <v>#REF!</v>
      </c>
      <c r="AV68" s="70" t="e">
        <f t="shared" si="37"/>
        <v>#REF!</v>
      </c>
      <c r="AW68" s="70" t="e">
        <f t="shared" si="37"/>
        <v>#REF!</v>
      </c>
      <c r="AX68" s="70" t="e">
        <f t="shared" si="37"/>
        <v>#REF!</v>
      </c>
      <c r="AY68" s="70" t="e">
        <f t="shared" si="37"/>
        <v>#REF!</v>
      </c>
      <c r="AZ68" s="70" t="e">
        <f t="shared" si="37"/>
        <v>#REF!</v>
      </c>
      <c r="BA68" s="70" t="e">
        <f t="shared" si="37"/>
        <v>#REF!</v>
      </c>
    </row>
    <row r="69" spans="27:53" hidden="1">
      <c r="AA69" s="71" t="s">
        <v>42</v>
      </c>
      <c r="AB69" s="35"/>
      <c r="AF69" s="70" t="e">
        <f t="shared" ref="AF69:AO69" si="38">AF38+AF39+AF44</f>
        <v>#REF!</v>
      </c>
      <c r="AG69" s="70" t="e">
        <f t="shared" si="38"/>
        <v>#REF!</v>
      </c>
      <c r="AH69" s="70" t="e">
        <f t="shared" si="38"/>
        <v>#REF!</v>
      </c>
      <c r="AI69" s="70" t="e">
        <f t="shared" si="38"/>
        <v>#REF!</v>
      </c>
      <c r="AJ69" s="70" t="e">
        <f t="shared" si="38"/>
        <v>#REF!</v>
      </c>
      <c r="AK69" s="70" t="e">
        <f t="shared" si="38"/>
        <v>#REF!</v>
      </c>
      <c r="AL69" s="70" t="e">
        <f t="shared" si="38"/>
        <v>#REF!</v>
      </c>
      <c r="AM69" s="70" t="e">
        <f t="shared" si="38"/>
        <v>#REF!</v>
      </c>
      <c r="AN69" s="70" t="e">
        <f t="shared" si="38"/>
        <v>#REF!</v>
      </c>
      <c r="AO69" s="70" t="e">
        <f t="shared" si="38"/>
        <v>#REF!</v>
      </c>
      <c r="AP69" s="70"/>
      <c r="AQ69" s="70"/>
      <c r="AR69" s="70" t="e">
        <f t="shared" ref="AR69:BA69" si="39">AR38+AR39+AR44</f>
        <v>#REF!</v>
      </c>
      <c r="AS69" s="70" t="e">
        <f t="shared" si="39"/>
        <v>#REF!</v>
      </c>
      <c r="AT69" s="70" t="e">
        <f t="shared" si="39"/>
        <v>#REF!</v>
      </c>
      <c r="AU69" s="70" t="e">
        <f t="shared" si="39"/>
        <v>#REF!</v>
      </c>
      <c r="AV69" s="70" t="e">
        <f t="shared" si="39"/>
        <v>#REF!</v>
      </c>
      <c r="AW69" s="70" t="e">
        <f t="shared" si="39"/>
        <v>#REF!</v>
      </c>
      <c r="AX69" s="70" t="e">
        <f t="shared" si="39"/>
        <v>#REF!</v>
      </c>
      <c r="AY69" s="70" t="e">
        <f t="shared" si="39"/>
        <v>#REF!</v>
      </c>
      <c r="AZ69" s="70" t="e">
        <f t="shared" si="39"/>
        <v>#REF!</v>
      </c>
      <c r="BA69" s="70" t="e">
        <f t="shared" si="39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0">AF16+AF17+AF21+AF23</f>
        <v>#REF!</v>
      </c>
      <c r="AG71" s="70" t="e">
        <f t="shared" si="40"/>
        <v>#REF!</v>
      </c>
      <c r="AH71" s="70" t="e">
        <f t="shared" si="40"/>
        <v>#REF!</v>
      </c>
      <c r="AI71" s="70" t="e">
        <f t="shared" si="40"/>
        <v>#REF!</v>
      </c>
      <c r="AJ71" s="70" t="e">
        <f t="shared" si="40"/>
        <v>#REF!</v>
      </c>
      <c r="AK71" s="70" t="e">
        <f t="shared" si="40"/>
        <v>#REF!</v>
      </c>
      <c r="AL71" s="70" t="e">
        <f t="shared" si="40"/>
        <v>#REF!</v>
      </c>
      <c r="AM71" s="70" t="e">
        <f t="shared" si="40"/>
        <v>#REF!</v>
      </c>
      <c r="AN71" s="70" t="e">
        <f t="shared" si="40"/>
        <v>#REF!</v>
      </c>
      <c r="AO71" s="70" t="e">
        <f t="shared" si="40"/>
        <v>#REF!</v>
      </c>
      <c r="AP71" s="70"/>
      <c r="AQ71" s="70"/>
      <c r="AR71" s="70" t="e">
        <f t="shared" ref="AR71:BA71" si="41">AR16+AR17+AR21+AR23</f>
        <v>#REF!</v>
      </c>
      <c r="AS71" s="70" t="e">
        <f t="shared" si="41"/>
        <v>#REF!</v>
      </c>
      <c r="AT71" s="70" t="e">
        <f t="shared" si="41"/>
        <v>#REF!</v>
      </c>
      <c r="AU71" s="70" t="e">
        <f t="shared" si="41"/>
        <v>#REF!</v>
      </c>
      <c r="AV71" s="70" t="e">
        <f t="shared" si="41"/>
        <v>#REF!</v>
      </c>
      <c r="AW71" s="70" t="e">
        <f t="shared" si="41"/>
        <v>#REF!</v>
      </c>
      <c r="AX71" s="70" t="e">
        <f t="shared" si="41"/>
        <v>#REF!</v>
      </c>
      <c r="AY71" s="70" t="e">
        <f t="shared" si="41"/>
        <v>#REF!</v>
      </c>
      <c r="AZ71" s="70" t="e">
        <f t="shared" si="41"/>
        <v>#REF!</v>
      </c>
      <c r="BA71" s="70" t="e">
        <f t="shared" si="41"/>
        <v>#REF!</v>
      </c>
    </row>
    <row r="72" spans="27:53" hidden="1">
      <c r="AA72" s="71" t="s">
        <v>41</v>
      </c>
      <c r="AB72" s="35"/>
      <c r="AF72" s="70" t="e">
        <f t="shared" ref="AF72:AO72" si="42">AF27+AF28+AF32+AF34</f>
        <v>#REF!</v>
      </c>
      <c r="AG72" s="70" t="e">
        <f t="shared" si="42"/>
        <v>#REF!</v>
      </c>
      <c r="AH72" s="70" t="e">
        <f t="shared" si="42"/>
        <v>#REF!</v>
      </c>
      <c r="AI72" s="70" t="e">
        <f t="shared" si="42"/>
        <v>#REF!</v>
      </c>
      <c r="AJ72" s="70" t="e">
        <f t="shared" si="42"/>
        <v>#REF!</v>
      </c>
      <c r="AK72" s="70" t="e">
        <f t="shared" si="42"/>
        <v>#REF!</v>
      </c>
      <c r="AL72" s="70" t="e">
        <f t="shared" si="42"/>
        <v>#REF!</v>
      </c>
      <c r="AM72" s="70" t="e">
        <f t="shared" si="42"/>
        <v>#REF!</v>
      </c>
      <c r="AN72" s="70" t="e">
        <f t="shared" si="42"/>
        <v>#REF!</v>
      </c>
      <c r="AO72" s="70" t="e">
        <f t="shared" si="42"/>
        <v>#REF!</v>
      </c>
      <c r="AP72" s="70"/>
      <c r="AQ72" s="70"/>
      <c r="AR72" s="70" t="e">
        <f t="shared" ref="AR72:BA72" si="43">AR27+AR28+AR32+AR34</f>
        <v>#REF!</v>
      </c>
      <c r="AS72" s="70" t="e">
        <f t="shared" si="43"/>
        <v>#REF!</v>
      </c>
      <c r="AT72" s="70" t="e">
        <f t="shared" si="43"/>
        <v>#REF!</v>
      </c>
      <c r="AU72" s="70" t="e">
        <f t="shared" si="43"/>
        <v>#REF!</v>
      </c>
      <c r="AV72" s="70" t="e">
        <f t="shared" si="43"/>
        <v>#REF!</v>
      </c>
      <c r="AW72" s="70" t="e">
        <f t="shared" si="43"/>
        <v>#REF!</v>
      </c>
      <c r="AX72" s="70" t="e">
        <f t="shared" si="43"/>
        <v>#REF!</v>
      </c>
      <c r="AY72" s="70" t="e">
        <f t="shared" si="43"/>
        <v>#REF!</v>
      </c>
      <c r="AZ72" s="70" t="e">
        <f t="shared" si="43"/>
        <v>#REF!</v>
      </c>
      <c r="BA72" s="70" t="e">
        <f t="shared" si="43"/>
        <v>#REF!</v>
      </c>
    </row>
    <row r="73" spans="27:53" hidden="1">
      <c r="AA73" s="71" t="s">
        <v>42</v>
      </c>
      <c r="AB73" s="35"/>
      <c r="AF73" s="70" t="e">
        <f t="shared" ref="AF73:AO73" si="44">AF38+AF39+AF43+AF45</f>
        <v>#REF!</v>
      </c>
      <c r="AG73" s="70" t="e">
        <f t="shared" si="44"/>
        <v>#REF!</v>
      </c>
      <c r="AH73" s="70" t="e">
        <f t="shared" si="44"/>
        <v>#REF!</v>
      </c>
      <c r="AI73" s="70" t="e">
        <f t="shared" si="44"/>
        <v>#REF!</v>
      </c>
      <c r="AJ73" s="70" t="e">
        <f t="shared" si="44"/>
        <v>#REF!</v>
      </c>
      <c r="AK73" s="70" t="e">
        <f t="shared" si="44"/>
        <v>#REF!</v>
      </c>
      <c r="AL73" s="70" t="e">
        <f t="shared" si="44"/>
        <v>#REF!</v>
      </c>
      <c r="AM73" s="70" t="e">
        <f t="shared" si="44"/>
        <v>#REF!</v>
      </c>
      <c r="AN73" s="70" t="e">
        <f t="shared" si="44"/>
        <v>#REF!</v>
      </c>
      <c r="AO73" s="70" t="e">
        <f t="shared" si="44"/>
        <v>#REF!</v>
      </c>
      <c r="AP73" s="70"/>
      <c r="AQ73" s="70"/>
      <c r="AR73" s="70" t="e">
        <f t="shared" ref="AR73:BA73" si="45">AR38+AR39+AR43+AR45</f>
        <v>#REF!</v>
      </c>
      <c r="AS73" s="70" t="e">
        <f t="shared" si="45"/>
        <v>#REF!</v>
      </c>
      <c r="AT73" s="70" t="e">
        <f t="shared" si="45"/>
        <v>#REF!</v>
      </c>
      <c r="AU73" s="70" t="e">
        <f t="shared" si="45"/>
        <v>#REF!</v>
      </c>
      <c r="AV73" s="70" t="e">
        <f t="shared" si="45"/>
        <v>#REF!</v>
      </c>
      <c r="AW73" s="70" t="e">
        <f t="shared" si="45"/>
        <v>#REF!</v>
      </c>
      <c r="AX73" s="70" t="e">
        <f t="shared" si="45"/>
        <v>#REF!</v>
      </c>
      <c r="AY73" s="70" t="e">
        <f t="shared" si="45"/>
        <v>#REF!</v>
      </c>
      <c r="AZ73" s="70" t="e">
        <f t="shared" si="45"/>
        <v>#REF!</v>
      </c>
      <c r="BA73" s="70" t="e">
        <f t="shared" si="45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6">AF16+AF17+AF21+AF24</f>
        <v>#REF!</v>
      </c>
      <c r="AG75" s="70" t="e">
        <f t="shared" si="46"/>
        <v>#REF!</v>
      </c>
      <c r="AH75" s="70" t="e">
        <f t="shared" si="46"/>
        <v>#REF!</v>
      </c>
      <c r="AI75" s="70" t="e">
        <f t="shared" si="46"/>
        <v>#REF!</v>
      </c>
      <c r="AJ75" s="70" t="e">
        <f t="shared" si="46"/>
        <v>#REF!</v>
      </c>
      <c r="AK75" s="70" t="e">
        <f t="shared" si="46"/>
        <v>#REF!</v>
      </c>
      <c r="AL75" s="70" t="e">
        <f t="shared" si="46"/>
        <v>#REF!</v>
      </c>
      <c r="AM75" s="70" t="e">
        <f t="shared" si="46"/>
        <v>#REF!</v>
      </c>
      <c r="AN75" s="70" t="e">
        <f t="shared" si="46"/>
        <v>#REF!</v>
      </c>
      <c r="AO75" s="70" t="e">
        <f t="shared" si="46"/>
        <v>#REF!</v>
      </c>
      <c r="AP75" s="70"/>
      <c r="AQ75" s="70"/>
      <c r="AR75" s="70" t="e">
        <f t="shared" ref="AR75:BA75" si="47">AR16+AR17+AR21+AR24</f>
        <v>#REF!</v>
      </c>
      <c r="AS75" s="70" t="e">
        <f t="shared" si="47"/>
        <v>#REF!</v>
      </c>
      <c r="AT75" s="70" t="e">
        <f t="shared" si="47"/>
        <v>#REF!</v>
      </c>
      <c r="AU75" s="70" t="e">
        <f t="shared" si="47"/>
        <v>#REF!</v>
      </c>
      <c r="AV75" s="70" t="e">
        <f t="shared" si="47"/>
        <v>#REF!</v>
      </c>
      <c r="AW75" s="70" t="e">
        <f t="shared" si="47"/>
        <v>#REF!</v>
      </c>
      <c r="AX75" s="70" t="e">
        <f t="shared" si="47"/>
        <v>#REF!</v>
      </c>
      <c r="AY75" s="70" t="e">
        <f t="shared" si="47"/>
        <v>#REF!</v>
      </c>
      <c r="AZ75" s="70" t="e">
        <f t="shared" si="47"/>
        <v>#REF!</v>
      </c>
      <c r="BA75" s="70" t="e">
        <f t="shared" si="47"/>
        <v>#REF!</v>
      </c>
    </row>
    <row r="76" spans="27:53" hidden="1">
      <c r="AA76" s="71" t="s">
        <v>41</v>
      </c>
      <c r="AB76" s="35"/>
      <c r="AF76" s="70" t="e">
        <f t="shared" ref="AF76:AO76" si="48">AF27+AF28+AF32+AF35</f>
        <v>#REF!</v>
      </c>
      <c r="AG76" s="70" t="e">
        <f t="shared" si="48"/>
        <v>#REF!</v>
      </c>
      <c r="AH76" s="70" t="e">
        <f t="shared" si="48"/>
        <v>#REF!</v>
      </c>
      <c r="AI76" s="70" t="e">
        <f t="shared" si="48"/>
        <v>#REF!</v>
      </c>
      <c r="AJ76" s="70" t="e">
        <f t="shared" si="48"/>
        <v>#REF!</v>
      </c>
      <c r="AK76" s="70" t="e">
        <f t="shared" si="48"/>
        <v>#REF!</v>
      </c>
      <c r="AL76" s="70" t="e">
        <f t="shared" si="48"/>
        <v>#REF!</v>
      </c>
      <c r="AM76" s="70" t="e">
        <f t="shared" si="48"/>
        <v>#REF!</v>
      </c>
      <c r="AN76" s="70" t="e">
        <f t="shared" si="48"/>
        <v>#REF!</v>
      </c>
      <c r="AO76" s="70" t="e">
        <f t="shared" si="48"/>
        <v>#REF!</v>
      </c>
      <c r="AP76" s="70"/>
      <c r="AQ76" s="70"/>
      <c r="AR76" s="70" t="e">
        <f t="shared" ref="AR76:BA76" si="49">AR27+AR28+AR32+AR35</f>
        <v>#REF!</v>
      </c>
      <c r="AS76" s="70" t="e">
        <f t="shared" si="49"/>
        <v>#REF!</v>
      </c>
      <c r="AT76" s="70" t="e">
        <f t="shared" si="49"/>
        <v>#REF!</v>
      </c>
      <c r="AU76" s="70" t="e">
        <f t="shared" si="49"/>
        <v>#REF!</v>
      </c>
      <c r="AV76" s="70" t="e">
        <f t="shared" si="49"/>
        <v>#REF!</v>
      </c>
      <c r="AW76" s="70" t="e">
        <f t="shared" si="49"/>
        <v>#REF!</v>
      </c>
      <c r="AX76" s="70" t="e">
        <f t="shared" si="49"/>
        <v>#REF!</v>
      </c>
      <c r="AY76" s="70" t="e">
        <f t="shared" si="49"/>
        <v>#REF!</v>
      </c>
      <c r="AZ76" s="70" t="e">
        <f t="shared" si="49"/>
        <v>#REF!</v>
      </c>
      <c r="BA76" s="70" t="e">
        <f t="shared" si="49"/>
        <v>#REF!</v>
      </c>
    </row>
    <row r="77" spans="27:53" hidden="1">
      <c r="AA77" s="71" t="s">
        <v>42</v>
      </c>
      <c r="AB77" s="35"/>
      <c r="AF77" s="70" t="e">
        <f t="shared" ref="AF77:AO77" si="50">AF38+AF39+AF43+AF46</f>
        <v>#REF!</v>
      </c>
      <c r="AG77" s="70" t="e">
        <f t="shared" si="50"/>
        <v>#REF!</v>
      </c>
      <c r="AH77" s="70" t="e">
        <f t="shared" si="50"/>
        <v>#REF!</v>
      </c>
      <c r="AI77" s="70" t="e">
        <f t="shared" si="50"/>
        <v>#REF!</v>
      </c>
      <c r="AJ77" s="70" t="e">
        <f t="shared" si="50"/>
        <v>#REF!</v>
      </c>
      <c r="AK77" s="70" t="e">
        <f t="shared" si="50"/>
        <v>#REF!</v>
      </c>
      <c r="AL77" s="70" t="e">
        <f t="shared" si="50"/>
        <v>#REF!</v>
      </c>
      <c r="AM77" s="70" t="e">
        <f t="shared" si="50"/>
        <v>#REF!</v>
      </c>
      <c r="AN77" s="70" t="e">
        <f t="shared" si="50"/>
        <v>#REF!</v>
      </c>
      <c r="AO77" s="70" t="e">
        <f t="shared" si="50"/>
        <v>#REF!</v>
      </c>
      <c r="AP77" s="70"/>
      <c r="AQ77" s="70"/>
      <c r="AR77" s="70" t="e">
        <f t="shared" ref="AR77:BA77" si="51">AR38+AR39+AR43+AR46</f>
        <v>#REF!</v>
      </c>
      <c r="AS77" s="70" t="e">
        <f t="shared" si="51"/>
        <v>#REF!</v>
      </c>
      <c r="AT77" s="70" t="e">
        <f t="shared" si="51"/>
        <v>#REF!</v>
      </c>
      <c r="AU77" s="70" t="e">
        <f t="shared" si="51"/>
        <v>#REF!</v>
      </c>
      <c r="AV77" s="70" t="e">
        <f t="shared" si="51"/>
        <v>#REF!</v>
      </c>
      <c r="AW77" s="70" t="e">
        <f t="shared" si="51"/>
        <v>#REF!</v>
      </c>
      <c r="AX77" s="70" t="e">
        <f t="shared" si="51"/>
        <v>#REF!</v>
      </c>
      <c r="AY77" s="70" t="e">
        <f t="shared" si="51"/>
        <v>#REF!</v>
      </c>
      <c r="AZ77" s="70" t="e">
        <f t="shared" si="51"/>
        <v>#REF!</v>
      </c>
      <c r="BA77" s="70" t="e">
        <f t="shared" si="51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67" t="s">
        <v>55</v>
      </c>
      <c r="G89" s="567" t="s">
        <v>73</v>
      </c>
      <c r="H89" s="567" t="s">
        <v>74</v>
      </c>
      <c r="I89" s="567" t="s">
        <v>58</v>
      </c>
      <c r="J89" s="567" t="s">
        <v>59</v>
      </c>
      <c r="K89" s="567" t="s">
        <v>60</v>
      </c>
      <c r="L89" s="566" t="s">
        <v>75</v>
      </c>
      <c r="M89" s="566" t="s">
        <v>76</v>
      </c>
      <c r="N89" s="566" t="s">
        <v>61</v>
      </c>
      <c r="O89" s="566" t="s">
        <v>62</v>
      </c>
      <c r="P89" s="566" t="s">
        <v>63</v>
      </c>
      <c r="AN89" s="38"/>
      <c r="AZ89" s="36"/>
    </row>
    <row r="90" spans="1:52" ht="25.5">
      <c r="A90" s="44" t="str">
        <f>A4</f>
        <v>General Construction</v>
      </c>
      <c r="B90" s="45" t="str">
        <f>B4</f>
        <v>Light-Duty Truck, catalyst</v>
      </c>
      <c r="C90" s="46">
        <f>C4</f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2" si="52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ref="A91:C92" si="53">A5</f>
        <v>Site and Access Road Grading</v>
      </c>
      <c r="B91" s="45" t="str">
        <f t="shared" si="53"/>
        <v>Light-Duty Truck, catalyst</v>
      </c>
      <c r="C91" s="46">
        <f t="shared" si="53"/>
        <v>20</v>
      </c>
      <c r="D91" s="46">
        <v>35</v>
      </c>
      <c r="E91" s="46">
        <v>80</v>
      </c>
      <c r="F91" s="50">
        <f>C5*($E5*$F5+($G5))/453.59</f>
        <v>9.7143877176184024</v>
      </c>
      <c r="G91" s="50">
        <f>C5*($E5*$H5+($I5))/453.59</f>
        <v>0.87341314588756025</v>
      </c>
      <c r="H91" s="50">
        <f>C5*(($E5*$J5)+($K5)+($L5)+($E5*$N5)+(($M5+$O5)))/453.59</f>
        <v>1.0099996064790666</v>
      </c>
      <c r="I91" s="50">
        <f>C5*($E5*$P5+($Q5))/453.59</f>
        <v>1.453594054321232E-2</v>
      </c>
      <c r="J91" s="50">
        <f>C5*(($E5*($R5+$T5+$U5))+($S5))/453.59</f>
        <v>0.17048180910415792</v>
      </c>
      <c r="K91" s="50">
        <f>$C5*(($E5*($V5+$X5+$Y5))+($W5))/453.59</f>
        <v>7.4240106485062823E-2</v>
      </c>
      <c r="L91" s="50">
        <f>$B$23*C5*(E5+6)</f>
        <v>0.16877165172143796</v>
      </c>
      <c r="M91" s="50">
        <f t="shared" si="52"/>
        <v>6.9196377205789555E-2</v>
      </c>
      <c r="N91" s="50">
        <f>C5*($E5*$Z5+($AA5))/453.59</f>
        <v>1108.4715345207778</v>
      </c>
      <c r="O91" s="50">
        <f>C5*($E5*$AB5+($AC5))/453.59</f>
        <v>6.3409507780604987E-2</v>
      </c>
      <c r="P91" s="50">
        <f>C5*($E5*$AD5+($AE5))/453.59</f>
        <v>0.11542239827686719</v>
      </c>
      <c r="AN91" s="38"/>
      <c r="AZ91" s="36"/>
    </row>
    <row r="92" spans="1:52" ht="25.5">
      <c r="A92" s="44" t="str">
        <f t="shared" si="53"/>
        <v>Retaining Walls</v>
      </c>
      <c r="B92" s="45" t="str">
        <f t="shared" si="53"/>
        <v>Light-Duty Truck, catalyst</v>
      </c>
      <c r="C92" s="46">
        <f t="shared" si="53"/>
        <v>12</v>
      </c>
      <c r="D92" s="46">
        <v>35</v>
      </c>
      <c r="E92" s="46">
        <v>80</v>
      </c>
      <c r="F92" s="50">
        <f>C6*($E6*$F6+($G6))/453.59</f>
        <v>5.8286326305710405</v>
      </c>
      <c r="G92" s="50">
        <f>C6*($E6*$H6+($I6))/453.59</f>
        <v>0.52404788753253606</v>
      </c>
      <c r="H92" s="50">
        <f>C6*(($E6*$J6)+($K6)+($L6)+($E6*$N6)+(($M6+$O6)))/453.59</f>
        <v>0.60599976388743992</v>
      </c>
      <c r="I92" s="50">
        <f>C6*($E6*$P6+($Q6))/453.59</f>
        <v>8.7215643259273903E-3</v>
      </c>
      <c r="J92" s="50">
        <f>C6*(($E6*($R6+$T6+$U6))+($S6))/453.59</f>
        <v>0.10228908546249475</v>
      </c>
      <c r="K92" s="50">
        <f>$C6*(($E6*($V6+$X6+$Y6))+($W6))/453.59</f>
        <v>4.4544063891037704E-2</v>
      </c>
      <c r="L92" s="50">
        <f>$B$23*C6*(E6+6)</f>
        <v>0.10126299103286279</v>
      </c>
      <c r="M92" s="50">
        <f t="shared" si="52"/>
        <v>4.1517826323473742E-2</v>
      </c>
      <c r="N92" s="50">
        <f>C6*($E6*$Z6+($AA6))/453.59</f>
        <v>665.08292071246683</v>
      </c>
      <c r="O92" s="50">
        <f>C6*($E6*$AB6+($AC6))/453.59</f>
        <v>3.804570466836299E-2</v>
      </c>
      <c r="P92" s="50">
        <f>C6*($E6*$AD6+($AE6))/453.59</f>
        <v>6.9253438966120323E-2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 t="shared" ref="F93:P93" si="54">SUM(F90:F92)</f>
        <v>17.000178505832203</v>
      </c>
      <c r="G93" s="81">
        <f t="shared" si="54"/>
        <v>1.5284730053032303</v>
      </c>
      <c r="H93" s="81">
        <f t="shared" si="54"/>
        <v>1.7674993113383666</v>
      </c>
      <c r="I93" s="81">
        <f t="shared" si="54"/>
        <v>2.5437895950621556E-2</v>
      </c>
      <c r="J93" s="81">
        <f t="shared" si="54"/>
        <v>0.29834316593227633</v>
      </c>
      <c r="K93" s="81">
        <f t="shared" si="54"/>
        <v>0.12992018634885996</v>
      </c>
      <c r="L93" s="81">
        <f t="shared" si="54"/>
        <v>0.29535039051251644</v>
      </c>
      <c r="M93" s="81">
        <f t="shared" si="54"/>
        <v>0.12109366011013173</v>
      </c>
      <c r="N93" s="81">
        <f t="shared" si="54"/>
        <v>1939.8251854113614</v>
      </c>
      <c r="O93" s="81">
        <f t="shared" si="54"/>
        <v>0.11096663861605872</v>
      </c>
      <c r="P93" s="81">
        <f t="shared" si="54"/>
        <v>0.20198919698451759</v>
      </c>
      <c r="AN93" s="38"/>
      <c r="AZ93" s="36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728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319</v>
      </c>
      <c r="B4" s="45" t="s">
        <v>102</v>
      </c>
      <c r="C4" s="46">
        <v>2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323</v>
      </c>
      <c r="B5" s="45" t="s">
        <v>102</v>
      </c>
      <c r="C5" s="46">
        <v>2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54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545" t="s">
        <v>55</v>
      </c>
      <c r="G88" s="545" t="s">
        <v>73</v>
      </c>
      <c r="H88" s="545" t="s">
        <v>74</v>
      </c>
      <c r="I88" s="545" t="s">
        <v>58</v>
      </c>
      <c r="J88" s="545" t="s">
        <v>59</v>
      </c>
      <c r="K88" s="545" t="s">
        <v>60</v>
      </c>
      <c r="L88" s="544" t="s">
        <v>75</v>
      </c>
      <c r="M88" s="544" t="s">
        <v>76</v>
      </c>
      <c r="N88" s="544" t="s">
        <v>61</v>
      </c>
      <c r="O88" s="544" t="s">
        <v>62</v>
      </c>
      <c r="P88" s="544" t="s">
        <v>63</v>
      </c>
      <c r="AN88" s="38"/>
      <c r="AZ88" s="36"/>
    </row>
    <row r="89" spans="1:52" ht="25.5">
      <c r="A89" s="44" t="str">
        <f t="shared" ref="A89:C90" si="52">A4</f>
        <v>Telecom</v>
      </c>
      <c r="B89" s="45" t="str">
        <f t="shared" si="52"/>
        <v>Light-Duty Truck, catalyst</v>
      </c>
      <c r="C89" s="46">
        <f t="shared" si="52"/>
        <v>2</v>
      </c>
      <c r="D89" s="46">
        <v>35</v>
      </c>
      <c r="E89" s="46">
        <v>80</v>
      </c>
      <c r="F89" s="50">
        <f>C4*($E4*$F4+($G4))/453.59</f>
        <v>0.97143877176184013</v>
      </c>
      <c r="G89" s="50">
        <f>C4*($E4*$H4+($I4))/453.59</f>
        <v>8.7341314588756019E-2</v>
      </c>
      <c r="H89" s="50">
        <f>C4*(($E4*$J4)+($K4)+($L4)+($E4*$N4)+(($M4+$O4)))/453.59</f>
        <v>0.10099996064790666</v>
      </c>
      <c r="I89" s="50">
        <f>C4*($E4*$P4+($Q4))/453.59</f>
        <v>1.4535940543212319E-3</v>
      </c>
      <c r="J89" s="50">
        <f>C4*(($E4*($R4+$T4+$U4))+($S4))/453.59</f>
        <v>1.7048180910415794E-2</v>
      </c>
      <c r="K89" s="50">
        <f>$C4*(($E4*($V4+$X4+$Y4))+($W4))/453.59</f>
        <v>7.4240106485062834E-3</v>
      </c>
      <c r="L89" s="50">
        <f>$B$22*C4*(E4+6)</f>
        <v>1.6877165172143799E-2</v>
      </c>
      <c r="M89" s="50">
        <f t="shared" ref="M89:M90" si="53">0.41*L89</f>
        <v>6.9196377205789569E-3</v>
      </c>
      <c r="N89" s="50">
        <f>C4*($E4*$Z4+($AA4))/453.59</f>
        <v>110.84715345207779</v>
      </c>
      <c r="O89" s="50">
        <f>C4*($E4*$AB4+($AC4))/453.59</f>
        <v>6.3409507780604986E-3</v>
      </c>
      <c r="P89" s="50">
        <f>C4*($E4*$AD4+($AE4))/453.59</f>
        <v>1.1542239827686721E-2</v>
      </c>
      <c r="AN89" s="38"/>
      <c r="AZ89" s="36"/>
    </row>
    <row r="90" spans="1:52" ht="25.5">
      <c r="A90" s="44" t="str">
        <f t="shared" si="52"/>
        <v>Relay Testing</v>
      </c>
      <c r="B90" s="45" t="str">
        <f t="shared" si="52"/>
        <v>Light-Duty Truck, catalyst</v>
      </c>
      <c r="C90" s="46">
        <f t="shared" si="52"/>
        <v>2</v>
      </c>
      <c r="D90" s="46">
        <v>35</v>
      </c>
      <c r="E90" s="46">
        <v>80</v>
      </c>
      <c r="F90" s="50">
        <f>C5*($E5*$F5+($G5))/453.59</f>
        <v>0.97143877176184013</v>
      </c>
      <c r="G90" s="50">
        <f>C5*($E5*$H5+($I5))/453.59</f>
        <v>8.7341314588756019E-2</v>
      </c>
      <c r="H90" s="50">
        <f>C5*(($E5*$J5)+($K5)+($L5)+($E5*$N5)+(($M5+$O5)))/453.59</f>
        <v>0.10099996064790666</v>
      </c>
      <c r="I90" s="50">
        <f>C5*($E5*$P5+($Q5))/453.59</f>
        <v>1.4535940543212319E-3</v>
      </c>
      <c r="J90" s="50">
        <f>C5*(($E5*($R5+$T5+$U5))+($S5))/453.59</f>
        <v>1.7048180910415794E-2</v>
      </c>
      <c r="K90" s="50">
        <f>$C5*(($E5*($V5+$X5+$Y5))+($W5))/453.59</f>
        <v>7.4240106485062834E-3</v>
      </c>
      <c r="L90" s="50">
        <f>$B$22*C5*(E5+6)</f>
        <v>1.6877165172143799E-2</v>
      </c>
      <c r="M90" s="50">
        <f t="shared" si="53"/>
        <v>6.9196377205789569E-3</v>
      </c>
      <c r="N90" s="50">
        <f>C5*($E5*$Z5+($AA5))/453.59</f>
        <v>110.84715345207779</v>
      </c>
      <c r="O90" s="50">
        <f>C5*($E5*$AB5+($AC5))/453.59</f>
        <v>6.3409507780604986E-3</v>
      </c>
      <c r="P90" s="50">
        <f>C5*($E5*$AD5+($AE5))/453.59</f>
        <v>1.1542239827686721E-2</v>
      </c>
      <c r="AN90" s="38"/>
      <c r="AZ90" s="36"/>
    </row>
    <row r="91" spans="1:52">
      <c r="A91" s="61" t="s">
        <v>389</v>
      </c>
      <c r="B91" s="40"/>
      <c r="C91" s="40"/>
      <c r="D91" s="40"/>
      <c r="E91" s="40"/>
      <c r="F91" s="81">
        <f t="shared" ref="F91:P91" si="54">SUM(F89:F90)</f>
        <v>1.9428775435236803</v>
      </c>
      <c r="G91" s="81">
        <f t="shared" si="54"/>
        <v>0.17468262917751204</v>
      </c>
      <c r="H91" s="81">
        <f t="shared" si="54"/>
        <v>0.20199992129581332</v>
      </c>
      <c r="I91" s="81">
        <f t="shared" si="54"/>
        <v>2.9071881086424637E-3</v>
      </c>
      <c r="J91" s="81">
        <f t="shared" si="54"/>
        <v>3.4096361820831589E-2</v>
      </c>
      <c r="K91" s="81">
        <f t="shared" si="54"/>
        <v>1.4848021297012567E-2</v>
      </c>
      <c r="L91" s="81">
        <f t="shared" si="54"/>
        <v>3.3754330344287597E-2</v>
      </c>
      <c r="M91" s="81">
        <f t="shared" si="54"/>
        <v>1.3839275441157914E-2</v>
      </c>
      <c r="N91" s="81">
        <f t="shared" si="54"/>
        <v>221.69430690415558</v>
      </c>
      <c r="O91" s="81">
        <f t="shared" si="54"/>
        <v>1.2681901556120997E-2</v>
      </c>
      <c r="P91" s="81">
        <f t="shared" si="54"/>
        <v>2.3084479655373441E-2</v>
      </c>
      <c r="AN91" s="38"/>
      <c r="AZ91" s="36"/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2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729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1" t="s">
        <v>319</v>
      </c>
      <c r="B7" s="22"/>
      <c r="C7" s="18"/>
      <c r="D7" s="22"/>
      <c r="E7" s="19"/>
      <c r="F7" s="19"/>
      <c r="G7" s="19"/>
      <c r="H7" s="19"/>
      <c r="I7" s="19"/>
      <c r="J7" s="19"/>
      <c r="K7" s="19"/>
      <c r="L7" s="19"/>
      <c r="M7" s="19"/>
      <c r="N7" s="11"/>
      <c r="O7" s="11"/>
      <c r="P7" s="11"/>
      <c r="Q7" s="27"/>
      <c r="R7" s="27"/>
      <c r="S7" s="27"/>
      <c r="T7" s="27"/>
      <c r="U7" s="27"/>
      <c r="V7" s="27"/>
      <c r="W7" s="28"/>
      <c r="X7" s="27"/>
      <c r="Y7" s="27"/>
    </row>
    <row r="8" spans="1:25" s="3" customFormat="1">
      <c r="A8" s="17" t="s">
        <v>28</v>
      </c>
      <c r="B8" s="97"/>
      <c r="C8" s="22"/>
      <c r="D8" s="22"/>
      <c r="E8" s="23"/>
      <c r="F8" s="23"/>
      <c r="G8" s="23"/>
      <c r="H8" s="23"/>
      <c r="I8" s="23"/>
      <c r="J8" s="24"/>
      <c r="K8" s="25"/>
      <c r="L8" s="23"/>
      <c r="M8" s="23"/>
      <c r="N8" s="88"/>
      <c r="O8" s="88"/>
      <c r="P8" s="88"/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</row>
    <row r="9" spans="1:25" s="3" customFormat="1">
      <c r="A9" s="17"/>
      <c r="B9" s="29"/>
      <c r="C9" s="22"/>
      <c r="D9" s="22"/>
      <c r="E9" s="23"/>
      <c r="F9" s="23"/>
      <c r="G9" s="23"/>
      <c r="H9" s="23"/>
      <c r="I9" s="23"/>
      <c r="J9" s="24"/>
      <c r="K9" s="25"/>
      <c r="L9" s="23"/>
      <c r="M9" s="23"/>
      <c r="N9" s="99"/>
      <c r="O9" s="99"/>
      <c r="P9" s="99"/>
      <c r="Q9" s="27"/>
      <c r="R9" s="27"/>
      <c r="S9" s="27"/>
      <c r="T9" s="27"/>
      <c r="U9" s="27"/>
      <c r="V9" s="27"/>
      <c r="W9" s="27"/>
      <c r="X9" s="27"/>
      <c r="Y9" s="27"/>
    </row>
    <row r="10" spans="1:25" s="3" customFormat="1">
      <c r="A10" s="11" t="s">
        <v>323</v>
      </c>
      <c r="B10" s="22"/>
      <c r="C10" s="18"/>
      <c r="D10" s="22"/>
      <c r="E10" s="19"/>
      <c r="F10" s="19"/>
      <c r="G10" s="19"/>
      <c r="H10" s="19"/>
      <c r="I10" s="19"/>
      <c r="J10" s="19"/>
      <c r="K10" s="19"/>
      <c r="L10" s="19"/>
      <c r="M10" s="19"/>
      <c r="N10" s="11"/>
      <c r="O10" s="11"/>
      <c r="P10" s="11"/>
      <c r="Q10" s="27"/>
      <c r="R10" s="27"/>
      <c r="S10" s="27"/>
      <c r="T10" s="27"/>
      <c r="U10" s="27"/>
      <c r="V10" s="27"/>
      <c r="W10" s="28"/>
      <c r="X10" s="27"/>
      <c r="Y10" s="27"/>
    </row>
    <row r="11" spans="1:25" s="3" customFormat="1">
      <c r="A11" s="17" t="s">
        <v>28</v>
      </c>
      <c r="B11" s="97"/>
      <c r="C11" s="22"/>
      <c r="D11" s="22"/>
      <c r="E11" s="23"/>
      <c r="F11" s="23"/>
      <c r="G11" s="23"/>
      <c r="H11" s="23"/>
      <c r="I11" s="23"/>
      <c r="J11" s="24"/>
      <c r="K11" s="25"/>
      <c r="L11" s="23"/>
      <c r="M11" s="23"/>
      <c r="N11" s="88"/>
      <c r="O11" s="88"/>
      <c r="P11" s="88"/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</row>
    <row r="12" spans="1:25">
      <c r="A12" s="17" t="s">
        <v>499</v>
      </c>
      <c r="B12" s="549"/>
      <c r="C12" s="18"/>
      <c r="D12" s="22"/>
      <c r="E12" s="19"/>
      <c r="F12" s="19"/>
      <c r="G12" s="19"/>
      <c r="H12" s="19"/>
      <c r="I12" s="19"/>
      <c r="J12" s="19"/>
      <c r="K12" s="19"/>
      <c r="L12" s="19"/>
      <c r="M12" s="19"/>
      <c r="N12" s="30"/>
      <c r="O12" s="30"/>
      <c r="P12" s="364"/>
      <c r="Q12" s="20">
        <f>Q8+Q11</f>
        <v>0</v>
      </c>
      <c r="R12" s="20">
        <f t="shared" ref="R12:Y12" si="0">R8+R11</f>
        <v>0</v>
      </c>
      <c r="S12" s="20">
        <f t="shared" si="0"/>
        <v>0</v>
      </c>
      <c r="T12" s="20">
        <f t="shared" si="0"/>
        <v>0</v>
      </c>
      <c r="U12" s="20">
        <f t="shared" si="0"/>
        <v>0</v>
      </c>
      <c r="V12" s="20">
        <f t="shared" si="0"/>
        <v>0</v>
      </c>
      <c r="W12" s="20">
        <f t="shared" si="0"/>
        <v>0</v>
      </c>
      <c r="X12" s="20">
        <f t="shared" si="0"/>
        <v>0</v>
      </c>
      <c r="Y12" s="20">
        <f t="shared" si="0"/>
        <v>0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79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730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>
      <c r="A8" s="114" t="s">
        <v>319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320</v>
      </c>
      <c r="B9" s="76" t="s">
        <v>95</v>
      </c>
      <c r="C9" s="79">
        <v>1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3.3297091844548342E-2</v>
      </c>
      <c r="U9" s="50">
        <f>C9*($F9*$H9)/453.59</f>
        <v>6.1469792609906218E-2</v>
      </c>
      <c r="V9" s="50">
        <f>C9*(($F9*$I9))/453.59</f>
        <v>7.5102242543154491E-3</v>
      </c>
      <c r="W9" s="50">
        <f>C9*($F9*$J9)/453.59</f>
        <v>4.6328711353582576E-4</v>
      </c>
      <c r="X9" s="50">
        <f>C9*(($F9*($K9+$L9+$M9)))/453.59</f>
        <v>1.2123154956717041E-2</v>
      </c>
      <c r="Y9" s="50">
        <f>C9*(($F9*($N9+$O9+$P9)))/453.59</f>
        <v>8.0553663276591338E-3</v>
      </c>
      <c r="Z9" s="50">
        <f>C9*(F9)*$B$330</f>
        <v>0</v>
      </c>
      <c r="AA9" s="50">
        <f>Z9*0.21</f>
        <v>0</v>
      </c>
      <c r="AB9" s="50">
        <f>C9*(($F9*($Q9)))/453.59</f>
        <v>32.271368530085546</v>
      </c>
      <c r="AC9" s="50">
        <f>C9*(($F9*($R9)))/453.59</f>
        <v>1.844082811914678E-3</v>
      </c>
      <c r="AD9" s="50">
        <f>C9*(($F9*($S9)))/453.59</f>
        <v>8.2666337626667119E-4</v>
      </c>
    </row>
    <row r="10" spans="1:30">
      <c r="A10" s="75" t="s">
        <v>28</v>
      </c>
      <c r="B10" s="74"/>
      <c r="C10" s="112"/>
      <c r="D10" s="112"/>
      <c r="E10" s="74"/>
      <c r="F10" s="74"/>
      <c r="G10" s="577"/>
      <c r="H10" s="41"/>
      <c r="I10" s="41"/>
      <c r="J10" s="41"/>
      <c r="K10" s="574"/>
      <c r="L10" s="574"/>
      <c r="M10" s="574"/>
      <c r="N10" s="574"/>
      <c r="O10" s="574"/>
      <c r="P10" s="574"/>
      <c r="Q10" s="41"/>
      <c r="R10" s="574"/>
      <c r="S10" s="574"/>
      <c r="T10" s="81">
        <f t="shared" ref="T10:AD10" si="0">SUM(T9:T9)</f>
        <v>3.3297091844548342E-2</v>
      </c>
      <c r="U10" s="81">
        <f t="shared" si="0"/>
        <v>6.1469792609906218E-2</v>
      </c>
      <c r="V10" s="81">
        <f t="shared" si="0"/>
        <v>7.5102242543154491E-3</v>
      </c>
      <c r="W10" s="81">
        <f t="shared" si="0"/>
        <v>4.6328711353582576E-4</v>
      </c>
      <c r="X10" s="81">
        <f t="shared" si="0"/>
        <v>1.2123154956717041E-2</v>
      </c>
      <c r="Y10" s="81">
        <f t="shared" si="0"/>
        <v>8.0553663276591338E-3</v>
      </c>
      <c r="Z10" s="81">
        <f t="shared" si="0"/>
        <v>0</v>
      </c>
      <c r="AA10" s="81">
        <f t="shared" si="0"/>
        <v>0</v>
      </c>
      <c r="AB10" s="81">
        <f t="shared" si="0"/>
        <v>32.271368530085546</v>
      </c>
      <c r="AC10" s="81">
        <f t="shared" si="0"/>
        <v>1.844082811914678E-3</v>
      </c>
      <c r="AD10" s="81">
        <f t="shared" si="0"/>
        <v>8.2666337626667119E-4</v>
      </c>
    </row>
    <row r="11" spans="1:30">
      <c r="A11" s="75"/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</row>
    <row r="12" spans="1:30">
      <c r="A12" s="114" t="s">
        <v>323</v>
      </c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>
      <c r="A13" s="78" t="s">
        <v>312</v>
      </c>
      <c r="B13" s="76" t="s">
        <v>95</v>
      </c>
      <c r="C13" s="79">
        <v>1</v>
      </c>
      <c r="D13" s="77"/>
      <c r="E13" s="77">
        <v>35</v>
      </c>
      <c r="F13" s="77">
        <v>60</v>
      </c>
      <c r="G13" s="106">
        <v>0.25172046482947802</v>
      </c>
      <c r="H13" s="106">
        <v>0.464701387165456</v>
      </c>
      <c r="I13" s="106">
        <v>5.6776043658582402E-2</v>
      </c>
      <c r="J13" s="106">
        <v>3.5023733638119199E-3</v>
      </c>
      <c r="K13" s="106">
        <v>4.6899256897933901E-2</v>
      </c>
      <c r="L13" s="47">
        <v>7.99995847163921E-3</v>
      </c>
      <c r="M13" s="47">
        <v>3.6749815577381599E-2</v>
      </c>
      <c r="N13" s="106">
        <v>4.3147317248333997E-2</v>
      </c>
      <c r="O13" s="47">
        <v>1.9999896145790402E-3</v>
      </c>
      <c r="P13" s="47">
        <v>1.57499200131354E-2</v>
      </c>
      <c r="Q13" s="106">
        <v>243.966167526025</v>
      </c>
      <c r="R13" s="47">
        <f>0.000057143*Q13</f>
        <v>1.3940958710939646E-2</v>
      </c>
      <c r="S13" s="80">
        <f>0.000025616*Q13</f>
        <v>6.2494373473466567E-3</v>
      </c>
      <c r="T13" s="50">
        <f>C13*($F13*$G13)/453.59</f>
        <v>3.3297091844548342E-2</v>
      </c>
      <c r="U13" s="50">
        <f>C13*($F13*$H13)/453.59</f>
        <v>6.1469792609906218E-2</v>
      </c>
      <c r="V13" s="50">
        <f>C13*(($F13*$I13))/453.59</f>
        <v>7.5102242543154491E-3</v>
      </c>
      <c r="W13" s="50">
        <f>C13*($F13*$J13)/453.59</f>
        <v>4.6328711353582576E-4</v>
      </c>
      <c r="X13" s="50">
        <f>C13*(($F13*($K13+$L13+$M13)))/453.59</f>
        <v>1.2123154956717041E-2</v>
      </c>
      <c r="Y13" s="50">
        <f>C13*(($F13*($N13+$O13+$P13)))/453.59</f>
        <v>8.0553663276591338E-3</v>
      </c>
      <c r="Z13" s="50">
        <f>C13*(F13)*$B$330</f>
        <v>0</v>
      </c>
      <c r="AA13" s="50">
        <f>Z13*0.21</f>
        <v>0</v>
      </c>
      <c r="AB13" s="50">
        <f>C13*(($F13*($Q13)))/453.59</f>
        <v>32.271368530085546</v>
      </c>
      <c r="AC13" s="50">
        <f>C13*(($F13*($R13)))/453.59</f>
        <v>1.844082811914678E-3</v>
      </c>
      <c r="AD13" s="50">
        <f>C13*(($F13*($S13)))/453.59</f>
        <v>8.2666337626667119E-4</v>
      </c>
    </row>
    <row r="14" spans="1:30">
      <c r="A14" s="75" t="s">
        <v>28</v>
      </c>
      <c r="B14" s="74"/>
      <c r="C14" s="112"/>
      <c r="D14" s="112"/>
      <c r="E14" s="74"/>
      <c r="F14" s="74"/>
      <c r="G14" s="577"/>
      <c r="H14" s="41"/>
      <c r="I14" s="41"/>
      <c r="J14" s="41"/>
      <c r="K14" s="574"/>
      <c r="L14" s="574"/>
      <c r="M14" s="574"/>
      <c r="N14" s="574"/>
      <c r="O14" s="574"/>
      <c r="P14" s="574"/>
      <c r="Q14" s="41"/>
      <c r="R14" s="574"/>
      <c r="S14" s="574"/>
      <c r="T14" s="81">
        <f t="shared" ref="T14:AD14" si="1">SUM(T13:T13)</f>
        <v>3.3297091844548342E-2</v>
      </c>
      <c r="U14" s="81">
        <f t="shared" si="1"/>
        <v>6.1469792609906218E-2</v>
      </c>
      <c r="V14" s="81">
        <f t="shared" si="1"/>
        <v>7.5102242543154491E-3</v>
      </c>
      <c r="W14" s="81">
        <f t="shared" si="1"/>
        <v>4.6328711353582576E-4</v>
      </c>
      <c r="X14" s="81">
        <f t="shared" si="1"/>
        <v>1.2123154956717041E-2</v>
      </c>
      <c r="Y14" s="81">
        <f t="shared" si="1"/>
        <v>8.0553663276591338E-3</v>
      </c>
      <c r="Z14" s="81">
        <f t="shared" si="1"/>
        <v>0</v>
      </c>
      <c r="AA14" s="81">
        <f t="shared" si="1"/>
        <v>0</v>
      </c>
      <c r="AB14" s="81">
        <f t="shared" si="1"/>
        <v>32.271368530085546</v>
      </c>
      <c r="AC14" s="81">
        <f t="shared" si="1"/>
        <v>1.844082811914678E-3</v>
      </c>
      <c r="AD14" s="81">
        <f t="shared" si="1"/>
        <v>8.2666337626667119E-4</v>
      </c>
    </row>
    <row r="15" spans="1:30">
      <c r="A15" s="75" t="s">
        <v>388</v>
      </c>
      <c r="B15" s="74"/>
      <c r="C15" s="112"/>
      <c r="D15" s="112"/>
      <c r="E15" s="74"/>
      <c r="F15" s="74"/>
      <c r="G15" s="547"/>
      <c r="H15" s="41"/>
      <c r="I15" s="41"/>
      <c r="J15" s="41"/>
      <c r="K15" s="544"/>
      <c r="L15" s="544"/>
      <c r="M15" s="544"/>
      <c r="N15" s="544"/>
      <c r="O15" s="544"/>
      <c r="P15" s="544"/>
      <c r="Q15" s="41"/>
      <c r="R15" s="544"/>
      <c r="S15" s="544"/>
      <c r="T15" s="81">
        <f>T10+T14</f>
        <v>6.6594183689096684E-2</v>
      </c>
      <c r="U15" s="81">
        <f t="shared" ref="U15:AD15" si="2">U10+U14</f>
        <v>0.12293958521981244</v>
      </c>
      <c r="V15" s="81">
        <f t="shared" si="2"/>
        <v>1.5020448508630898E-2</v>
      </c>
      <c r="W15" s="81">
        <f t="shared" si="2"/>
        <v>9.2657422707165152E-4</v>
      </c>
      <c r="X15" s="81">
        <f t="shared" si="2"/>
        <v>2.4246309913434082E-2</v>
      </c>
      <c r="Y15" s="81">
        <f t="shared" si="2"/>
        <v>1.6110732655318268E-2</v>
      </c>
      <c r="Z15" s="81">
        <f t="shared" si="2"/>
        <v>0</v>
      </c>
      <c r="AA15" s="81">
        <f t="shared" si="2"/>
        <v>0</v>
      </c>
      <c r="AB15" s="81">
        <f t="shared" si="2"/>
        <v>64.542737060171092</v>
      </c>
      <c r="AC15" s="81">
        <f t="shared" si="2"/>
        <v>3.688165623829356E-3</v>
      </c>
      <c r="AD15" s="81">
        <f t="shared" si="2"/>
        <v>1.6533267525333424E-3</v>
      </c>
    </row>
    <row r="16" spans="1:30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367" spans="1:1" ht="25.5">
      <c r="A367" s="82" t="s">
        <v>109</v>
      </c>
    </row>
    <row r="369" spans="1:2">
      <c r="A369" s="36" t="s">
        <v>81</v>
      </c>
    </row>
    <row r="370" spans="1:2">
      <c r="A370" s="36" t="s">
        <v>82</v>
      </c>
    </row>
    <row r="371" spans="1:2">
      <c r="A371" s="36" t="s">
        <v>83</v>
      </c>
    </row>
    <row r="372" spans="1:2">
      <c r="A372" s="37" t="s">
        <v>96</v>
      </c>
    </row>
    <row r="373" spans="1:2">
      <c r="A373" s="36" t="s">
        <v>85</v>
      </c>
    </row>
    <row r="374" spans="1:2">
      <c r="A374" s="36" t="s">
        <v>86</v>
      </c>
    </row>
    <row r="375" spans="1:2">
      <c r="A375" s="36" t="s">
        <v>87</v>
      </c>
    </row>
    <row r="376" spans="1:2">
      <c r="A376" s="36" t="s">
        <v>0</v>
      </c>
    </row>
    <row r="377" spans="1:2">
      <c r="A377" s="37" t="s">
        <v>97</v>
      </c>
      <c r="B377" s="36">
        <f>(0.016*(0.03/2)^0.65*(2/3)^1.5)-0.00047</f>
        <v>9.8123053326417428E-5</v>
      </c>
    </row>
    <row r="378" spans="1:2">
      <c r="A378" s="37" t="s">
        <v>98</v>
      </c>
      <c r="B378" s="36">
        <f>(0.016*(0.03/2)^0.65*(13/3)^1.5)-0.00047</f>
        <v>8.9448292388582783E-3</v>
      </c>
    </row>
    <row r="379" spans="1:2">
      <c r="A379" s="37" t="s">
        <v>99</v>
      </c>
      <c r="B379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731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319</v>
      </c>
      <c r="B4" s="45" t="s">
        <v>102</v>
      </c>
      <c r="C4" s="46">
        <v>2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323</v>
      </c>
      <c r="B5" s="45" t="s">
        <v>102</v>
      </c>
      <c r="C5" s="46">
        <v>2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54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545" t="s">
        <v>55</v>
      </c>
      <c r="G88" s="545" t="s">
        <v>73</v>
      </c>
      <c r="H88" s="545" t="s">
        <v>74</v>
      </c>
      <c r="I88" s="545" t="s">
        <v>58</v>
      </c>
      <c r="J88" s="545" t="s">
        <v>59</v>
      </c>
      <c r="K88" s="545" t="s">
        <v>60</v>
      </c>
      <c r="L88" s="544" t="s">
        <v>75</v>
      </c>
      <c r="M88" s="544" t="s">
        <v>76</v>
      </c>
      <c r="N88" s="544" t="s">
        <v>61</v>
      </c>
      <c r="O88" s="544" t="s">
        <v>62</v>
      </c>
      <c r="P88" s="544" t="s">
        <v>63</v>
      </c>
      <c r="AN88" s="38"/>
      <c r="AZ88" s="36"/>
    </row>
    <row r="89" spans="1:52" ht="25.5">
      <c r="A89" s="44" t="str">
        <f t="shared" ref="A89:C90" si="52">A4</f>
        <v>Telecom</v>
      </c>
      <c r="B89" s="45" t="str">
        <f t="shared" si="52"/>
        <v>Light-Duty Truck, catalyst</v>
      </c>
      <c r="C89" s="46">
        <f t="shared" si="52"/>
        <v>2</v>
      </c>
      <c r="D89" s="46">
        <v>35</v>
      </c>
      <c r="E89" s="46">
        <v>80</v>
      </c>
      <c r="F89" s="50">
        <f>C4*($E4*$F4+($G4))/453.59</f>
        <v>0.97143877176184013</v>
      </c>
      <c r="G89" s="50">
        <f>C4*($E4*$H4+($I4))/453.59</f>
        <v>8.7341314588756019E-2</v>
      </c>
      <c r="H89" s="50">
        <f>C4*(($E4*$J4)+($K4)+($L4)+($E4*$N4)+(($M4+$O4)))/453.59</f>
        <v>0.10099996064790666</v>
      </c>
      <c r="I89" s="50">
        <f>C4*($E4*$P4+($Q4))/453.59</f>
        <v>1.4535940543212319E-3</v>
      </c>
      <c r="J89" s="50">
        <f>C4*(($E4*($R4+$T4+$U4))+($S4))/453.59</f>
        <v>1.7048180910415794E-2</v>
      </c>
      <c r="K89" s="50">
        <f>$C4*(($E4*($V4+$X4+$Y4))+($W4))/453.59</f>
        <v>7.4240106485062834E-3</v>
      </c>
      <c r="L89" s="50">
        <f>$B$22*C4*(E4+6)</f>
        <v>1.6877165172143799E-2</v>
      </c>
      <c r="M89" s="50">
        <f t="shared" ref="M89:M90" si="53">0.41*L89</f>
        <v>6.9196377205789569E-3</v>
      </c>
      <c r="N89" s="50">
        <f>C4*($E4*$Z4+($AA4))/453.59</f>
        <v>110.84715345207779</v>
      </c>
      <c r="O89" s="50">
        <f>C4*($E4*$AB4+($AC4))/453.59</f>
        <v>6.3409507780604986E-3</v>
      </c>
      <c r="P89" s="50">
        <f>C4*($E4*$AD4+($AE4))/453.59</f>
        <v>1.1542239827686721E-2</v>
      </c>
      <c r="AN89" s="38"/>
      <c r="AZ89" s="36"/>
    </row>
    <row r="90" spans="1:52" ht="25.5">
      <c r="A90" s="44" t="str">
        <f t="shared" si="52"/>
        <v>Relay Testing</v>
      </c>
      <c r="B90" s="45" t="str">
        <f t="shared" si="52"/>
        <v>Light-Duty Truck, catalyst</v>
      </c>
      <c r="C90" s="46">
        <f t="shared" si="52"/>
        <v>2</v>
      </c>
      <c r="D90" s="46">
        <v>35</v>
      </c>
      <c r="E90" s="46">
        <v>80</v>
      </c>
      <c r="F90" s="50">
        <f>C5*($E5*$F5+($G5))/453.59</f>
        <v>0.97143877176184013</v>
      </c>
      <c r="G90" s="50">
        <f>C5*($E5*$H5+($I5))/453.59</f>
        <v>8.7341314588756019E-2</v>
      </c>
      <c r="H90" s="50">
        <f>C5*(($E5*$J5)+($K5)+($L5)+($E5*$N5)+(($M5+$O5)))/453.59</f>
        <v>0.10099996064790666</v>
      </c>
      <c r="I90" s="50">
        <f>C5*($E5*$P5+($Q5))/453.59</f>
        <v>1.4535940543212319E-3</v>
      </c>
      <c r="J90" s="50">
        <f>C5*(($E5*($R5+$T5+$U5))+($S5))/453.59</f>
        <v>1.7048180910415794E-2</v>
      </c>
      <c r="K90" s="50">
        <f>$C5*(($E5*($V5+$X5+$Y5))+($W5))/453.59</f>
        <v>7.4240106485062834E-3</v>
      </c>
      <c r="L90" s="50">
        <f>$B$22*C5*(E5+6)</f>
        <v>1.6877165172143799E-2</v>
      </c>
      <c r="M90" s="50">
        <f t="shared" si="53"/>
        <v>6.9196377205789569E-3</v>
      </c>
      <c r="N90" s="50">
        <f>C5*($E5*$Z5+($AA5))/453.59</f>
        <v>110.84715345207779</v>
      </c>
      <c r="O90" s="50">
        <f>C5*($E5*$AB5+($AC5))/453.59</f>
        <v>6.3409507780604986E-3</v>
      </c>
      <c r="P90" s="50">
        <f>C5*($E5*$AD5+($AE5))/453.59</f>
        <v>1.1542239827686721E-2</v>
      </c>
      <c r="AN90" s="38"/>
      <c r="AZ90" s="36"/>
    </row>
    <row r="91" spans="1:52">
      <c r="A91" s="61" t="s">
        <v>389</v>
      </c>
      <c r="B91" s="40"/>
      <c r="C91" s="40"/>
      <c r="D91" s="40"/>
      <c r="E91" s="40"/>
      <c r="F91" s="81">
        <f t="shared" ref="F91:P91" si="54">SUM(F89:F90)</f>
        <v>1.9428775435236803</v>
      </c>
      <c r="G91" s="81">
        <f t="shared" si="54"/>
        <v>0.17468262917751204</v>
      </c>
      <c r="H91" s="81">
        <f t="shared" si="54"/>
        <v>0.20199992129581332</v>
      </c>
      <c r="I91" s="81">
        <f t="shared" si="54"/>
        <v>2.9071881086424637E-3</v>
      </c>
      <c r="J91" s="81">
        <f t="shared" si="54"/>
        <v>3.4096361820831589E-2</v>
      </c>
      <c r="K91" s="81">
        <f t="shared" si="54"/>
        <v>1.4848021297012567E-2</v>
      </c>
      <c r="L91" s="81">
        <f t="shared" si="54"/>
        <v>3.3754330344287597E-2</v>
      </c>
      <c r="M91" s="81">
        <f t="shared" si="54"/>
        <v>1.3839275441157914E-2</v>
      </c>
      <c r="N91" s="81">
        <f t="shared" si="54"/>
        <v>221.69430690415558</v>
      </c>
      <c r="O91" s="81">
        <f t="shared" si="54"/>
        <v>1.2681901556120997E-2</v>
      </c>
      <c r="P91" s="81">
        <f t="shared" si="54"/>
        <v>2.3084479655373441E-2</v>
      </c>
      <c r="AN91" s="38"/>
      <c r="AZ91" s="36"/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2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732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1" t="s">
        <v>319</v>
      </c>
      <c r="B7" s="22"/>
      <c r="C7" s="18"/>
      <c r="D7" s="22"/>
      <c r="E7" s="19"/>
      <c r="F7" s="19"/>
      <c r="G7" s="19"/>
      <c r="H7" s="19"/>
      <c r="I7" s="19"/>
      <c r="J7" s="19"/>
      <c r="K7" s="19"/>
      <c r="L7" s="19"/>
      <c r="M7" s="19"/>
      <c r="N7" s="11"/>
      <c r="O7" s="11"/>
      <c r="P7" s="11"/>
      <c r="Q7" s="27"/>
      <c r="R7" s="27"/>
      <c r="S7" s="27"/>
      <c r="T7" s="27"/>
      <c r="U7" s="27"/>
      <c r="V7" s="27"/>
      <c r="W7" s="28"/>
      <c r="X7" s="27"/>
      <c r="Y7" s="27"/>
    </row>
    <row r="8" spans="1:25" s="3" customFormat="1">
      <c r="A8" s="17" t="s">
        <v>28</v>
      </c>
      <c r="B8" s="97"/>
      <c r="C8" s="22"/>
      <c r="D8" s="22"/>
      <c r="E8" s="23"/>
      <c r="F8" s="23"/>
      <c r="G8" s="23"/>
      <c r="H8" s="23"/>
      <c r="I8" s="23"/>
      <c r="J8" s="24"/>
      <c r="K8" s="25"/>
      <c r="L8" s="23"/>
      <c r="M8" s="23"/>
      <c r="N8" s="88"/>
      <c r="O8" s="88"/>
      <c r="P8" s="88"/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</row>
    <row r="9" spans="1:25" s="3" customFormat="1">
      <c r="A9" s="17"/>
      <c r="B9" s="29"/>
      <c r="C9" s="22"/>
      <c r="D9" s="22"/>
      <c r="E9" s="23"/>
      <c r="F9" s="23"/>
      <c r="G9" s="23"/>
      <c r="H9" s="23"/>
      <c r="I9" s="23"/>
      <c r="J9" s="24"/>
      <c r="K9" s="25"/>
      <c r="L9" s="23"/>
      <c r="M9" s="23"/>
      <c r="N9" s="99"/>
      <c r="O9" s="99"/>
      <c r="P9" s="99"/>
      <c r="Q9" s="27"/>
      <c r="R9" s="27"/>
      <c r="S9" s="27"/>
      <c r="T9" s="27"/>
      <c r="U9" s="27"/>
      <c r="V9" s="27"/>
      <c r="W9" s="27"/>
      <c r="X9" s="27"/>
      <c r="Y9" s="27"/>
    </row>
    <row r="10" spans="1:25" s="3" customFormat="1">
      <c r="A10" s="11" t="s">
        <v>323</v>
      </c>
      <c r="B10" s="22"/>
      <c r="C10" s="18"/>
      <c r="D10" s="22"/>
      <c r="E10" s="19"/>
      <c r="F10" s="19"/>
      <c r="G10" s="19"/>
      <c r="H10" s="19"/>
      <c r="I10" s="19"/>
      <c r="J10" s="19"/>
      <c r="K10" s="19"/>
      <c r="L10" s="19"/>
      <c r="M10" s="19"/>
      <c r="N10" s="11"/>
      <c r="O10" s="11"/>
      <c r="P10" s="11"/>
      <c r="Q10" s="27"/>
      <c r="R10" s="27"/>
      <c r="S10" s="27"/>
      <c r="T10" s="27"/>
      <c r="U10" s="27"/>
      <c r="V10" s="27"/>
      <c r="W10" s="28"/>
      <c r="X10" s="27"/>
      <c r="Y10" s="27"/>
    </row>
    <row r="11" spans="1:25" s="3" customFormat="1">
      <c r="A11" s="17" t="s">
        <v>28</v>
      </c>
      <c r="B11" s="97"/>
      <c r="C11" s="22"/>
      <c r="D11" s="22"/>
      <c r="E11" s="23"/>
      <c r="F11" s="23"/>
      <c r="G11" s="23"/>
      <c r="H11" s="23"/>
      <c r="I11" s="23"/>
      <c r="J11" s="24"/>
      <c r="K11" s="25"/>
      <c r="L11" s="23"/>
      <c r="M11" s="23"/>
      <c r="N11" s="88"/>
      <c r="O11" s="88"/>
      <c r="P11" s="88"/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</row>
    <row r="12" spans="1:25">
      <c r="A12" s="17" t="s">
        <v>499</v>
      </c>
      <c r="B12" s="561"/>
      <c r="C12" s="18"/>
      <c r="D12" s="22"/>
      <c r="E12" s="19"/>
      <c r="F12" s="19"/>
      <c r="G12" s="19"/>
      <c r="H12" s="19"/>
      <c r="I12" s="19"/>
      <c r="J12" s="19"/>
      <c r="K12" s="19"/>
      <c r="L12" s="19"/>
      <c r="M12" s="19"/>
      <c r="N12" s="30"/>
      <c r="O12" s="30"/>
      <c r="P12" s="364"/>
      <c r="Q12" s="20">
        <f>Q8+Q11</f>
        <v>0</v>
      </c>
      <c r="R12" s="20">
        <f t="shared" ref="R12:Y12" si="0">R8+R11</f>
        <v>0</v>
      </c>
      <c r="S12" s="20">
        <f t="shared" si="0"/>
        <v>0</v>
      </c>
      <c r="T12" s="20">
        <f t="shared" si="0"/>
        <v>0</v>
      </c>
      <c r="U12" s="20">
        <f t="shared" si="0"/>
        <v>0</v>
      </c>
      <c r="V12" s="20">
        <f t="shared" si="0"/>
        <v>0</v>
      </c>
      <c r="W12" s="20">
        <f t="shared" si="0"/>
        <v>0</v>
      </c>
      <c r="X12" s="20">
        <f t="shared" si="0"/>
        <v>0</v>
      </c>
      <c r="Y12" s="20">
        <f t="shared" si="0"/>
        <v>0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0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733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>
      <c r="A8" s="114" t="s">
        <v>319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320</v>
      </c>
      <c r="B9" s="76" t="s">
        <v>95</v>
      </c>
      <c r="C9" s="79">
        <v>1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3.3297091844548342E-2</v>
      </c>
      <c r="U9" s="50">
        <f>C9*($F9*$H9)/453.59</f>
        <v>6.1469792609906218E-2</v>
      </c>
      <c r="V9" s="50">
        <f>C9*(($F9*$I9))/453.59</f>
        <v>7.5102242543154491E-3</v>
      </c>
      <c r="W9" s="50">
        <f>C9*($F9*$J9)/453.59</f>
        <v>4.6328711353582576E-4</v>
      </c>
      <c r="X9" s="50">
        <f>C9*(($F9*($K9+$L9+$M9)))/453.59</f>
        <v>1.2123154956717041E-2</v>
      </c>
      <c r="Y9" s="50">
        <f>C9*(($F9*($N9+$O9+$P9)))/453.59</f>
        <v>8.0553663276591338E-3</v>
      </c>
      <c r="Z9" s="50">
        <f>C9*(F9)*$B$330</f>
        <v>0</v>
      </c>
      <c r="AA9" s="50">
        <f>Z9*0.21</f>
        <v>0</v>
      </c>
      <c r="AB9" s="50">
        <f>C9*(($F9*($Q9)))/453.59</f>
        <v>32.271368530085546</v>
      </c>
      <c r="AC9" s="50">
        <f>C9*(($F9*($R9)))/453.59</f>
        <v>1.844082811914678E-3</v>
      </c>
      <c r="AD9" s="50">
        <f>C9*(($F9*($S9)))/453.59</f>
        <v>8.2666337626667119E-4</v>
      </c>
    </row>
    <row r="10" spans="1:30">
      <c r="A10" s="75" t="s">
        <v>28</v>
      </c>
      <c r="B10" s="74"/>
      <c r="C10" s="112"/>
      <c r="D10" s="112"/>
      <c r="E10" s="74"/>
      <c r="F10" s="74"/>
      <c r="G10" s="577"/>
      <c r="H10" s="41"/>
      <c r="I10" s="41"/>
      <c r="J10" s="41"/>
      <c r="K10" s="574"/>
      <c r="L10" s="574"/>
      <c r="M10" s="574"/>
      <c r="N10" s="574"/>
      <c r="O10" s="574"/>
      <c r="P10" s="574"/>
      <c r="Q10" s="41"/>
      <c r="R10" s="574"/>
      <c r="S10" s="574"/>
      <c r="T10" s="81">
        <f t="shared" ref="T10:AD10" si="0">SUM(T9:T9)</f>
        <v>3.3297091844548342E-2</v>
      </c>
      <c r="U10" s="81">
        <f t="shared" si="0"/>
        <v>6.1469792609906218E-2</v>
      </c>
      <c r="V10" s="81">
        <f t="shared" si="0"/>
        <v>7.5102242543154491E-3</v>
      </c>
      <c r="W10" s="81">
        <f t="shared" si="0"/>
        <v>4.6328711353582576E-4</v>
      </c>
      <c r="X10" s="81">
        <f t="shared" si="0"/>
        <v>1.2123154956717041E-2</v>
      </c>
      <c r="Y10" s="81">
        <f t="shared" si="0"/>
        <v>8.0553663276591338E-3</v>
      </c>
      <c r="Z10" s="81">
        <f t="shared" si="0"/>
        <v>0</v>
      </c>
      <c r="AA10" s="81">
        <f t="shared" si="0"/>
        <v>0</v>
      </c>
      <c r="AB10" s="81">
        <f t="shared" si="0"/>
        <v>32.271368530085546</v>
      </c>
      <c r="AC10" s="81">
        <f t="shared" si="0"/>
        <v>1.844082811914678E-3</v>
      </c>
      <c r="AD10" s="81">
        <f t="shared" si="0"/>
        <v>8.2666337626667119E-4</v>
      </c>
    </row>
    <row r="11" spans="1:30">
      <c r="A11" s="75"/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</row>
    <row r="12" spans="1:30">
      <c r="A12" s="114" t="s">
        <v>323</v>
      </c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>
      <c r="A13" s="78" t="s">
        <v>312</v>
      </c>
      <c r="B13" s="76" t="s">
        <v>95</v>
      </c>
      <c r="C13" s="79">
        <v>1</v>
      </c>
      <c r="D13" s="77"/>
      <c r="E13" s="77">
        <v>35</v>
      </c>
      <c r="F13" s="77">
        <v>60</v>
      </c>
      <c r="G13" s="106">
        <v>0.25172046482947802</v>
      </c>
      <c r="H13" s="106">
        <v>0.464701387165456</v>
      </c>
      <c r="I13" s="106">
        <v>5.6776043658582402E-2</v>
      </c>
      <c r="J13" s="106">
        <v>3.5023733638119199E-3</v>
      </c>
      <c r="K13" s="106">
        <v>4.6899256897933901E-2</v>
      </c>
      <c r="L13" s="47">
        <v>7.99995847163921E-3</v>
      </c>
      <c r="M13" s="47">
        <v>3.6749815577381599E-2</v>
      </c>
      <c r="N13" s="106">
        <v>4.3147317248333997E-2</v>
      </c>
      <c r="O13" s="47">
        <v>1.9999896145790402E-3</v>
      </c>
      <c r="P13" s="47">
        <v>1.57499200131354E-2</v>
      </c>
      <c r="Q13" s="106">
        <v>243.966167526025</v>
      </c>
      <c r="R13" s="47">
        <f>0.000057143*Q13</f>
        <v>1.3940958710939646E-2</v>
      </c>
      <c r="S13" s="80">
        <f>0.000025616*Q13</f>
        <v>6.2494373473466567E-3</v>
      </c>
      <c r="T13" s="50">
        <f>C13*($F13*$G13)/453.59</f>
        <v>3.3297091844548342E-2</v>
      </c>
      <c r="U13" s="50">
        <f>C13*($F13*$H13)/453.59</f>
        <v>6.1469792609906218E-2</v>
      </c>
      <c r="V13" s="50">
        <f>C13*(($F13*$I13))/453.59</f>
        <v>7.5102242543154491E-3</v>
      </c>
      <c r="W13" s="50">
        <f>C13*($F13*$J13)/453.59</f>
        <v>4.6328711353582576E-4</v>
      </c>
      <c r="X13" s="50">
        <f>C13*(($F13*($K13+$L13+$M13)))/453.59</f>
        <v>1.2123154956717041E-2</v>
      </c>
      <c r="Y13" s="50">
        <f>C13*(($F13*($N13+$O13+$P13)))/453.59</f>
        <v>8.0553663276591338E-3</v>
      </c>
      <c r="Z13" s="50">
        <f>C13*(F13)*$B$330</f>
        <v>0</v>
      </c>
      <c r="AA13" s="50">
        <f>Z13*0.21</f>
        <v>0</v>
      </c>
      <c r="AB13" s="50">
        <f>C13*(($F13*($Q13)))/453.59</f>
        <v>32.271368530085546</v>
      </c>
      <c r="AC13" s="50">
        <f>C13*(($F13*($R13)))/453.59</f>
        <v>1.844082811914678E-3</v>
      </c>
      <c r="AD13" s="50">
        <f>C13*(($F13*($S13)))/453.59</f>
        <v>8.2666337626667119E-4</v>
      </c>
    </row>
    <row r="14" spans="1:30">
      <c r="A14" s="75" t="s">
        <v>28</v>
      </c>
      <c r="B14" s="74"/>
      <c r="C14" s="112"/>
      <c r="D14" s="112"/>
      <c r="E14" s="74"/>
      <c r="F14" s="74"/>
      <c r="G14" s="577"/>
      <c r="H14" s="41"/>
      <c r="I14" s="41"/>
      <c r="J14" s="41"/>
      <c r="K14" s="574"/>
      <c r="L14" s="574"/>
      <c r="M14" s="574"/>
      <c r="N14" s="574"/>
      <c r="O14" s="574"/>
      <c r="P14" s="574"/>
      <c r="Q14" s="41"/>
      <c r="R14" s="574"/>
      <c r="S14" s="574"/>
      <c r="T14" s="81">
        <f t="shared" ref="T14:AD14" si="1">SUM(T13:T13)</f>
        <v>3.3297091844548342E-2</v>
      </c>
      <c r="U14" s="81">
        <f t="shared" si="1"/>
        <v>6.1469792609906218E-2</v>
      </c>
      <c r="V14" s="81">
        <f t="shared" si="1"/>
        <v>7.5102242543154491E-3</v>
      </c>
      <c r="W14" s="81">
        <f t="shared" si="1"/>
        <v>4.6328711353582576E-4</v>
      </c>
      <c r="X14" s="81">
        <f t="shared" si="1"/>
        <v>1.2123154956717041E-2</v>
      </c>
      <c r="Y14" s="81">
        <f t="shared" si="1"/>
        <v>8.0553663276591338E-3</v>
      </c>
      <c r="Z14" s="81">
        <f t="shared" si="1"/>
        <v>0</v>
      </c>
      <c r="AA14" s="81">
        <f t="shared" si="1"/>
        <v>0</v>
      </c>
      <c r="AB14" s="81">
        <f t="shared" si="1"/>
        <v>32.271368530085546</v>
      </c>
      <c r="AC14" s="81">
        <f t="shared" si="1"/>
        <v>1.844082811914678E-3</v>
      </c>
      <c r="AD14" s="81">
        <f t="shared" si="1"/>
        <v>8.2666337626667119E-4</v>
      </c>
    </row>
    <row r="15" spans="1:30">
      <c r="A15" s="75"/>
      <c r="B15" s="74"/>
      <c r="C15" s="112"/>
      <c r="D15" s="112"/>
      <c r="E15" s="74"/>
      <c r="F15" s="74"/>
      <c r="G15" s="547"/>
      <c r="H15" s="41"/>
      <c r="I15" s="41"/>
      <c r="J15" s="41"/>
      <c r="K15" s="544"/>
      <c r="L15" s="544"/>
      <c r="M15" s="544"/>
      <c r="N15" s="544"/>
      <c r="O15" s="544"/>
      <c r="P15" s="544"/>
      <c r="Q15" s="41"/>
      <c r="R15" s="544"/>
      <c r="S15" s="544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</row>
    <row r="16" spans="1:30">
      <c r="A16" s="75" t="s">
        <v>388</v>
      </c>
      <c r="B16" s="74"/>
      <c r="C16" s="112"/>
      <c r="D16" s="112"/>
      <c r="E16" s="74"/>
      <c r="F16" s="74"/>
      <c r="G16" s="547"/>
      <c r="H16" s="41"/>
      <c r="I16" s="41"/>
      <c r="J16" s="41"/>
      <c r="K16" s="544"/>
      <c r="L16" s="544"/>
      <c r="M16" s="544"/>
      <c r="N16" s="544"/>
      <c r="O16" s="544"/>
      <c r="P16" s="544"/>
      <c r="Q16" s="41"/>
      <c r="R16" s="544"/>
      <c r="S16" s="544"/>
      <c r="T16" s="81">
        <f>T10+T14</f>
        <v>6.6594183689096684E-2</v>
      </c>
      <c r="U16" s="81">
        <f t="shared" ref="U16:AD16" si="2">U10+U14</f>
        <v>0.12293958521981244</v>
      </c>
      <c r="V16" s="81">
        <f t="shared" si="2"/>
        <v>1.5020448508630898E-2</v>
      </c>
      <c r="W16" s="81">
        <f t="shared" si="2"/>
        <v>9.2657422707165152E-4</v>
      </c>
      <c r="X16" s="81">
        <f t="shared" si="2"/>
        <v>2.4246309913434082E-2</v>
      </c>
      <c r="Y16" s="81">
        <f t="shared" si="2"/>
        <v>1.6110732655318268E-2</v>
      </c>
      <c r="Z16" s="81">
        <f t="shared" si="2"/>
        <v>0</v>
      </c>
      <c r="AA16" s="81">
        <f t="shared" si="2"/>
        <v>0</v>
      </c>
      <c r="AB16" s="81">
        <f t="shared" si="2"/>
        <v>64.542737060171092</v>
      </c>
      <c r="AC16" s="81">
        <f t="shared" si="2"/>
        <v>3.688165623829356E-3</v>
      </c>
      <c r="AD16" s="81">
        <f t="shared" si="2"/>
        <v>1.6533267525333424E-3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368" spans="1:1" ht="25.5">
      <c r="A368" s="82" t="s">
        <v>109</v>
      </c>
    </row>
    <row r="370" spans="1:2">
      <c r="A370" s="36" t="s">
        <v>81</v>
      </c>
    </row>
    <row r="371" spans="1:2">
      <c r="A371" s="36" t="s">
        <v>82</v>
      </c>
    </row>
    <row r="372" spans="1:2">
      <c r="A372" s="36" t="s">
        <v>83</v>
      </c>
    </row>
    <row r="373" spans="1:2">
      <c r="A373" s="37" t="s">
        <v>96</v>
      </c>
    </row>
    <row r="374" spans="1:2">
      <c r="A374" s="36" t="s">
        <v>85</v>
      </c>
    </row>
    <row r="375" spans="1:2">
      <c r="A375" s="36" t="s">
        <v>86</v>
      </c>
    </row>
    <row r="376" spans="1:2">
      <c r="A376" s="36" t="s">
        <v>87</v>
      </c>
    </row>
    <row r="377" spans="1:2">
      <c r="A377" s="36" t="s">
        <v>0</v>
      </c>
    </row>
    <row r="378" spans="1:2">
      <c r="A378" s="37" t="s">
        <v>97</v>
      </c>
      <c r="B378" s="36">
        <f>(0.016*(0.03/2)^0.65*(2/3)^1.5)-0.00047</f>
        <v>9.8123053326417428E-5</v>
      </c>
    </row>
    <row r="379" spans="1:2">
      <c r="A379" s="37" t="s">
        <v>98</v>
      </c>
      <c r="B379" s="36">
        <f>(0.016*(0.03/2)^0.65*(13/3)^1.5)-0.00047</f>
        <v>8.9448292388582783E-3</v>
      </c>
    </row>
    <row r="380" spans="1:2">
      <c r="A380" s="37" t="s">
        <v>99</v>
      </c>
      <c r="B38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734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319</v>
      </c>
      <c r="B4" s="45" t="s">
        <v>102</v>
      </c>
      <c r="C4" s="46">
        <v>2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323</v>
      </c>
      <c r="B5" s="45" t="s">
        <v>102</v>
      </c>
      <c r="C5" s="46">
        <v>2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54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545" t="s">
        <v>55</v>
      </c>
      <c r="G88" s="545" t="s">
        <v>73</v>
      </c>
      <c r="H88" s="545" t="s">
        <v>74</v>
      </c>
      <c r="I88" s="545" t="s">
        <v>58</v>
      </c>
      <c r="J88" s="545" t="s">
        <v>59</v>
      </c>
      <c r="K88" s="545" t="s">
        <v>60</v>
      </c>
      <c r="L88" s="544" t="s">
        <v>75</v>
      </c>
      <c r="M88" s="544" t="s">
        <v>76</v>
      </c>
      <c r="N88" s="544" t="s">
        <v>61</v>
      </c>
      <c r="O88" s="544" t="s">
        <v>62</v>
      </c>
      <c r="P88" s="544" t="s">
        <v>63</v>
      </c>
      <c r="AN88" s="38"/>
      <c r="AZ88" s="36"/>
    </row>
    <row r="89" spans="1:52" ht="25.5">
      <c r="A89" s="44" t="str">
        <f t="shared" ref="A89:C90" si="52">A4</f>
        <v>Telecom</v>
      </c>
      <c r="B89" s="45" t="str">
        <f t="shared" si="52"/>
        <v>Light-Duty Truck, catalyst</v>
      </c>
      <c r="C89" s="46">
        <f t="shared" si="52"/>
        <v>2</v>
      </c>
      <c r="D89" s="46">
        <v>35</v>
      </c>
      <c r="E89" s="46">
        <v>80</v>
      </c>
      <c r="F89" s="50">
        <f>C4*($E4*$F4+($G4))/453.59</f>
        <v>0.97143877176184013</v>
      </c>
      <c r="G89" s="50">
        <f>C4*($E4*$H4+($I4))/453.59</f>
        <v>8.7341314588756019E-2</v>
      </c>
      <c r="H89" s="50">
        <f>C4*(($E4*$J4)+($K4)+($L4)+($E4*$N4)+(($M4+$O4)))/453.59</f>
        <v>0.10099996064790666</v>
      </c>
      <c r="I89" s="50">
        <f>C4*($E4*$P4+($Q4))/453.59</f>
        <v>1.4535940543212319E-3</v>
      </c>
      <c r="J89" s="50">
        <f>C4*(($E4*($R4+$T4+$U4))+($S4))/453.59</f>
        <v>1.7048180910415794E-2</v>
      </c>
      <c r="K89" s="50">
        <f>$C4*(($E4*($V4+$X4+$Y4))+($W4))/453.59</f>
        <v>7.4240106485062834E-3</v>
      </c>
      <c r="L89" s="50">
        <f>$B$22*C4*(E4+6)</f>
        <v>1.6877165172143799E-2</v>
      </c>
      <c r="M89" s="50">
        <f t="shared" ref="M89:M90" si="53">0.41*L89</f>
        <v>6.9196377205789569E-3</v>
      </c>
      <c r="N89" s="50">
        <f>C4*($E4*$Z4+($AA4))/453.59</f>
        <v>110.84715345207779</v>
      </c>
      <c r="O89" s="50">
        <f>C4*($E4*$AB4+($AC4))/453.59</f>
        <v>6.3409507780604986E-3</v>
      </c>
      <c r="P89" s="50">
        <f>C4*($E4*$AD4+($AE4))/453.59</f>
        <v>1.1542239827686721E-2</v>
      </c>
      <c r="AN89" s="38"/>
      <c r="AZ89" s="36"/>
    </row>
    <row r="90" spans="1:52" ht="25.5">
      <c r="A90" s="44" t="str">
        <f t="shared" si="52"/>
        <v>Relay Testing</v>
      </c>
      <c r="B90" s="45" t="str">
        <f t="shared" si="52"/>
        <v>Light-Duty Truck, catalyst</v>
      </c>
      <c r="C90" s="46">
        <f t="shared" si="52"/>
        <v>2</v>
      </c>
      <c r="D90" s="46">
        <v>35</v>
      </c>
      <c r="E90" s="46">
        <v>80</v>
      </c>
      <c r="F90" s="50">
        <f>C5*($E5*$F5+($G5))/453.59</f>
        <v>0.97143877176184013</v>
      </c>
      <c r="G90" s="50">
        <f>C5*($E5*$H5+($I5))/453.59</f>
        <v>8.7341314588756019E-2</v>
      </c>
      <c r="H90" s="50">
        <f>C5*(($E5*$J5)+($K5)+($L5)+($E5*$N5)+(($M5+$O5)))/453.59</f>
        <v>0.10099996064790666</v>
      </c>
      <c r="I90" s="50">
        <f>C5*($E5*$P5+($Q5))/453.59</f>
        <v>1.4535940543212319E-3</v>
      </c>
      <c r="J90" s="50">
        <f>C5*(($E5*($R5+$T5+$U5))+($S5))/453.59</f>
        <v>1.7048180910415794E-2</v>
      </c>
      <c r="K90" s="50">
        <f>$C5*(($E5*($V5+$X5+$Y5))+($W5))/453.59</f>
        <v>7.4240106485062834E-3</v>
      </c>
      <c r="L90" s="50">
        <f>$B$22*C5*(E5+6)</f>
        <v>1.6877165172143799E-2</v>
      </c>
      <c r="M90" s="50">
        <f t="shared" si="53"/>
        <v>6.9196377205789569E-3</v>
      </c>
      <c r="N90" s="50">
        <f>C5*($E5*$Z5+($AA5))/453.59</f>
        <v>110.84715345207779</v>
      </c>
      <c r="O90" s="50">
        <f>C5*($E5*$AB5+($AC5))/453.59</f>
        <v>6.3409507780604986E-3</v>
      </c>
      <c r="P90" s="50">
        <f>C5*($E5*$AD5+($AE5))/453.59</f>
        <v>1.1542239827686721E-2</v>
      </c>
      <c r="AN90" s="38"/>
      <c r="AZ90" s="36"/>
    </row>
    <row r="91" spans="1:52">
      <c r="A91" s="61" t="s">
        <v>389</v>
      </c>
      <c r="B91" s="40"/>
      <c r="C91" s="40"/>
      <c r="D91" s="40"/>
      <c r="E91" s="40"/>
      <c r="F91" s="81">
        <f t="shared" ref="F91:P91" si="54">SUM(F89:F90)</f>
        <v>1.9428775435236803</v>
      </c>
      <c r="G91" s="81">
        <f t="shared" si="54"/>
        <v>0.17468262917751204</v>
      </c>
      <c r="H91" s="81">
        <f t="shared" si="54"/>
        <v>0.20199992129581332</v>
      </c>
      <c r="I91" s="81">
        <f t="shared" si="54"/>
        <v>2.9071881086424637E-3</v>
      </c>
      <c r="J91" s="81">
        <f t="shared" si="54"/>
        <v>3.4096361820831589E-2</v>
      </c>
      <c r="K91" s="81">
        <f t="shared" si="54"/>
        <v>1.4848021297012567E-2</v>
      </c>
      <c r="L91" s="81">
        <f t="shared" si="54"/>
        <v>3.3754330344287597E-2</v>
      </c>
      <c r="M91" s="81">
        <f t="shared" si="54"/>
        <v>1.3839275441157914E-2</v>
      </c>
      <c r="N91" s="81">
        <f t="shared" si="54"/>
        <v>221.69430690415558</v>
      </c>
      <c r="O91" s="81">
        <f t="shared" si="54"/>
        <v>1.2681901556120997E-2</v>
      </c>
      <c r="P91" s="81">
        <f t="shared" si="54"/>
        <v>2.3084479655373441E-2</v>
      </c>
      <c r="AN91" s="38"/>
      <c r="AZ91" s="36"/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9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735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1" t="s">
        <v>323</v>
      </c>
      <c r="B7" s="22"/>
      <c r="C7" s="18"/>
      <c r="D7" s="22"/>
      <c r="E7" s="19"/>
      <c r="F7" s="19"/>
      <c r="G7" s="19"/>
      <c r="H7" s="19"/>
      <c r="I7" s="19"/>
      <c r="J7" s="19"/>
      <c r="K7" s="19"/>
      <c r="L7" s="19"/>
      <c r="M7" s="19"/>
      <c r="N7" s="11"/>
      <c r="O7" s="11"/>
      <c r="P7" s="11"/>
      <c r="Q7" s="27"/>
      <c r="R7" s="27"/>
      <c r="S7" s="27"/>
      <c r="T7" s="27"/>
      <c r="U7" s="27"/>
      <c r="V7" s="27"/>
      <c r="W7" s="28"/>
      <c r="X7" s="27"/>
      <c r="Y7" s="27"/>
    </row>
    <row r="8" spans="1:25" s="3" customFormat="1">
      <c r="A8" s="17" t="s">
        <v>28</v>
      </c>
      <c r="B8" s="97"/>
      <c r="C8" s="22"/>
      <c r="D8" s="22"/>
      <c r="E8" s="23"/>
      <c r="F8" s="23"/>
      <c r="G8" s="23"/>
      <c r="H8" s="23"/>
      <c r="I8" s="23"/>
      <c r="J8" s="24"/>
      <c r="K8" s="25"/>
      <c r="L8" s="23"/>
      <c r="M8" s="23"/>
      <c r="N8" s="88"/>
      <c r="O8" s="88"/>
      <c r="P8" s="88"/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</row>
    <row r="9" spans="1:25">
      <c r="A9" s="17" t="s">
        <v>499</v>
      </c>
      <c r="B9" s="561"/>
      <c r="C9" s="18"/>
      <c r="D9" s="22"/>
      <c r="E9" s="19"/>
      <c r="F9" s="19"/>
      <c r="G9" s="19"/>
      <c r="H9" s="19"/>
      <c r="I9" s="19"/>
      <c r="J9" s="19"/>
      <c r="K9" s="19"/>
      <c r="L9" s="19"/>
      <c r="M9" s="19"/>
      <c r="N9" s="30"/>
      <c r="O9" s="30"/>
      <c r="P9" s="364"/>
      <c r="Q9" s="20">
        <f>Q8</f>
        <v>0</v>
      </c>
      <c r="R9" s="20">
        <f t="shared" ref="R9:Y9" si="0">R8</f>
        <v>0</v>
      </c>
      <c r="S9" s="20">
        <f t="shared" si="0"/>
        <v>0</v>
      </c>
      <c r="T9" s="20">
        <f t="shared" si="0"/>
        <v>0</v>
      </c>
      <c r="U9" s="20">
        <f t="shared" si="0"/>
        <v>0</v>
      </c>
      <c r="V9" s="20">
        <f t="shared" si="0"/>
        <v>0</v>
      </c>
      <c r="W9" s="20">
        <f t="shared" si="0"/>
        <v>0</v>
      </c>
      <c r="X9" s="20">
        <f t="shared" si="0"/>
        <v>0</v>
      </c>
      <c r="Y9" s="20">
        <f t="shared" si="0"/>
        <v>0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75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736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>
      <c r="A8" s="114" t="s">
        <v>323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312</v>
      </c>
      <c r="B9" s="76" t="s">
        <v>95</v>
      </c>
      <c r="C9" s="79">
        <v>1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3.3297091844548342E-2</v>
      </c>
      <c r="U9" s="50">
        <f>C9*($F9*$H9)/453.59</f>
        <v>6.1469792609906218E-2</v>
      </c>
      <c r="V9" s="50">
        <f>C9*(($F9*$I9))/453.59</f>
        <v>7.5102242543154491E-3</v>
      </c>
      <c r="W9" s="50">
        <f>C9*($F9*$J9)/453.59</f>
        <v>4.6328711353582576E-4</v>
      </c>
      <c r="X9" s="50">
        <f>C9*(($F9*($K9+$L9+$M9)))/453.59</f>
        <v>1.2123154956717041E-2</v>
      </c>
      <c r="Y9" s="50">
        <f>C9*(($F9*($N9+$O9+$P9)))/453.59</f>
        <v>8.0553663276591338E-3</v>
      </c>
      <c r="Z9" s="50">
        <f>C9*(F9)*$B$322</f>
        <v>0</v>
      </c>
      <c r="AA9" s="50">
        <f>Z9*0.21</f>
        <v>0</v>
      </c>
      <c r="AB9" s="50">
        <f>C9*(($F9*($Q9)))/453.59</f>
        <v>32.271368530085546</v>
      </c>
      <c r="AC9" s="50">
        <f>C9*(($F9*($R9)))/453.59</f>
        <v>1.844082811914678E-3</v>
      </c>
      <c r="AD9" s="50">
        <f>C9*(($F9*($S9)))/453.59</f>
        <v>8.2666337626667119E-4</v>
      </c>
    </row>
    <row r="10" spans="1:30">
      <c r="A10" s="75" t="s">
        <v>28</v>
      </c>
      <c r="B10" s="74"/>
      <c r="C10" s="112"/>
      <c r="D10" s="112"/>
      <c r="E10" s="74"/>
      <c r="F10" s="74"/>
      <c r="G10" s="577"/>
      <c r="H10" s="41"/>
      <c r="I10" s="41"/>
      <c r="J10" s="41"/>
      <c r="K10" s="574"/>
      <c r="L10" s="574"/>
      <c r="M10" s="574"/>
      <c r="N10" s="574"/>
      <c r="O10" s="574"/>
      <c r="P10" s="574"/>
      <c r="Q10" s="41"/>
      <c r="R10" s="574"/>
      <c r="S10" s="574"/>
      <c r="T10" s="81">
        <f t="shared" ref="T10:AD10" si="0">SUM(T9:T9)</f>
        <v>3.3297091844548342E-2</v>
      </c>
      <c r="U10" s="81">
        <f t="shared" si="0"/>
        <v>6.1469792609906218E-2</v>
      </c>
      <c r="V10" s="81">
        <f t="shared" si="0"/>
        <v>7.5102242543154491E-3</v>
      </c>
      <c r="W10" s="81">
        <f t="shared" si="0"/>
        <v>4.6328711353582576E-4</v>
      </c>
      <c r="X10" s="81">
        <f t="shared" si="0"/>
        <v>1.2123154956717041E-2</v>
      </c>
      <c r="Y10" s="81">
        <f t="shared" si="0"/>
        <v>8.0553663276591338E-3</v>
      </c>
      <c r="Z10" s="81">
        <f t="shared" si="0"/>
        <v>0</v>
      </c>
      <c r="AA10" s="81">
        <f t="shared" si="0"/>
        <v>0</v>
      </c>
      <c r="AB10" s="81">
        <f t="shared" si="0"/>
        <v>32.271368530085546</v>
      </c>
      <c r="AC10" s="81">
        <f t="shared" si="0"/>
        <v>1.844082811914678E-3</v>
      </c>
      <c r="AD10" s="81">
        <f t="shared" si="0"/>
        <v>8.2666337626667119E-4</v>
      </c>
    </row>
    <row r="11" spans="1:30">
      <c r="A11" s="75" t="s">
        <v>388</v>
      </c>
      <c r="B11" s="74"/>
      <c r="C11" s="112"/>
      <c r="D11" s="112"/>
      <c r="E11" s="74"/>
      <c r="F11" s="74"/>
      <c r="G11" s="547"/>
      <c r="H11" s="41"/>
      <c r="I11" s="41"/>
      <c r="J11" s="41"/>
      <c r="K11" s="544"/>
      <c r="L11" s="544"/>
      <c r="M11" s="544"/>
      <c r="N11" s="544"/>
      <c r="O11" s="544"/>
      <c r="P11" s="544"/>
      <c r="Q11" s="41"/>
      <c r="R11" s="544"/>
      <c r="S11" s="544"/>
      <c r="T11" s="81">
        <f>T10</f>
        <v>3.3297091844548342E-2</v>
      </c>
      <c r="U11" s="81">
        <f t="shared" ref="U11:AD11" si="1">U10</f>
        <v>6.1469792609906218E-2</v>
      </c>
      <c r="V11" s="81">
        <f t="shared" si="1"/>
        <v>7.5102242543154491E-3</v>
      </c>
      <c r="W11" s="81">
        <f t="shared" si="1"/>
        <v>4.6328711353582576E-4</v>
      </c>
      <c r="X11" s="81">
        <f t="shared" si="1"/>
        <v>1.2123154956717041E-2</v>
      </c>
      <c r="Y11" s="81">
        <f t="shared" si="1"/>
        <v>8.0553663276591338E-3</v>
      </c>
      <c r="Z11" s="81">
        <f t="shared" si="1"/>
        <v>0</v>
      </c>
      <c r="AA11" s="81">
        <f t="shared" si="1"/>
        <v>0</v>
      </c>
      <c r="AB11" s="81">
        <f t="shared" si="1"/>
        <v>32.271368530085546</v>
      </c>
      <c r="AC11" s="81">
        <f t="shared" si="1"/>
        <v>1.844082811914678E-3</v>
      </c>
      <c r="AD11" s="81">
        <f t="shared" si="1"/>
        <v>8.2666337626667119E-4</v>
      </c>
    </row>
    <row r="12" spans="1:30">
      <c r="A12" s="370"/>
      <c r="B12" s="371"/>
      <c r="C12" s="372"/>
      <c r="D12" s="372"/>
      <c r="E12" s="371"/>
      <c r="F12" s="371"/>
      <c r="G12" s="373"/>
      <c r="H12" s="373"/>
      <c r="I12" s="373"/>
      <c r="J12" s="373"/>
      <c r="K12" s="373"/>
      <c r="L12" s="373"/>
      <c r="M12" s="373"/>
      <c r="N12" s="373"/>
      <c r="O12" s="373"/>
      <c r="P12" s="373"/>
      <c r="Q12" s="373"/>
      <c r="R12" s="373"/>
      <c r="S12" s="373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</row>
    <row r="13" spans="1:30">
      <c r="A13" s="370"/>
      <c r="B13" s="371"/>
      <c r="C13" s="372"/>
      <c r="D13" s="372"/>
      <c r="E13" s="371"/>
      <c r="F13" s="371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</row>
    <row r="14" spans="1:30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</row>
    <row r="15" spans="1:30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</row>
    <row r="363" spans="1:1" ht="25.5">
      <c r="A363" s="82" t="s">
        <v>109</v>
      </c>
    </row>
    <row r="365" spans="1:1">
      <c r="A365" s="36" t="s">
        <v>81</v>
      </c>
    </row>
    <row r="366" spans="1:1">
      <c r="A366" s="36" t="s">
        <v>82</v>
      </c>
    </row>
    <row r="367" spans="1:1">
      <c r="A367" s="36" t="s">
        <v>83</v>
      </c>
    </row>
    <row r="368" spans="1:1">
      <c r="A368" s="37" t="s">
        <v>96</v>
      </c>
    </row>
    <row r="369" spans="1:2">
      <c r="A369" s="36" t="s">
        <v>85</v>
      </c>
    </row>
    <row r="370" spans="1:2">
      <c r="A370" s="36" t="s">
        <v>86</v>
      </c>
    </row>
    <row r="371" spans="1:2">
      <c r="A371" s="36" t="s">
        <v>87</v>
      </c>
    </row>
    <row r="372" spans="1:2">
      <c r="A372" s="36" t="s">
        <v>0</v>
      </c>
    </row>
    <row r="373" spans="1:2">
      <c r="A373" s="37" t="s">
        <v>97</v>
      </c>
      <c r="B373" s="36">
        <f>(0.016*(0.03/2)^0.65*(2/3)^1.5)-0.00047</f>
        <v>9.8123053326417428E-5</v>
      </c>
    </row>
    <row r="374" spans="1:2">
      <c r="A374" s="37" t="s">
        <v>98</v>
      </c>
      <c r="B374" s="36">
        <f>(0.016*(0.03/2)^0.65*(13/3)^1.5)-0.00047</f>
        <v>8.9448292388582783E-3</v>
      </c>
    </row>
    <row r="375" spans="1:2">
      <c r="A375" s="37" t="s">
        <v>99</v>
      </c>
      <c r="B375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737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323</v>
      </c>
      <c r="B4" s="45" t="s">
        <v>102</v>
      </c>
      <c r="C4" s="46">
        <v>2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54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545" t="s">
        <v>55</v>
      </c>
      <c r="G87" s="545" t="s">
        <v>73</v>
      </c>
      <c r="H87" s="545" t="s">
        <v>74</v>
      </c>
      <c r="I87" s="545" t="s">
        <v>58</v>
      </c>
      <c r="J87" s="545" t="s">
        <v>59</v>
      </c>
      <c r="K87" s="545" t="s">
        <v>60</v>
      </c>
      <c r="L87" s="544" t="s">
        <v>75</v>
      </c>
      <c r="M87" s="544" t="s">
        <v>76</v>
      </c>
      <c r="N87" s="544" t="s">
        <v>61</v>
      </c>
      <c r="O87" s="544" t="s">
        <v>62</v>
      </c>
      <c r="P87" s="544" t="s">
        <v>63</v>
      </c>
      <c r="AN87" s="38"/>
      <c r="AZ87" s="36"/>
    </row>
    <row r="88" spans="1:52" ht="25.5">
      <c r="A88" s="44" t="str">
        <f>A4</f>
        <v>Relay Testing</v>
      </c>
      <c r="B88" s="45" t="str">
        <f>B4</f>
        <v>Light-Duty Truck, catalyst</v>
      </c>
      <c r="C88" s="46">
        <f>C4</f>
        <v>2</v>
      </c>
      <c r="D88" s="46">
        <v>35</v>
      </c>
      <c r="E88" s="46">
        <v>80</v>
      </c>
      <c r="F88" s="50">
        <f>C4*($E4*$F4+($G4))/453.59</f>
        <v>0.97143877176184013</v>
      </c>
      <c r="G88" s="50">
        <f>C4*($E4*$H4+($I4))/453.59</f>
        <v>8.7341314588756019E-2</v>
      </c>
      <c r="H88" s="50">
        <f>C4*(($E4*$J4)+($K4)+($L4)+($E4*$N4)+(($M4+$O4)))/453.59</f>
        <v>0.10099996064790666</v>
      </c>
      <c r="I88" s="50">
        <f>C4*($E4*$P4+($Q4))/453.59</f>
        <v>1.4535940543212319E-3</v>
      </c>
      <c r="J88" s="50">
        <f>C4*(($E4*($R4+$T4+$U4))+($S4))/453.59</f>
        <v>1.7048180910415794E-2</v>
      </c>
      <c r="K88" s="50">
        <f>$C4*(($E4*($V4+$X4+$Y4))+($W4))/453.59</f>
        <v>7.4240106485062834E-3</v>
      </c>
      <c r="L88" s="50">
        <f>$B$21*C4*(E4+6)</f>
        <v>1.6877165172143799E-2</v>
      </c>
      <c r="M88" s="50">
        <f t="shared" ref="M88" si="52">0.41*L88</f>
        <v>6.9196377205789569E-3</v>
      </c>
      <c r="N88" s="50">
        <f>C4*($E4*$Z4+($AA4))/453.59</f>
        <v>110.84715345207779</v>
      </c>
      <c r="O88" s="50">
        <f>C4*($E4*$AB4+($AC4))/453.59</f>
        <v>6.3409507780604986E-3</v>
      </c>
      <c r="P88" s="50">
        <f>C4*($E4*$AD4+($AE4))/453.59</f>
        <v>1.1542239827686721E-2</v>
      </c>
      <c r="AN88" s="38"/>
      <c r="AZ88" s="36"/>
    </row>
    <row r="89" spans="1:52">
      <c r="A89" s="61" t="s">
        <v>389</v>
      </c>
      <c r="B89" s="40"/>
      <c r="C89" s="40"/>
      <c r="D89" s="40"/>
      <c r="E89" s="40"/>
      <c r="F89" s="81">
        <f t="shared" ref="F89:P89" si="53">SUM(F88:F88)</f>
        <v>0.97143877176184013</v>
      </c>
      <c r="G89" s="81">
        <f t="shared" si="53"/>
        <v>8.7341314588756019E-2</v>
      </c>
      <c r="H89" s="81">
        <f t="shared" si="53"/>
        <v>0.10099996064790666</v>
      </c>
      <c r="I89" s="81">
        <f t="shared" si="53"/>
        <v>1.4535940543212319E-3</v>
      </c>
      <c r="J89" s="81">
        <f t="shared" si="53"/>
        <v>1.7048180910415794E-2</v>
      </c>
      <c r="K89" s="81">
        <f t="shared" si="53"/>
        <v>7.4240106485062834E-3</v>
      </c>
      <c r="L89" s="81">
        <f t="shared" si="53"/>
        <v>1.6877165172143799E-2</v>
      </c>
      <c r="M89" s="81">
        <f t="shared" si="53"/>
        <v>6.9196377205789569E-3</v>
      </c>
      <c r="N89" s="81">
        <f t="shared" si="53"/>
        <v>110.84715345207779</v>
      </c>
      <c r="O89" s="81">
        <f t="shared" si="53"/>
        <v>6.3409507780604986E-3</v>
      </c>
      <c r="P89" s="81">
        <f t="shared" si="53"/>
        <v>1.1542239827686721E-2</v>
      </c>
      <c r="AN89" s="38"/>
      <c r="AZ89" s="36"/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8"/>
  <sheetViews>
    <sheetView zoomScale="75" zoomScaleNormal="75" workbookViewId="0">
      <selection activeCell="E42" sqref="E4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540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64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314</v>
      </c>
      <c r="B7" s="571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8</v>
      </c>
      <c r="P8" s="88">
        <v>125</v>
      </c>
      <c r="Q8" s="34">
        <f t="shared" ref="Q8:Y10" si="2">(E8*$N8*$O8)</f>
        <v>0.49946184642775621</v>
      </c>
      <c r="R8" s="26">
        <f t="shared" si="2"/>
        <v>2.4431746031746027</v>
      </c>
      <c r="S8" s="26">
        <f t="shared" si="2"/>
        <v>3.1176888888888881</v>
      </c>
      <c r="T8" s="26">
        <f t="shared" si="2"/>
        <v>4.4060015200662857E-3</v>
      </c>
      <c r="U8" s="26">
        <f t="shared" si="2"/>
        <v>0.19809523809523807</v>
      </c>
      <c r="V8" s="26">
        <f t="shared" si="2"/>
        <v>0.17630476190476188</v>
      </c>
      <c r="W8" s="26">
        <f t="shared" si="2"/>
        <v>375.60183859341714</v>
      </c>
      <c r="X8" s="26">
        <f t="shared" si="2"/>
        <v>5.4697471816927752E-2</v>
      </c>
      <c r="Y8" s="26">
        <f t="shared" si="2"/>
        <v>0.29618044444444436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9</v>
      </c>
      <c r="P9" s="363">
        <v>125</v>
      </c>
      <c r="Q9" s="34">
        <f t="shared" si="2"/>
        <v>1.0612998664693185</v>
      </c>
      <c r="R9" s="26">
        <f t="shared" si="2"/>
        <v>3.2860974016937274</v>
      </c>
      <c r="S9" s="26">
        <f t="shared" si="2"/>
        <v>7.8103317854039886</v>
      </c>
      <c r="T9" s="26">
        <f t="shared" si="2"/>
        <v>1.6865295748293957E-2</v>
      </c>
      <c r="U9" s="26">
        <f t="shared" si="2"/>
        <v>0.26137541066030878</v>
      </c>
      <c r="V9" s="26">
        <f t="shared" si="2"/>
        <v>0.23262411548767484</v>
      </c>
      <c r="W9" s="26">
        <f t="shared" si="2"/>
        <v>1498.908740620727</v>
      </c>
      <c r="X9" s="26">
        <f t="shared" si="2"/>
        <v>9.5759396799267066E-2</v>
      </c>
      <c r="Y9" s="26">
        <f t="shared" si="2"/>
        <v>0.74198151961337888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3</v>
      </c>
      <c r="P10" s="363">
        <v>125</v>
      </c>
      <c r="Q10" s="34">
        <f t="shared" si="2"/>
        <v>3.9051121312432671E-2</v>
      </c>
      <c r="R10" s="26">
        <f t="shared" si="2"/>
        <v>0.1468253968253968</v>
      </c>
      <c r="S10" s="26">
        <f t="shared" si="2"/>
        <v>0.13018518518518515</v>
      </c>
      <c r="T10" s="26">
        <f t="shared" si="2"/>
        <v>4.7652059865273245E-4</v>
      </c>
      <c r="U10" s="26">
        <f t="shared" si="2"/>
        <v>1.4682539682539681E-2</v>
      </c>
      <c r="V10" s="26">
        <f t="shared" si="2"/>
        <v>1.3067460317460314E-2</v>
      </c>
      <c r="W10" s="26">
        <f t="shared" si="2"/>
        <v>30.622980859093083</v>
      </c>
      <c r="X10" s="26">
        <f t="shared" si="2"/>
        <v>3.8388136396804665E-3</v>
      </c>
      <c r="Y10" s="26">
        <f t="shared" si="2"/>
        <v>1.236759259259259E-2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1.5998128342095075</v>
      </c>
      <c r="R11" s="101">
        <f t="shared" ref="R11:Y11" si="3">SUM(R8:R10)</f>
        <v>5.8760974016937269</v>
      </c>
      <c r="S11" s="101">
        <f t="shared" si="3"/>
        <v>11.058205859478063</v>
      </c>
      <c r="T11" s="101">
        <f t="shared" si="3"/>
        <v>2.1747817867012974E-2</v>
      </c>
      <c r="U11" s="101">
        <f t="shared" si="3"/>
        <v>0.47415318843808657</v>
      </c>
      <c r="V11" s="101">
        <f t="shared" si="3"/>
        <v>0.42199633770989703</v>
      </c>
      <c r="W11" s="101">
        <f t="shared" si="3"/>
        <v>1905.1335600732373</v>
      </c>
      <c r="X11" s="101">
        <f t="shared" si="3"/>
        <v>0.15429568225587528</v>
      </c>
      <c r="Y11" s="101">
        <f t="shared" si="3"/>
        <v>1.0505295566504158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87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7" t="s">
        <v>281</v>
      </c>
      <c r="B13" s="90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30"/>
      <c r="O13" s="30"/>
      <c r="P13" s="30"/>
      <c r="Q13" s="20"/>
      <c r="R13" s="20"/>
      <c r="S13" s="27"/>
      <c r="T13" s="20"/>
      <c r="U13" s="20"/>
      <c r="V13" s="20"/>
      <c r="W13" s="21"/>
      <c r="X13" s="20"/>
      <c r="Y13" s="20"/>
    </row>
    <row r="14" spans="1:25" s="3" customFormat="1">
      <c r="A14" s="100" t="s">
        <v>120</v>
      </c>
      <c r="B14" s="29" t="s">
        <v>27</v>
      </c>
      <c r="C14" s="22">
        <v>358</v>
      </c>
      <c r="D14" s="22">
        <v>0.4</v>
      </c>
      <c r="E14" s="108">
        <v>0.27937428148624566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0.82081128747795418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1.2776243386243384</v>
      </c>
      <c r="H14" s="108">
        <v>2.5998088533883764E-3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4.735449735449735E-2</v>
      </c>
      <c r="J14" s="100">
        <f t="shared" ref="J14:J19" si="4">0.89*I14</f>
        <v>4.2145502645502646E-2</v>
      </c>
      <c r="K14" s="108">
        <v>264.8725636721183</v>
      </c>
      <c r="L14" s="108">
        <v>2.6451144743432839E-2</v>
      </c>
      <c r="M14" s="102">
        <f t="shared" ref="M14:M19" si="5">0.095*G14</f>
        <v>0.12137431216931216</v>
      </c>
      <c r="N14" s="98">
        <v>1</v>
      </c>
      <c r="O14" s="87">
        <v>8</v>
      </c>
      <c r="P14" s="363">
        <v>75</v>
      </c>
      <c r="Q14" s="34">
        <f t="shared" ref="Q14:Y19" si="6">(E14*$N14*$O14)</f>
        <v>2.2349942518899653</v>
      </c>
      <c r="R14" s="26">
        <f t="shared" si="6"/>
        <v>6.5664902998236334</v>
      </c>
      <c r="S14" s="26">
        <f t="shared" si="6"/>
        <v>10.220994708994708</v>
      </c>
      <c r="T14" s="26">
        <f t="shared" si="6"/>
        <v>2.0798470827107011E-2</v>
      </c>
      <c r="U14" s="26">
        <f t="shared" si="6"/>
        <v>0.3788359788359788</v>
      </c>
      <c r="V14" s="26">
        <f t="shared" si="6"/>
        <v>0.33716402116402117</v>
      </c>
      <c r="W14" s="26">
        <f t="shared" si="6"/>
        <v>2118.9805093769464</v>
      </c>
      <c r="X14" s="26">
        <f t="shared" si="6"/>
        <v>0.21160915794746271</v>
      </c>
      <c r="Y14" s="26">
        <f t="shared" si="6"/>
        <v>0.97099449735449728</v>
      </c>
    </row>
    <row r="15" spans="1:25" s="3" customFormat="1">
      <c r="A15" s="100" t="s">
        <v>121</v>
      </c>
      <c r="B15" s="29" t="s">
        <v>27</v>
      </c>
      <c r="C15" s="22">
        <v>162</v>
      </c>
      <c r="D15" s="22">
        <v>0.41</v>
      </c>
      <c r="E15" s="108">
        <v>0.12153885438656534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0.5417857142857142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0.60233392857142853</v>
      </c>
      <c r="H15" s="108">
        <v>1.3943296443626662E-3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3.2214285714285709E-2</v>
      </c>
      <c r="J15" s="100">
        <f t="shared" si="4"/>
        <v>2.8670714285714282E-2</v>
      </c>
      <c r="K15" s="365">
        <v>123.92149503712022</v>
      </c>
      <c r="L15" s="23">
        <v>1.1720218383966691E-2</v>
      </c>
      <c r="M15" s="102">
        <f t="shared" si="5"/>
        <v>5.7221723214285709E-2</v>
      </c>
      <c r="N15" s="98">
        <v>1</v>
      </c>
      <c r="O15" s="87">
        <v>8</v>
      </c>
      <c r="P15" s="363">
        <v>75</v>
      </c>
      <c r="Q15" s="34">
        <f t="shared" si="6"/>
        <v>0.9723108350925227</v>
      </c>
      <c r="R15" s="26">
        <f t="shared" si="6"/>
        <v>4.3342857142857136</v>
      </c>
      <c r="S15" s="26">
        <f t="shared" si="6"/>
        <v>4.8186714285714283</v>
      </c>
      <c r="T15" s="26">
        <f t="shared" si="6"/>
        <v>1.115463715490133E-2</v>
      </c>
      <c r="U15" s="26">
        <f t="shared" si="6"/>
        <v>0.25771428571428567</v>
      </c>
      <c r="V15" s="26">
        <f t="shared" si="6"/>
        <v>0.22936571428571426</v>
      </c>
      <c r="W15" s="26">
        <f t="shared" si="6"/>
        <v>991.37196029696179</v>
      </c>
      <c r="X15" s="26">
        <f t="shared" si="6"/>
        <v>9.3761747071733528E-2</v>
      </c>
      <c r="Y15" s="26">
        <f t="shared" si="6"/>
        <v>0.45777378571428567</v>
      </c>
    </row>
    <row r="16" spans="1:25" s="3" customFormat="1">
      <c r="A16" s="100" t="s">
        <v>123</v>
      </c>
      <c r="B16" s="29" t="s">
        <v>27</v>
      </c>
      <c r="C16" s="22">
        <v>84</v>
      </c>
      <c r="D16" s="22">
        <v>0.38</v>
      </c>
      <c r="E16" s="102">
        <v>7.9534395197012789E-2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0.26037037037037036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0.33225370370370361</v>
      </c>
      <c r="H16" s="102">
        <v>6.9196834691909377E-4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2.1111111111111112E-2</v>
      </c>
      <c r="J16" s="100">
        <f t="shared" si="4"/>
        <v>1.878888888888889E-2</v>
      </c>
      <c r="K16" s="103">
        <v>58.988746640295226</v>
      </c>
      <c r="L16" s="102">
        <v>7.7311979659905822E-3</v>
      </c>
      <c r="M16" s="102">
        <f t="shared" si="5"/>
        <v>3.1564101851851843E-2</v>
      </c>
      <c r="N16" s="363">
        <v>1</v>
      </c>
      <c r="O16" s="87">
        <v>8</v>
      </c>
      <c r="P16" s="363">
        <v>75</v>
      </c>
      <c r="Q16" s="34">
        <f t="shared" si="6"/>
        <v>0.63627516157610231</v>
      </c>
      <c r="R16" s="26">
        <f t="shared" si="6"/>
        <v>2.0829629629629629</v>
      </c>
      <c r="S16" s="26">
        <f t="shared" si="6"/>
        <v>2.6580296296296289</v>
      </c>
      <c r="T16" s="26">
        <f t="shared" si="6"/>
        <v>5.5357467753527501E-3</v>
      </c>
      <c r="U16" s="26">
        <f t="shared" si="6"/>
        <v>0.16888888888888889</v>
      </c>
      <c r="V16" s="26">
        <f t="shared" si="6"/>
        <v>0.15031111111111112</v>
      </c>
      <c r="W16" s="26">
        <f t="shared" si="6"/>
        <v>471.90997312236181</v>
      </c>
      <c r="X16" s="26">
        <f t="shared" si="6"/>
        <v>6.1849583727924658E-2</v>
      </c>
      <c r="Y16" s="26">
        <f t="shared" si="6"/>
        <v>0.25251281481481475</v>
      </c>
    </row>
    <row r="17" spans="1:25" s="3" customFormat="1">
      <c r="A17" s="100" t="s">
        <v>282</v>
      </c>
      <c r="B17" s="29" t="s">
        <v>27</v>
      </c>
      <c r="C17" s="97">
        <v>37</v>
      </c>
      <c r="D17" s="22">
        <v>0.37</v>
      </c>
      <c r="E17" s="102">
        <v>3.2313389441625637E-2</v>
      </c>
      <c r="F17" s="397">
        <f>IF($C17&lt;11,'Offroad Tiers EF (2)'!$AN$4*$C17*$D17,IF($C17&lt;25,'Offroad Tiers EF (2)'!$AN$5*$C17*$D17,IF($C17&lt;50,'Offroad Tiers EF (2)'!$AN$6*$C17*$D17,IF($C17&lt;75,'Offroad Tiers EF (2)'!$AN$7*$C17*$D17,IF($C17&lt;100,'Offroad Tiers EF (2)'!$AN$8*$C17*$D17,IF($C17&lt;175,'Offroad Tiers EF (2)'!$AN$9*$C17*$D17,IF($C17&lt;300,'Offroad Tiers EF (2)'!$AN$10*$C17*$D17,IF($C17&lt;600,'Offroad Tiers EF (2)'!$AN$11*$C17*$D17,"!"))))))))</f>
        <v>0.12374118165784832</v>
      </c>
      <c r="G17" s="397">
        <f>IF($C17&lt;11,'Offroad Tiers EF (2)'!$AM$4*$C17*$D17,IF($C17&lt;25,'Offroad Tiers EF (2)'!$AM$5*$C17*$D17,IF($C17&lt;50,'Offroad Tiers EF (2)'!$AM$6*$C17*$D17,IF($C17&lt;75,'Offroad Tiers EF (2)'!$AM$7*$C17*$D17,IF($C17&lt;100,'Offroad Tiers EF (2)'!$AM$8*$C17*$D17,IF($C17&lt;175,'Offroad Tiers EF (2)'!$AM$9*$C17*$D17,IF($C17&lt;300,'Offroad Tiers EF (2)'!$AM$10*$C17*$D17,IF($C17&lt;600,'Offroad Tiers EF (2)'!$AM$11*$C17*$D17,"!"))))))))</f>
        <v>0.16056172839506169</v>
      </c>
      <c r="H17" s="102">
        <v>3.2989906092678058E-4</v>
      </c>
      <c r="I17" s="397">
        <f>IF($C17&lt;11,'Offroad Tiers EF (2)'!$AO$4*$C17*$D17,IF($C17&lt;25,'Offroad Tiers EF (2)'!$AO$5*$C17*$D17,IF($C17&lt;50,'Offroad Tiers EF (2)'!$AO$6*$C17*$D17,IF($C17&lt;75,'Offroad Tiers EF (2)'!$AO$7*$C17*$D17,IF($C17&lt;100,'Offroad Tiers EF (2)'!$AO$8*$C17*$D17,IF($C17&lt;175,'Offroad Tiers EF (2)'!$AO$9*$C17*$D17,IF($C17&lt;300,'Offroad Tiers EF (2)'!$AO$10*$C17*$D17,IF($C17&lt;600,'Offroad Tiers EF (2)'!$AO$11*$C17*$D17,"!"))))))))</f>
        <v>1.3581349206349205E-2</v>
      </c>
      <c r="J17" s="100">
        <f t="shared" si="4"/>
        <v>1.2087400793650793E-2</v>
      </c>
      <c r="K17" s="103">
        <v>25.519156990664225</v>
      </c>
      <c r="L17" s="102">
        <v>3.413848047070189E-3</v>
      </c>
      <c r="M17" s="104">
        <f t="shared" si="5"/>
        <v>1.5253364197530862E-2</v>
      </c>
      <c r="N17" s="87">
        <v>1</v>
      </c>
      <c r="O17" s="87">
        <v>8</v>
      </c>
      <c r="P17" s="363">
        <v>75</v>
      </c>
      <c r="Q17" s="34">
        <f t="shared" si="6"/>
        <v>0.25850711553300509</v>
      </c>
      <c r="R17" s="26">
        <f t="shared" si="6"/>
        <v>0.98992945326278659</v>
      </c>
      <c r="S17" s="26">
        <f t="shared" si="6"/>
        <v>1.2844938271604935</v>
      </c>
      <c r="T17" s="26">
        <f t="shared" si="6"/>
        <v>2.6391924874142447E-3</v>
      </c>
      <c r="U17" s="26">
        <f t="shared" si="6"/>
        <v>0.10865079365079364</v>
      </c>
      <c r="V17" s="26">
        <f t="shared" si="6"/>
        <v>9.669920634920634E-2</v>
      </c>
      <c r="W17" s="26">
        <f t="shared" si="6"/>
        <v>204.1532559253138</v>
      </c>
      <c r="X17" s="26">
        <f t="shared" si="6"/>
        <v>2.7310784376561512E-2</v>
      </c>
      <c r="Y17" s="26">
        <f t="shared" si="6"/>
        <v>0.12202691358024689</v>
      </c>
    </row>
    <row r="18" spans="1:25" s="3" customFormat="1">
      <c r="A18" s="100" t="s">
        <v>283</v>
      </c>
      <c r="B18" s="29" t="s">
        <v>27</v>
      </c>
      <c r="C18" s="22">
        <v>88</v>
      </c>
      <c r="D18" s="22"/>
      <c r="E18" s="102">
        <v>7.7350469494183435E-2</v>
      </c>
      <c r="F18" s="102">
        <v>0.50168655138603524</v>
      </c>
      <c r="G18" s="102">
        <v>0.53236808560333904</v>
      </c>
      <c r="H18" s="102">
        <v>8.8025852246575076E-4</v>
      </c>
      <c r="I18" s="102">
        <v>3.9192407788964947E-2</v>
      </c>
      <c r="J18" s="100">
        <f t="shared" si="4"/>
        <v>3.4881242932178806E-2</v>
      </c>
      <c r="K18" s="103">
        <v>75.040091008231684</v>
      </c>
      <c r="L18" s="102">
        <v>6.9792086054076847E-3</v>
      </c>
      <c r="M18" s="102">
        <f t="shared" si="5"/>
        <v>5.0574968132317211E-2</v>
      </c>
      <c r="N18" s="98">
        <v>1</v>
      </c>
      <c r="O18" s="87">
        <v>8</v>
      </c>
      <c r="P18" s="363">
        <v>30</v>
      </c>
      <c r="Q18" s="34">
        <f t="shared" si="6"/>
        <v>0.61880375595346748</v>
      </c>
      <c r="R18" s="26">
        <f t="shared" si="6"/>
        <v>4.0134924110882819</v>
      </c>
      <c r="S18" s="26">
        <f t="shared" si="6"/>
        <v>4.2589446848267123</v>
      </c>
      <c r="T18" s="26">
        <f t="shared" si="6"/>
        <v>7.0420681797260061E-3</v>
      </c>
      <c r="U18" s="26">
        <f t="shared" si="6"/>
        <v>0.31353926231171958</v>
      </c>
      <c r="V18" s="26">
        <f t="shared" si="6"/>
        <v>0.27904994345743045</v>
      </c>
      <c r="W18" s="26">
        <f t="shared" si="6"/>
        <v>600.32072806585347</v>
      </c>
      <c r="X18" s="26">
        <f t="shared" si="6"/>
        <v>5.5833668843261477E-2</v>
      </c>
      <c r="Y18" s="26">
        <f t="shared" si="6"/>
        <v>0.40459974505853769</v>
      </c>
    </row>
    <row r="19" spans="1:25" s="3" customFormat="1">
      <c r="A19" s="100" t="s">
        <v>126</v>
      </c>
      <c r="B19" s="29" t="s">
        <v>27</v>
      </c>
      <c r="C19" s="22">
        <v>175</v>
      </c>
      <c r="D19" s="22"/>
      <c r="E19" s="102">
        <v>0.11792220738547983</v>
      </c>
      <c r="F19" s="102">
        <v>0.36512193352152528</v>
      </c>
      <c r="G19" s="102">
        <v>0.86781464282266541</v>
      </c>
      <c r="H19" s="102">
        <v>1.8739217498104396E-3</v>
      </c>
      <c r="I19" s="102">
        <v>2.9041712295589866E-2</v>
      </c>
      <c r="J19" s="100">
        <f t="shared" si="4"/>
        <v>2.5847123943074982E-2</v>
      </c>
      <c r="K19" s="103">
        <v>166.54541562452522</v>
      </c>
      <c r="L19" s="102">
        <v>1.063993297769634E-2</v>
      </c>
      <c r="M19" s="104">
        <f t="shared" si="5"/>
        <v>8.2442391068153209E-2</v>
      </c>
      <c r="N19" s="98">
        <v>2</v>
      </c>
      <c r="O19" s="87">
        <v>8</v>
      </c>
      <c r="P19" s="363">
        <v>75</v>
      </c>
      <c r="Q19" s="34">
        <f t="shared" si="6"/>
        <v>1.8867553181676773</v>
      </c>
      <c r="R19" s="26">
        <f t="shared" si="6"/>
        <v>5.8419509363444044</v>
      </c>
      <c r="S19" s="26">
        <f t="shared" si="6"/>
        <v>13.885034285162646</v>
      </c>
      <c r="T19" s="26">
        <f t="shared" si="6"/>
        <v>2.9982747996967034E-2</v>
      </c>
      <c r="U19" s="26">
        <f t="shared" si="6"/>
        <v>0.46466739672943785</v>
      </c>
      <c r="V19" s="26">
        <f t="shared" si="6"/>
        <v>0.41355398308919972</v>
      </c>
      <c r="W19" s="26">
        <f t="shared" si="6"/>
        <v>2664.7266499924035</v>
      </c>
      <c r="X19" s="26">
        <f t="shared" si="6"/>
        <v>0.17023892764314144</v>
      </c>
      <c r="Y19" s="26">
        <f t="shared" si="6"/>
        <v>1.3190782570904513</v>
      </c>
    </row>
    <row r="20" spans="1:25" s="3" customFormat="1">
      <c r="A20" s="11" t="s">
        <v>28</v>
      </c>
      <c r="B20" s="571"/>
      <c r="C20" s="18"/>
      <c r="D20" s="22"/>
      <c r="E20" s="19"/>
      <c r="F20" s="19"/>
      <c r="G20" s="19"/>
      <c r="H20" s="19"/>
      <c r="I20" s="19"/>
      <c r="J20" s="19"/>
      <c r="K20" s="19"/>
      <c r="L20" s="19"/>
      <c r="M20" s="19"/>
      <c r="N20" s="30"/>
      <c r="O20" s="30"/>
      <c r="P20" s="364"/>
      <c r="Q20" s="20">
        <f t="shared" ref="Q20:Y20" si="7">SUM(Q14:Q19)</f>
        <v>6.6076464382127398</v>
      </c>
      <c r="R20" s="20">
        <f t="shared" si="7"/>
        <v>23.829111777767782</v>
      </c>
      <c r="S20" s="27">
        <f t="shared" si="7"/>
        <v>37.126168564345619</v>
      </c>
      <c r="T20" s="20">
        <f t="shared" si="7"/>
        <v>7.7152863421468376E-2</v>
      </c>
      <c r="U20" s="20">
        <f t="shared" si="7"/>
        <v>1.6922966061311044</v>
      </c>
      <c r="V20" s="20">
        <f t="shared" si="7"/>
        <v>1.5061439794566829</v>
      </c>
      <c r="W20" s="20">
        <f t="shared" si="7"/>
        <v>7051.4630767798408</v>
      </c>
      <c r="X20" s="20">
        <f t="shared" si="7"/>
        <v>0.62060386961008529</v>
      </c>
      <c r="Y20" s="20">
        <f t="shared" si="7"/>
        <v>3.5269860136128335</v>
      </c>
    </row>
    <row r="21" spans="1:25" s="3" customFormat="1">
      <c r="A21" s="11"/>
      <c r="B21" s="571"/>
      <c r="C21" s="18"/>
      <c r="D21" s="22"/>
      <c r="E21" s="19"/>
      <c r="F21" s="19"/>
      <c r="G21" s="19"/>
      <c r="H21" s="19"/>
      <c r="I21" s="19"/>
      <c r="J21" s="19"/>
      <c r="K21" s="19"/>
      <c r="L21" s="19"/>
      <c r="M21" s="19"/>
      <c r="N21" s="30"/>
      <c r="O21" s="375"/>
      <c r="P21" s="364"/>
      <c r="Q21" s="20"/>
      <c r="R21" s="20"/>
      <c r="S21" s="27"/>
      <c r="T21" s="20"/>
      <c r="U21" s="20"/>
      <c r="V21" s="20"/>
      <c r="W21" s="21"/>
      <c r="X21" s="20"/>
      <c r="Y21" s="20"/>
    </row>
    <row r="22" spans="1:25" s="3" customFormat="1">
      <c r="A22" s="17" t="s">
        <v>285</v>
      </c>
      <c r="B22" s="90"/>
      <c r="C22" s="18"/>
      <c r="D22" s="22"/>
      <c r="E22" s="19"/>
      <c r="F22" s="19"/>
      <c r="G22" s="19"/>
      <c r="H22" s="19"/>
      <c r="I22" s="19"/>
      <c r="J22" s="19"/>
      <c r="K22" s="19"/>
      <c r="L22" s="19"/>
      <c r="M22" s="19"/>
      <c r="N22" s="30"/>
      <c r="O22" s="17"/>
      <c r="P22" s="533"/>
      <c r="Q22" s="20"/>
      <c r="R22" s="20"/>
      <c r="S22" s="20"/>
      <c r="T22" s="20"/>
      <c r="U22" s="20"/>
      <c r="V22" s="20"/>
      <c r="W22" s="21"/>
      <c r="X22" s="20"/>
      <c r="Y22" s="20"/>
    </row>
    <row r="23" spans="1:25" s="3" customFormat="1">
      <c r="A23" s="100" t="s">
        <v>124</v>
      </c>
      <c r="B23" s="29" t="s">
        <v>27</v>
      </c>
      <c r="C23" s="97">
        <v>87</v>
      </c>
      <c r="D23" s="22">
        <v>0.37</v>
      </c>
      <c r="E23" s="102">
        <v>7.7253202863558038E-2</v>
      </c>
      <c r="F23" s="397">
        <f>IF($C23&lt;11,'Offroad Tiers EF (2)'!$AN$4*$C23*$D23,IF($C23&lt;25,'Offroad Tiers EF (2)'!$AN$5*$C23*$D23,IF($C23&lt;50,'Offroad Tiers EF (2)'!$AN$6*$C23*$D23,IF($C23&lt;75,'Offroad Tiers EF (2)'!$AN$7*$C23*$D23,IF($C23&lt;100,'Offroad Tiers EF (2)'!$AN$8*$C23*$D23,IF($C23&lt;175,'Offroad Tiers EF (2)'!$AN$9*$C23*$D23,IF($C23&lt;300,'Offroad Tiers EF (2)'!$AN$10*$C23*$D23,IF($C23&lt;600,'Offroad Tiers EF (2)'!$AN$11*$C23*$D23,"!"))))))))</f>
        <v>0.26257275132275132</v>
      </c>
      <c r="G23" s="397">
        <f>IF($C23&lt;11,'Offroad Tiers EF (2)'!$AM$4*$C23*$D23,IF($C23&lt;25,'Offroad Tiers EF (2)'!$AM$5*$C23*$D23,IF($C23&lt;50,'Offroad Tiers EF (2)'!$AM$6*$C23*$D23,IF($C23&lt;75,'Offroad Tiers EF (2)'!$AM$7*$C23*$D23,IF($C23&lt;100,'Offroad Tiers EF (2)'!$AM$8*$C23*$D23,IF($C23&lt;175,'Offroad Tiers EF (2)'!$AM$9*$C23*$D23,IF($C23&lt;300,'Offroad Tiers EF (2)'!$AM$10*$C23*$D23,IF($C23&lt;600,'Offroad Tiers EF (2)'!$AM$11*$C23*$D23,"!"))))))))</f>
        <v>0.33506412037037031</v>
      </c>
      <c r="H23" s="102">
        <v>6.910856115004858E-4</v>
      </c>
      <c r="I23" s="397">
        <f>IF($C23&lt;11,'Offroad Tiers EF (2)'!$AO$4*$C23*$D23,IF($C23&lt;25,'Offroad Tiers EF (2)'!$AO$5*$C23*$D23,IF($C23&lt;50,'Offroad Tiers EF (2)'!$AO$6*$C23*$D23,IF($C23&lt;75,'Offroad Tiers EF (2)'!$AO$7*$C23*$D23,IF($C23&lt;100,'Offroad Tiers EF (2)'!$AO$8*$C23*$D23,IF($C23&lt;175,'Offroad Tiers EF (2)'!$AO$9*$C23*$D23,IF($C23&lt;300,'Offroad Tiers EF (2)'!$AO$10*$C23*$D23,IF($C23&lt;600,'Offroad Tiers EF (2)'!$AO$11*$C23*$D23,"!"))))))))</f>
        <v>2.1289682539682539E-2</v>
      </c>
      <c r="J23" s="100">
        <f t="shared" ref="J23:J25" si="8">0.89*I23</f>
        <v>1.894781746031746E-2</v>
      </c>
      <c r="K23" s="103">
        <v>58.913505111712794</v>
      </c>
      <c r="L23" s="102">
        <v>7.5344751889799754E-3</v>
      </c>
      <c r="M23" s="102">
        <f t="shared" ref="M23:M25" si="9">0.095*G23</f>
        <v>3.1831091435185178E-2</v>
      </c>
      <c r="N23" s="98">
        <v>1</v>
      </c>
      <c r="O23" s="87">
        <v>8</v>
      </c>
      <c r="P23" s="363">
        <v>15</v>
      </c>
      <c r="Q23" s="34">
        <f t="shared" ref="Q23:Y25" si="10">(E23*$N23*$O23)</f>
        <v>0.6180256229084643</v>
      </c>
      <c r="R23" s="26">
        <f t="shared" si="10"/>
        <v>2.1005820105820106</v>
      </c>
      <c r="S23" s="26">
        <f t="shared" si="10"/>
        <v>2.6805129629629625</v>
      </c>
      <c r="T23" s="26">
        <f t="shared" si="10"/>
        <v>5.5286848920038864E-3</v>
      </c>
      <c r="U23" s="26">
        <f t="shared" si="10"/>
        <v>0.17031746031746031</v>
      </c>
      <c r="V23" s="26">
        <f t="shared" si="10"/>
        <v>0.15158253968253968</v>
      </c>
      <c r="W23" s="26">
        <f t="shared" si="10"/>
        <v>471.30804089370235</v>
      </c>
      <c r="X23" s="26">
        <f t="shared" si="10"/>
        <v>6.0275801511839804E-2</v>
      </c>
      <c r="Y23" s="26">
        <f t="shared" si="10"/>
        <v>0.25464873148148143</v>
      </c>
    </row>
    <row r="24" spans="1:25" s="3" customFormat="1">
      <c r="A24" s="100" t="s">
        <v>126</v>
      </c>
      <c r="B24" s="29" t="s">
        <v>27</v>
      </c>
      <c r="C24" s="22">
        <v>175</v>
      </c>
      <c r="D24" s="22"/>
      <c r="E24" s="102">
        <v>0.11792220738547983</v>
      </c>
      <c r="F24" s="102">
        <v>0.36512193352152528</v>
      </c>
      <c r="G24" s="102">
        <v>0.86781464282266541</v>
      </c>
      <c r="H24" s="102">
        <v>1.8739217498104396E-3</v>
      </c>
      <c r="I24" s="102">
        <v>2.9041712295589866E-2</v>
      </c>
      <c r="J24" s="100">
        <f t="shared" si="8"/>
        <v>2.5847123943074982E-2</v>
      </c>
      <c r="K24" s="103">
        <v>166.54541562452522</v>
      </c>
      <c r="L24" s="102">
        <v>1.063993297769634E-2</v>
      </c>
      <c r="M24" s="104">
        <f t="shared" si="9"/>
        <v>8.2442391068153209E-2</v>
      </c>
      <c r="N24" s="98">
        <v>1</v>
      </c>
      <c r="O24" s="88">
        <v>8</v>
      </c>
      <c r="P24" s="367">
        <v>40</v>
      </c>
      <c r="Q24" s="26">
        <f t="shared" si="10"/>
        <v>0.94337765908383864</v>
      </c>
      <c r="R24" s="26">
        <f t="shared" si="10"/>
        <v>2.9209754681722022</v>
      </c>
      <c r="S24" s="26">
        <f t="shared" si="10"/>
        <v>6.9425171425813232</v>
      </c>
      <c r="T24" s="26">
        <f t="shared" si="10"/>
        <v>1.4991373998483517E-2</v>
      </c>
      <c r="U24" s="26">
        <f t="shared" si="10"/>
        <v>0.23233369836471893</v>
      </c>
      <c r="V24" s="26">
        <f t="shared" si="10"/>
        <v>0.20677699154459986</v>
      </c>
      <c r="W24" s="26">
        <f t="shared" si="10"/>
        <v>1332.3633249962018</v>
      </c>
      <c r="X24" s="26">
        <f t="shared" si="10"/>
        <v>8.5119463821570721E-2</v>
      </c>
      <c r="Y24" s="26">
        <f t="shared" si="10"/>
        <v>0.65953912854522567</v>
      </c>
    </row>
    <row r="25" spans="1:25" s="3" customFormat="1">
      <c r="A25" s="100" t="s">
        <v>128</v>
      </c>
      <c r="B25" s="29" t="s">
        <v>27</v>
      </c>
      <c r="C25" s="22">
        <v>157</v>
      </c>
      <c r="D25" s="22">
        <v>0.38</v>
      </c>
      <c r="E25" s="550">
        <v>9.7211873502789536E-2</v>
      </c>
      <c r="F25" s="397">
        <f>IF($C25&lt;11,'Offroad Tiers EF (2)'!$AN$4*$C25*$D25,IF($C25&lt;25,'Offroad Tiers EF (2)'!$AN$5*$C25*$D25,IF($C25&lt;50,'Offroad Tiers EF (2)'!$AN$6*$C25*$D25,IF($C25&lt;75,'Offroad Tiers EF (2)'!$AN$7*$C25*$D25,IF($C25&lt;100,'Offroad Tiers EF (2)'!$AN$8*$C25*$D25,IF($C25&lt;175,'Offroad Tiers EF (2)'!$AN$9*$C25*$D25,IF($C25&lt;300,'Offroad Tiers EF (2)'!$AN$10*$C25*$D25,IF($C25&lt;600,'Offroad Tiers EF (2)'!$AN$11*$C25*$D25,"!"))))))))</f>
        <v>0.48664462081128745</v>
      </c>
      <c r="G25" s="397">
        <f>IF($C25&lt;11,'Offroad Tiers EF (2)'!$AM$4*$C25*$D25,IF($C25&lt;25,'Offroad Tiers EF (2)'!$AM$5*$C25*$D25,IF($C25&lt;50,'Offroad Tiers EF (2)'!$AM$6*$C25*$D25,IF($C25&lt;75,'Offroad Tiers EF (2)'!$AM$7*$C25*$D25,IF($C25&lt;100,'Offroad Tiers EF (2)'!$AM$8*$C25*$D25,IF($C25&lt;175,'Offroad Tiers EF (2)'!$AM$9*$C25*$D25,IF($C25&lt;300,'Offroad Tiers EF (2)'!$AM$10*$C25*$D25,IF($C25&lt;600,'Offroad Tiers EF (2)'!$AM$11*$C25*$D25,"!"))))))))</f>
        <v>0.54103044532627864</v>
      </c>
      <c r="H25" s="550">
        <v>1.2626852382997586E-3</v>
      </c>
      <c r="I25" s="397">
        <f>IF($C25&lt;11,'Offroad Tiers EF (2)'!$AO$4*$C25*$D25,IF($C25&lt;25,'Offroad Tiers EF (2)'!$AO$5*$C25*$D25,IF($C25&lt;50,'Offroad Tiers EF (2)'!$AO$6*$C25*$D25,IF($C25&lt;75,'Offroad Tiers EF (2)'!$AO$7*$C25*$D25,IF($C25&lt;100,'Offroad Tiers EF (2)'!$AO$8*$C25*$D25,IF($C25&lt;175,'Offroad Tiers EF (2)'!$AO$9*$C25*$D25,IF($C25&lt;300,'Offroad Tiers EF (2)'!$AO$10*$C25*$D25,IF($C25&lt;600,'Offroad Tiers EF (2)'!$AO$11*$C25*$D25,"!"))))))))</f>
        <v>2.8935626102292767E-2</v>
      </c>
      <c r="J25" s="551">
        <f t="shared" si="8"/>
        <v>2.5752707231040561E-2</v>
      </c>
      <c r="K25" s="552">
        <v>112.22156581723891</v>
      </c>
      <c r="L25" s="111">
        <v>9.4890670020510905E-3</v>
      </c>
      <c r="M25" s="553">
        <f t="shared" si="9"/>
        <v>5.1397892305996472E-2</v>
      </c>
      <c r="N25" s="554">
        <v>2</v>
      </c>
      <c r="O25" s="88">
        <v>2</v>
      </c>
      <c r="P25" s="88">
        <v>15</v>
      </c>
      <c r="Q25" s="26">
        <f t="shared" si="10"/>
        <v>0.38884749401115815</v>
      </c>
      <c r="R25" s="26">
        <f t="shared" si="10"/>
        <v>1.9465784832451498</v>
      </c>
      <c r="S25" s="26">
        <f t="shared" si="10"/>
        <v>2.1641217813051146</v>
      </c>
      <c r="T25" s="26">
        <f t="shared" si="10"/>
        <v>5.0507409531990342E-3</v>
      </c>
      <c r="U25" s="26">
        <f t="shared" si="10"/>
        <v>0.11574250440917107</v>
      </c>
      <c r="V25" s="26">
        <f t="shared" si="10"/>
        <v>0.10301082892416225</v>
      </c>
      <c r="W25" s="26">
        <f t="shared" si="10"/>
        <v>448.88626326895564</v>
      </c>
      <c r="X25" s="26">
        <f t="shared" si="10"/>
        <v>3.7956268008204362E-2</v>
      </c>
      <c r="Y25" s="26">
        <f t="shared" si="10"/>
        <v>0.20559156922398589</v>
      </c>
    </row>
    <row r="26" spans="1:25" s="3" customFormat="1">
      <c r="A26" s="17" t="s">
        <v>28</v>
      </c>
      <c r="B26" s="571"/>
      <c r="C26" s="18"/>
      <c r="D26" s="22"/>
      <c r="E26" s="19"/>
      <c r="F26" s="19"/>
      <c r="G26" s="19"/>
      <c r="H26" s="19"/>
      <c r="I26" s="19"/>
      <c r="J26" s="19"/>
      <c r="K26" s="19"/>
      <c r="L26" s="19"/>
      <c r="M26" s="89"/>
      <c r="N26" s="105"/>
      <c r="O26" s="11"/>
      <c r="P26" s="11"/>
      <c r="Q26" s="27">
        <f t="shared" ref="Q26:Y26" si="11">SUM(Q23:Q25)</f>
        <v>1.9502507760034611</v>
      </c>
      <c r="R26" s="101">
        <f t="shared" si="11"/>
        <v>6.9681359619993621</v>
      </c>
      <c r="S26" s="101">
        <f t="shared" si="11"/>
        <v>11.787151886849401</v>
      </c>
      <c r="T26" s="101">
        <f t="shared" si="11"/>
        <v>2.5570799843686438E-2</v>
      </c>
      <c r="U26" s="101">
        <f t="shared" si="11"/>
        <v>0.51839366309135038</v>
      </c>
      <c r="V26" s="101">
        <f t="shared" si="11"/>
        <v>0.46137036015130178</v>
      </c>
      <c r="W26" s="101">
        <f t="shared" si="11"/>
        <v>2252.5576291588595</v>
      </c>
      <c r="X26" s="101">
        <f t="shared" si="11"/>
        <v>0.18335153334161489</v>
      </c>
      <c r="Y26" s="101">
        <f t="shared" si="11"/>
        <v>1.1197794292506928</v>
      </c>
    </row>
    <row r="27" spans="1:25">
      <c r="A27" s="17"/>
      <c r="B27" s="29"/>
      <c r="C27" s="22"/>
      <c r="D27" s="22"/>
      <c r="E27" s="23"/>
      <c r="F27" s="23"/>
      <c r="G27" s="23"/>
      <c r="H27" s="23"/>
      <c r="I27" s="23"/>
      <c r="J27" s="100"/>
      <c r="K27" s="365"/>
      <c r="L27" s="23"/>
      <c r="M27" s="102"/>
      <c r="N27" s="30"/>
      <c r="O27" s="98"/>
      <c r="P27" s="363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>
      <c r="A28" s="17" t="s">
        <v>365</v>
      </c>
      <c r="B28" s="571"/>
      <c r="C28" s="18"/>
      <c r="D28" s="22"/>
      <c r="E28" s="19"/>
      <c r="F28" s="19"/>
      <c r="G28" s="19"/>
      <c r="H28" s="19"/>
      <c r="I28" s="19"/>
      <c r="J28" s="19"/>
      <c r="K28" s="19"/>
      <c r="L28" s="19"/>
      <c r="M28" s="19"/>
      <c r="N28" s="30"/>
      <c r="O28" s="30"/>
      <c r="P28" s="364"/>
      <c r="Q28" s="20">
        <f>Q11+Q20+Q26</f>
        <v>10.157710048425708</v>
      </c>
      <c r="R28" s="20">
        <f t="shared" ref="R28:Y28" si="12">R11+R20+R26</f>
        <v>36.673345141460871</v>
      </c>
      <c r="S28" s="20">
        <f t="shared" si="12"/>
        <v>59.971526310673084</v>
      </c>
      <c r="T28" s="20">
        <f t="shared" si="12"/>
        <v>0.1244714811321678</v>
      </c>
      <c r="U28" s="20">
        <f t="shared" si="12"/>
        <v>2.6848434576605413</v>
      </c>
      <c r="V28" s="20">
        <f t="shared" si="12"/>
        <v>2.3895106773178818</v>
      </c>
      <c r="W28" s="20">
        <f t="shared" si="12"/>
        <v>11209.154266011938</v>
      </c>
      <c r="X28" s="20">
        <f t="shared" si="12"/>
        <v>0.95825108520757551</v>
      </c>
      <c r="Y28" s="20">
        <f t="shared" si="12"/>
        <v>5.6972949995139421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9"/>
  <sheetViews>
    <sheetView zoomScale="75" zoomScaleNormal="75" workbookViewId="0">
      <selection activeCell="A12" sqref="A1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738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404</v>
      </c>
      <c r="B7" s="54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17" t="s">
        <v>28</v>
      </c>
      <c r="B8" s="97"/>
      <c r="C8" s="22"/>
      <c r="D8" s="22"/>
      <c r="E8" s="23"/>
      <c r="F8" s="23"/>
      <c r="G8" s="23"/>
      <c r="H8" s="23"/>
      <c r="I8" s="23"/>
      <c r="J8" s="24"/>
      <c r="K8" s="25"/>
      <c r="L8" s="23"/>
      <c r="M8" s="23"/>
      <c r="N8" s="88"/>
      <c r="O8" s="88"/>
      <c r="P8" s="88"/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</row>
    <row r="9" spans="1:25">
      <c r="A9" s="17" t="s">
        <v>499</v>
      </c>
      <c r="B9" s="561"/>
      <c r="C9" s="18"/>
      <c r="D9" s="22"/>
      <c r="E9" s="19"/>
      <c r="F9" s="19"/>
      <c r="G9" s="19"/>
      <c r="H9" s="19"/>
      <c r="I9" s="19"/>
      <c r="J9" s="19"/>
      <c r="K9" s="19"/>
      <c r="L9" s="19"/>
      <c r="M9" s="19"/>
      <c r="N9" s="30"/>
      <c r="O9" s="30"/>
      <c r="P9" s="364"/>
      <c r="Q9" s="20">
        <f>Q8</f>
        <v>0</v>
      </c>
      <c r="R9" s="20">
        <f t="shared" ref="R9:Y9" si="0">R8</f>
        <v>0</v>
      </c>
      <c r="S9" s="20">
        <f t="shared" si="0"/>
        <v>0</v>
      </c>
      <c r="T9" s="20">
        <f t="shared" si="0"/>
        <v>0</v>
      </c>
      <c r="U9" s="20">
        <f t="shared" si="0"/>
        <v>0</v>
      </c>
      <c r="V9" s="20">
        <f t="shared" si="0"/>
        <v>0</v>
      </c>
      <c r="W9" s="20">
        <f t="shared" si="0"/>
        <v>0</v>
      </c>
      <c r="X9" s="20">
        <f t="shared" si="0"/>
        <v>0</v>
      </c>
      <c r="Y9" s="20">
        <f t="shared" si="0"/>
        <v>0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77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739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>
      <c r="A8" s="114" t="s">
        <v>336</v>
      </c>
      <c r="B8" s="74"/>
      <c r="C8" s="112"/>
      <c r="D8" s="112"/>
      <c r="E8" s="74"/>
      <c r="F8" s="74"/>
      <c r="G8" s="547"/>
      <c r="H8" s="41"/>
      <c r="I8" s="41"/>
      <c r="J8" s="41"/>
      <c r="K8" s="544"/>
      <c r="L8" s="544"/>
      <c r="M8" s="544"/>
      <c r="N8" s="544"/>
      <c r="O8" s="544"/>
      <c r="P8" s="544"/>
      <c r="Q8" s="41"/>
      <c r="R8" s="544"/>
      <c r="S8" s="54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320</v>
      </c>
      <c r="B9" s="76" t="s">
        <v>95</v>
      </c>
      <c r="C9" s="79">
        <v>2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6.6594183689096684E-2</v>
      </c>
      <c r="U9" s="50">
        <f>C9*($F9*$H9)/453.59</f>
        <v>0.12293958521981244</v>
      </c>
      <c r="V9" s="50">
        <f>C9*(($F9*$I9))/453.59</f>
        <v>1.5020448508630898E-2</v>
      </c>
      <c r="W9" s="50">
        <f>C9*($F9*$J9)/453.59</f>
        <v>9.2657422707165152E-4</v>
      </c>
      <c r="X9" s="50">
        <f>C9*(($F9*($K9+$L9+$M9)))/453.59</f>
        <v>2.4246309913434082E-2</v>
      </c>
      <c r="Y9" s="50">
        <f>C9*(($F9*($N9+$O9+$P9)))/453.59</f>
        <v>1.6110732655318268E-2</v>
      </c>
      <c r="Z9" s="50">
        <f>C9*(F9)*$B$336</f>
        <v>0</v>
      </c>
      <c r="AA9" s="50">
        <f>Z9*0.21</f>
        <v>0</v>
      </c>
      <c r="AB9" s="50">
        <f>C9*(($F9*($Q9)))/453.59</f>
        <v>64.542737060171092</v>
      </c>
      <c r="AC9" s="50">
        <f>C9*(($F9*($R9)))/453.59</f>
        <v>3.688165623829356E-3</v>
      </c>
      <c r="AD9" s="50">
        <f>C9*(($F9*($S9)))/453.59</f>
        <v>1.6533267525333424E-3</v>
      </c>
    </row>
    <row r="10" spans="1:30">
      <c r="A10" s="78" t="s">
        <v>312</v>
      </c>
      <c r="B10" s="76" t="s">
        <v>95</v>
      </c>
      <c r="C10" s="79">
        <v>1</v>
      </c>
      <c r="D10" s="77"/>
      <c r="E10" s="77">
        <v>35</v>
      </c>
      <c r="F10" s="77">
        <v>60</v>
      </c>
      <c r="G10" s="106">
        <v>0.25172046482947802</v>
      </c>
      <c r="H10" s="106">
        <v>0.464701387165456</v>
      </c>
      <c r="I10" s="106">
        <v>5.6776043658582402E-2</v>
      </c>
      <c r="J10" s="106">
        <v>3.5023733638119199E-3</v>
      </c>
      <c r="K10" s="106">
        <v>4.6899256897933901E-2</v>
      </c>
      <c r="L10" s="47">
        <v>7.99995847163921E-3</v>
      </c>
      <c r="M10" s="47">
        <v>3.6749815577381599E-2</v>
      </c>
      <c r="N10" s="106">
        <v>4.3147317248333997E-2</v>
      </c>
      <c r="O10" s="47">
        <v>1.9999896145790402E-3</v>
      </c>
      <c r="P10" s="47">
        <v>1.57499200131354E-2</v>
      </c>
      <c r="Q10" s="106">
        <v>243.966167526025</v>
      </c>
      <c r="R10" s="47">
        <f>0.000057143*Q10</f>
        <v>1.3940958710939646E-2</v>
      </c>
      <c r="S10" s="80">
        <f>0.000025616*Q10</f>
        <v>6.2494373473466567E-3</v>
      </c>
      <c r="T10" s="50">
        <f>C10*($F10*$G10)/453.59</f>
        <v>3.3297091844548342E-2</v>
      </c>
      <c r="U10" s="50">
        <f>C10*($F10*$H10)/453.59</f>
        <v>6.1469792609906218E-2</v>
      </c>
      <c r="V10" s="50">
        <f>C10*(($F10*$I10))/453.59</f>
        <v>7.5102242543154491E-3</v>
      </c>
      <c r="W10" s="50">
        <f>C10*($F10*$J10)/453.59</f>
        <v>4.6328711353582576E-4</v>
      </c>
      <c r="X10" s="50">
        <f>C10*(($F10*($K10+$L10+$M10)))/453.59</f>
        <v>1.2123154956717041E-2</v>
      </c>
      <c r="Y10" s="50">
        <f>C10*(($F10*($N10+$O10+$P10)))/453.59</f>
        <v>8.0553663276591338E-3</v>
      </c>
      <c r="Z10" s="50">
        <f>C10*(F10)*$B$318</f>
        <v>0</v>
      </c>
      <c r="AA10" s="50">
        <f>Z10*0.21</f>
        <v>0</v>
      </c>
      <c r="AB10" s="50">
        <f>C10*(($F10*($Q10)))/453.59</f>
        <v>32.271368530085546</v>
      </c>
      <c r="AC10" s="50">
        <f>C10*(($F10*($R10)))/453.59</f>
        <v>1.844082811914678E-3</v>
      </c>
      <c r="AD10" s="50">
        <f>C10*(($F10*($S10)))/453.59</f>
        <v>8.2666337626667119E-4</v>
      </c>
    </row>
    <row r="11" spans="1:30">
      <c r="A11" s="75" t="s">
        <v>28</v>
      </c>
      <c r="B11" s="74"/>
      <c r="C11" s="112"/>
      <c r="D11" s="112"/>
      <c r="E11" s="74"/>
      <c r="F11" s="74"/>
      <c r="G11" s="547"/>
      <c r="H11" s="41"/>
      <c r="I11" s="41"/>
      <c r="J11" s="41"/>
      <c r="K11" s="544"/>
      <c r="L11" s="544"/>
      <c r="M11" s="544"/>
      <c r="N11" s="544"/>
      <c r="O11" s="544"/>
      <c r="P11" s="544"/>
      <c r="Q11" s="41"/>
      <c r="R11" s="544"/>
      <c r="S11" s="544"/>
      <c r="T11" s="81">
        <f>SUM(T9:T10)</f>
        <v>9.9891275533645019E-2</v>
      </c>
      <c r="U11" s="81">
        <f t="shared" ref="U11:AD11" si="0">SUM(U9:U9)</f>
        <v>0.12293958521981244</v>
      </c>
      <c r="V11" s="81">
        <f t="shared" si="0"/>
        <v>1.5020448508630898E-2</v>
      </c>
      <c r="W11" s="81">
        <f t="shared" si="0"/>
        <v>9.2657422707165152E-4</v>
      </c>
      <c r="X11" s="81">
        <f t="shared" si="0"/>
        <v>2.4246309913434082E-2</v>
      </c>
      <c r="Y11" s="81">
        <f t="shared" si="0"/>
        <v>1.6110732655318268E-2</v>
      </c>
      <c r="Z11" s="81">
        <f t="shared" si="0"/>
        <v>0</v>
      </c>
      <c r="AA11" s="81">
        <f t="shared" si="0"/>
        <v>0</v>
      </c>
      <c r="AB11" s="81">
        <f t="shared" si="0"/>
        <v>64.542737060171092</v>
      </c>
      <c r="AC11" s="81">
        <f t="shared" si="0"/>
        <v>3.688165623829356E-3</v>
      </c>
      <c r="AD11" s="81">
        <f t="shared" si="0"/>
        <v>1.6533267525333424E-3</v>
      </c>
    </row>
    <row r="12" spans="1:30">
      <c r="A12" s="75"/>
      <c r="B12" s="74"/>
      <c r="C12" s="112"/>
      <c r="D12" s="112"/>
      <c r="E12" s="74"/>
      <c r="F12" s="74"/>
      <c r="G12" s="547"/>
      <c r="H12" s="41"/>
      <c r="I12" s="41"/>
      <c r="J12" s="41"/>
      <c r="K12" s="544"/>
      <c r="L12" s="544"/>
      <c r="M12" s="544"/>
      <c r="N12" s="544"/>
      <c r="O12" s="544"/>
      <c r="P12" s="544"/>
      <c r="Q12" s="41"/>
      <c r="R12" s="544"/>
      <c r="S12" s="54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75" t="s">
        <v>388</v>
      </c>
      <c r="B13" s="74"/>
      <c r="C13" s="112"/>
      <c r="D13" s="112"/>
      <c r="E13" s="74"/>
      <c r="F13" s="74"/>
      <c r="G13" s="547"/>
      <c r="H13" s="41"/>
      <c r="I13" s="41"/>
      <c r="J13" s="41"/>
      <c r="K13" s="544"/>
      <c r="L13" s="544"/>
      <c r="M13" s="544"/>
      <c r="N13" s="544"/>
      <c r="O13" s="544"/>
      <c r="P13" s="544"/>
      <c r="Q13" s="41"/>
      <c r="R13" s="544"/>
      <c r="S13" s="544"/>
      <c r="T13" s="81">
        <f>T11</f>
        <v>9.9891275533645019E-2</v>
      </c>
      <c r="U13" s="81">
        <f t="shared" ref="U13:AD13" si="1">U11</f>
        <v>0.12293958521981244</v>
      </c>
      <c r="V13" s="81">
        <f t="shared" si="1"/>
        <v>1.5020448508630898E-2</v>
      </c>
      <c r="W13" s="81">
        <f t="shared" si="1"/>
        <v>9.2657422707165152E-4</v>
      </c>
      <c r="X13" s="81">
        <f t="shared" si="1"/>
        <v>2.4246309913434082E-2</v>
      </c>
      <c r="Y13" s="81">
        <f t="shared" si="1"/>
        <v>1.6110732655318268E-2</v>
      </c>
      <c r="Z13" s="81">
        <f t="shared" si="1"/>
        <v>0</v>
      </c>
      <c r="AA13" s="81">
        <f t="shared" si="1"/>
        <v>0</v>
      </c>
      <c r="AB13" s="81">
        <f t="shared" si="1"/>
        <v>64.542737060171092</v>
      </c>
      <c r="AC13" s="81">
        <f t="shared" si="1"/>
        <v>3.688165623829356E-3</v>
      </c>
      <c r="AD13" s="81">
        <f t="shared" si="1"/>
        <v>1.6533267525333424E-3</v>
      </c>
    </row>
    <row r="14" spans="1:30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</row>
    <row r="15" spans="1:30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</row>
    <row r="16" spans="1:30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365" spans="1:1" ht="25.5">
      <c r="A365" s="82" t="s">
        <v>109</v>
      </c>
    </row>
    <row r="367" spans="1:1">
      <c r="A367" s="36" t="s">
        <v>81</v>
      </c>
    </row>
    <row r="368" spans="1:1">
      <c r="A368" s="36" t="s">
        <v>82</v>
      </c>
    </row>
    <row r="369" spans="1:2">
      <c r="A369" s="36" t="s">
        <v>83</v>
      </c>
    </row>
    <row r="370" spans="1:2">
      <c r="A370" s="37" t="s">
        <v>96</v>
      </c>
    </row>
    <row r="371" spans="1:2">
      <c r="A371" s="36" t="s">
        <v>85</v>
      </c>
    </row>
    <row r="372" spans="1:2">
      <c r="A372" s="36" t="s">
        <v>86</v>
      </c>
    </row>
    <row r="373" spans="1:2">
      <c r="A373" s="36" t="s">
        <v>87</v>
      </c>
    </row>
    <row r="374" spans="1:2">
      <c r="A374" s="36" t="s">
        <v>0</v>
      </c>
    </row>
    <row r="375" spans="1:2">
      <c r="A375" s="37" t="s">
        <v>97</v>
      </c>
      <c r="B375" s="36">
        <f>(0.016*(0.03/2)^0.65*(2/3)^1.5)-0.00047</f>
        <v>9.8123053326417428E-5</v>
      </c>
    </row>
    <row r="376" spans="1:2">
      <c r="A376" s="37" t="s">
        <v>98</v>
      </c>
      <c r="B376" s="36">
        <f>(0.016*(0.03/2)^0.65*(13/3)^1.5)-0.00047</f>
        <v>8.9448292388582783E-3</v>
      </c>
    </row>
    <row r="377" spans="1:2">
      <c r="A377" s="37" t="s">
        <v>99</v>
      </c>
      <c r="B377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740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404</v>
      </c>
      <c r="B4" s="45" t="s">
        <v>102</v>
      </c>
      <c r="C4" s="46">
        <v>4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54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545" t="s">
        <v>55</v>
      </c>
      <c r="G87" s="545" t="s">
        <v>73</v>
      </c>
      <c r="H87" s="545" t="s">
        <v>74</v>
      </c>
      <c r="I87" s="545" t="s">
        <v>58</v>
      </c>
      <c r="J87" s="545" t="s">
        <v>59</v>
      </c>
      <c r="K87" s="545" t="s">
        <v>60</v>
      </c>
      <c r="L87" s="544" t="s">
        <v>75</v>
      </c>
      <c r="M87" s="544" t="s">
        <v>76</v>
      </c>
      <c r="N87" s="544" t="s">
        <v>61</v>
      </c>
      <c r="O87" s="544" t="s">
        <v>62</v>
      </c>
      <c r="P87" s="544" t="s">
        <v>63</v>
      </c>
      <c r="AN87" s="38"/>
      <c r="AZ87" s="36"/>
    </row>
    <row r="88" spans="1:52" ht="25.5">
      <c r="A88" s="44" t="str">
        <f>A4</f>
        <v>Salt Creek Energization</v>
      </c>
      <c r="B88" s="45" t="str">
        <f>B4</f>
        <v>Light-Duty Truck, catalyst</v>
      </c>
      <c r="C88" s="46">
        <f>C4</f>
        <v>4</v>
      </c>
      <c r="D88" s="46">
        <v>35</v>
      </c>
      <c r="E88" s="46">
        <v>80</v>
      </c>
      <c r="F88" s="50">
        <f>C4*($E4*$F4+($G4))/453.59</f>
        <v>1.9428775435236803</v>
      </c>
      <c r="G88" s="50">
        <f>C4*($E4*$H4+($I4))/453.59</f>
        <v>0.17468262917751204</v>
      </c>
      <c r="H88" s="50">
        <f>C4*(($E4*$J4)+($K4)+($L4)+($E4*$N4)+(($M4+$O4)))/453.59</f>
        <v>0.20199992129581332</v>
      </c>
      <c r="I88" s="50">
        <f>C4*($E4*$P4+($Q4))/453.59</f>
        <v>2.9071881086424637E-3</v>
      </c>
      <c r="J88" s="50">
        <f>C4*(($E4*($R4+$T4+$U4))+($S4))/453.59</f>
        <v>3.4096361820831589E-2</v>
      </c>
      <c r="K88" s="50">
        <f>$C4*(($E4*($V4+$X4+$Y4))+($W4))/453.59</f>
        <v>1.4848021297012567E-2</v>
      </c>
      <c r="L88" s="50">
        <f>$B$21*C4*(E4+6)</f>
        <v>3.3754330344287597E-2</v>
      </c>
      <c r="M88" s="50">
        <f t="shared" ref="M88" si="52">0.41*L88</f>
        <v>1.3839275441157914E-2</v>
      </c>
      <c r="N88" s="50">
        <f>C4*($E4*$Z4+($AA4))/453.59</f>
        <v>221.69430690415558</v>
      </c>
      <c r="O88" s="50">
        <f>C4*($E4*$AB4+($AC4))/453.59</f>
        <v>1.2681901556120997E-2</v>
      </c>
      <c r="P88" s="50">
        <f>C4*($E4*$AD4+($AE4))/453.59</f>
        <v>2.3084479655373441E-2</v>
      </c>
      <c r="AN88" s="38"/>
      <c r="AZ88" s="36"/>
    </row>
    <row r="89" spans="1:52">
      <c r="A89" s="61" t="s">
        <v>389</v>
      </c>
      <c r="B89" s="40"/>
      <c r="C89" s="40"/>
      <c r="D89" s="40"/>
      <c r="E89" s="40"/>
      <c r="F89" s="81">
        <f t="shared" ref="F89:P89" si="53">SUM(F88:F88)</f>
        <v>1.9428775435236803</v>
      </c>
      <c r="G89" s="81">
        <f t="shared" si="53"/>
        <v>0.17468262917751204</v>
      </c>
      <c r="H89" s="81">
        <f t="shared" si="53"/>
        <v>0.20199992129581332</v>
      </c>
      <c r="I89" s="81">
        <f t="shared" si="53"/>
        <v>2.9071881086424637E-3</v>
      </c>
      <c r="J89" s="81">
        <f t="shared" si="53"/>
        <v>3.4096361820831589E-2</v>
      </c>
      <c r="K89" s="81">
        <f t="shared" si="53"/>
        <v>1.4848021297012567E-2</v>
      </c>
      <c r="L89" s="81">
        <f t="shared" si="53"/>
        <v>3.3754330344287597E-2</v>
      </c>
      <c r="M89" s="81">
        <f t="shared" si="53"/>
        <v>1.3839275441157914E-2</v>
      </c>
      <c r="N89" s="81">
        <f t="shared" si="53"/>
        <v>221.69430690415558</v>
      </c>
      <c r="O89" s="81">
        <f t="shared" si="53"/>
        <v>1.2681901556120997E-2</v>
      </c>
      <c r="P89" s="81">
        <f t="shared" si="53"/>
        <v>2.3084479655373441E-2</v>
      </c>
      <c r="AN89" s="38"/>
      <c r="AZ89" s="36"/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9"/>
  <sheetViews>
    <sheetView zoomScale="75" zoomScaleNormal="75" workbookViewId="0">
      <selection activeCell="A24" sqref="A24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32">
      <c r="A1" s="3" t="s">
        <v>741</v>
      </c>
    </row>
    <row r="3" spans="1:32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32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32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32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32" s="3" customFormat="1">
      <c r="A7" s="11" t="s">
        <v>501</v>
      </c>
      <c r="B7" s="22"/>
      <c r="C7" s="18"/>
      <c r="D7" s="22"/>
      <c r="E7" s="19"/>
      <c r="F7" s="19"/>
      <c r="G7" s="19"/>
      <c r="H7" s="19"/>
      <c r="I7" s="19"/>
      <c r="J7" s="19"/>
      <c r="K7" s="19"/>
      <c r="L7" s="19"/>
      <c r="M7" s="19"/>
      <c r="N7" s="11"/>
      <c r="O7" s="11"/>
      <c r="P7" s="11"/>
      <c r="Q7" s="27"/>
      <c r="R7" s="27"/>
      <c r="S7" s="27"/>
      <c r="T7" s="27"/>
      <c r="U7" s="27"/>
      <c r="V7" s="27"/>
      <c r="W7" s="28"/>
      <c r="X7" s="27"/>
      <c r="Y7" s="27"/>
    </row>
    <row r="8" spans="1:32" s="3" customFormat="1">
      <c r="A8" s="17" t="s">
        <v>28</v>
      </c>
      <c r="B8" s="97"/>
      <c r="C8" s="22"/>
      <c r="D8" s="22"/>
      <c r="E8" s="23"/>
      <c r="F8" s="23"/>
      <c r="G8" s="23"/>
      <c r="H8" s="23"/>
      <c r="I8" s="23"/>
      <c r="J8" s="24"/>
      <c r="K8" s="25"/>
      <c r="L8" s="23"/>
      <c r="M8" s="23"/>
      <c r="N8" s="88"/>
      <c r="O8" s="88"/>
      <c r="P8" s="88"/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</row>
    <row r="9" spans="1:32" s="6" customFormat="1">
      <c r="A9" s="17" t="s">
        <v>499</v>
      </c>
      <c r="B9" s="549"/>
      <c r="C9" s="18"/>
      <c r="D9" s="22"/>
      <c r="E9" s="19"/>
      <c r="F9" s="19"/>
      <c r="G9" s="19"/>
      <c r="H9" s="19"/>
      <c r="I9" s="19"/>
      <c r="J9" s="19"/>
      <c r="K9" s="19"/>
      <c r="L9" s="19"/>
      <c r="M9" s="19"/>
      <c r="N9" s="30"/>
      <c r="O9" s="30"/>
      <c r="P9" s="364"/>
      <c r="Q9" s="20">
        <f>Q8</f>
        <v>0</v>
      </c>
      <c r="R9" s="20">
        <f t="shared" ref="R9:Y9" si="0">R8</f>
        <v>0</v>
      </c>
      <c r="S9" s="20">
        <f t="shared" si="0"/>
        <v>0</v>
      </c>
      <c r="T9" s="20">
        <f t="shared" si="0"/>
        <v>0</v>
      </c>
      <c r="U9" s="20">
        <f t="shared" si="0"/>
        <v>0</v>
      </c>
      <c r="V9" s="20">
        <f t="shared" si="0"/>
        <v>0</v>
      </c>
      <c r="W9" s="20">
        <f t="shared" si="0"/>
        <v>0</v>
      </c>
      <c r="X9" s="20">
        <f t="shared" si="0"/>
        <v>0</v>
      </c>
      <c r="Y9" s="20">
        <f t="shared" si="0"/>
        <v>0</v>
      </c>
      <c r="AF9" s="7"/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76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42578125" style="36" bestFit="1" customWidth="1"/>
    <col min="4" max="4" width="10.85546875" style="36" customWidth="1"/>
    <col min="5" max="5" width="10.42578125" style="36" bestFit="1" customWidth="1"/>
    <col min="6" max="6" width="9.5703125" style="36" bestFit="1" customWidth="1"/>
    <col min="7" max="7" width="12" style="36" bestFit="1" customWidth="1"/>
    <col min="8" max="8" width="9.5703125" style="36" bestFit="1" customWidth="1"/>
    <col min="9" max="9" width="11.85546875" style="36" bestFit="1" customWidth="1"/>
    <col min="10" max="11" width="9.5703125" style="36" bestFit="1" customWidth="1"/>
    <col min="12" max="12" width="13.28515625" style="36" bestFit="1" customWidth="1"/>
    <col min="13" max="13" width="12.85546875" style="36" bestFit="1" customWidth="1"/>
    <col min="14" max="14" width="9.5703125" style="36" bestFit="1" customWidth="1"/>
    <col min="15" max="16" width="11.7109375" style="36" bestFit="1" customWidth="1"/>
    <col min="17" max="17" width="9.5703125" style="36" bestFit="1" customWidth="1"/>
    <col min="18" max="18" width="12.85546875" style="36" bestFit="1" customWidth="1"/>
    <col min="19" max="30" width="9.5703125" style="36" bestFit="1" customWidth="1"/>
    <col min="31" max="16384" width="9.140625" style="36"/>
  </cols>
  <sheetData>
    <row r="1" spans="1:30">
      <c r="A1" s="3" t="s">
        <v>742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>
      <c r="A8" s="114" t="s">
        <v>502</v>
      </c>
      <c r="B8" s="74"/>
      <c r="C8" s="112"/>
      <c r="D8" s="112"/>
      <c r="E8" s="74"/>
      <c r="F8" s="74"/>
      <c r="G8" s="547"/>
      <c r="H8" s="41"/>
      <c r="I8" s="41"/>
      <c r="J8" s="41"/>
      <c r="K8" s="544"/>
      <c r="L8" s="544"/>
      <c r="M8" s="544"/>
      <c r="N8" s="544"/>
      <c r="O8" s="544"/>
      <c r="P8" s="544"/>
      <c r="Q8" s="41"/>
      <c r="R8" s="544"/>
      <c r="S8" s="54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500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C9*(F9)*$B$374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5" t="s">
        <v>28</v>
      </c>
      <c r="B10" s="74"/>
      <c r="C10" s="112"/>
      <c r="D10" s="112"/>
      <c r="E10" s="74"/>
      <c r="F10" s="74"/>
      <c r="G10" s="547"/>
      <c r="H10" s="41"/>
      <c r="I10" s="41"/>
      <c r="J10" s="41"/>
      <c r="K10" s="544"/>
      <c r="L10" s="544"/>
      <c r="M10" s="544"/>
      <c r="N10" s="544"/>
      <c r="O10" s="544"/>
      <c r="P10" s="544"/>
      <c r="Q10" s="41"/>
      <c r="R10" s="544"/>
      <c r="S10" s="544"/>
      <c r="T10" s="81">
        <f t="shared" ref="T10:AD10" si="0">SUM(T9:T9)</f>
        <v>9.9891275533645019E-2</v>
      </c>
      <c r="U10" s="81">
        <f t="shared" si="0"/>
        <v>0.18440937782971867</v>
      </c>
      <c r="V10" s="81">
        <f t="shared" si="0"/>
        <v>2.253067276294635E-2</v>
      </c>
      <c r="W10" s="81">
        <f t="shared" si="0"/>
        <v>1.3898613406074772E-3</v>
      </c>
      <c r="X10" s="81">
        <f t="shared" si="0"/>
        <v>3.6369464870151122E-2</v>
      </c>
      <c r="Y10" s="81">
        <f t="shared" si="0"/>
        <v>2.4166098982977401E-2</v>
      </c>
      <c r="Z10" s="81">
        <f t="shared" si="0"/>
        <v>1.7662149598755138E-2</v>
      </c>
      <c r="AA10" s="81">
        <f t="shared" si="0"/>
        <v>3.7090514157385786E-3</v>
      </c>
      <c r="AB10" s="81">
        <f t="shared" si="0"/>
        <v>96.814105590256631</v>
      </c>
      <c r="AC10" s="81">
        <f t="shared" si="0"/>
        <v>5.5322484357440338E-3</v>
      </c>
      <c r="AD10" s="81">
        <f t="shared" si="0"/>
        <v>2.4799901288000137E-3</v>
      </c>
    </row>
    <row r="11" spans="1:30">
      <c r="A11" s="75"/>
      <c r="B11" s="74"/>
      <c r="C11" s="112"/>
      <c r="D11" s="112"/>
      <c r="E11" s="74"/>
      <c r="F11" s="74"/>
      <c r="G11" s="547"/>
      <c r="H11" s="41"/>
      <c r="I11" s="41"/>
      <c r="J11" s="41"/>
      <c r="K11" s="544"/>
      <c r="L11" s="544"/>
      <c r="M11" s="544"/>
      <c r="N11" s="544"/>
      <c r="O11" s="544"/>
      <c r="P11" s="544"/>
      <c r="Q11" s="41"/>
      <c r="R11" s="544"/>
      <c r="S11" s="544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</row>
    <row r="12" spans="1:30">
      <c r="A12" s="75"/>
      <c r="B12" s="74"/>
      <c r="C12" s="112"/>
      <c r="D12" s="112"/>
      <c r="E12" s="74"/>
      <c r="F12" s="74"/>
      <c r="G12" s="547"/>
      <c r="H12" s="41"/>
      <c r="I12" s="41"/>
      <c r="J12" s="41"/>
      <c r="K12" s="544"/>
      <c r="L12" s="544"/>
      <c r="M12" s="544"/>
      <c r="N12" s="544"/>
      <c r="O12" s="544"/>
      <c r="P12" s="544"/>
      <c r="Q12" s="41"/>
      <c r="R12" s="544"/>
      <c r="S12" s="544"/>
      <c r="T12" s="81">
        <f>T10</f>
        <v>9.9891275533645019E-2</v>
      </c>
      <c r="U12" s="81">
        <f t="shared" ref="U12:AD12" si="1">U10</f>
        <v>0.18440937782971867</v>
      </c>
      <c r="V12" s="81">
        <f t="shared" si="1"/>
        <v>2.253067276294635E-2</v>
      </c>
      <c r="W12" s="81">
        <f t="shared" si="1"/>
        <v>1.3898613406074772E-3</v>
      </c>
      <c r="X12" s="81">
        <f t="shared" si="1"/>
        <v>3.6369464870151122E-2</v>
      </c>
      <c r="Y12" s="81">
        <f t="shared" si="1"/>
        <v>2.4166098982977401E-2</v>
      </c>
      <c r="Z12" s="81">
        <f t="shared" si="1"/>
        <v>1.7662149598755138E-2</v>
      </c>
      <c r="AA12" s="81">
        <f t="shared" si="1"/>
        <v>3.7090514157385786E-3</v>
      </c>
      <c r="AB12" s="81">
        <f t="shared" si="1"/>
        <v>96.814105590256631</v>
      </c>
      <c r="AC12" s="81">
        <f t="shared" si="1"/>
        <v>5.5322484357440338E-3</v>
      </c>
      <c r="AD12" s="81">
        <f t="shared" si="1"/>
        <v>2.4799901288000137E-3</v>
      </c>
    </row>
    <row r="13" spans="1:30">
      <c r="A13" s="370"/>
      <c r="B13" s="371"/>
      <c r="C13" s="372"/>
      <c r="D13" s="372"/>
      <c r="E13" s="371"/>
      <c r="F13" s="371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</row>
    <row r="14" spans="1:30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</row>
    <row r="15" spans="1:30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</row>
    <row r="16" spans="1:30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</row>
    <row r="364" spans="1:1" ht="25.5">
      <c r="A364" s="82" t="s">
        <v>109</v>
      </c>
    </row>
    <row r="366" spans="1:1">
      <c r="A366" s="36" t="s">
        <v>81</v>
      </c>
    </row>
    <row r="367" spans="1:1">
      <c r="A367" s="36" t="s">
        <v>82</v>
      </c>
    </row>
    <row r="368" spans="1:1">
      <c r="A368" s="36" t="s">
        <v>83</v>
      </c>
    </row>
    <row r="369" spans="1:2">
      <c r="A369" s="37" t="s">
        <v>96</v>
      </c>
    </row>
    <row r="370" spans="1:2">
      <c r="A370" s="36" t="s">
        <v>85</v>
      </c>
    </row>
    <row r="371" spans="1:2">
      <c r="A371" s="36" t="s">
        <v>86</v>
      </c>
    </row>
    <row r="372" spans="1:2">
      <c r="A372" s="36" t="s">
        <v>87</v>
      </c>
    </row>
    <row r="373" spans="1:2">
      <c r="A373" s="36" t="s">
        <v>0</v>
      </c>
    </row>
    <row r="374" spans="1:2">
      <c r="A374" s="37" t="s">
        <v>97</v>
      </c>
      <c r="B374" s="36">
        <f>(0.016*(0.03/2)^0.65*(2/3)^1.5)-0.00047</f>
        <v>9.8123053326417428E-5</v>
      </c>
    </row>
    <row r="375" spans="1:2">
      <c r="A375" s="37" t="s">
        <v>98</v>
      </c>
      <c r="B375" s="36">
        <f>(0.016*(0.03/2)^0.65*(13/3)^1.5)-0.00047</f>
        <v>8.9448292388582783E-3</v>
      </c>
    </row>
    <row r="376" spans="1:2">
      <c r="A376" s="37" t="s">
        <v>99</v>
      </c>
      <c r="B376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C99" sqref="C99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743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503</v>
      </c>
      <c r="B4" s="45" t="s">
        <v>102</v>
      </c>
      <c r="C4" s="46">
        <v>2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54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545" t="s">
        <v>55</v>
      </c>
      <c r="G87" s="545" t="s">
        <v>73</v>
      </c>
      <c r="H87" s="545" t="s">
        <v>74</v>
      </c>
      <c r="I87" s="545" t="s">
        <v>58</v>
      </c>
      <c r="J87" s="545" t="s">
        <v>59</v>
      </c>
      <c r="K87" s="545" t="s">
        <v>60</v>
      </c>
      <c r="L87" s="544" t="s">
        <v>75</v>
      </c>
      <c r="M87" s="544" t="s">
        <v>76</v>
      </c>
      <c r="N87" s="544" t="s">
        <v>61</v>
      </c>
      <c r="O87" s="544" t="s">
        <v>62</v>
      </c>
      <c r="P87" s="544" t="s">
        <v>63</v>
      </c>
      <c r="AN87" s="38"/>
      <c r="AZ87" s="36"/>
    </row>
    <row r="88" spans="1:52" ht="25.5">
      <c r="A88" s="44" t="str">
        <f>A4</f>
        <v>69 kV Cutover</v>
      </c>
      <c r="B88" s="45" t="str">
        <f>B4</f>
        <v>Light-Duty Truck, catalyst</v>
      </c>
      <c r="C88" s="46">
        <f>C4</f>
        <v>2</v>
      </c>
      <c r="D88" s="46">
        <v>35</v>
      </c>
      <c r="E88" s="46">
        <v>80</v>
      </c>
      <c r="F88" s="50">
        <f>C4*($E4*$F4+($G4))/453.59</f>
        <v>0.97143877176184013</v>
      </c>
      <c r="G88" s="50">
        <f>C4*($E4*$H4+($I4))/453.59</f>
        <v>8.7341314588756019E-2</v>
      </c>
      <c r="H88" s="50">
        <f>C4*(($E4*$J4)+($K4)+($L4)+($E4*$N4)+(($M4+$O4)))/453.59</f>
        <v>0.10099996064790666</v>
      </c>
      <c r="I88" s="50">
        <f>C4*($E4*$P4+($Q4))/453.59</f>
        <v>1.4535940543212319E-3</v>
      </c>
      <c r="J88" s="50">
        <f>C4*(($E4*($R4+$T4+$U4))+($S4))/453.59</f>
        <v>1.7048180910415794E-2</v>
      </c>
      <c r="K88" s="50">
        <f>$C4*(($E4*($V4+$X4+$Y4))+($W4))/453.59</f>
        <v>7.4240106485062834E-3</v>
      </c>
      <c r="L88" s="50">
        <f>$B$21*C4*(E4+6)</f>
        <v>1.6877165172143799E-2</v>
      </c>
      <c r="M88" s="50">
        <f t="shared" ref="M88" si="52">0.41*L88</f>
        <v>6.9196377205789569E-3</v>
      </c>
      <c r="N88" s="50">
        <f>C4*($E4*$Z4+($AA4))/453.59</f>
        <v>110.84715345207779</v>
      </c>
      <c r="O88" s="50">
        <f>C4*($E4*$AB4+($AC4))/453.59</f>
        <v>6.3409507780604986E-3</v>
      </c>
      <c r="P88" s="50">
        <f>C4*($E4*$AD4+($AE4))/453.59</f>
        <v>1.1542239827686721E-2</v>
      </c>
      <c r="AN88" s="38"/>
      <c r="AZ88" s="36"/>
    </row>
    <row r="89" spans="1:52">
      <c r="A89" s="61" t="s">
        <v>389</v>
      </c>
      <c r="B89" s="40"/>
      <c r="C89" s="40"/>
      <c r="D89" s="40"/>
      <c r="E89" s="40"/>
      <c r="F89" s="81">
        <f t="shared" ref="F89:P89" si="53">SUM(F88:F88)</f>
        <v>0.97143877176184013</v>
      </c>
      <c r="G89" s="81">
        <f t="shared" si="53"/>
        <v>8.7341314588756019E-2</v>
      </c>
      <c r="H89" s="81">
        <f t="shared" si="53"/>
        <v>0.10099996064790666</v>
      </c>
      <c r="I89" s="81">
        <f t="shared" si="53"/>
        <v>1.4535940543212319E-3</v>
      </c>
      <c r="J89" s="81">
        <f t="shared" si="53"/>
        <v>1.7048180910415794E-2</v>
      </c>
      <c r="K89" s="81">
        <f t="shared" si="53"/>
        <v>7.4240106485062834E-3</v>
      </c>
      <c r="L89" s="81">
        <f t="shared" si="53"/>
        <v>1.6877165172143799E-2</v>
      </c>
      <c r="M89" s="81">
        <f t="shared" si="53"/>
        <v>6.9196377205789569E-3</v>
      </c>
      <c r="N89" s="81">
        <f t="shared" si="53"/>
        <v>110.84715345207779</v>
      </c>
      <c r="O89" s="81">
        <f t="shared" si="53"/>
        <v>6.3409507780604986E-3</v>
      </c>
      <c r="P89" s="81">
        <f t="shared" si="53"/>
        <v>1.1542239827686721E-2</v>
      </c>
      <c r="AN89" s="38"/>
      <c r="AZ89" s="36"/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226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Q342"/>
  <sheetViews>
    <sheetView view="pageBreakPreview" zoomScale="75" zoomScaleNormal="80" zoomScaleSheetLayoutView="75" workbookViewId="0">
      <selection activeCell="C92" sqref="C92:C96"/>
    </sheetView>
  </sheetViews>
  <sheetFormatPr defaultColWidth="9.140625" defaultRowHeight="15"/>
  <cols>
    <col min="1" max="1" width="30.85546875" style="126" customWidth="1"/>
    <col min="2" max="2" width="9.7109375" style="126" customWidth="1"/>
    <col min="3" max="3" width="9" style="126" customWidth="1"/>
    <col min="4" max="5" width="11.7109375" style="126" customWidth="1"/>
    <col min="6" max="6" width="9.5703125" style="126" customWidth="1"/>
    <col min="7" max="7" width="10.7109375" style="126" customWidth="1"/>
    <col min="8" max="8" width="11.7109375" style="126" customWidth="1"/>
    <col min="9" max="9" width="4.140625" style="126" customWidth="1"/>
    <col min="10" max="15" width="12.5703125" style="126" customWidth="1"/>
    <col min="16" max="21" width="10.7109375" style="126" customWidth="1"/>
    <col min="22" max="22" width="9.42578125" style="126" hidden="1" customWidth="1"/>
    <col min="23" max="23" width="0" style="127" hidden="1" customWidth="1"/>
    <col min="24" max="69" width="9.140625" style="127"/>
    <col min="70" max="16384" width="9.140625" style="126"/>
  </cols>
  <sheetData>
    <row r="1" spans="1:69" s="127" customFormat="1">
      <c r="A1" s="200" t="s">
        <v>156</v>
      </c>
      <c r="J1" s="199" t="s">
        <v>141</v>
      </c>
      <c r="K1" s="198" t="s">
        <v>140</v>
      </c>
      <c r="L1" s="196" t="s">
        <v>139</v>
      </c>
      <c r="M1" s="197" t="s">
        <v>55</v>
      </c>
      <c r="N1" s="196" t="s">
        <v>138</v>
      </c>
      <c r="O1" s="195" t="s">
        <v>61</v>
      </c>
      <c r="P1" s="199" t="s">
        <v>141</v>
      </c>
      <c r="Q1" s="198" t="s">
        <v>140</v>
      </c>
      <c r="R1" s="196" t="s">
        <v>139</v>
      </c>
      <c r="S1" s="197" t="s">
        <v>55</v>
      </c>
      <c r="T1" s="196" t="s">
        <v>138</v>
      </c>
      <c r="U1" s="195" t="s">
        <v>61</v>
      </c>
      <c r="V1" s="194" t="s">
        <v>62</v>
      </c>
      <c r="W1" s="193" t="s">
        <v>63</v>
      </c>
    </row>
    <row r="2" spans="1:69" s="127" customFormat="1" ht="15.75" thickBot="1">
      <c r="A2" s="192" t="s">
        <v>208</v>
      </c>
      <c r="J2" s="276" t="s">
        <v>209</v>
      </c>
      <c r="K2" s="277" t="s">
        <v>209</v>
      </c>
      <c r="L2" s="277" t="s">
        <v>209</v>
      </c>
      <c r="M2" s="277" t="s">
        <v>209</v>
      </c>
      <c r="N2" s="277" t="s">
        <v>209</v>
      </c>
      <c r="O2" s="278" t="s">
        <v>209</v>
      </c>
      <c r="P2" s="191" t="s">
        <v>137</v>
      </c>
      <c r="Q2" s="190" t="s">
        <v>137</v>
      </c>
      <c r="R2" s="189" t="s">
        <v>137</v>
      </c>
      <c r="S2" s="190" t="s">
        <v>137</v>
      </c>
      <c r="T2" s="189" t="s">
        <v>137</v>
      </c>
      <c r="U2" s="188" t="s">
        <v>137</v>
      </c>
      <c r="V2" s="187" t="s">
        <v>137</v>
      </c>
      <c r="W2" s="186" t="s">
        <v>137</v>
      </c>
    </row>
    <row r="3" spans="1:69" s="127" customFormat="1" ht="15.75" thickBot="1">
      <c r="A3" s="179" t="s">
        <v>155</v>
      </c>
      <c r="D3" s="179"/>
      <c r="J3" s="185">
        <f t="shared" ref="J3:U3" si="0">SUM(J11:J12)</f>
        <v>66.887438003316817</v>
      </c>
      <c r="K3" s="185">
        <f t="shared" si="0"/>
        <v>12.830799050242181</v>
      </c>
      <c r="L3" s="185">
        <f t="shared" si="0"/>
        <v>22.109244879957675</v>
      </c>
      <c r="M3" s="185">
        <f t="shared" si="0"/>
        <v>66.887438003316817</v>
      </c>
      <c r="N3" s="185">
        <f t="shared" si="0"/>
        <v>12.314722567340549</v>
      </c>
      <c r="O3" s="185">
        <f t="shared" si="0"/>
        <v>30084.642801206399</v>
      </c>
      <c r="P3" s="185">
        <f t="shared" si="0"/>
        <v>0.66887438003316801</v>
      </c>
      <c r="Q3" s="185">
        <f t="shared" si="0"/>
        <v>0.12830799050242181</v>
      </c>
      <c r="R3" s="185">
        <f t="shared" si="0"/>
        <v>0.22109244879957674</v>
      </c>
      <c r="S3" s="185">
        <f t="shared" si="0"/>
        <v>0.66887438003316801</v>
      </c>
      <c r="T3" s="185">
        <f t="shared" si="0"/>
        <v>0.1231472256734055</v>
      </c>
      <c r="U3" s="185">
        <f t="shared" si="0"/>
        <v>300.846428012064</v>
      </c>
      <c r="V3" s="184" t="e">
        <f>SUM(V11:V12,#REF!,#REF!,#REF!)</f>
        <v>#REF!</v>
      </c>
      <c r="W3" s="183" t="e">
        <f>SUM(W11:W12,#REF!,#REF!,#REF!)</f>
        <v>#REF!</v>
      </c>
    </row>
    <row r="4" spans="1:69" s="127" customFormat="1">
      <c r="A4" s="182" t="s">
        <v>154</v>
      </c>
      <c r="B4" s="181">
        <v>2</v>
      </c>
      <c r="C4" s="180" t="s">
        <v>152</v>
      </c>
      <c r="D4" s="179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</row>
    <row r="5" spans="1:69" s="127" customFormat="1">
      <c r="A5" s="182" t="s">
        <v>153</v>
      </c>
      <c r="B5" s="181">
        <v>10</v>
      </c>
      <c r="C5" s="180" t="s">
        <v>152</v>
      </c>
      <c r="D5" s="179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</row>
    <row r="6" spans="1:69" s="127" customFormat="1">
      <c r="A6" s="177"/>
      <c r="B6" s="176"/>
      <c r="C6" s="176"/>
      <c r="D6" s="156"/>
      <c r="E6" s="176"/>
      <c r="F6" s="176"/>
      <c r="G6" s="176"/>
      <c r="H6" s="176"/>
      <c r="I6" s="131"/>
    </row>
    <row r="7" spans="1:69" s="127" customFormat="1">
      <c r="A7" s="175" t="s">
        <v>206</v>
      </c>
      <c r="B7" s="158"/>
      <c r="C7" s="158"/>
      <c r="D7" s="157"/>
      <c r="E7" s="158"/>
      <c r="F7" s="158"/>
      <c r="G7" s="158"/>
      <c r="H7" s="174"/>
      <c r="I7" s="173"/>
    </row>
    <row r="8" spans="1:69" s="127" customFormat="1" ht="15.75" thickBot="1">
      <c r="B8" s="158" t="s">
        <v>149</v>
      </c>
      <c r="C8" s="158">
        <v>5</v>
      </c>
      <c r="D8" s="157"/>
      <c r="E8" s="156"/>
      <c r="F8" s="156"/>
      <c r="G8" s="156"/>
      <c r="H8" s="172"/>
      <c r="I8" s="131"/>
    </row>
    <row r="9" spans="1:69" ht="43.15" customHeight="1">
      <c r="A9" s="606" t="s">
        <v>148</v>
      </c>
      <c r="B9" s="608" t="s">
        <v>147</v>
      </c>
      <c r="C9" s="610" t="s">
        <v>151</v>
      </c>
      <c r="D9" s="608" t="s">
        <v>146</v>
      </c>
      <c r="E9" s="608" t="s">
        <v>145</v>
      </c>
      <c r="F9" s="604" t="s">
        <v>144</v>
      </c>
      <c r="G9" s="604" t="s">
        <v>143</v>
      </c>
      <c r="H9" s="155" t="s">
        <v>142</v>
      </c>
      <c r="I9" s="160"/>
      <c r="J9" s="266" t="s">
        <v>141</v>
      </c>
      <c r="K9" s="267" t="s">
        <v>140</v>
      </c>
      <c r="L9" s="268" t="s">
        <v>139</v>
      </c>
      <c r="M9" s="268" t="s">
        <v>55</v>
      </c>
      <c r="N9" s="268" t="s">
        <v>138</v>
      </c>
      <c r="O9" s="269" t="s">
        <v>61</v>
      </c>
      <c r="P9" s="171" t="s">
        <v>141</v>
      </c>
      <c r="Q9" s="170" t="s">
        <v>140</v>
      </c>
      <c r="R9" s="169" t="s">
        <v>139</v>
      </c>
      <c r="S9" s="169" t="s">
        <v>55</v>
      </c>
      <c r="T9" s="169" t="s">
        <v>138</v>
      </c>
      <c r="U9" s="167" t="s">
        <v>61</v>
      </c>
      <c r="V9" s="168" t="s">
        <v>62</v>
      </c>
      <c r="W9" s="167" t="s">
        <v>63</v>
      </c>
    </row>
    <row r="10" spans="1:69" ht="15" customHeight="1" thickBot="1">
      <c r="A10" s="607"/>
      <c r="B10" s="609"/>
      <c r="C10" s="611"/>
      <c r="D10" s="609"/>
      <c r="E10" s="609"/>
      <c r="F10" s="605"/>
      <c r="G10" s="605"/>
      <c r="H10" s="154">
        <f>SUM(H11:H12)</f>
        <v>339.04274753379616</v>
      </c>
      <c r="I10" s="141"/>
      <c r="J10" s="273" t="s">
        <v>210</v>
      </c>
      <c r="K10" s="274" t="s">
        <v>210</v>
      </c>
      <c r="L10" s="274" t="s">
        <v>210</v>
      </c>
      <c r="M10" s="274" t="s">
        <v>210</v>
      </c>
      <c r="N10" s="274" t="s">
        <v>210</v>
      </c>
      <c r="O10" s="275" t="s">
        <v>210</v>
      </c>
      <c r="P10" s="273" t="s">
        <v>137</v>
      </c>
      <c r="Q10" s="166" t="s">
        <v>137</v>
      </c>
      <c r="R10" s="166" t="s">
        <v>137</v>
      </c>
      <c r="S10" s="166" t="s">
        <v>137</v>
      </c>
      <c r="T10" s="166" t="s">
        <v>137</v>
      </c>
      <c r="U10" s="164" t="s">
        <v>137</v>
      </c>
      <c r="V10" s="165" t="s">
        <v>137</v>
      </c>
      <c r="W10" s="164" t="s">
        <v>137</v>
      </c>
    </row>
    <row r="11" spans="1:69" s="136" customFormat="1">
      <c r="A11" s="163" t="s">
        <v>150</v>
      </c>
      <c r="B11" s="162">
        <v>1200</v>
      </c>
      <c r="C11" s="161" t="s">
        <v>136</v>
      </c>
      <c r="D11" s="153">
        <v>140</v>
      </c>
      <c r="E11" s="153">
        <f>$B$5</f>
        <v>10</v>
      </c>
      <c r="F11" s="152">
        <v>40</v>
      </c>
      <c r="G11" s="152">
        <v>10</v>
      </c>
      <c r="H11" s="151">
        <f>E11*C8*60/'Helicopter EF'!H31</f>
        <v>302.52100840336135</v>
      </c>
      <c r="I11" s="141"/>
      <c r="J11" s="270">
        <f>($F11+$G11)*'Helicopter EF'!$AA$31</f>
        <v>27.92299049774422</v>
      </c>
      <c r="K11" s="271">
        <f>($F11+$G11)*'Helicopter EF'!$Z$31</f>
        <v>6.8124730266932705</v>
      </c>
      <c r="L11" s="271">
        <f>($F11+$G11)*'Helicopter EF'!$AC$31</f>
        <v>10.457935075729182</v>
      </c>
      <c r="M11" s="271">
        <f>($F11+$G11)*'Helicopter EF'!$Y$31</f>
        <v>27.92299049774422</v>
      </c>
      <c r="N11" s="271">
        <f>($F11+$G11)*'Helicopter EF'!$AB$31</f>
        <v>6.5794985352410764</v>
      </c>
      <c r="O11" s="272">
        <f>($F11+$G11)*'Helicopter EF'!$AD$31</f>
        <v>16073.595012911073</v>
      </c>
      <c r="P11" s="150">
        <f>J11*20/2000</f>
        <v>0.27922990497744216</v>
      </c>
      <c r="Q11" s="149">
        <f t="shared" ref="Q11:U11" si="1">K11*20/2000</f>
        <v>6.8124730266932707E-2</v>
      </c>
      <c r="R11" s="149">
        <f t="shared" si="1"/>
        <v>0.10457935075729181</v>
      </c>
      <c r="S11" s="149">
        <f t="shared" si="1"/>
        <v>0.27922990497744216</v>
      </c>
      <c r="T11" s="149">
        <f t="shared" si="1"/>
        <v>6.5794985352410768E-2</v>
      </c>
      <c r="U11" s="147">
        <f t="shared" si="1"/>
        <v>160.73595012911073</v>
      </c>
      <c r="V11" s="148">
        <f>$H11*'Helicopter EF'!$AE$31/2000</f>
        <v>1.3718934654469554E-3</v>
      </c>
      <c r="W11" s="147">
        <f>$H11*'Helicopter EF'!$AF$31/2000</f>
        <v>1.575136941809467E-3</v>
      </c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</row>
    <row r="12" spans="1:69" s="136" customFormat="1" ht="15.75" thickBot="1">
      <c r="A12" s="146" t="s">
        <v>135</v>
      </c>
      <c r="B12" s="145">
        <v>9000</v>
      </c>
      <c r="C12" s="143"/>
      <c r="D12" s="144">
        <v>140</v>
      </c>
      <c r="E12" s="144">
        <f>$B$4</f>
        <v>2</v>
      </c>
      <c r="F12" s="143">
        <v>5</v>
      </c>
      <c r="G12" s="143">
        <v>2</v>
      </c>
      <c r="H12" s="142">
        <f>E12*C8*60/'Helicopter EF'!H24</f>
        <v>36.521739130434788</v>
      </c>
      <c r="I12" s="141"/>
      <c r="J12" s="140">
        <f>($F12+$G12)*'Helicopter EF'!$AA$24</f>
        <v>38.964447505572593</v>
      </c>
      <c r="K12" s="139">
        <f>($F12+$G12)*'Helicopter EF'!$Z$24</f>
        <v>6.0183260235489096</v>
      </c>
      <c r="L12" s="139">
        <f>($F12+$G12)*'Helicopter EF'!$AC$24</f>
        <v>11.651309804228493</v>
      </c>
      <c r="M12" s="139">
        <f>($F12+$G12)*'Helicopter EF'!$Y$24</f>
        <v>38.964447505572593</v>
      </c>
      <c r="N12" s="139">
        <f>($F12+$G12)*'Helicopter EF'!$AB$24</f>
        <v>5.735224032099473</v>
      </c>
      <c r="O12" s="137">
        <f>($F12+$G12)*'Helicopter EF'!$AD$24</f>
        <v>14011.047788295327</v>
      </c>
      <c r="P12" s="140">
        <f>J12*20/2000</f>
        <v>0.38964447505572591</v>
      </c>
      <c r="Q12" s="139">
        <f t="shared" ref="Q12" si="2">K12*20/2000</f>
        <v>6.0183260235489096E-2</v>
      </c>
      <c r="R12" s="139">
        <f t="shared" ref="R12" si="3">L12*20/2000</f>
        <v>0.11651309804228492</v>
      </c>
      <c r="S12" s="139">
        <f t="shared" ref="S12" si="4">M12*20/2000</f>
        <v>0.38964447505572591</v>
      </c>
      <c r="T12" s="139">
        <f t="shared" ref="T12" si="5">N12*20/2000</f>
        <v>5.735224032099473E-2</v>
      </c>
      <c r="U12" s="137">
        <f t="shared" ref="U12" si="6">O12*20/2000</f>
        <v>140.11047788295326</v>
      </c>
      <c r="V12" s="138">
        <f>$H12*'Helicopter EF'!$AE$24/2000</f>
        <v>1.0312070063622021E-3</v>
      </c>
      <c r="W12" s="137">
        <f>$H12*'Helicopter EF'!$AF$24/2000</f>
        <v>1.1839784147121577E-3</v>
      </c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</row>
    <row r="13" spans="1:69" s="132" customFormat="1">
      <c r="A13" s="135"/>
      <c r="B13" s="134"/>
      <c r="C13" s="134"/>
      <c r="D13" s="134"/>
      <c r="E13" s="134"/>
      <c r="F13" s="134"/>
      <c r="G13" s="134"/>
      <c r="H13" s="134"/>
      <c r="I13" s="133"/>
      <c r="J13" s="133"/>
      <c r="K13" s="133"/>
      <c r="L13" s="133"/>
      <c r="M13" s="133"/>
      <c r="N13" s="133"/>
      <c r="O13" s="133"/>
      <c r="P13" s="159"/>
      <c r="Q13" s="159"/>
      <c r="R13" s="159"/>
      <c r="S13" s="159"/>
      <c r="T13" s="159"/>
      <c r="U13" s="159"/>
      <c r="V13" s="159"/>
      <c r="W13" s="159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</row>
    <row r="14" spans="1:69" s="127" customFormat="1"/>
    <row r="15" spans="1:69" s="127" customFormat="1"/>
    <row r="16" spans="1:69" s="127" customFormat="1">
      <c r="A16" s="128"/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</row>
    <row r="17" spans="1:17" s="127" customFormat="1">
      <c r="A17" s="130"/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</row>
    <row r="18" spans="1:17" s="127" customFormat="1">
      <c r="A18" s="128"/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</row>
    <row r="19" spans="1:17" s="127" customFormat="1">
      <c r="A19" s="128"/>
      <c r="D19" s="130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</row>
    <row r="20" spans="1:17" s="127" customFormat="1">
      <c r="A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</row>
    <row r="21" spans="1:17" s="127" customFormat="1">
      <c r="A21" s="128"/>
      <c r="D21" s="128"/>
      <c r="E21" s="130"/>
      <c r="F21" s="130"/>
      <c r="G21" s="130"/>
      <c r="H21" s="128"/>
      <c r="I21" s="128"/>
      <c r="J21" s="128"/>
      <c r="K21" s="128"/>
      <c r="L21" s="128"/>
      <c r="M21" s="128"/>
      <c r="N21" s="128"/>
      <c r="O21" s="128"/>
      <c r="P21" s="128"/>
      <c r="Q21" s="128"/>
    </row>
    <row r="22" spans="1:17" s="127" customFormat="1">
      <c r="A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</row>
    <row r="23" spans="1:17" s="127" customFormat="1">
      <c r="A23" s="128"/>
      <c r="D23" s="128"/>
      <c r="E23" s="129"/>
      <c r="F23" s="129"/>
      <c r="G23" s="129"/>
      <c r="H23" s="128"/>
      <c r="I23" s="128"/>
      <c r="J23" s="128"/>
      <c r="K23" s="128"/>
      <c r="L23" s="128"/>
      <c r="M23" s="128"/>
      <c r="N23" s="128"/>
      <c r="O23" s="128"/>
      <c r="P23" s="128"/>
      <c r="Q23" s="128"/>
    </row>
    <row r="24" spans="1:17" s="127" customFormat="1">
      <c r="A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</row>
    <row r="25" spans="1:17" s="127" customFormat="1">
      <c r="A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</row>
    <row r="26" spans="1:17" s="127" customFormat="1">
      <c r="A26" s="128"/>
      <c r="D26" s="128"/>
      <c r="E26" s="129"/>
      <c r="F26" s="129"/>
      <c r="G26" s="129"/>
      <c r="H26" s="128"/>
      <c r="I26" s="128"/>
      <c r="J26" s="128"/>
      <c r="K26" s="128"/>
      <c r="L26" s="128"/>
      <c r="M26" s="128"/>
      <c r="N26" s="128"/>
      <c r="O26" s="128"/>
      <c r="P26" s="128"/>
      <c r="Q26" s="128"/>
    </row>
    <row r="27" spans="1:17" s="127" customFormat="1">
      <c r="A27" s="128"/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</row>
    <row r="28" spans="1:17" s="127" customFormat="1">
      <c r="A28" s="128"/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</row>
    <row r="29" spans="1:17" s="127" customFormat="1">
      <c r="A29" s="128"/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</row>
    <row r="30" spans="1:17" s="127" customFormat="1">
      <c r="A30" s="128"/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</row>
    <row r="31" spans="1:17" s="127" customFormat="1">
      <c r="A31" s="128"/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</row>
    <row r="32" spans="1:17" s="127" customFormat="1">
      <c r="A32" s="128"/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</row>
    <row r="33" spans="1:17" s="127" customFormat="1">
      <c r="A33" s="128"/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</row>
    <row r="34" spans="1:17" s="127" customFormat="1"/>
    <row r="35" spans="1:17" s="127" customFormat="1"/>
    <row r="36" spans="1:17" s="127" customFormat="1"/>
    <row r="37" spans="1:17" s="127" customFormat="1"/>
    <row r="38" spans="1:17" s="127" customFormat="1"/>
    <row r="39" spans="1:17" s="127" customFormat="1"/>
    <row r="40" spans="1:17" s="127" customFormat="1"/>
    <row r="41" spans="1:17" s="127" customFormat="1"/>
    <row r="42" spans="1:17" s="127" customFormat="1"/>
    <row r="43" spans="1:17" s="127" customFormat="1"/>
    <row r="44" spans="1:17" s="127" customFormat="1"/>
    <row r="45" spans="1:17" s="127" customFormat="1"/>
    <row r="46" spans="1:17" s="127" customFormat="1"/>
    <row r="47" spans="1:17" s="127" customFormat="1"/>
    <row r="48" spans="1:17" s="127" customFormat="1"/>
    <row r="49" s="127" customFormat="1"/>
    <row r="50" s="127" customFormat="1"/>
    <row r="51" s="127" customFormat="1"/>
    <row r="52" s="127" customFormat="1"/>
    <row r="53" s="127" customFormat="1"/>
    <row r="54" s="127" customFormat="1"/>
    <row r="55" s="127" customFormat="1"/>
    <row r="56" s="127" customFormat="1"/>
    <row r="57" s="127" customFormat="1"/>
    <row r="58" s="127" customFormat="1"/>
    <row r="59" s="127" customFormat="1"/>
    <row r="60" s="127" customFormat="1"/>
    <row r="61" s="127" customFormat="1"/>
    <row r="62" s="127" customFormat="1"/>
    <row r="63" s="127" customFormat="1"/>
    <row r="64" s="127" customFormat="1"/>
    <row r="65" s="127" customFormat="1"/>
    <row r="66" s="127" customFormat="1"/>
    <row r="67" s="127" customFormat="1"/>
    <row r="68" s="127" customFormat="1"/>
    <row r="69" s="127" customFormat="1"/>
    <row r="70" s="127" customFormat="1"/>
    <row r="71" s="127" customFormat="1"/>
    <row r="72" s="127" customFormat="1"/>
    <row r="73" s="127" customFormat="1"/>
    <row r="74" s="127" customFormat="1"/>
    <row r="75" s="127" customFormat="1"/>
    <row r="76" s="127" customFormat="1"/>
    <row r="77" s="127" customFormat="1"/>
    <row r="78" s="127" customFormat="1"/>
    <row r="79" s="127" customFormat="1"/>
    <row r="80" s="127" customFormat="1"/>
    <row r="81" s="127" customFormat="1"/>
    <row r="82" s="127" customFormat="1"/>
    <row r="83" s="127" customFormat="1"/>
    <row r="84" s="127" customFormat="1"/>
    <row r="85" s="127" customFormat="1"/>
    <row r="86" s="127" customFormat="1"/>
    <row r="87" s="127" customFormat="1"/>
    <row r="88" s="127" customFormat="1"/>
    <row r="89" s="127" customFormat="1"/>
    <row r="90" s="127" customFormat="1"/>
    <row r="91" s="127" customFormat="1"/>
    <row r="92" s="127" customFormat="1"/>
    <row r="93" s="127" customFormat="1"/>
    <row r="94" s="127" customFormat="1"/>
    <row r="95" s="127" customFormat="1"/>
    <row r="96" s="127" customFormat="1"/>
    <row r="97" s="127" customFormat="1"/>
    <row r="98" s="127" customFormat="1"/>
    <row r="99" s="127" customFormat="1"/>
    <row r="100" s="127" customFormat="1"/>
    <row r="101" s="127" customFormat="1"/>
    <row r="102" s="127" customFormat="1"/>
    <row r="103" s="127" customFormat="1"/>
    <row r="104" s="127" customFormat="1"/>
    <row r="105" s="127" customFormat="1"/>
    <row r="106" s="127" customFormat="1"/>
    <row r="107" s="127" customFormat="1"/>
    <row r="108" s="127" customFormat="1"/>
    <row r="109" s="127" customFormat="1"/>
    <row r="110" s="127" customFormat="1"/>
    <row r="111" s="127" customFormat="1"/>
    <row r="112" s="127" customFormat="1"/>
    <row r="113" s="127" customFormat="1"/>
    <row r="114" s="127" customFormat="1"/>
    <row r="115" s="127" customFormat="1"/>
    <row r="116" s="127" customFormat="1"/>
    <row r="117" s="127" customFormat="1"/>
    <row r="118" s="127" customFormat="1"/>
    <row r="119" s="127" customFormat="1"/>
    <row r="120" s="127" customFormat="1"/>
    <row r="121" s="127" customFormat="1"/>
    <row r="122" s="127" customFormat="1"/>
    <row r="123" s="127" customFormat="1"/>
    <row r="124" s="127" customFormat="1"/>
    <row r="125" s="127" customFormat="1"/>
    <row r="126" s="127" customFormat="1"/>
    <row r="127" s="127" customFormat="1"/>
    <row r="128" s="127" customFormat="1"/>
    <row r="129" s="127" customFormat="1"/>
    <row r="130" s="127" customFormat="1"/>
    <row r="131" s="127" customFormat="1"/>
    <row r="132" s="127" customFormat="1"/>
    <row r="133" s="127" customFormat="1"/>
    <row r="134" s="127" customFormat="1"/>
    <row r="135" s="127" customFormat="1"/>
    <row r="136" s="127" customFormat="1"/>
    <row r="137" s="127" customFormat="1"/>
    <row r="138" s="127" customFormat="1"/>
    <row r="139" s="127" customFormat="1"/>
    <row r="140" s="127" customFormat="1"/>
    <row r="141" s="127" customFormat="1"/>
    <row r="142" s="127" customFormat="1"/>
    <row r="143" s="127" customFormat="1"/>
    <row r="144" s="127" customFormat="1"/>
    <row r="145" s="127" customFormat="1"/>
    <row r="146" s="127" customFormat="1"/>
    <row r="147" s="127" customFormat="1"/>
    <row r="148" s="127" customFormat="1"/>
    <row r="149" s="127" customFormat="1"/>
    <row r="150" s="127" customFormat="1"/>
    <row r="151" s="127" customFormat="1"/>
    <row r="152" s="127" customFormat="1"/>
    <row r="153" s="127" customFormat="1"/>
    <row r="154" s="127" customFormat="1"/>
    <row r="155" s="127" customFormat="1"/>
    <row r="156" s="127" customFormat="1"/>
    <row r="157" s="127" customFormat="1"/>
    <row r="158" s="127" customFormat="1"/>
    <row r="159" s="127" customFormat="1"/>
    <row r="160" s="127" customFormat="1"/>
    <row r="161" s="127" customFormat="1"/>
    <row r="162" s="127" customFormat="1"/>
    <row r="163" s="127" customFormat="1"/>
    <row r="164" s="127" customFormat="1"/>
    <row r="165" s="127" customFormat="1"/>
    <row r="166" s="127" customFormat="1"/>
    <row r="167" s="127" customFormat="1"/>
    <row r="168" s="127" customFormat="1"/>
    <row r="169" s="127" customFormat="1"/>
    <row r="170" s="127" customFormat="1"/>
    <row r="171" s="127" customFormat="1"/>
    <row r="172" s="127" customFormat="1"/>
    <row r="173" s="127" customFormat="1"/>
    <row r="174" s="127" customFormat="1"/>
    <row r="175" s="127" customFormat="1"/>
    <row r="176" s="127" customFormat="1"/>
    <row r="177" s="127" customFormat="1"/>
    <row r="178" s="127" customFormat="1"/>
    <row r="179" s="127" customFormat="1"/>
    <row r="180" s="127" customFormat="1"/>
    <row r="181" s="127" customFormat="1"/>
    <row r="182" s="127" customFormat="1"/>
    <row r="183" s="127" customFormat="1"/>
    <row r="184" s="127" customFormat="1"/>
    <row r="185" s="127" customFormat="1"/>
    <row r="186" s="127" customFormat="1"/>
    <row r="187" s="127" customFormat="1"/>
    <row r="188" s="127" customFormat="1"/>
    <row r="189" s="127" customFormat="1"/>
    <row r="190" s="127" customFormat="1"/>
    <row r="191" s="127" customFormat="1"/>
    <row r="192" s="127" customFormat="1"/>
    <row r="193" s="127" customFormat="1"/>
    <row r="194" s="127" customFormat="1"/>
    <row r="195" s="127" customFormat="1"/>
    <row r="196" s="127" customFormat="1"/>
    <row r="197" s="127" customFormat="1"/>
    <row r="198" s="127" customFormat="1"/>
    <row r="199" s="127" customFormat="1"/>
    <row r="200" s="127" customFormat="1"/>
    <row r="201" s="127" customFormat="1"/>
    <row r="202" s="127" customFormat="1"/>
    <row r="203" s="127" customFormat="1"/>
    <row r="204" s="127" customFormat="1"/>
    <row r="205" s="127" customFormat="1"/>
    <row r="206" s="127" customFormat="1"/>
    <row r="207" s="127" customFormat="1"/>
    <row r="208" s="127" customFormat="1"/>
    <row r="209" s="127" customFormat="1"/>
    <row r="210" s="127" customFormat="1"/>
    <row r="211" s="127" customFormat="1"/>
    <row r="212" s="127" customFormat="1"/>
    <row r="213" s="127" customFormat="1"/>
    <row r="214" s="127" customFormat="1"/>
    <row r="215" s="127" customFormat="1"/>
    <row r="216" s="127" customFormat="1"/>
    <row r="217" s="127" customFormat="1"/>
    <row r="218" s="127" customFormat="1"/>
    <row r="219" s="127" customFormat="1"/>
    <row r="220" s="127" customFormat="1"/>
    <row r="221" s="127" customFormat="1"/>
    <row r="222" s="127" customFormat="1"/>
    <row r="223" s="127" customFormat="1"/>
    <row r="224" s="127" customFormat="1"/>
    <row r="225" s="127" customFormat="1"/>
    <row r="226" s="127" customFormat="1"/>
    <row r="227" s="127" customFormat="1"/>
    <row r="228" s="127" customFormat="1"/>
    <row r="229" s="127" customFormat="1"/>
    <row r="230" s="127" customFormat="1"/>
    <row r="231" s="127" customFormat="1"/>
    <row r="232" s="127" customFormat="1"/>
    <row r="233" s="127" customFormat="1"/>
    <row r="234" s="127" customFormat="1"/>
    <row r="235" s="127" customFormat="1"/>
    <row r="236" s="127" customFormat="1"/>
    <row r="237" s="127" customFormat="1"/>
    <row r="238" s="127" customFormat="1"/>
    <row r="239" s="127" customFormat="1"/>
    <row r="240" s="127" customFormat="1"/>
    <row r="241" s="127" customFormat="1"/>
    <row r="242" s="127" customFormat="1"/>
    <row r="243" s="127" customFormat="1"/>
    <row r="244" s="127" customFormat="1"/>
    <row r="245" s="127" customFormat="1"/>
    <row r="246" s="127" customFormat="1"/>
    <row r="247" s="127" customFormat="1"/>
    <row r="248" s="127" customFormat="1"/>
    <row r="249" s="127" customFormat="1"/>
    <row r="250" s="127" customFormat="1"/>
    <row r="251" s="127" customFormat="1"/>
    <row r="252" s="127" customFormat="1"/>
    <row r="253" s="127" customFormat="1"/>
    <row r="254" s="127" customFormat="1"/>
    <row r="255" s="127" customFormat="1"/>
    <row r="256" s="127" customFormat="1"/>
    <row r="257" s="127" customFormat="1"/>
    <row r="258" s="127" customFormat="1"/>
    <row r="259" s="127" customFormat="1"/>
    <row r="260" s="127" customFormat="1"/>
    <row r="261" s="127" customFormat="1"/>
    <row r="262" s="127" customFormat="1"/>
    <row r="263" s="127" customFormat="1"/>
    <row r="264" s="127" customFormat="1"/>
    <row r="265" s="127" customFormat="1"/>
    <row r="266" s="127" customFormat="1"/>
    <row r="267" s="127" customFormat="1"/>
    <row r="268" s="127" customFormat="1"/>
    <row r="269" s="127" customFormat="1"/>
    <row r="270" s="127" customFormat="1"/>
    <row r="271" s="127" customFormat="1"/>
    <row r="272" s="127" customFormat="1"/>
    <row r="273" s="127" customFormat="1"/>
    <row r="274" s="127" customFormat="1"/>
    <row r="275" s="127" customFormat="1"/>
    <row r="276" s="127" customFormat="1"/>
    <row r="277" s="127" customFormat="1"/>
    <row r="278" s="127" customFormat="1"/>
    <row r="279" s="127" customFormat="1"/>
    <row r="280" s="127" customFormat="1"/>
    <row r="281" s="127" customFormat="1"/>
    <row r="282" s="127" customFormat="1"/>
    <row r="283" s="127" customFormat="1"/>
    <row r="284" s="127" customFormat="1"/>
    <row r="285" s="127" customFormat="1"/>
    <row r="286" s="127" customFormat="1"/>
    <row r="287" s="127" customFormat="1"/>
    <row r="288" s="127" customFormat="1"/>
    <row r="289" s="127" customFormat="1"/>
    <row r="290" s="127" customFormat="1"/>
    <row r="291" s="127" customFormat="1"/>
    <row r="292" s="127" customFormat="1"/>
    <row r="293" s="127" customFormat="1"/>
    <row r="294" s="127" customFormat="1"/>
    <row r="295" s="127" customFormat="1"/>
    <row r="296" s="127" customFormat="1"/>
    <row r="297" s="127" customFormat="1"/>
    <row r="298" s="127" customFormat="1"/>
    <row r="299" s="127" customFormat="1"/>
    <row r="300" s="127" customFormat="1"/>
    <row r="301" s="127" customFormat="1"/>
    <row r="302" s="127" customFormat="1"/>
    <row r="303" s="127" customFormat="1"/>
    <row r="304" s="127" customFormat="1"/>
    <row r="305" s="127" customFormat="1"/>
    <row r="306" s="127" customFormat="1"/>
    <row r="307" s="127" customFormat="1"/>
    <row r="308" s="127" customFormat="1"/>
    <row r="309" s="127" customFormat="1"/>
    <row r="310" s="127" customFormat="1"/>
    <row r="311" s="127" customFormat="1"/>
    <row r="312" s="127" customFormat="1"/>
    <row r="313" s="127" customFormat="1"/>
    <row r="314" s="127" customFormat="1"/>
    <row r="315" s="127" customFormat="1"/>
    <row r="316" s="127" customFormat="1"/>
    <row r="317" s="127" customFormat="1"/>
    <row r="318" s="127" customFormat="1"/>
    <row r="319" s="127" customFormat="1"/>
    <row r="320" s="127" customFormat="1"/>
    <row r="321" s="127" customFormat="1"/>
    <row r="322" s="127" customFormat="1"/>
    <row r="323" s="127" customFormat="1"/>
    <row r="324" s="127" customFormat="1"/>
    <row r="325" s="127" customFormat="1"/>
    <row r="326" s="127" customFormat="1"/>
    <row r="327" s="127" customFormat="1"/>
    <row r="328" s="127" customFormat="1"/>
    <row r="329" s="127" customFormat="1"/>
    <row r="330" s="127" customFormat="1"/>
    <row r="331" s="127" customFormat="1"/>
    <row r="332" s="127" customFormat="1"/>
    <row r="333" s="127" customFormat="1"/>
    <row r="334" s="127" customFormat="1"/>
    <row r="335" s="127" customFormat="1"/>
    <row r="336" s="127" customFormat="1"/>
    <row r="337" s="127" customFormat="1"/>
    <row r="338" s="127" customFormat="1"/>
    <row r="339" s="127" customFormat="1"/>
    <row r="340" s="127" customFormat="1"/>
    <row r="341" s="127" customFormat="1"/>
    <row r="342" s="127" customFormat="1"/>
  </sheetData>
  <mergeCells count="7">
    <mergeCell ref="F9:F10"/>
    <mergeCell ref="G9:G10"/>
    <mergeCell ref="A9:A10"/>
    <mergeCell ref="B9:B10"/>
    <mergeCell ref="C9:C10"/>
    <mergeCell ref="D9:D10"/>
    <mergeCell ref="E9:E10"/>
  </mergeCells>
  <pageMargins left="0.7" right="0.7" top="0.75" bottom="0.75" header="0.3" footer="0.3"/>
  <pageSetup scale="50" orientation="landscape" r:id="rId1"/>
  <headerFooter>
    <oddHeader>&amp;CTable A-13
Helicopter Emissions
South Orange County Reliability Enhancement Project</oddHeader>
    <oddFooter>&amp;CA-13</oddFooter>
  </headerFooter>
</worksheet>
</file>

<file path=xl/worksheets/sheet227.xml><?xml version="1.0" encoding="utf-8"?>
<worksheet xmlns="http://schemas.openxmlformats.org/spreadsheetml/2006/main" xmlns:r="http://schemas.openxmlformats.org/officeDocument/2006/relationships">
  <sheetPr>
    <tabColor rgb="FFFF0000"/>
  </sheetPr>
  <dimension ref="A1:AF32"/>
  <sheetViews>
    <sheetView view="pageBreakPreview" topLeftCell="G7" zoomScale="75" zoomScaleNormal="75" zoomScaleSheetLayoutView="75" workbookViewId="0">
      <selection activeCell="C92" sqref="C92:C96"/>
    </sheetView>
  </sheetViews>
  <sheetFormatPr defaultColWidth="9.140625" defaultRowHeight="15"/>
  <cols>
    <col min="1" max="1" width="21.5703125" style="126" customWidth="1"/>
    <col min="2" max="2" width="19.140625" style="126" customWidth="1"/>
    <col min="3" max="3" width="9.85546875" style="126" customWidth="1"/>
    <col min="4" max="4" width="14.7109375" style="126" customWidth="1"/>
    <col min="5" max="5" width="10.140625" style="126" customWidth="1"/>
    <col min="6" max="6" width="10.85546875" style="126" customWidth="1"/>
    <col min="7" max="8" width="10.7109375" style="126" customWidth="1"/>
    <col min="9" max="9" width="6.42578125" style="126" bestFit="1" customWidth="1"/>
    <col min="10" max="11" width="7.5703125" style="126" bestFit="1" customWidth="1"/>
    <col min="12" max="12" width="7.28515625" style="126" customWidth="1"/>
    <col min="13" max="13" width="6.140625" style="126" customWidth="1"/>
    <col min="14" max="14" width="8" style="126" bestFit="1" customWidth="1"/>
    <col min="15" max="15" width="8.140625" style="126" hidden="1" customWidth="1"/>
    <col min="16" max="16" width="7.42578125" style="126" hidden="1" customWidth="1"/>
    <col min="17" max="17" width="6.140625" style="126" bestFit="1" customWidth="1"/>
    <col min="18" max="20" width="7.5703125" style="126" bestFit="1" customWidth="1"/>
    <col min="21" max="21" width="6.42578125" style="126" bestFit="1" customWidth="1"/>
    <col min="22" max="22" width="8.7109375" style="126" customWidth="1"/>
    <col min="23" max="23" width="7.5703125" style="126" hidden="1" customWidth="1"/>
    <col min="24" max="24" width="7.42578125" style="126" hidden="1" customWidth="1"/>
    <col min="25" max="29" width="7.42578125" style="126" bestFit="1" customWidth="1"/>
    <col min="30" max="30" width="9.7109375" style="126" bestFit="1" customWidth="1"/>
    <col min="31" max="32" width="7.42578125" style="126" hidden="1" customWidth="1"/>
    <col min="33" max="16384" width="9.140625" style="126"/>
  </cols>
  <sheetData>
    <row r="1" spans="1:30" s="127" customFormat="1">
      <c r="A1" s="200" t="s">
        <v>205</v>
      </c>
    </row>
    <row r="2" spans="1:30" s="127" customFormat="1">
      <c r="A2" s="192" t="s">
        <v>204</v>
      </c>
    </row>
    <row r="3" spans="1:30" s="127" customFormat="1">
      <c r="A3" s="192" t="s">
        <v>203</v>
      </c>
    </row>
    <row r="4" spans="1:30" s="127" customFormat="1" hidden="1">
      <c r="A4" s="265" t="s">
        <v>202</v>
      </c>
    </row>
    <row r="5" spans="1:30" s="127" customFormat="1">
      <c r="A5" s="265" t="s">
        <v>201</v>
      </c>
    </row>
    <row r="6" spans="1:30" s="127" customFormat="1">
      <c r="A6" s="192" t="s">
        <v>200</v>
      </c>
    </row>
    <row r="7" spans="1:30" s="127" customFormat="1">
      <c r="A7" s="192" t="s">
        <v>199</v>
      </c>
    </row>
    <row r="8" spans="1:30" s="127" customFormat="1"/>
    <row r="9" spans="1:30" s="127" customFormat="1">
      <c r="A9" s="263" t="s">
        <v>165</v>
      </c>
      <c r="B9" s="262">
        <v>0.1</v>
      </c>
      <c r="N9" s="264"/>
      <c r="O9" s="264"/>
      <c r="P9" s="264"/>
    </row>
    <row r="10" spans="1:30" s="127" customFormat="1">
      <c r="A10" s="263" t="s">
        <v>160</v>
      </c>
      <c r="B10" s="262">
        <v>0.05</v>
      </c>
    </row>
    <row r="11" spans="1:30" s="127" customFormat="1">
      <c r="A11" s="263" t="s">
        <v>159</v>
      </c>
      <c r="B11" s="262">
        <v>0.1</v>
      </c>
    </row>
    <row r="12" spans="1:30" s="127" customFormat="1">
      <c r="A12" s="263" t="s">
        <v>198</v>
      </c>
      <c r="B12" s="262">
        <v>0.65</v>
      </c>
    </row>
    <row r="13" spans="1:30" s="127" customFormat="1">
      <c r="A13" s="263" t="s">
        <v>157</v>
      </c>
      <c r="B13" s="262">
        <v>0.1</v>
      </c>
    </row>
    <row r="14" spans="1:30" s="127" customFormat="1">
      <c r="A14" s="261" t="s">
        <v>197</v>
      </c>
      <c r="B14" s="260" t="s">
        <v>196</v>
      </c>
    </row>
    <row r="15" spans="1:30" s="127" customFormat="1">
      <c r="A15" s="259" t="s">
        <v>195</v>
      </c>
      <c r="B15" s="257" t="s">
        <v>194</v>
      </c>
      <c r="C15" s="258">
        <f>9.57/(0.8*3.79)*1000</f>
        <v>3156.3324538258576</v>
      </c>
      <c r="D15" s="257" t="s">
        <v>193</v>
      </c>
      <c r="E15" s="256"/>
      <c r="G15" s="136"/>
    </row>
    <row r="16" spans="1:30" s="127" customFormat="1" ht="13.9" customHeight="1" thickBot="1">
      <c r="A16" s="255"/>
      <c r="B16" s="178"/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</row>
    <row r="17" spans="1:32" s="251" customFormat="1" ht="25.15" customHeight="1">
      <c r="A17" s="615" t="s">
        <v>192</v>
      </c>
      <c r="B17" s="617" t="s">
        <v>191</v>
      </c>
      <c r="C17" s="617" t="s">
        <v>190</v>
      </c>
      <c r="D17" s="617" t="s">
        <v>189</v>
      </c>
      <c r="E17" s="617" t="s">
        <v>188</v>
      </c>
      <c r="F17" s="617" t="s">
        <v>187</v>
      </c>
      <c r="G17" s="617" t="s">
        <v>186</v>
      </c>
      <c r="H17" s="620" t="s">
        <v>185</v>
      </c>
      <c r="I17" s="612" t="s">
        <v>184</v>
      </c>
      <c r="J17" s="613"/>
      <c r="K17" s="613"/>
      <c r="L17" s="613"/>
      <c r="M17" s="613"/>
      <c r="N17" s="614"/>
      <c r="O17" s="254"/>
      <c r="P17" s="254"/>
      <c r="Q17" s="612" t="s">
        <v>183</v>
      </c>
      <c r="R17" s="613"/>
      <c r="S17" s="613"/>
      <c r="T17" s="613"/>
      <c r="U17" s="613"/>
      <c r="V17" s="614"/>
      <c r="W17" s="253"/>
      <c r="X17" s="252"/>
      <c r="Y17" s="612" t="s">
        <v>182</v>
      </c>
      <c r="Z17" s="613"/>
      <c r="AA17" s="613"/>
      <c r="AB17" s="613"/>
      <c r="AC17" s="613"/>
      <c r="AD17" s="614"/>
      <c r="AE17" s="253"/>
      <c r="AF17" s="252"/>
    </row>
    <row r="18" spans="1:32" s="241" customFormat="1" ht="38.25" customHeight="1" thickBot="1">
      <c r="A18" s="616"/>
      <c r="B18" s="618"/>
      <c r="C18" s="619"/>
      <c r="D18" s="618"/>
      <c r="E18" s="619"/>
      <c r="F18" s="618"/>
      <c r="G18" s="618"/>
      <c r="H18" s="621"/>
      <c r="I18" s="250" t="s">
        <v>55</v>
      </c>
      <c r="J18" s="249" t="s">
        <v>181</v>
      </c>
      <c r="K18" s="249" t="s">
        <v>73</v>
      </c>
      <c r="L18" s="249" t="s">
        <v>58</v>
      </c>
      <c r="M18" s="249" t="s">
        <v>139</v>
      </c>
      <c r="N18" s="246" t="s">
        <v>61</v>
      </c>
      <c r="O18" s="247" t="s">
        <v>62</v>
      </c>
      <c r="P18" s="248" t="s">
        <v>63</v>
      </c>
      <c r="Q18" s="245" t="s">
        <v>55</v>
      </c>
      <c r="R18" s="244" t="s">
        <v>181</v>
      </c>
      <c r="S18" s="244" t="s">
        <v>73</v>
      </c>
      <c r="T18" s="244" t="s">
        <v>58</v>
      </c>
      <c r="U18" s="244" t="s">
        <v>139</v>
      </c>
      <c r="V18" s="242" t="s">
        <v>61</v>
      </c>
      <c r="W18" s="247" t="s">
        <v>62</v>
      </c>
      <c r="X18" s="246" t="s">
        <v>63</v>
      </c>
      <c r="Y18" s="245" t="s">
        <v>55</v>
      </c>
      <c r="Z18" s="244" t="s">
        <v>181</v>
      </c>
      <c r="AA18" s="244" t="s">
        <v>73</v>
      </c>
      <c r="AB18" s="244" t="s">
        <v>58</v>
      </c>
      <c r="AC18" s="244" t="s">
        <v>139</v>
      </c>
      <c r="AD18" s="242" t="s">
        <v>61</v>
      </c>
      <c r="AE18" s="243" t="s">
        <v>62</v>
      </c>
      <c r="AF18" s="242" t="s">
        <v>63</v>
      </c>
    </row>
    <row r="19" spans="1:32" s="202" customFormat="1" ht="16.899999999999999" customHeight="1">
      <c r="A19" s="228" t="s">
        <v>135</v>
      </c>
      <c r="B19" s="240"/>
      <c r="C19" s="239"/>
      <c r="D19" s="237"/>
      <c r="E19" s="238"/>
      <c r="F19" s="237"/>
      <c r="G19" s="237"/>
      <c r="H19" s="237"/>
      <c r="I19" s="236"/>
      <c r="J19" s="235"/>
      <c r="K19" s="235"/>
      <c r="L19" s="235"/>
      <c r="M19" s="235"/>
      <c r="N19" s="234"/>
      <c r="O19" s="235"/>
      <c r="P19" s="235"/>
      <c r="Q19" s="236"/>
      <c r="R19" s="235"/>
      <c r="S19" s="235"/>
      <c r="T19" s="235"/>
      <c r="U19" s="235"/>
      <c r="V19" s="234"/>
      <c r="W19" s="235"/>
      <c r="X19" s="234"/>
      <c r="Y19" s="236"/>
      <c r="Z19" s="235"/>
      <c r="AA19" s="235"/>
      <c r="AB19" s="235"/>
      <c r="AC19" s="235"/>
      <c r="AD19" s="234"/>
      <c r="AE19" s="225"/>
      <c r="AF19" s="233"/>
    </row>
    <row r="20" spans="1:32" s="202" customFormat="1" ht="16.899999999999999" customHeight="1">
      <c r="A20" s="221" t="s">
        <v>180</v>
      </c>
      <c r="B20" s="219" t="s">
        <v>179</v>
      </c>
      <c r="C20" s="219" t="s">
        <v>178</v>
      </c>
      <c r="D20" s="232" t="s">
        <v>177</v>
      </c>
      <c r="E20" s="219">
        <v>3925</v>
      </c>
      <c r="F20" s="231" t="s">
        <v>165</v>
      </c>
      <c r="G20" s="231">
        <v>3.6080000000000001E-2</v>
      </c>
      <c r="H20" s="230">
        <f>B9*$H$24</f>
        <v>1.6428571428571428</v>
      </c>
      <c r="I20" s="229">
        <v>2.6198060000000001</v>
      </c>
      <c r="J20" s="216">
        <v>19.875540000000001</v>
      </c>
      <c r="K20" s="216">
        <v>2.6198060000000001</v>
      </c>
      <c r="L20" s="216">
        <v>1.292</v>
      </c>
      <c r="M20" s="216">
        <v>2.92</v>
      </c>
      <c r="N20" s="217">
        <f>$C$15</f>
        <v>3156.3324538258576</v>
      </c>
      <c r="O20" s="216">
        <f>0.27/0.8/3.79</f>
        <v>8.9050131926121379E-2</v>
      </c>
      <c r="P20" s="216">
        <f>0.31/0.8/3.79</f>
        <v>0.10224274406332452</v>
      </c>
      <c r="Q20" s="215">
        <f t="shared" ref="Q20:X23" si="0">I20*$G20*$H20*60/453.59</f>
        <v>2.0541078422363808E-2</v>
      </c>
      <c r="R20" s="214">
        <f t="shared" si="0"/>
        <v>0.15583788487652472</v>
      </c>
      <c r="S20" s="214">
        <f t="shared" si="0"/>
        <v>2.0541078422363808E-2</v>
      </c>
      <c r="T20" s="214">
        <f t="shared" si="0"/>
        <v>1.0130167394720845E-2</v>
      </c>
      <c r="U20" s="214">
        <f t="shared" si="0"/>
        <v>2.2894805567016153E-2</v>
      </c>
      <c r="V20" s="213">
        <f t="shared" si="0"/>
        <v>24.747814327125344</v>
      </c>
      <c r="W20" s="214">
        <f t="shared" si="0"/>
        <v>6.9821419731701609E-4</v>
      </c>
      <c r="X20" s="213">
        <f t="shared" si="0"/>
        <v>8.016533376602775E-4</v>
      </c>
      <c r="Y20" s="215">
        <f t="shared" ref="Y20:AF23" si="1">Q20*2</f>
        <v>4.1082156844727616E-2</v>
      </c>
      <c r="Z20" s="214">
        <f t="shared" si="1"/>
        <v>0.31167576975304945</v>
      </c>
      <c r="AA20" s="214">
        <f t="shared" si="1"/>
        <v>4.1082156844727616E-2</v>
      </c>
      <c r="AB20" s="214">
        <f t="shared" si="1"/>
        <v>2.026033478944169E-2</v>
      </c>
      <c r="AC20" s="214">
        <f t="shared" si="1"/>
        <v>4.5789611134032307E-2</v>
      </c>
      <c r="AD20" s="213">
        <f t="shared" si="1"/>
        <v>49.495628654250687</v>
      </c>
      <c r="AE20" s="214">
        <f t="shared" si="1"/>
        <v>1.3964283946340322E-3</v>
      </c>
      <c r="AF20" s="213">
        <f t="shared" si="1"/>
        <v>1.603306675320555E-3</v>
      </c>
    </row>
    <row r="21" spans="1:32" s="202" customFormat="1" ht="16.899999999999999" customHeight="1">
      <c r="A21" s="221" t="s">
        <v>176</v>
      </c>
      <c r="B21" s="219" t="s">
        <v>175</v>
      </c>
      <c r="C21" s="219" t="s">
        <v>174</v>
      </c>
      <c r="D21" s="220" t="s">
        <v>173</v>
      </c>
      <c r="E21" s="219">
        <v>4050</v>
      </c>
      <c r="F21" s="231" t="s">
        <v>160</v>
      </c>
      <c r="G21" s="231">
        <v>0.20792099999999999</v>
      </c>
      <c r="H21" s="230">
        <f>(B10+B11)*$H$24</f>
        <v>2.4642857142857144</v>
      </c>
      <c r="I21" s="229">
        <v>11.020362</v>
      </c>
      <c r="J21" s="216">
        <v>0.35583700000000001</v>
      </c>
      <c r="K21" s="216">
        <v>11.020362</v>
      </c>
      <c r="L21" s="216">
        <v>1.292</v>
      </c>
      <c r="M21" s="216">
        <v>1.78</v>
      </c>
      <c r="N21" s="217">
        <f>$C$15</f>
        <v>3156.3324538258576</v>
      </c>
      <c r="O21" s="216">
        <f>0.27/0.8/3.79</f>
        <v>8.9050131926121379E-2</v>
      </c>
      <c r="P21" s="216">
        <f>0.31/0.8/3.79</f>
        <v>0.10224274406332452</v>
      </c>
      <c r="Q21" s="215">
        <f t="shared" si="0"/>
        <v>0.74691822113144035</v>
      </c>
      <c r="R21" s="214">
        <f t="shared" si="0"/>
        <v>2.4117278457163962E-2</v>
      </c>
      <c r="S21" s="214">
        <f t="shared" si="0"/>
        <v>0.74691822113144035</v>
      </c>
      <c r="T21" s="214">
        <f t="shared" si="0"/>
        <v>8.7566845962212592E-2</v>
      </c>
      <c r="U21" s="214">
        <f t="shared" si="0"/>
        <v>0.12064162988602042</v>
      </c>
      <c r="V21" s="213">
        <f t="shared" si="0"/>
        <v>213.92420881555827</v>
      </c>
      <c r="W21" s="214">
        <f t="shared" si="0"/>
        <v>6.0354792455800145E-3</v>
      </c>
      <c r="X21" s="213">
        <f t="shared" si="0"/>
        <v>6.9296243189992746E-3</v>
      </c>
      <c r="Y21" s="215">
        <f t="shared" si="1"/>
        <v>1.4938364422628807</v>
      </c>
      <c r="Z21" s="214">
        <f t="shared" si="1"/>
        <v>4.8234556914327924E-2</v>
      </c>
      <c r="AA21" s="214">
        <f t="shared" si="1"/>
        <v>1.4938364422628807</v>
      </c>
      <c r="AB21" s="214">
        <f t="shared" si="1"/>
        <v>0.17513369192442518</v>
      </c>
      <c r="AC21" s="214">
        <f t="shared" si="1"/>
        <v>0.24128325977204085</v>
      </c>
      <c r="AD21" s="213">
        <f t="shared" si="1"/>
        <v>427.84841763111655</v>
      </c>
      <c r="AE21" s="214">
        <f t="shared" si="1"/>
        <v>1.2070958491160029E-2</v>
      </c>
      <c r="AF21" s="213">
        <f t="shared" si="1"/>
        <v>1.3859248637998549E-2</v>
      </c>
    </row>
    <row r="22" spans="1:32" s="202" customFormat="1" ht="16.899999999999999" customHeight="1">
      <c r="A22" s="221" t="s">
        <v>172</v>
      </c>
      <c r="B22" s="219" t="s">
        <v>171</v>
      </c>
      <c r="C22" s="219" t="s">
        <v>170</v>
      </c>
      <c r="D22" s="220"/>
      <c r="E22" s="219"/>
      <c r="F22" s="231" t="s">
        <v>207</v>
      </c>
      <c r="G22" s="231">
        <v>0.16538700000000001</v>
      </c>
      <c r="H22" s="230">
        <f>B12*$H$24</f>
        <v>10.678571428571429</v>
      </c>
      <c r="I22" s="229">
        <v>8.5404070000000001</v>
      </c>
      <c r="J22" s="216">
        <v>0.40274399999999999</v>
      </c>
      <c r="K22" s="216">
        <v>8.5404070000000001</v>
      </c>
      <c r="L22" s="216">
        <v>1.292</v>
      </c>
      <c r="M22" s="216">
        <v>2.85</v>
      </c>
      <c r="N22" s="217">
        <f>$C$15</f>
        <v>3156.3324538258576</v>
      </c>
      <c r="O22" s="216">
        <f>0.27/0.8/3.79</f>
        <v>8.9050131926121379E-2</v>
      </c>
      <c r="P22" s="216">
        <f>0.31/0.8/3.79</f>
        <v>0.10224274406332452</v>
      </c>
      <c r="Q22" s="215">
        <f t="shared" si="0"/>
        <v>1.9951744438504457</v>
      </c>
      <c r="R22" s="214">
        <f t="shared" si="0"/>
        <v>9.4087382043280127E-2</v>
      </c>
      <c r="S22" s="214">
        <f t="shared" si="0"/>
        <v>1.9951744438504457</v>
      </c>
      <c r="T22" s="214">
        <f t="shared" si="0"/>
        <v>0.30183167868402239</v>
      </c>
      <c r="U22" s="214">
        <f t="shared" si="0"/>
        <v>0.66580517356769664</v>
      </c>
      <c r="V22" s="213">
        <f t="shared" si="0"/>
        <v>737.36929026557152</v>
      </c>
      <c r="W22" s="214">
        <f t="shared" si="0"/>
        <v>2.0803522295893863E-2</v>
      </c>
      <c r="X22" s="213">
        <f t="shared" si="0"/>
        <v>2.3885525598989248E-2</v>
      </c>
      <c r="Y22" s="215">
        <f t="shared" si="1"/>
        <v>3.9903488877008915</v>
      </c>
      <c r="Z22" s="214">
        <f t="shared" si="1"/>
        <v>0.18817476408656025</v>
      </c>
      <c r="AA22" s="214">
        <f t="shared" si="1"/>
        <v>3.9903488877008915</v>
      </c>
      <c r="AB22" s="214">
        <f t="shared" si="1"/>
        <v>0.60366335736804477</v>
      </c>
      <c r="AC22" s="214">
        <f t="shared" si="1"/>
        <v>1.3316103471353933</v>
      </c>
      <c r="AD22" s="213">
        <f t="shared" si="1"/>
        <v>1474.738580531143</v>
      </c>
      <c r="AE22" s="214">
        <f t="shared" si="1"/>
        <v>4.1607044591787726E-2</v>
      </c>
      <c r="AF22" s="213">
        <f t="shared" si="1"/>
        <v>4.7771051197978497E-2</v>
      </c>
    </row>
    <row r="23" spans="1:32" s="202" customFormat="1" ht="16.899999999999999" customHeight="1">
      <c r="A23" s="221"/>
      <c r="B23" s="219"/>
      <c r="C23" s="219"/>
      <c r="D23" s="220"/>
      <c r="E23" s="219"/>
      <c r="F23" s="231" t="s">
        <v>157</v>
      </c>
      <c r="G23" s="231">
        <v>3.6080000000000001E-2</v>
      </c>
      <c r="H23" s="230">
        <f>B13*$H$24</f>
        <v>1.6428571428571428</v>
      </c>
      <c r="I23" s="229">
        <v>2.6198060000000001</v>
      </c>
      <c r="J23" s="216">
        <v>19.875540000000001</v>
      </c>
      <c r="K23" s="216">
        <v>2.6198060000000001</v>
      </c>
      <c r="L23" s="216">
        <v>1.292</v>
      </c>
      <c r="M23" s="216">
        <v>2.92</v>
      </c>
      <c r="N23" s="217">
        <f>$C$15</f>
        <v>3156.3324538258576</v>
      </c>
      <c r="O23" s="216">
        <f>0.27/0.8/3.79</f>
        <v>8.9050131926121379E-2</v>
      </c>
      <c r="P23" s="216">
        <f>0.31/0.8/3.79</f>
        <v>0.10224274406332452</v>
      </c>
      <c r="Q23" s="215">
        <f t="shared" si="0"/>
        <v>2.0541078422363808E-2</v>
      </c>
      <c r="R23" s="214">
        <f t="shared" si="0"/>
        <v>0.15583788487652472</v>
      </c>
      <c r="S23" s="214">
        <f t="shared" si="0"/>
        <v>2.0541078422363808E-2</v>
      </c>
      <c r="T23" s="214">
        <f t="shared" si="0"/>
        <v>1.0130167394720845E-2</v>
      </c>
      <c r="U23" s="214">
        <f t="shared" si="0"/>
        <v>2.2894805567016153E-2</v>
      </c>
      <c r="V23" s="213">
        <f t="shared" si="0"/>
        <v>24.747814327125344</v>
      </c>
      <c r="W23" s="214">
        <f t="shared" si="0"/>
        <v>6.9821419731701609E-4</v>
      </c>
      <c r="X23" s="213">
        <f t="shared" si="0"/>
        <v>8.016533376602775E-4</v>
      </c>
      <c r="Y23" s="215">
        <f t="shared" si="1"/>
        <v>4.1082156844727616E-2</v>
      </c>
      <c r="Z23" s="214">
        <f t="shared" si="1"/>
        <v>0.31167576975304945</v>
      </c>
      <c r="AA23" s="214">
        <f t="shared" si="1"/>
        <v>4.1082156844727616E-2</v>
      </c>
      <c r="AB23" s="214">
        <f t="shared" si="1"/>
        <v>2.026033478944169E-2</v>
      </c>
      <c r="AC23" s="214">
        <f t="shared" si="1"/>
        <v>4.5789611134032307E-2</v>
      </c>
      <c r="AD23" s="213">
        <f t="shared" si="1"/>
        <v>49.495628654250687</v>
      </c>
      <c r="AE23" s="214">
        <f t="shared" si="1"/>
        <v>1.3964283946340322E-3</v>
      </c>
      <c r="AF23" s="213">
        <f t="shared" si="1"/>
        <v>1.603306675320555E-3</v>
      </c>
    </row>
    <row r="24" spans="1:32" s="202" customFormat="1" ht="16.899999999999999" customHeight="1" thickBot="1">
      <c r="A24" s="212" t="s">
        <v>103</v>
      </c>
      <c r="B24" s="210"/>
      <c r="C24" s="210"/>
      <c r="D24" s="211"/>
      <c r="E24" s="210"/>
      <c r="F24" s="210"/>
      <c r="G24" s="210"/>
      <c r="H24" s="209">
        <f>(2*60-5)/(5+2)</f>
        <v>16.428571428571427</v>
      </c>
      <c r="I24" s="215"/>
      <c r="J24" s="214"/>
      <c r="K24" s="214"/>
      <c r="L24" s="214"/>
      <c r="M24" s="214"/>
      <c r="N24" s="213"/>
      <c r="O24" s="214"/>
      <c r="P24" s="214"/>
      <c r="Q24" s="205"/>
      <c r="R24" s="204"/>
      <c r="S24" s="204"/>
      <c r="T24" s="204"/>
      <c r="U24" s="204"/>
      <c r="V24" s="203"/>
      <c r="W24" s="204"/>
      <c r="X24" s="203"/>
      <c r="Y24" s="205">
        <f t="shared" ref="Y24:AF24" si="2">SUM(Y20:Y23)</f>
        <v>5.5663496436532274</v>
      </c>
      <c r="Z24" s="204">
        <f t="shared" si="2"/>
        <v>0.85976086050698708</v>
      </c>
      <c r="AA24" s="204">
        <f t="shared" si="2"/>
        <v>5.5663496436532274</v>
      </c>
      <c r="AB24" s="204">
        <f t="shared" si="2"/>
        <v>0.8193177188713533</v>
      </c>
      <c r="AC24" s="204">
        <f t="shared" si="2"/>
        <v>1.6644728291754989</v>
      </c>
      <c r="AD24" s="203">
        <f t="shared" si="2"/>
        <v>2001.578255470761</v>
      </c>
      <c r="AE24" s="204">
        <f t="shared" si="2"/>
        <v>5.6470859872215819E-2</v>
      </c>
      <c r="AF24" s="203">
        <f t="shared" si="2"/>
        <v>6.4836913186618148E-2</v>
      </c>
    </row>
    <row r="25" spans="1:32" s="202" customFormat="1" ht="16.899999999999999" customHeight="1">
      <c r="A25" s="227" t="s">
        <v>150</v>
      </c>
      <c r="B25" s="225"/>
      <c r="C25" s="225"/>
      <c r="D25" s="226"/>
      <c r="E25" s="225"/>
      <c r="F25" s="225"/>
      <c r="G25" s="225"/>
      <c r="H25" s="225"/>
      <c r="I25" s="224"/>
      <c r="J25" s="223"/>
      <c r="K25" s="223"/>
      <c r="L25" s="223"/>
      <c r="M25" s="223"/>
      <c r="N25" s="222"/>
      <c r="O25" s="223"/>
      <c r="P25" s="223"/>
      <c r="Q25" s="224"/>
      <c r="R25" s="223"/>
      <c r="S25" s="223"/>
      <c r="T25" s="223"/>
      <c r="U25" s="223"/>
      <c r="V25" s="222"/>
      <c r="W25" s="223"/>
      <c r="X25" s="222"/>
      <c r="Y25" s="224"/>
      <c r="Z25" s="223"/>
      <c r="AA25" s="223"/>
      <c r="AB25" s="223"/>
      <c r="AC25" s="223"/>
      <c r="AD25" s="222"/>
      <c r="AE25" s="223"/>
      <c r="AF25" s="222"/>
    </row>
    <row r="26" spans="1:32" s="202" customFormat="1" ht="16.899999999999999" customHeight="1">
      <c r="A26" s="221" t="s">
        <v>169</v>
      </c>
      <c r="B26" s="219" t="s">
        <v>168</v>
      </c>
      <c r="C26" s="219" t="s">
        <v>167</v>
      </c>
      <c r="D26" s="220" t="s">
        <v>166</v>
      </c>
      <c r="E26" s="219">
        <v>850</v>
      </c>
      <c r="F26" s="219" t="s">
        <v>165</v>
      </c>
      <c r="G26" s="219">
        <v>1.2958000000000001E-2</v>
      </c>
      <c r="H26" s="218">
        <f>B9*$H$31</f>
        <v>0.9916666666666667</v>
      </c>
      <c r="I26" s="215">
        <v>2.1602000000000001</v>
      </c>
      <c r="J26" s="214">
        <v>20.030322999999999</v>
      </c>
      <c r="K26" s="214">
        <v>2.1602000000000001</v>
      </c>
      <c r="L26" s="214">
        <v>1.292</v>
      </c>
      <c r="M26" s="214">
        <v>2.9</v>
      </c>
      <c r="N26" s="217">
        <f>$C$15</f>
        <v>3156.3324538258576</v>
      </c>
      <c r="O26" s="216">
        <f>0.27/0.8/3.79</f>
        <v>8.9050131926121379E-2</v>
      </c>
      <c r="P26" s="216">
        <f>0.31/0.8/3.79</f>
        <v>0.10224274406332452</v>
      </c>
      <c r="Q26" s="215">
        <f t="shared" ref="Q26:X30" si="3">I26*$G26*$H26*60/453.59</f>
        <v>3.6718542300315264E-3</v>
      </c>
      <c r="R26" s="214">
        <f t="shared" si="3"/>
        <v>3.4047044827538092E-2</v>
      </c>
      <c r="S26" s="214">
        <f t="shared" si="3"/>
        <v>3.6718542300315264E-3</v>
      </c>
      <c r="T26" s="214">
        <f t="shared" si="3"/>
        <v>2.1961094644943674E-3</v>
      </c>
      <c r="U26" s="214">
        <f t="shared" si="3"/>
        <v>4.9293478692211037E-3</v>
      </c>
      <c r="V26" s="213">
        <f t="shared" si="3"/>
        <v>5.3650553985585887</v>
      </c>
      <c r="W26" s="214">
        <f t="shared" si="3"/>
        <v>1.5136519933237402E-4</v>
      </c>
      <c r="X26" s="213">
        <f t="shared" si="3"/>
        <v>1.7378967330754046E-4</v>
      </c>
      <c r="Y26" s="215">
        <f t="shared" ref="Y26:AD30" si="4">2*Q26</f>
        <v>7.3437084600630528E-3</v>
      </c>
      <c r="Z26" s="214">
        <f t="shared" si="4"/>
        <v>6.8094089655076184E-2</v>
      </c>
      <c r="AA26" s="214">
        <f t="shared" si="4"/>
        <v>7.3437084600630528E-3</v>
      </c>
      <c r="AB26" s="214">
        <f t="shared" si="4"/>
        <v>4.3922189289887347E-3</v>
      </c>
      <c r="AC26" s="214">
        <f t="shared" si="4"/>
        <v>9.8586957384422073E-3</v>
      </c>
      <c r="AD26" s="213">
        <f t="shared" si="4"/>
        <v>10.730110797117177</v>
      </c>
      <c r="AE26" s="214">
        <f t="shared" ref="AE26:AF30" si="5">W26*2</f>
        <v>3.0273039866474805E-4</v>
      </c>
      <c r="AF26" s="213">
        <f t="shared" si="5"/>
        <v>3.4757934661508092E-4</v>
      </c>
    </row>
    <row r="27" spans="1:32" s="202" customFormat="1" ht="16.899999999999999" customHeight="1">
      <c r="A27" s="221" t="s">
        <v>164</v>
      </c>
      <c r="B27" s="219" t="s">
        <v>163</v>
      </c>
      <c r="C27" s="219" t="s">
        <v>162</v>
      </c>
      <c r="D27" s="220" t="s">
        <v>161</v>
      </c>
      <c r="E27" s="219">
        <v>575</v>
      </c>
      <c r="F27" s="219" t="s">
        <v>160</v>
      </c>
      <c r="G27" s="219">
        <v>0.1193</v>
      </c>
      <c r="H27" s="218">
        <f>B10*$H$31</f>
        <v>0.49583333333333335</v>
      </c>
      <c r="I27" s="215">
        <v>7.2994599999999998</v>
      </c>
      <c r="J27" s="214">
        <v>1.15E-4</v>
      </c>
      <c r="K27" s="214">
        <v>7.2994599999999998</v>
      </c>
      <c r="L27" s="214">
        <v>1.292</v>
      </c>
      <c r="M27" s="214">
        <v>1.75</v>
      </c>
      <c r="N27" s="217">
        <f>$C$15</f>
        <v>3156.3324538258576</v>
      </c>
      <c r="O27" s="216">
        <f>0.27/0.8/3.79</f>
        <v>8.9050131926121379E-2</v>
      </c>
      <c r="P27" s="216">
        <f>0.31/0.8/3.79</f>
        <v>0.10224274406332452</v>
      </c>
      <c r="Q27" s="215">
        <f t="shared" si="3"/>
        <v>5.7115591052492344E-2</v>
      </c>
      <c r="R27" s="214">
        <f t="shared" si="3"/>
        <v>8.998327233845545E-7</v>
      </c>
      <c r="S27" s="214">
        <f t="shared" si="3"/>
        <v>5.7115591052492344E-2</v>
      </c>
      <c r="T27" s="214">
        <f t="shared" si="3"/>
        <v>1.010942503141604E-2</v>
      </c>
      <c r="U27" s="214">
        <f t="shared" si="3"/>
        <v>1.3693106660199742E-2</v>
      </c>
      <c r="V27" s="213">
        <f t="shared" si="3"/>
        <v>24.697141111592828</v>
      </c>
      <c r="W27" s="214">
        <f t="shared" si="3"/>
        <v>6.9678454546813614E-4</v>
      </c>
      <c r="X27" s="213">
        <f t="shared" si="3"/>
        <v>8.0001188553748958E-4</v>
      </c>
      <c r="Y27" s="215">
        <f t="shared" si="4"/>
        <v>0.11423118210498469</v>
      </c>
      <c r="Z27" s="214">
        <f t="shared" si="4"/>
        <v>1.799665446769109E-6</v>
      </c>
      <c r="AA27" s="214">
        <f t="shared" si="4"/>
        <v>0.11423118210498469</v>
      </c>
      <c r="AB27" s="214">
        <f t="shared" si="4"/>
        <v>2.021885006283208E-2</v>
      </c>
      <c r="AC27" s="214">
        <f t="shared" si="4"/>
        <v>2.7386213320399484E-2</v>
      </c>
      <c r="AD27" s="213">
        <f t="shared" si="4"/>
        <v>49.394282223185655</v>
      </c>
      <c r="AE27" s="214">
        <f t="shared" si="5"/>
        <v>1.3935690909362723E-3</v>
      </c>
      <c r="AF27" s="213">
        <f t="shared" si="5"/>
        <v>1.6000237710749792E-3</v>
      </c>
    </row>
    <row r="28" spans="1:32" s="202" customFormat="1" ht="16.899999999999999" customHeight="1">
      <c r="A28" s="221"/>
      <c r="B28" s="219"/>
      <c r="C28" s="219"/>
      <c r="D28" s="220"/>
      <c r="E28" s="219"/>
      <c r="F28" s="219" t="s">
        <v>159</v>
      </c>
      <c r="G28" s="219">
        <v>0.116844</v>
      </c>
      <c r="H28" s="218">
        <f>B11*$H$31</f>
        <v>0.9916666666666667</v>
      </c>
      <c r="I28" s="215">
        <v>7.3302870000000002</v>
      </c>
      <c r="J28" s="214">
        <v>1.18E-4</v>
      </c>
      <c r="K28" s="214">
        <v>7.3302870000000002</v>
      </c>
      <c r="L28" s="214">
        <v>1.292</v>
      </c>
      <c r="M28" s="214">
        <v>1.47</v>
      </c>
      <c r="N28" s="217">
        <f>$C$15</f>
        <v>3156.3324538258576</v>
      </c>
      <c r="O28" s="216">
        <f>0.27/0.8/3.79</f>
        <v>8.9050131926121379E-2</v>
      </c>
      <c r="P28" s="216">
        <f>0.31/0.8/3.79</f>
        <v>0.10224274406332452</v>
      </c>
      <c r="Q28" s="215">
        <f t="shared" si="3"/>
        <v>0.11235202104668535</v>
      </c>
      <c r="R28" s="214">
        <f t="shared" si="3"/>
        <v>1.8085974646707379E-6</v>
      </c>
      <c r="S28" s="214">
        <f t="shared" si="3"/>
        <v>0.11235202104668535</v>
      </c>
      <c r="T28" s="214">
        <f t="shared" si="3"/>
        <v>1.9802609528428758E-2</v>
      </c>
      <c r="U28" s="214">
        <f t="shared" si="3"/>
        <v>2.2530832822593092E-2</v>
      </c>
      <c r="V28" s="213">
        <f t="shared" si="3"/>
        <v>48.377414183452672</v>
      </c>
      <c r="W28" s="214">
        <f t="shared" si="3"/>
        <v>1.3648800239845582E-3</v>
      </c>
      <c r="X28" s="213">
        <f t="shared" si="3"/>
        <v>1.5670844719822702E-3</v>
      </c>
      <c r="Y28" s="215">
        <f t="shared" si="4"/>
        <v>0.22470404209337069</v>
      </c>
      <c r="Z28" s="214">
        <f t="shared" si="4"/>
        <v>3.6171949293414758E-6</v>
      </c>
      <c r="AA28" s="214">
        <f t="shared" si="4"/>
        <v>0.22470404209337069</v>
      </c>
      <c r="AB28" s="214">
        <f t="shared" si="4"/>
        <v>3.9605219056857516E-2</v>
      </c>
      <c r="AC28" s="214">
        <f t="shared" si="4"/>
        <v>4.5061665645186183E-2</v>
      </c>
      <c r="AD28" s="213">
        <f t="shared" si="4"/>
        <v>96.754828366905343</v>
      </c>
      <c r="AE28" s="214">
        <f t="shared" si="5"/>
        <v>2.7297600479691164E-3</v>
      </c>
      <c r="AF28" s="213">
        <f t="shared" si="5"/>
        <v>3.1341689439645403E-3</v>
      </c>
    </row>
    <row r="29" spans="1:32" s="202" customFormat="1" ht="16.899999999999999" customHeight="1">
      <c r="A29" s="221"/>
      <c r="B29" s="219"/>
      <c r="C29" s="219"/>
      <c r="D29" s="220"/>
      <c r="E29" s="219"/>
      <c r="F29" s="219" t="s">
        <v>158</v>
      </c>
      <c r="G29" s="219">
        <v>2.8586E-2</v>
      </c>
      <c r="H29" s="218">
        <f>B12*$H$31</f>
        <v>6.4458333333333329</v>
      </c>
      <c r="I29" s="215">
        <v>4.2020239999999998</v>
      </c>
      <c r="J29" s="214">
        <v>1.1460000000000001E-3</v>
      </c>
      <c r="K29" s="214">
        <v>4.2020239999999998</v>
      </c>
      <c r="L29" s="214">
        <v>1.292</v>
      </c>
      <c r="M29" s="214">
        <v>2.4</v>
      </c>
      <c r="N29" s="217">
        <f>$C$15</f>
        <v>3156.3324538258576</v>
      </c>
      <c r="O29" s="216">
        <f>0.27/0.8/3.79</f>
        <v>8.9050131926121379E-2</v>
      </c>
      <c r="P29" s="216">
        <f>0.31/0.8/3.79</f>
        <v>0.10224274406332452</v>
      </c>
      <c r="Q29" s="215">
        <f t="shared" si="3"/>
        <v>0.10241858441820147</v>
      </c>
      <c r="R29" s="214">
        <f t="shared" si="3"/>
        <v>2.7932181668467117E-5</v>
      </c>
      <c r="S29" s="214">
        <f t="shared" si="3"/>
        <v>0.10241858441820147</v>
      </c>
      <c r="T29" s="214">
        <f t="shared" si="3"/>
        <v>3.1490731863577245E-2</v>
      </c>
      <c r="U29" s="214">
        <f t="shared" si="3"/>
        <v>5.8496715536056794E-2</v>
      </c>
      <c r="V29" s="213">
        <f t="shared" si="3"/>
        <v>76.931284036948043</v>
      </c>
      <c r="W29" s="214">
        <f t="shared" si="3"/>
        <v>2.1704750982211043E-3</v>
      </c>
      <c r="X29" s="213">
        <f t="shared" si="3"/>
        <v>2.4920269646242308E-3</v>
      </c>
      <c r="Y29" s="215">
        <f t="shared" si="4"/>
        <v>0.20483716883640293</v>
      </c>
      <c r="Z29" s="214">
        <f t="shared" si="4"/>
        <v>5.5864363336934235E-5</v>
      </c>
      <c r="AA29" s="214">
        <f t="shared" si="4"/>
        <v>0.20483716883640293</v>
      </c>
      <c r="AB29" s="214">
        <f t="shared" si="4"/>
        <v>6.2981463727154491E-2</v>
      </c>
      <c r="AC29" s="214">
        <f t="shared" si="4"/>
        <v>0.11699343107211359</v>
      </c>
      <c r="AD29" s="213">
        <f t="shared" si="4"/>
        <v>153.86256807389609</v>
      </c>
      <c r="AE29" s="214">
        <f t="shared" si="5"/>
        <v>4.3409501964422085E-3</v>
      </c>
      <c r="AF29" s="213">
        <f t="shared" si="5"/>
        <v>4.9840539292484616E-3</v>
      </c>
    </row>
    <row r="30" spans="1:32" s="202" customFormat="1" ht="16.899999999999999" customHeight="1">
      <c r="A30" s="221"/>
      <c r="B30" s="219"/>
      <c r="C30" s="219"/>
      <c r="D30" s="220"/>
      <c r="E30" s="219"/>
      <c r="F30" s="219" t="s">
        <v>157</v>
      </c>
      <c r="G30" s="219">
        <v>1.2958000000000001E-2</v>
      </c>
      <c r="H30" s="218">
        <f>B13*$H$31</f>
        <v>0.9916666666666667</v>
      </c>
      <c r="I30" s="215">
        <v>2.1602000000000001</v>
      </c>
      <c r="J30" s="214">
        <v>20.030322999999999</v>
      </c>
      <c r="K30" s="214">
        <v>2.1602000000000001</v>
      </c>
      <c r="L30" s="214">
        <v>1.292</v>
      </c>
      <c r="M30" s="214">
        <v>2.9</v>
      </c>
      <c r="N30" s="217">
        <f>$C$15</f>
        <v>3156.3324538258576</v>
      </c>
      <c r="O30" s="216">
        <f>0.27/0.8/3.79</f>
        <v>8.9050131926121379E-2</v>
      </c>
      <c r="P30" s="216">
        <f>0.31/0.8/3.79</f>
        <v>0.10224274406332452</v>
      </c>
      <c r="Q30" s="215">
        <f t="shared" si="3"/>
        <v>3.6718542300315264E-3</v>
      </c>
      <c r="R30" s="214">
        <f t="shared" si="3"/>
        <v>3.4047044827538092E-2</v>
      </c>
      <c r="S30" s="214">
        <f t="shared" si="3"/>
        <v>3.6718542300315264E-3</v>
      </c>
      <c r="T30" s="214">
        <f t="shared" si="3"/>
        <v>2.1961094644943674E-3</v>
      </c>
      <c r="U30" s="214">
        <f t="shared" si="3"/>
        <v>4.9293478692211037E-3</v>
      </c>
      <c r="V30" s="213">
        <f t="shared" si="3"/>
        <v>5.3650553985585887</v>
      </c>
      <c r="W30" s="214">
        <f t="shared" si="3"/>
        <v>1.5136519933237402E-4</v>
      </c>
      <c r="X30" s="213">
        <f t="shared" si="3"/>
        <v>1.7378967330754046E-4</v>
      </c>
      <c r="Y30" s="215">
        <f t="shared" si="4"/>
        <v>7.3437084600630528E-3</v>
      </c>
      <c r="Z30" s="214">
        <f t="shared" si="4"/>
        <v>6.8094089655076184E-2</v>
      </c>
      <c r="AA30" s="214">
        <f t="shared" si="4"/>
        <v>7.3437084600630528E-3</v>
      </c>
      <c r="AB30" s="214">
        <f t="shared" si="4"/>
        <v>4.3922189289887347E-3</v>
      </c>
      <c r="AC30" s="214">
        <f t="shared" si="4"/>
        <v>9.8586957384422073E-3</v>
      </c>
      <c r="AD30" s="213">
        <f t="shared" si="4"/>
        <v>10.730110797117177</v>
      </c>
      <c r="AE30" s="214">
        <f t="shared" si="5"/>
        <v>3.0273039866474805E-4</v>
      </c>
      <c r="AF30" s="213">
        <f t="shared" si="5"/>
        <v>3.4757934661508092E-4</v>
      </c>
    </row>
    <row r="31" spans="1:32" s="202" customFormat="1" ht="16.899999999999999" customHeight="1" thickBot="1">
      <c r="A31" s="212" t="s">
        <v>103</v>
      </c>
      <c r="B31" s="210"/>
      <c r="C31" s="210"/>
      <c r="D31" s="211"/>
      <c r="E31" s="210"/>
      <c r="F31" s="210"/>
      <c r="G31" s="210"/>
      <c r="H31" s="209">
        <f>(10*60-5)/(50+10)</f>
        <v>9.9166666666666661</v>
      </c>
      <c r="I31" s="208"/>
      <c r="J31" s="207"/>
      <c r="K31" s="207"/>
      <c r="L31" s="207"/>
      <c r="M31" s="207"/>
      <c r="N31" s="206"/>
      <c r="O31" s="207"/>
      <c r="P31" s="207"/>
      <c r="Q31" s="208"/>
      <c r="R31" s="207"/>
      <c r="S31" s="207"/>
      <c r="T31" s="207"/>
      <c r="U31" s="207"/>
      <c r="V31" s="206"/>
      <c r="W31" s="207"/>
      <c r="X31" s="206"/>
      <c r="Y31" s="205">
        <f t="shared" ref="Y31:AF31" si="6">SUM(Y26:Y30)</f>
        <v>0.55845980995488442</v>
      </c>
      <c r="Z31" s="204">
        <f t="shared" si="6"/>
        <v>0.13624946053386541</v>
      </c>
      <c r="AA31" s="204">
        <f t="shared" si="6"/>
        <v>0.55845980995488442</v>
      </c>
      <c r="AB31" s="204">
        <f t="shared" si="6"/>
        <v>0.13158997070482154</v>
      </c>
      <c r="AC31" s="204">
        <f t="shared" si="6"/>
        <v>0.20915870151458366</v>
      </c>
      <c r="AD31" s="203">
        <f t="shared" si="6"/>
        <v>321.47190025822147</v>
      </c>
      <c r="AE31" s="204">
        <f t="shared" si="6"/>
        <v>9.0697401326770948E-3</v>
      </c>
      <c r="AF31" s="203">
        <f t="shared" si="6"/>
        <v>1.0413405337518142E-2</v>
      </c>
    </row>
    <row r="32" spans="1:32" s="136" customFormat="1" ht="16.149999999999999" customHeight="1">
      <c r="A32" s="201"/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</row>
  </sheetData>
  <mergeCells count="11">
    <mergeCell ref="Y17:AD17"/>
    <mergeCell ref="A17:A18"/>
    <mergeCell ref="B17:B18"/>
    <mergeCell ref="C17:C18"/>
    <mergeCell ref="D17:D18"/>
    <mergeCell ref="E17:E18"/>
    <mergeCell ref="F17:F18"/>
    <mergeCell ref="G17:G18"/>
    <mergeCell ref="H17:H18"/>
    <mergeCell ref="I17:N17"/>
    <mergeCell ref="Q17:V17"/>
  </mergeCells>
  <pageMargins left="0.7" right="0.7" top="0.75" bottom="0.75" header="0.3" footer="0.3"/>
  <pageSetup scale="80" fitToWidth="2" orientation="landscape" r:id="rId1"/>
  <headerFooter>
    <oddHeader>&amp;CTable A-14
Helicopter Emission Factors
South Orange County Reliability Enhancement Project</oddHeader>
    <oddFooter>&amp;CA-14</oddFooter>
  </headerFooter>
  <colBreaks count="2" manualBreakCount="2">
    <brk id="16" max="38" man="1"/>
    <brk id="24" max="38" man="1"/>
  </colBreaks>
</worksheet>
</file>

<file path=xl/worksheets/sheet2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0"/>
  <sheetViews>
    <sheetView zoomScale="75" zoomScaleNormal="75" workbookViewId="0">
      <selection activeCell="Q17" sqref="Q17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744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296</v>
      </c>
      <c r="B7" s="29"/>
      <c r="C7" s="22"/>
      <c r="D7" s="18"/>
      <c r="E7" s="23"/>
      <c r="F7" s="23"/>
      <c r="G7" s="23"/>
      <c r="H7" s="23"/>
      <c r="I7" s="23"/>
      <c r="J7" s="24"/>
      <c r="K7" s="25"/>
      <c r="L7" s="23"/>
      <c r="M7" s="33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 t="s">
        <v>120</v>
      </c>
      <c r="B8" s="29" t="s">
        <v>27</v>
      </c>
      <c r="C8" s="97">
        <v>358</v>
      </c>
      <c r="D8" s="97">
        <v>0.4</v>
      </c>
      <c r="E8" s="108">
        <v>0.27937428148624566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0.82081128747795418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1.2776243386243384</v>
      </c>
      <c r="H8" s="413">
        <v>2.5998088533883764E-3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4.735449735449735E-2</v>
      </c>
      <c r="J8" s="100">
        <f t="shared" ref="J8:J16" si="0">0.89*I8</f>
        <v>4.2145502645502646E-2</v>
      </c>
      <c r="K8" s="413">
        <v>264.8724745785683</v>
      </c>
      <c r="L8" s="413">
        <v>2.7713693350021742E-2</v>
      </c>
      <c r="M8" s="102">
        <f t="shared" ref="M8:M16" si="1">0.095*G8</f>
        <v>0.12137431216931216</v>
      </c>
      <c r="N8" s="98">
        <v>1</v>
      </c>
      <c r="O8" s="98">
        <v>4</v>
      </c>
      <c r="P8" s="99">
        <v>20</v>
      </c>
      <c r="Q8" s="34">
        <f t="shared" ref="Q8:Y16" si="2">(E8*$N8*$O8)</f>
        <v>1.1174971259449826</v>
      </c>
      <c r="R8" s="26">
        <f t="shared" si="2"/>
        <v>3.2832451499118167</v>
      </c>
      <c r="S8" s="26">
        <f t="shared" si="2"/>
        <v>5.1104973544973538</v>
      </c>
      <c r="T8" s="26">
        <f t="shared" si="2"/>
        <v>1.0399235413553505E-2</v>
      </c>
      <c r="U8" s="26">
        <f t="shared" si="2"/>
        <v>0.1894179894179894</v>
      </c>
      <c r="V8" s="26">
        <f t="shared" si="2"/>
        <v>0.16858201058201058</v>
      </c>
      <c r="W8" s="26">
        <f t="shared" si="2"/>
        <v>1059.4898983142732</v>
      </c>
      <c r="X8" s="26">
        <f t="shared" si="2"/>
        <v>0.11085477340008697</v>
      </c>
      <c r="Y8" s="26">
        <f t="shared" si="2"/>
        <v>0.48549724867724864</v>
      </c>
    </row>
    <row r="9" spans="1:25" s="3" customFormat="1">
      <c r="A9" s="24" t="s">
        <v>121</v>
      </c>
      <c r="B9" s="29" t="s">
        <v>27</v>
      </c>
      <c r="C9" s="97">
        <v>162</v>
      </c>
      <c r="D9" s="22">
        <v>0.41</v>
      </c>
      <c r="E9" s="108">
        <v>0.12153885438656534</v>
      </c>
      <c r="F9" s="397">
        <f>IF($C9&lt;11,'Offroad Tiers EF (2)'!$AN$4*$C9*$D9,IF($C9&lt;25,'Offroad Tiers EF (2)'!$AN$5*$C9*$D9,IF($C9&lt;50,'Offroad Tiers EF (2)'!$AN$6*$C9*$D9,IF($C9&lt;75,'Offroad Tiers EF (2)'!$AN$7*$C9*$D9,IF($C9&lt;100,'Offroad Tiers EF (2)'!$AN$8*$C9*$D9,IF($C9&lt;175,'Offroad Tiers EF (2)'!$AN$9*$C9*$D9,IF($C9&lt;300,'Offroad Tiers EF (2)'!$AN$10*$C9*$D9,IF($C9&lt;600,'Offroad Tiers EF (2)'!$AN$11*$C9*$D9,"!"))))))))</f>
        <v>0.5417857142857142</v>
      </c>
      <c r="G9" s="397">
        <f>IF($C9&lt;11,'Offroad Tiers EF (2)'!$AM$4*$C9*$D9,IF($C9&lt;25,'Offroad Tiers EF (2)'!$AM$5*$C9*$D9,IF($C9&lt;50,'Offroad Tiers EF (2)'!$AM$6*$C9*$D9,IF($C9&lt;75,'Offroad Tiers EF (2)'!$AM$7*$C9*$D9,IF($C9&lt;100,'Offroad Tiers EF (2)'!$AM$8*$C9*$D9,IF($C9&lt;175,'Offroad Tiers EF (2)'!$AM$9*$C9*$D9,IF($C9&lt;300,'Offroad Tiers EF (2)'!$AM$10*$C9*$D9,IF($C9&lt;600,'Offroad Tiers EF (2)'!$AM$11*$C9*$D9,"!"))))))))</f>
        <v>0.60233392857142853</v>
      </c>
      <c r="H9" s="413">
        <v>1.3943296443626662E-3</v>
      </c>
      <c r="I9" s="397">
        <f>IF($C9&lt;11,'Offroad Tiers EF (2)'!$AO$4*$C9*$D9,IF($C9&lt;25,'Offroad Tiers EF (2)'!$AO$5*$C9*$D9,IF($C9&lt;50,'Offroad Tiers EF (2)'!$AO$6*$C9*$D9,IF($C9&lt;75,'Offroad Tiers EF (2)'!$AO$7*$C9*$D9,IF($C9&lt;100,'Offroad Tiers EF (2)'!$AO$8*$C9*$D9,IF($C9&lt;175,'Offroad Tiers EF (2)'!$AO$9*$C9*$D9,IF($C9&lt;300,'Offroad Tiers EF (2)'!$AO$10*$C9*$D9,IF($C9&lt;600,'Offroad Tiers EF (2)'!$AO$11*$C9*$D9,"!"))))))))</f>
        <v>3.2214285714285709E-2</v>
      </c>
      <c r="J9" s="100">
        <f t="shared" si="0"/>
        <v>2.8670714285714282E-2</v>
      </c>
      <c r="K9" s="414">
        <v>123.92149503712022</v>
      </c>
      <c r="L9" s="415">
        <v>1.2505433199422452E-2</v>
      </c>
      <c r="M9" s="102">
        <f t="shared" si="1"/>
        <v>5.7221723214285709E-2</v>
      </c>
      <c r="N9" s="98">
        <v>1</v>
      </c>
      <c r="O9" s="98">
        <v>3</v>
      </c>
      <c r="P9" s="99">
        <v>66</v>
      </c>
      <c r="Q9" s="34">
        <f t="shared" si="2"/>
        <v>0.36461656315969604</v>
      </c>
      <c r="R9" s="26">
        <f t="shared" si="2"/>
        <v>1.6253571428571427</v>
      </c>
      <c r="S9" s="26">
        <f t="shared" si="2"/>
        <v>1.8070017857142857</v>
      </c>
      <c r="T9" s="26">
        <f t="shared" si="2"/>
        <v>4.1829889330879987E-3</v>
      </c>
      <c r="U9" s="26">
        <f t="shared" si="2"/>
        <v>9.6642857142857128E-2</v>
      </c>
      <c r="V9" s="26">
        <f t="shared" si="2"/>
        <v>8.6012142857142843E-2</v>
      </c>
      <c r="W9" s="26">
        <f t="shared" si="2"/>
        <v>371.76448511136067</v>
      </c>
      <c r="X9" s="26">
        <f t="shared" si="2"/>
        <v>3.7516299598267355E-2</v>
      </c>
      <c r="Y9" s="26">
        <f t="shared" si="2"/>
        <v>0.17166516964285713</v>
      </c>
    </row>
    <row r="10" spans="1:25" s="3" customFormat="1">
      <c r="A10" s="24" t="s">
        <v>122</v>
      </c>
      <c r="B10" s="29" t="s">
        <v>27</v>
      </c>
      <c r="C10" s="97">
        <v>356</v>
      </c>
      <c r="D10" s="22">
        <v>0.48</v>
      </c>
      <c r="E10" s="413">
        <v>0.27361983606105278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0.97947089947089949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1.5245841269841265</v>
      </c>
      <c r="H10" s="413">
        <v>3.1549250027299411E-3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5.65079365079365E-2</v>
      </c>
      <c r="J10" s="100">
        <f t="shared" si="0"/>
        <v>5.0292063492063485E-2</v>
      </c>
      <c r="K10" s="413">
        <v>321.42842594638495</v>
      </c>
      <c r="L10" s="413">
        <v>2.7367143038344539E-2</v>
      </c>
      <c r="M10" s="102">
        <f t="shared" si="1"/>
        <v>0.14483549206349203</v>
      </c>
      <c r="N10" s="98">
        <v>2</v>
      </c>
      <c r="O10" s="98">
        <v>3</v>
      </c>
      <c r="P10" s="99">
        <v>66</v>
      </c>
      <c r="Q10" s="34">
        <f t="shared" si="2"/>
        <v>1.6417190163663167</v>
      </c>
      <c r="R10" s="26">
        <f t="shared" si="2"/>
        <v>5.8768253968253967</v>
      </c>
      <c r="S10" s="26">
        <f t="shared" si="2"/>
        <v>9.1475047619047594</v>
      </c>
      <c r="T10" s="26">
        <f t="shared" si="2"/>
        <v>1.8929550016379647E-2</v>
      </c>
      <c r="U10" s="26">
        <f t="shared" si="2"/>
        <v>0.33904761904761899</v>
      </c>
      <c r="V10" s="26">
        <f t="shared" si="2"/>
        <v>0.30175238095238088</v>
      </c>
      <c r="W10" s="26">
        <f t="shared" si="2"/>
        <v>1928.5705556783096</v>
      </c>
      <c r="X10" s="26">
        <f t="shared" si="2"/>
        <v>0.16420285823006725</v>
      </c>
      <c r="Y10" s="26">
        <f t="shared" si="2"/>
        <v>0.86901295238095222</v>
      </c>
    </row>
    <row r="11" spans="1:25" s="3" customFormat="1">
      <c r="A11" s="24" t="s">
        <v>123</v>
      </c>
      <c r="B11" s="29" t="s">
        <v>27</v>
      </c>
      <c r="C11" s="97">
        <v>84</v>
      </c>
      <c r="D11" s="22">
        <v>0.38</v>
      </c>
      <c r="E11" s="102">
        <v>7.9534395197012789E-2</v>
      </c>
      <c r="F11" s="397">
        <f>IF($C11&lt;11,'Offroad Tiers EF (2)'!$AN$4*$C11*$D11,IF($C11&lt;25,'Offroad Tiers EF (2)'!$AN$5*$C11*$D11,IF($C11&lt;50,'Offroad Tiers EF (2)'!$AN$6*$C11*$D11,IF($C11&lt;75,'Offroad Tiers EF (2)'!$AN$7*$C11*$D11,IF($C11&lt;100,'Offroad Tiers EF (2)'!$AN$8*$C11*$D11,IF($C11&lt;175,'Offroad Tiers EF (2)'!$AN$9*$C11*$D11,IF($C11&lt;300,'Offroad Tiers EF (2)'!$AN$10*$C11*$D11,IF($C11&lt;600,'Offroad Tiers EF (2)'!$AN$11*$C11*$D11,"!"))))))))</f>
        <v>0.26037037037037036</v>
      </c>
      <c r="G11" s="397">
        <f>IF($C11&lt;11,'Offroad Tiers EF (2)'!$AM$4*$C11*$D11,IF($C11&lt;25,'Offroad Tiers EF (2)'!$AM$5*$C11*$D11,IF($C11&lt;50,'Offroad Tiers EF (2)'!$AM$6*$C11*$D11,IF($C11&lt;75,'Offroad Tiers EF (2)'!$AM$7*$C11*$D11,IF($C11&lt;100,'Offroad Tiers EF (2)'!$AM$8*$C11*$D11,IF($C11&lt;175,'Offroad Tiers EF (2)'!$AM$9*$C11*$D11,IF($C11&lt;300,'Offroad Tiers EF (2)'!$AM$10*$C11*$D11,IF($C11&lt;600,'Offroad Tiers EF (2)'!$AM$11*$C11*$D11,"!"))))))))</f>
        <v>0.33225370370370361</v>
      </c>
      <c r="H11" s="102">
        <v>6.9196834691909377E-4</v>
      </c>
      <c r="I11" s="397">
        <f>IF($C11&lt;11,'Offroad Tiers EF (2)'!$AO$4*$C11*$D11,IF($C11&lt;25,'Offroad Tiers EF (2)'!$AO$5*$C11*$D11,IF($C11&lt;50,'Offroad Tiers EF (2)'!$AO$6*$C11*$D11,IF($C11&lt;75,'Offroad Tiers EF (2)'!$AO$7*$C11*$D11,IF($C11&lt;100,'Offroad Tiers EF (2)'!$AO$8*$C11*$D11,IF($C11&lt;175,'Offroad Tiers EF (2)'!$AO$9*$C11*$D11,IF($C11&lt;300,'Offroad Tiers EF (2)'!$AO$10*$C11*$D11,IF($C11&lt;600,'Offroad Tiers EF (2)'!$AO$11*$C11*$D11,"!"))))))))</f>
        <v>2.1111111111111112E-2</v>
      </c>
      <c r="J11" s="100">
        <f t="shared" si="0"/>
        <v>1.878888888888889E-2</v>
      </c>
      <c r="K11" s="103">
        <v>58.988746640295226</v>
      </c>
      <c r="L11" s="102">
        <v>8.3100677993644661E-3</v>
      </c>
      <c r="M11" s="102">
        <f t="shared" si="1"/>
        <v>3.1564101851851843E-2</v>
      </c>
      <c r="N11" s="98">
        <v>2</v>
      </c>
      <c r="O11" s="98">
        <v>3</v>
      </c>
      <c r="P11" s="99">
        <v>66</v>
      </c>
      <c r="Q11" s="34">
        <f t="shared" si="2"/>
        <v>0.47720637118207676</v>
      </c>
      <c r="R11" s="26">
        <f t="shared" si="2"/>
        <v>1.5622222222222222</v>
      </c>
      <c r="S11" s="26">
        <f t="shared" si="2"/>
        <v>1.9935222222222215</v>
      </c>
      <c r="T11" s="26">
        <f t="shared" si="2"/>
        <v>4.151810081514563E-3</v>
      </c>
      <c r="U11" s="26">
        <f t="shared" si="2"/>
        <v>0.12666666666666668</v>
      </c>
      <c r="V11" s="26">
        <f t="shared" si="2"/>
        <v>0.11273333333333334</v>
      </c>
      <c r="W11" s="26">
        <f t="shared" si="2"/>
        <v>353.93247984177134</v>
      </c>
      <c r="X11" s="26">
        <f t="shared" si="2"/>
        <v>4.9860406796186793E-2</v>
      </c>
      <c r="Y11" s="26">
        <f t="shared" si="2"/>
        <v>0.18938461111111105</v>
      </c>
    </row>
    <row r="12" spans="1:25" s="3" customFormat="1">
      <c r="A12" s="24" t="s">
        <v>124</v>
      </c>
      <c r="B12" s="29" t="s">
        <v>27</v>
      </c>
      <c r="C12" s="97">
        <v>87</v>
      </c>
      <c r="D12" s="22">
        <v>0.37</v>
      </c>
      <c r="E12" s="102">
        <v>7.7253202863558038E-2</v>
      </c>
      <c r="F12" s="397">
        <f>IF($C12&lt;11,'Offroad Tiers EF (2)'!$AN$4*$C12*$D12,IF($C12&lt;25,'Offroad Tiers EF (2)'!$AN$5*$C12*$D12,IF($C12&lt;50,'Offroad Tiers EF (2)'!$AN$6*$C12*$D12,IF($C12&lt;75,'Offroad Tiers EF (2)'!$AN$7*$C12*$D12,IF($C12&lt;100,'Offroad Tiers EF (2)'!$AN$8*$C12*$D12,IF($C12&lt;175,'Offroad Tiers EF (2)'!$AN$9*$C12*$D12,IF($C12&lt;300,'Offroad Tiers EF (2)'!$AN$10*$C12*$D12,IF($C12&lt;600,'Offroad Tiers EF (2)'!$AN$11*$C12*$D12,"!"))))))))</f>
        <v>0.26257275132275132</v>
      </c>
      <c r="G12" s="397">
        <f>IF($C12&lt;11,'Offroad Tiers EF (2)'!$AM$4*$C12*$D12,IF($C12&lt;25,'Offroad Tiers EF (2)'!$AM$5*$C12*$D12,IF($C12&lt;50,'Offroad Tiers EF (2)'!$AM$6*$C12*$D12,IF($C12&lt;75,'Offroad Tiers EF (2)'!$AM$7*$C12*$D12,IF($C12&lt;100,'Offroad Tiers EF (2)'!$AM$8*$C12*$D12,IF($C12&lt;175,'Offroad Tiers EF (2)'!$AM$9*$C12*$D12,IF($C12&lt;300,'Offroad Tiers EF (2)'!$AM$10*$C12*$D12,IF($C12&lt;600,'Offroad Tiers EF (2)'!$AM$11*$C12*$D12,"!"))))))))</f>
        <v>0.33506412037037031</v>
      </c>
      <c r="H12" s="102">
        <v>6.910856115004858E-4</v>
      </c>
      <c r="I12" s="397">
        <f>IF($C12&lt;11,'Offroad Tiers EF (2)'!$AO$4*$C12*$D12,IF($C12&lt;25,'Offroad Tiers EF (2)'!$AO$5*$C12*$D12,IF($C12&lt;50,'Offroad Tiers EF (2)'!$AO$6*$C12*$D12,IF($C12&lt;75,'Offroad Tiers EF (2)'!$AO$7*$C12*$D12,IF($C12&lt;100,'Offroad Tiers EF (2)'!$AO$8*$C12*$D12,IF($C12&lt;175,'Offroad Tiers EF (2)'!$AO$9*$C12*$D12,IF($C12&lt;300,'Offroad Tiers EF (2)'!$AO$10*$C12*$D12,IF($C12&lt;600,'Offroad Tiers EF (2)'!$AO$11*$C12*$D12,"!"))))))))</f>
        <v>2.1289682539682539E-2</v>
      </c>
      <c r="J12" s="100">
        <f t="shared" si="0"/>
        <v>1.894781746031746E-2</v>
      </c>
      <c r="K12" s="103">
        <v>58.913505111712794</v>
      </c>
      <c r="L12" s="102">
        <v>8.1364324497053466E-3</v>
      </c>
      <c r="M12" s="102">
        <f t="shared" si="1"/>
        <v>3.1831091435185178E-2</v>
      </c>
      <c r="N12" s="98">
        <v>2</v>
      </c>
      <c r="O12" s="98">
        <v>6</v>
      </c>
      <c r="P12" s="99">
        <v>66</v>
      </c>
      <c r="Q12" s="34">
        <f t="shared" si="2"/>
        <v>0.92703843436269651</v>
      </c>
      <c r="R12" s="26">
        <f t="shared" si="2"/>
        <v>3.1508730158730156</v>
      </c>
      <c r="S12" s="26">
        <f t="shared" si="2"/>
        <v>4.0207694444444435</v>
      </c>
      <c r="T12" s="26">
        <f t="shared" si="2"/>
        <v>8.2930273380058296E-3</v>
      </c>
      <c r="U12" s="26">
        <f t="shared" si="2"/>
        <v>0.25547619047619047</v>
      </c>
      <c r="V12" s="26">
        <f t="shared" si="2"/>
        <v>0.22737380952380953</v>
      </c>
      <c r="W12" s="26">
        <f t="shared" si="2"/>
        <v>706.96206134055353</v>
      </c>
      <c r="X12" s="26">
        <f t="shared" si="2"/>
        <v>9.7637189396464152E-2</v>
      </c>
      <c r="Y12" s="26">
        <f t="shared" si="2"/>
        <v>0.38197309722222217</v>
      </c>
    </row>
    <row r="13" spans="1:25" s="3" customFormat="1">
      <c r="A13" s="32" t="s">
        <v>125</v>
      </c>
      <c r="B13" s="29" t="s">
        <v>27</v>
      </c>
      <c r="C13" s="97">
        <v>87</v>
      </c>
      <c r="D13" s="22">
        <v>0.37</v>
      </c>
      <c r="E13" s="413">
        <v>5.2437519504869065E-2</v>
      </c>
      <c r="F13" s="397">
        <f>IF($C13&lt;11,'Offroad Tiers EF (2)'!$AN$4*$C13*$D13,IF($C13&lt;25,'Offroad Tiers EF (2)'!$AN$5*$C13*$D13,IF($C13&lt;50,'Offroad Tiers EF (2)'!$AN$6*$C13*$D13,IF($C13&lt;75,'Offroad Tiers EF (2)'!$AN$7*$C13*$D13,IF($C13&lt;100,'Offroad Tiers EF (2)'!$AN$8*$C13*$D13,IF($C13&lt;175,'Offroad Tiers EF (2)'!$AN$9*$C13*$D13,IF($C13&lt;300,'Offroad Tiers EF (2)'!$AN$10*$C13*$D13,IF($C13&lt;600,'Offroad Tiers EF (2)'!$AN$11*$C13*$D13,"!"))))))))</f>
        <v>0.26257275132275132</v>
      </c>
      <c r="G13" s="397">
        <f>IF($C13&lt;11,'Offroad Tiers EF (2)'!$AM$4*$C13*$D13,IF($C13&lt;25,'Offroad Tiers EF (2)'!$AM$5*$C13*$D13,IF($C13&lt;50,'Offroad Tiers EF (2)'!$AM$6*$C13*$D13,IF($C13&lt;75,'Offroad Tiers EF (2)'!$AM$7*$C13*$D13,IF($C13&lt;100,'Offroad Tiers EF (2)'!$AM$8*$C13*$D13,IF($C13&lt;175,'Offroad Tiers EF (2)'!$AM$9*$C13*$D13,IF($C13&lt;300,'Offroad Tiers EF (2)'!$AM$10*$C13*$D13,IF($C13&lt;600,'Offroad Tiers EF (2)'!$AM$11*$C13*$D13,"!"))))))))</f>
        <v>0.33506412037037031</v>
      </c>
      <c r="H13" s="413">
        <v>6.0679618797898508E-4</v>
      </c>
      <c r="I13" s="397">
        <f>IF($C13&lt;11,'Offroad Tiers EF (2)'!$AO$4*$C13*$D13,IF($C13&lt;25,'Offroad Tiers EF (2)'!$AO$5*$C13*$D13,IF($C13&lt;50,'Offroad Tiers EF (2)'!$AO$6*$C13*$D13,IF($C13&lt;75,'Offroad Tiers EF (2)'!$AO$7*$C13*$D13,IF($C13&lt;100,'Offroad Tiers EF (2)'!$AO$8*$C13*$D13,IF($C13&lt;175,'Offroad Tiers EF (2)'!$AO$9*$C13*$D13,IF($C13&lt;300,'Offroad Tiers EF (2)'!$AO$10*$C13*$D13,IF($C13&lt;600,'Offroad Tiers EF (2)'!$AO$11*$C13*$D13,"!"))))))))</f>
        <v>2.1289682539682539E-2</v>
      </c>
      <c r="J13" s="100">
        <f t="shared" si="0"/>
        <v>1.894781746031746E-2</v>
      </c>
      <c r="K13" s="413">
        <v>51.728016924248784</v>
      </c>
      <c r="L13" s="413">
        <v>5.7223017989158831E-3</v>
      </c>
      <c r="M13" s="102">
        <f t="shared" si="1"/>
        <v>3.1831091435185178E-2</v>
      </c>
      <c r="N13" s="87">
        <v>2</v>
      </c>
      <c r="O13" s="87">
        <v>6</v>
      </c>
      <c r="P13" s="88">
        <v>66</v>
      </c>
      <c r="Q13" s="34">
        <f t="shared" si="2"/>
        <v>0.62925023405842873</v>
      </c>
      <c r="R13" s="26">
        <f t="shared" si="2"/>
        <v>3.1508730158730156</v>
      </c>
      <c r="S13" s="26">
        <f t="shared" si="2"/>
        <v>4.0207694444444435</v>
      </c>
      <c r="T13" s="26">
        <f t="shared" si="2"/>
        <v>7.2815542557478213E-3</v>
      </c>
      <c r="U13" s="26">
        <f t="shared" si="2"/>
        <v>0.25547619047619047</v>
      </c>
      <c r="V13" s="26">
        <f t="shared" si="2"/>
        <v>0.22737380952380953</v>
      </c>
      <c r="W13" s="26">
        <f t="shared" si="2"/>
        <v>620.73620309098544</v>
      </c>
      <c r="X13" s="26">
        <f t="shared" si="2"/>
        <v>6.8667621586990593E-2</v>
      </c>
      <c r="Y13" s="26">
        <f t="shared" si="2"/>
        <v>0.38197309722222217</v>
      </c>
    </row>
    <row r="14" spans="1:25" s="3" customFormat="1">
      <c r="A14" s="24" t="s">
        <v>126</v>
      </c>
      <c r="B14" s="29" t="s">
        <v>27</v>
      </c>
      <c r="C14" s="97">
        <v>175</v>
      </c>
      <c r="D14" s="97"/>
      <c r="E14" s="102">
        <v>0.11792220738547983</v>
      </c>
      <c r="F14" s="102">
        <v>0.36512193352152528</v>
      </c>
      <c r="G14" s="102">
        <v>0.86781464282266541</v>
      </c>
      <c r="H14" s="102">
        <v>1.8739217498104396E-3</v>
      </c>
      <c r="I14" s="102">
        <v>2.9041712295589866E-2</v>
      </c>
      <c r="J14" s="100">
        <f t="shared" si="0"/>
        <v>2.5847123943074982E-2</v>
      </c>
      <c r="K14" s="103">
        <v>166.54541562452522</v>
      </c>
      <c r="L14" s="102">
        <v>1.063993297769634E-2</v>
      </c>
      <c r="M14" s="104">
        <f t="shared" si="1"/>
        <v>8.2442391068153209E-2</v>
      </c>
      <c r="N14" s="98">
        <v>3</v>
      </c>
      <c r="O14" s="98">
        <v>2</v>
      </c>
      <c r="P14" s="99">
        <v>66</v>
      </c>
      <c r="Q14" s="34">
        <f t="shared" si="2"/>
        <v>0.70753324431287901</v>
      </c>
      <c r="R14" s="26">
        <f t="shared" si="2"/>
        <v>2.1907316011291518</v>
      </c>
      <c r="S14" s="26">
        <f t="shared" si="2"/>
        <v>5.2068878569359924</v>
      </c>
      <c r="T14" s="26">
        <f t="shared" si="2"/>
        <v>1.1243530498862637E-2</v>
      </c>
      <c r="U14" s="26">
        <f t="shared" si="2"/>
        <v>0.17425027377353919</v>
      </c>
      <c r="V14" s="26">
        <f t="shared" si="2"/>
        <v>0.1550827436584499</v>
      </c>
      <c r="W14" s="26">
        <f t="shared" si="2"/>
        <v>999.27249374715132</v>
      </c>
      <c r="X14" s="26">
        <f t="shared" si="2"/>
        <v>6.3839597866178044E-2</v>
      </c>
      <c r="Y14" s="26">
        <f t="shared" si="2"/>
        <v>0.49465434640891925</v>
      </c>
    </row>
    <row r="15" spans="1:25" s="3" customFormat="1">
      <c r="A15" s="24" t="s">
        <v>127</v>
      </c>
      <c r="B15" s="29" t="s">
        <v>27</v>
      </c>
      <c r="C15" s="97">
        <v>381</v>
      </c>
      <c r="D15" s="97"/>
      <c r="E15" s="102">
        <v>0.18553470911077993</v>
      </c>
      <c r="F15" s="102">
        <v>0.57956772121140698</v>
      </c>
      <c r="G15" s="102">
        <v>1.2523979210769924</v>
      </c>
      <c r="H15" s="102">
        <v>2.6730457491231348E-3</v>
      </c>
      <c r="I15" s="102">
        <v>4.4827947982520766E-2</v>
      </c>
      <c r="J15" s="100">
        <f t="shared" si="0"/>
        <v>3.9896873704443482E-2</v>
      </c>
      <c r="K15" s="103">
        <v>272.33380251586107</v>
      </c>
      <c r="L15" s="102">
        <v>1.6740496842659349E-2</v>
      </c>
      <c r="M15" s="102">
        <f t="shared" si="1"/>
        <v>0.11897780250231428</v>
      </c>
      <c r="N15" s="98">
        <v>2</v>
      </c>
      <c r="O15" s="98">
        <v>6</v>
      </c>
      <c r="P15" s="99">
        <v>66</v>
      </c>
      <c r="Q15" s="34">
        <f t="shared" si="2"/>
        <v>2.2264165093293591</v>
      </c>
      <c r="R15" s="26">
        <f t="shared" si="2"/>
        <v>6.9548126545368838</v>
      </c>
      <c r="S15" s="26">
        <f t="shared" si="2"/>
        <v>15.028775052923908</v>
      </c>
      <c r="T15" s="26">
        <f t="shared" si="2"/>
        <v>3.2076548989477621E-2</v>
      </c>
      <c r="U15" s="26">
        <f t="shared" si="2"/>
        <v>0.53793537579024919</v>
      </c>
      <c r="V15" s="26">
        <f t="shared" si="2"/>
        <v>0.47876248445332181</v>
      </c>
      <c r="W15" s="26">
        <f t="shared" si="2"/>
        <v>3268.0056301903328</v>
      </c>
      <c r="X15" s="26">
        <f t="shared" si="2"/>
        <v>0.20088596211191218</v>
      </c>
      <c r="Y15" s="26">
        <f t="shared" si="2"/>
        <v>1.4277336300277714</v>
      </c>
    </row>
    <row r="16" spans="1:25" s="3" customFormat="1">
      <c r="A16" s="24" t="s">
        <v>128</v>
      </c>
      <c r="B16" s="29" t="s">
        <v>27</v>
      </c>
      <c r="C16" s="97">
        <v>157</v>
      </c>
      <c r="D16" s="22">
        <v>0.38</v>
      </c>
      <c r="E16" s="416">
        <v>9.7211873502789536E-2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0.48664462081128745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0.54103044532627864</v>
      </c>
      <c r="H16" s="416">
        <v>2.2941884589860436E-3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2.8935626102292767E-2</v>
      </c>
      <c r="J16" s="368">
        <f t="shared" si="0"/>
        <v>2.5752707231040561E-2</v>
      </c>
      <c r="K16" s="417">
        <v>233.73537145870978</v>
      </c>
      <c r="L16" s="369">
        <v>1.4946984027451463E-2</v>
      </c>
      <c r="M16" s="369">
        <f t="shared" si="1"/>
        <v>5.1397892305996472E-2</v>
      </c>
      <c r="N16" s="98">
        <v>1</v>
      </c>
      <c r="O16" s="98">
        <v>4</v>
      </c>
      <c r="P16" s="99">
        <v>20</v>
      </c>
      <c r="Q16" s="34">
        <f t="shared" si="2"/>
        <v>0.38884749401115815</v>
      </c>
      <c r="R16" s="26">
        <f t="shared" si="2"/>
        <v>1.9465784832451498</v>
      </c>
      <c r="S16" s="26">
        <f t="shared" si="2"/>
        <v>2.1641217813051146</v>
      </c>
      <c r="T16" s="26">
        <f t="shared" si="2"/>
        <v>9.1767538359441743E-3</v>
      </c>
      <c r="U16" s="26">
        <f t="shared" si="2"/>
        <v>0.11574250440917107</v>
      </c>
      <c r="V16" s="26">
        <f t="shared" si="2"/>
        <v>0.10301082892416225</v>
      </c>
      <c r="W16" s="26">
        <f t="shared" si="2"/>
        <v>934.94148583483911</v>
      </c>
      <c r="X16" s="26">
        <f t="shared" si="2"/>
        <v>5.9787936109805852E-2</v>
      </c>
      <c r="Y16" s="26">
        <f t="shared" si="2"/>
        <v>0.20559156922398589</v>
      </c>
    </row>
    <row r="17" spans="1:32" s="3" customFormat="1">
      <c r="A17" s="17" t="s">
        <v>28</v>
      </c>
      <c r="B17" s="29"/>
      <c r="C17" s="97"/>
      <c r="D17" s="12"/>
      <c r="E17" s="102"/>
      <c r="F17" s="102"/>
      <c r="G17" s="102"/>
      <c r="H17" s="102"/>
      <c r="I17" s="102"/>
      <c r="J17" s="100"/>
      <c r="K17" s="103"/>
      <c r="L17" s="102"/>
      <c r="M17" s="104"/>
      <c r="N17" s="98"/>
      <c r="O17" s="98"/>
      <c r="P17" s="99"/>
      <c r="Q17" s="101">
        <f t="shared" ref="Q17:Y17" si="3">SUM(Q8:Q16)</f>
        <v>8.4801249927275926</v>
      </c>
      <c r="R17" s="101">
        <f t="shared" si="3"/>
        <v>29.741518682473796</v>
      </c>
      <c r="S17" s="101">
        <f t="shared" si="3"/>
        <v>48.499849704392517</v>
      </c>
      <c r="T17" s="101">
        <f t="shared" si="3"/>
        <v>0.10573499936257379</v>
      </c>
      <c r="U17" s="101">
        <f t="shared" si="3"/>
        <v>2.0906556672004726</v>
      </c>
      <c r="V17" s="101">
        <f t="shared" si="3"/>
        <v>1.8606835438084208</v>
      </c>
      <c r="W17" s="101">
        <f t="shared" si="3"/>
        <v>10243.675293149578</v>
      </c>
      <c r="X17" s="101">
        <f t="shared" si="3"/>
        <v>0.85325264509595911</v>
      </c>
      <c r="Y17" s="101">
        <f t="shared" si="3"/>
        <v>4.60748572191729</v>
      </c>
    </row>
    <row r="18" spans="1:32" s="3" customFormat="1">
      <c r="A18" s="17"/>
      <c r="B18" s="29"/>
      <c r="C18" s="97"/>
      <c r="D18" s="12"/>
      <c r="E18" s="102"/>
      <c r="F18" s="102"/>
      <c r="G18" s="102"/>
      <c r="H18" s="102"/>
      <c r="I18" s="102"/>
      <c r="J18" s="100"/>
      <c r="K18" s="103"/>
      <c r="L18" s="102"/>
      <c r="M18" s="104"/>
      <c r="N18" s="98"/>
      <c r="O18" s="98"/>
      <c r="P18" s="99"/>
      <c r="Q18" s="101"/>
      <c r="R18" s="101"/>
      <c r="S18" s="101"/>
      <c r="T18" s="101"/>
      <c r="U18" s="101"/>
      <c r="V18" s="101"/>
      <c r="W18" s="101"/>
      <c r="X18" s="101"/>
      <c r="Y18" s="101"/>
    </row>
    <row r="19" spans="1:32" s="3" customFormat="1">
      <c r="A19" s="17"/>
      <c r="B19" s="29"/>
      <c r="C19" s="97"/>
      <c r="D19" s="12"/>
      <c r="E19" s="102"/>
      <c r="F19" s="102"/>
      <c r="G19" s="102"/>
      <c r="H19" s="102"/>
      <c r="I19" s="102"/>
      <c r="J19" s="100"/>
      <c r="K19" s="103"/>
      <c r="L19" s="102"/>
      <c r="M19" s="104"/>
      <c r="N19" s="98"/>
      <c r="O19" s="98"/>
      <c r="P19" s="99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32" s="6" customFormat="1">
      <c r="A20" s="122" t="s">
        <v>103</v>
      </c>
      <c r="B20" s="97"/>
      <c r="C20" s="22"/>
      <c r="D20" s="22"/>
      <c r="E20" s="23"/>
      <c r="F20" s="23"/>
      <c r="G20" s="23"/>
      <c r="H20" s="23"/>
      <c r="I20" s="23"/>
      <c r="J20" s="24"/>
      <c r="K20" s="25"/>
      <c r="L20" s="23"/>
      <c r="M20" s="23"/>
      <c r="N20" s="88"/>
      <c r="O20" s="88"/>
      <c r="P20" s="88"/>
      <c r="Q20" s="20">
        <f>Q17</f>
        <v>8.4801249927275926</v>
      </c>
      <c r="R20" s="20">
        <f t="shared" ref="R20:Y20" si="4">R17</f>
        <v>29.741518682473796</v>
      </c>
      <c r="S20" s="20">
        <f t="shared" si="4"/>
        <v>48.499849704392517</v>
      </c>
      <c r="T20" s="20">
        <f t="shared" si="4"/>
        <v>0.10573499936257379</v>
      </c>
      <c r="U20" s="20">
        <f t="shared" si="4"/>
        <v>2.0906556672004726</v>
      </c>
      <c r="V20" s="20">
        <f t="shared" si="4"/>
        <v>1.8606835438084208</v>
      </c>
      <c r="W20" s="20">
        <f t="shared" si="4"/>
        <v>10243.675293149578</v>
      </c>
      <c r="X20" s="20">
        <f t="shared" si="4"/>
        <v>0.85325264509595911</v>
      </c>
      <c r="Y20" s="20">
        <f t="shared" si="4"/>
        <v>4.60748572191729</v>
      </c>
      <c r="AF20" s="7"/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B-4
Construction Heavy Equipment Emissions
TL 6965 Construction
</oddHeader>
    <oddFooter>&amp;CB-4</oddFooter>
  </headerFooter>
</worksheet>
</file>

<file path=xl/worksheets/sheet2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349"/>
  <sheetViews>
    <sheetView zoomScale="75" workbookViewId="0">
      <selection activeCell="Q17" sqref="Q17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2.85546875" style="36" bestFit="1" customWidth="1"/>
    <col min="19" max="30" width="9.42578125" style="36" bestFit="1" customWidth="1"/>
    <col min="31" max="31" width="12.28515625" style="38" customWidth="1"/>
    <col min="32" max="33" width="9.28515625" style="36" bestFit="1" customWidth="1"/>
    <col min="34" max="34" width="11.42578125" style="36" customWidth="1"/>
    <col min="35" max="35" width="10.5703125" style="36" customWidth="1"/>
    <col min="36" max="39" width="9.5703125" style="36" customWidth="1"/>
    <col min="40" max="40" width="9.28515625" style="38" bestFit="1" customWidth="1"/>
    <col min="41" max="41" width="9.85546875" style="36" customWidth="1"/>
    <col min="42" max="42" width="9.28515625" style="36" bestFit="1" customWidth="1"/>
    <col min="43" max="16384" width="9.140625" style="36"/>
  </cols>
  <sheetData>
    <row r="1" spans="1:42">
      <c r="A1" s="3" t="s">
        <v>745</v>
      </c>
    </row>
    <row r="2" spans="1:42">
      <c r="A2"/>
    </row>
    <row r="6" spans="1:42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  <c r="AE6" s="36"/>
      <c r="AN6" s="36"/>
    </row>
    <row r="7" spans="1:42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  <c r="AE7" s="36"/>
      <c r="AN7" s="36"/>
    </row>
    <row r="8" spans="1:42">
      <c r="A8" s="17" t="s">
        <v>296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  <c r="AE8" s="36"/>
      <c r="AN8" s="36"/>
    </row>
    <row r="9" spans="1:42">
      <c r="A9" s="78" t="s">
        <v>331</v>
      </c>
      <c r="B9" s="76" t="s">
        <v>105</v>
      </c>
      <c r="C9" s="374">
        <v>2</v>
      </c>
      <c r="D9" s="77"/>
      <c r="E9" s="77">
        <v>35</v>
      </c>
      <c r="F9" s="77">
        <v>80</v>
      </c>
      <c r="G9" s="106">
        <v>1.08263976628415</v>
      </c>
      <c r="H9" s="106">
        <v>4.9712718909585103</v>
      </c>
      <c r="I9" s="106">
        <v>0.26248012575016899</v>
      </c>
      <c r="J9" s="106">
        <v>1.0711818E-2</v>
      </c>
      <c r="K9" s="106">
        <v>7.1679901072141505E-2</v>
      </c>
      <c r="L9" s="576">
        <v>3.59998119015979E-2</v>
      </c>
      <c r="M9" s="576">
        <v>6.1739677411240299E-2</v>
      </c>
      <c r="N9" s="106">
        <v>6.5945508986370194E-2</v>
      </c>
      <c r="O9" s="576">
        <v>2.9999843251331498E-3</v>
      </c>
      <c r="P9" s="576">
        <v>5.5859708133979398E-2</v>
      </c>
      <c r="Q9" s="106">
        <v>1710.7260798814</v>
      </c>
      <c r="R9" s="47">
        <v>1.5235246282551899E-2</v>
      </c>
      <c r="S9" s="80">
        <f>0.000025616*Q9</f>
        <v>4.3821959262241944E-2</v>
      </c>
      <c r="T9" s="50">
        <f>C9*($F9*$G9)/453.59</f>
        <v>0.38189193457850484</v>
      </c>
      <c r="U9" s="50">
        <f>C9*($F9*$H9)/453.59</f>
        <v>1.7535737175717316</v>
      </c>
      <c r="V9" s="50">
        <f>C9*(($F9*$I9))/453.59</f>
        <v>9.2587623448548345E-2</v>
      </c>
      <c r="W9" s="50">
        <f>C9*($F9*$J9)/453.59</f>
        <v>3.7785023479353602E-3</v>
      </c>
      <c r="X9" s="50">
        <f>C9*(($F9*($K9+$L9+$M9)))/453.59</f>
        <v>5.9761243549453814E-2</v>
      </c>
      <c r="Y9" s="50">
        <f>C9*(($F9*($N9+$O9+$P9)))/453.59</f>
        <v>4.4023969292262266E-2</v>
      </c>
      <c r="Z9" s="50">
        <f>C9*(F9)*$B$340</f>
        <v>0</v>
      </c>
      <c r="AA9" s="50">
        <f>Z9*0.21</f>
        <v>0</v>
      </c>
      <c r="AB9" s="50">
        <f>C9*(($F9*($Q9)))/453.59</f>
        <v>603.4440194471307</v>
      </c>
      <c r="AC9" s="50">
        <f>C9*(($F9*($R9)))/453.59</f>
        <v>5.3741030560821544E-3</v>
      </c>
      <c r="AD9" s="50">
        <f>C9*(($F9*($S9)))/453.59</f>
        <v>1.5457822002157701E-2</v>
      </c>
      <c r="AE9" s="36"/>
      <c r="AN9" s="36"/>
    </row>
    <row r="10" spans="1:42">
      <c r="A10" s="78" t="s">
        <v>327</v>
      </c>
      <c r="B10" s="76" t="s">
        <v>105</v>
      </c>
      <c r="C10" s="374">
        <v>3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6">
        <v>3.59998119015979E-2</v>
      </c>
      <c r="M10" s="556">
        <v>6.1739677411240299E-2</v>
      </c>
      <c r="N10" s="106">
        <v>6.5945508986370194E-2</v>
      </c>
      <c r="O10" s="556">
        <v>2.9999843251331498E-3</v>
      </c>
      <c r="P10" s="55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0.57283790186775729</v>
      </c>
      <c r="U10" s="50">
        <f>C10*($F10*$H10)/453.59</f>
        <v>2.6303605763575972</v>
      </c>
      <c r="V10" s="50">
        <f>C10*(($F10*$I10))/453.59</f>
        <v>0.1388814351728225</v>
      </c>
      <c r="W10" s="50">
        <f>C10*($F10*$J10)/453.59</f>
        <v>5.6677535219030401E-3</v>
      </c>
      <c r="X10" s="50">
        <f>C10*(($F10*($K10+$L10+$M10)))/453.59</f>
        <v>8.9641865324180711E-2</v>
      </c>
      <c r="Y10" s="50">
        <f>C10*(($F10*($N10+$O10+$P10)))/453.59</f>
        <v>6.6035953938393399E-2</v>
      </c>
      <c r="Z10" s="50">
        <f>C10*(F10)*$B$340</f>
        <v>0</v>
      </c>
      <c r="AA10" s="50">
        <f>Z10*0.21</f>
        <v>0</v>
      </c>
      <c r="AB10" s="50">
        <f>C10*(($F10*($Q10)))/453.59</f>
        <v>905.16602917069611</v>
      </c>
      <c r="AC10" s="50">
        <f>C10*(($F10*($R10)))/453.59</f>
        <v>8.0611545841232316E-3</v>
      </c>
      <c r="AD10" s="50">
        <f>C10*(($F10*($S10)))/453.59</f>
        <v>2.3186733003236551E-2</v>
      </c>
      <c r="AE10" s="36"/>
      <c r="AN10" s="36"/>
    </row>
    <row r="11" spans="1:42">
      <c r="A11" s="75" t="s">
        <v>28</v>
      </c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36"/>
      <c r="AN11" s="36"/>
    </row>
    <row r="12" spans="1:42">
      <c r="A12" s="75"/>
      <c r="B12" s="74"/>
      <c r="C12" s="112"/>
      <c r="D12" s="112"/>
      <c r="E12" s="74"/>
      <c r="F12" s="74"/>
      <c r="G12" s="557"/>
      <c r="H12" s="41"/>
      <c r="I12" s="41"/>
      <c r="J12" s="41"/>
      <c r="K12" s="555"/>
      <c r="L12" s="555"/>
      <c r="M12" s="555"/>
      <c r="N12" s="555"/>
      <c r="O12" s="555"/>
      <c r="P12" s="555"/>
      <c r="Q12" s="41"/>
      <c r="R12" s="555"/>
      <c r="S12" s="555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36"/>
      <c r="AN12" s="36"/>
    </row>
    <row r="13" spans="1:42">
      <c r="A13" s="432"/>
      <c r="B13" s="74"/>
      <c r="C13" s="112"/>
      <c r="D13" s="112"/>
      <c r="E13" s="74"/>
      <c r="F13" s="74"/>
      <c r="G13" s="437"/>
      <c r="H13" s="41"/>
      <c r="I13" s="41"/>
      <c r="J13" s="41"/>
      <c r="K13" s="434"/>
      <c r="L13" s="434"/>
      <c r="M13" s="434"/>
      <c r="N13" s="434"/>
      <c r="O13" s="434"/>
      <c r="P13" s="434"/>
      <c r="Q13" s="41"/>
      <c r="R13" s="434"/>
      <c r="S13" s="434"/>
      <c r="T13" s="81">
        <f>SUM(T9:T10)</f>
        <v>0.95472983644626219</v>
      </c>
      <c r="U13" s="81">
        <f t="shared" ref="U13:AD13" si="0">SUM(U9:U10)</f>
        <v>4.3839342939293289</v>
      </c>
      <c r="V13" s="81">
        <f t="shared" si="0"/>
        <v>0.23146905862137085</v>
      </c>
      <c r="W13" s="81">
        <f t="shared" si="0"/>
        <v>9.4462558698383998E-3</v>
      </c>
      <c r="X13" s="81">
        <f t="shared" si="0"/>
        <v>0.14940310887363453</v>
      </c>
      <c r="Y13" s="81">
        <f t="shared" si="0"/>
        <v>0.11005992323065567</v>
      </c>
      <c r="Z13" s="81">
        <f t="shared" si="0"/>
        <v>0</v>
      </c>
      <c r="AA13" s="81">
        <f t="shared" si="0"/>
        <v>0</v>
      </c>
      <c r="AB13" s="81">
        <f t="shared" si="0"/>
        <v>1508.6100486178268</v>
      </c>
      <c r="AC13" s="81">
        <f t="shared" si="0"/>
        <v>1.3435257640205386E-2</v>
      </c>
      <c r="AD13" s="81">
        <f t="shared" si="0"/>
        <v>3.8644555005394252E-2</v>
      </c>
      <c r="AE13" s="36"/>
      <c r="AN13" s="36"/>
    </row>
    <row r="14" spans="1:42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84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</row>
    <row r="15" spans="1:42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84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</row>
    <row r="16" spans="1:42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84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</row>
    <row r="17" spans="1:42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84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</row>
    <row r="337" spans="1:2" ht="25.5">
      <c r="A337" s="82" t="s">
        <v>109</v>
      </c>
    </row>
    <row r="339" spans="1:2">
      <c r="A339" s="36" t="s">
        <v>81</v>
      </c>
    </row>
    <row r="340" spans="1:2">
      <c r="A340" s="36" t="s">
        <v>82</v>
      </c>
    </row>
    <row r="341" spans="1:2">
      <c r="A341" s="36" t="s">
        <v>83</v>
      </c>
    </row>
    <row r="342" spans="1:2">
      <c r="A342" s="37" t="s">
        <v>96</v>
      </c>
    </row>
    <row r="343" spans="1:2">
      <c r="A343" s="36" t="s">
        <v>85</v>
      </c>
    </row>
    <row r="344" spans="1:2">
      <c r="A344" s="36" t="s">
        <v>86</v>
      </c>
    </row>
    <row r="345" spans="1:2">
      <c r="A345" s="36" t="s">
        <v>87</v>
      </c>
    </row>
    <row r="346" spans="1:2">
      <c r="A346" s="36" t="s">
        <v>0</v>
      </c>
    </row>
    <row r="347" spans="1:2">
      <c r="A347" s="37" t="s">
        <v>97</v>
      </c>
      <c r="B347" s="36">
        <f>(0.016*(0.03/2)^0.65*(2/3)^1.5)-0.00047</f>
        <v>9.8123053326417428E-5</v>
      </c>
    </row>
    <row r="348" spans="1:2">
      <c r="A348" s="37" t="s">
        <v>98</v>
      </c>
      <c r="B348" s="36">
        <f>(0.016*(0.03/2)^0.65*(13/3)^1.5)-0.00047</f>
        <v>8.9448292388582783E-3</v>
      </c>
    </row>
    <row r="349" spans="1:2">
      <c r="A349" s="37" t="s">
        <v>99</v>
      </c>
      <c r="B349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B-5
Construction Truck Trip Emissions
TL 6965 Construction</oddHeader>
    <oddFooter>&amp;CB-5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6"/>
  <sheetViews>
    <sheetView zoomScale="75" workbookViewId="0">
      <selection activeCell="A34" sqref="A34"/>
    </sheetView>
  </sheetViews>
  <sheetFormatPr defaultRowHeight="12.75"/>
  <cols>
    <col min="1" max="1" width="36.5703125" style="36" customWidth="1"/>
    <col min="2" max="2" width="25.7109375" style="36" customWidth="1"/>
    <col min="3" max="3" width="11.42578125" style="36" bestFit="1" customWidth="1"/>
    <col min="4" max="4" width="10.85546875" style="36" customWidth="1"/>
    <col min="5" max="5" width="10.42578125" style="36" bestFit="1" customWidth="1"/>
    <col min="6" max="6" width="9.5703125" style="36" bestFit="1" customWidth="1"/>
    <col min="7" max="7" width="12" style="36" bestFit="1" customWidth="1"/>
    <col min="8" max="8" width="9.5703125" style="36" bestFit="1" customWidth="1"/>
    <col min="9" max="9" width="11.85546875" style="36" bestFit="1" customWidth="1"/>
    <col min="10" max="11" width="9.5703125" style="36" bestFit="1" customWidth="1"/>
    <col min="12" max="12" width="13.28515625" style="36" bestFit="1" customWidth="1"/>
    <col min="13" max="13" width="12.85546875" style="36" bestFit="1" customWidth="1"/>
    <col min="14" max="14" width="9.5703125" style="36" bestFit="1" customWidth="1"/>
    <col min="15" max="16" width="11.7109375" style="36" bestFit="1" customWidth="1"/>
    <col min="17" max="17" width="9.5703125" style="36" bestFit="1" customWidth="1"/>
    <col min="18" max="18" width="13" style="36" bestFit="1" customWidth="1"/>
    <col min="19" max="30" width="9.5703125" style="36" bestFit="1" customWidth="1"/>
    <col min="31" max="16384" width="9.140625" style="36"/>
  </cols>
  <sheetData>
    <row r="1" spans="1:30">
      <c r="A1" s="3" t="s">
        <v>541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70" t="s">
        <v>55</v>
      </c>
      <c r="H6" s="570" t="s">
        <v>56</v>
      </c>
      <c r="I6" s="566" t="s">
        <v>57</v>
      </c>
      <c r="J6" s="570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70" t="s">
        <v>61</v>
      </c>
      <c r="R6" s="566" t="s">
        <v>62</v>
      </c>
      <c r="S6" s="566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69" t="s">
        <v>69</v>
      </c>
      <c r="H7" s="41" t="s">
        <v>69</v>
      </c>
      <c r="I7" s="41" t="s">
        <v>69</v>
      </c>
      <c r="J7" s="41" t="s">
        <v>69</v>
      </c>
      <c r="K7" s="566" t="s">
        <v>69</v>
      </c>
      <c r="L7" s="566" t="s">
        <v>71</v>
      </c>
      <c r="M7" s="566" t="s">
        <v>72</v>
      </c>
      <c r="N7" s="566" t="s">
        <v>69</v>
      </c>
      <c r="O7" s="566" t="s">
        <v>71</v>
      </c>
      <c r="P7" s="566" t="s">
        <v>72</v>
      </c>
      <c r="Q7" s="41" t="s">
        <v>69</v>
      </c>
      <c r="R7" s="566" t="s">
        <v>69</v>
      </c>
      <c r="S7" s="566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69"/>
      <c r="H8" s="41"/>
      <c r="I8" s="41"/>
      <c r="J8" s="41"/>
      <c r="K8" s="566"/>
      <c r="L8" s="566"/>
      <c r="M8" s="566"/>
      <c r="N8" s="566"/>
      <c r="O8" s="566"/>
      <c r="P8" s="566"/>
      <c r="Q8" s="41"/>
      <c r="R8" s="566"/>
      <c r="S8" s="566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C9*(F9)*$B$384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68">
        <v>3.59998119015979E-2</v>
      </c>
      <c r="M10" s="568">
        <v>6.1739677411240299E-2</v>
      </c>
      <c r="N10" s="106">
        <v>6.5945508986370194E-2</v>
      </c>
      <c r="O10" s="568">
        <v>2.9999843251331498E-3</v>
      </c>
      <c r="P10" s="568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C10*(F10)*$B$384</f>
        <v>7.8498442661133934E-3</v>
      </c>
      <c r="AA10" s="50">
        <f>Z10*0.21</f>
        <v>1.6484672958838125E-3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69"/>
      <c r="H11" s="41"/>
      <c r="I11" s="41"/>
      <c r="J11" s="41"/>
      <c r="K11" s="566"/>
      <c r="L11" s="566"/>
      <c r="M11" s="566"/>
      <c r="N11" s="566"/>
      <c r="O11" s="566"/>
      <c r="P11" s="566"/>
      <c r="Q11" s="41"/>
      <c r="R11" s="566"/>
      <c r="S11" s="566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2.5511993864868531E-2</v>
      </c>
      <c r="AA11" s="81">
        <f t="shared" si="0"/>
        <v>5.3575187116223916E-3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69"/>
      <c r="H12" s="41"/>
      <c r="I12" s="41"/>
      <c r="J12" s="41"/>
      <c r="K12" s="566"/>
      <c r="L12" s="566"/>
      <c r="M12" s="566"/>
      <c r="N12" s="566"/>
      <c r="O12" s="566"/>
      <c r="P12" s="566"/>
      <c r="Q12" s="41"/>
      <c r="R12" s="566"/>
      <c r="S12" s="566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330</v>
      </c>
      <c r="B13" s="74"/>
      <c r="C13" s="112"/>
      <c r="D13" s="112"/>
      <c r="E13" s="74"/>
      <c r="F13" s="74"/>
      <c r="G13" s="569"/>
      <c r="H13" s="41"/>
      <c r="I13" s="41"/>
      <c r="J13" s="41"/>
      <c r="K13" s="566"/>
      <c r="L13" s="566"/>
      <c r="M13" s="566"/>
      <c r="N13" s="566"/>
      <c r="O13" s="566"/>
      <c r="P13" s="566"/>
      <c r="Q13" s="41"/>
      <c r="R13" s="566"/>
      <c r="S13" s="566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12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0.39956510213458007</v>
      </c>
      <c r="U14" s="50">
        <f>C14*($F14*$H14)/453.59</f>
        <v>0.73763751131887467</v>
      </c>
      <c r="V14" s="50">
        <f>C14*(($F14*$I14))/453.59</f>
        <v>9.01226910517854E-2</v>
      </c>
      <c r="W14" s="50">
        <f>C14*($F14*$J14)/453.59</f>
        <v>5.5594453624299087E-3</v>
      </c>
      <c r="X14" s="50">
        <f>C14*(($F14*($K14+$L14+$M14)))/453.59</f>
        <v>0.14547785948060449</v>
      </c>
      <c r="Y14" s="50">
        <f>C14*(($F14*($N14+$O14+$P14)))/453.59</f>
        <v>9.6664395931909605E-2</v>
      </c>
      <c r="Z14" s="50">
        <f>C14*(F14)*$B$384</f>
        <v>7.0648598395020551E-2</v>
      </c>
      <c r="AA14" s="50">
        <f>Z14*0.21</f>
        <v>1.4836205662954315E-2</v>
      </c>
      <c r="AB14" s="50">
        <f>C14*(($F14*($Q14)))/453.59</f>
        <v>387.25642236102652</v>
      </c>
      <c r="AC14" s="50">
        <f>C14*(($F14*($R14)))/453.59</f>
        <v>2.2128993742976135E-2</v>
      </c>
      <c r="AD14" s="50">
        <f>C14*(($F14*($S14)))/453.59</f>
        <v>9.9199605152000547E-3</v>
      </c>
    </row>
    <row r="15" spans="1:30">
      <c r="A15" s="78" t="s">
        <v>331</v>
      </c>
      <c r="B15" s="76" t="s">
        <v>105</v>
      </c>
      <c r="C15" s="374">
        <v>80</v>
      </c>
      <c r="D15" s="77"/>
      <c r="E15" s="77">
        <v>35</v>
      </c>
      <c r="F15" s="77">
        <v>80</v>
      </c>
      <c r="G15" s="106">
        <v>1.08263976628415</v>
      </c>
      <c r="H15" s="106">
        <v>4.9712718909585103</v>
      </c>
      <c r="I15" s="106">
        <v>0.26248012575016899</v>
      </c>
      <c r="J15" s="106">
        <v>1.0711818E-2</v>
      </c>
      <c r="K15" s="106">
        <v>7.1679901072141505E-2</v>
      </c>
      <c r="L15" s="568">
        <v>3.59998119015979E-2</v>
      </c>
      <c r="M15" s="568">
        <v>6.1739677411240299E-2</v>
      </c>
      <c r="N15" s="106">
        <v>6.5945508986370194E-2</v>
      </c>
      <c r="O15" s="568">
        <v>2.9999843251331498E-3</v>
      </c>
      <c r="P15" s="568">
        <v>5.5859708133979398E-2</v>
      </c>
      <c r="Q15" s="106">
        <v>1710.7260798814</v>
      </c>
      <c r="R15" s="47">
        <v>1.5235246282551899E-2</v>
      </c>
      <c r="S15" s="80">
        <f>0.000025616*Q15</f>
        <v>4.3821959262241944E-2</v>
      </c>
      <c r="T15" s="50">
        <f>C15*($F15*$G15)/453.59</f>
        <v>15.275677383140195</v>
      </c>
      <c r="U15" s="50">
        <f>C15*($F15*$H15)/453.59</f>
        <v>70.142948702869262</v>
      </c>
      <c r="V15" s="50">
        <f>C15*(($F15*$I15))/453.59</f>
        <v>3.7035049379419336</v>
      </c>
      <c r="W15" s="50">
        <f>C15*($F15*$J15)/453.59</f>
        <v>0.1511400939174144</v>
      </c>
      <c r="X15" s="50">
        <f>C15*(($F15*($K15+$L15+$M15)))/453.59</f>
        <v>2.3904497419781525</v>
      </c>
      <c r="Y15" s="50">
        <f>C15*(($F15*($N15+$O15+$P15)))/453.59</f>
        <v>1.7609587716904906</v>
      </c>
      <c r="Z15" s="50">
        <f>C15*(F15)*$B$384</f>
        <v>0.62798754128907153</v>
      </c>
      <c r="AA15" s="50">
        <f>Z15*0.21</f>
        <v>0.13187738367070501</v>
      </c>
      <c r="AB15" s="50">
        <f>C15*(($F15*($Q15)))/453.59</f>
        <v>24137.760777885233</v>
      </c>
      <c r="AC15" s="50">
        <f>C15*(($F15*($R15)))/453.59</f>
        <v>0.21496412224328618</v>
      </c>
      <c r="AD15" s="50">
        <f>C15*(($F15*($S15)))/453.59</f>
        <v>0.61831288008630803</v>
      </c>
    </row>
    <row r="16" spans="1:30">
      <c r="A16" s="75" t="s">
        <v>28</v>
      </c>
      <c r="B16" s="74"/>
      <c r="C16" s="112"/>
      <c r="D16" s="112"/>
      <c r="E16" s="74"/>
      <c r="F16" s="74"/>
      <c r="G16" s="569"/>
      <c r="H16" s="41"/>
      <c r="I16" s="41"/>
      <c r="J16" s="41"/>
      <c r="K16" s="566"/>
      <c r="L16" s="566"/>
      <c r="M16" s="566"/>
      <c r="N16" s="566"/>
      <c r="O16" s="566"/>
      <c r="P16" s="566"/>
      <c r="Q16" s="41"/>
      <c r="R16" s="566"/>
      <c r="S16" s="566"/>
      <c r="T16" s="81">
        <f>SUM(T14:T15)</f>
        <v>15.675242485274776</v>
      </c>
      <c r="U16" s="81">
        <f t="shared" ref="U16:AD16" si="1">SUM(U14:U15)</f>
        <v>70.880586214188142</v>
      </c>
      <c r="V16" s="81">
        <f t="shared" si="1"/>
        <v>3.7936276289937192</v>
      </c>
      <c r="W16" s="81">
        <f t="shared" si="1"/>
        <v>0.15669953927984431</v>
      </c>
      <c r="X16" s="81">
        <f t="shared" si="1"/>
        <v>2.5359276014587571</v>
      </c>
      <c r="Y16" s="81">
        <f t="shared" si="1"/>
        <v>1.8576231676224002</v>
      </c>
      <c r="Z16" s="81">
        <f t="shared" si="1"/>
        <v>0.69863613968409211</v>
      </c>
      <c r="AA16" s="81">
        <f t="shared" si="1"/>
        <v>0.14671358933365933</v>
      </c>
      <c r="AB16" s="81">
        <f t="shared" si="1"/>
        <v>24525.01720024626</v>
      </c>
      <c r="AC16" s="81">
        <f t="shared" si="1"/>
        <v>0.23709311598626231</v>
      </c>
      <c r="AD16" s="81">
        <f t="shared" si="1"/>
        <v>0.62823284060150808</v>
      </c>
    </row>
    <row r="17" spans="1:30">
      <c r="A17" s="565"/>
      <c r="B17" s="74"/>
      <c r="C17" s="112"/>
      <c r="D17" s="112"/>
      <c r="E17" s="74"/>
      <c r="F17" s="74"/>
      <c r="G17" s="569"/>
      <c r="H17" s="41"/>
      <c r="I17" s="41"/>
      <c r="J17" s="41"/>
      <c r="K17" s="566"/>
      <c r="L17" s="566"/>
      <c r="M17" s="566"/>
      <c r="N17" s="566"/>
      <c r="O17" s="566"/>
      <c r="P17" s="566"/>
      <c r="Q17" s="41"/>
      <c r="R17" s="566"/>
      <c r="S17" s="566"/>
      <c r="T17" s="61"/>
      <c r="U17" s="61"/>
      <c r="V17" s="61"/>
      <c r="W17" s="61"/>
      <c r="X17" s="61"/>
      <c r="Y17" s="61"/>
      <c r="Z17" s="62"/>
      <c r="AA17" s="62"/>
      <c r="AB17" s="62"/>
      <c r="AC17" s="62"/>
      <c r="AD17" s="62"/>
    </row>
    <row r="18" spans="1:30">
      <c r="A18" s="114" t="s">
        <v>426</v>
      </c>
      <c r="B18" s="74"/>
      <c r="C18" s="112"/>
      <c r="D18" s="112"/>
      <c r="E18" s="74"/>
      <c r="F18" s="74"/>
      <c r="G18" s="569"/>
      <c r="H18" s="41"/>
      <c r="I18" s="41"/>
      <c r="J18" s="41"/>
      <c r="K18" s="566"/>
      <c r="L18" s="566"/>
      <c r="M18" s="566"/>
      <c r="N18" s="566"/>
      <c r="O18" s="566"/>
      <c r="P18" s="566"/>
      <c r="Q18" s="41"/>
      <c r="R18" s="566"/>
      <c r="S18" s="566"/>
      <c r="T18" s="61"/>
      <c r="U18" s="61"/>
      <c r="V18" s="61"/>
      <c r="W18" s="61"/>
      <c r="X18" s="61"/>
      <c r="Y18" s="61"/>
      <c r="Z18" s="62"/>
      <c r="AA18" s="62"/>
      <c r="AB18" s="62"/>
      <c r="AC18" s="62"/>
      <c r="AD18" s="62"/>
    </row>
    <row r="19" spans="1:30">
      <c r="A19" s="78" t="s">
        <v>320</v>
      </c>
      <c r="B19" s="76" t="s">
        <v>95</v>
      </c>
      <c r="C19" s="79">
        <v>10</v>
      </c>
      <c r="D19" s="77"/>
      <c r="E19" s="77">
        <v>35</v>
      </c>
      <c r="F19" s="77">
        <v>60</v>
      </c>
      <c r="G19" s="106">
        <v>0.25172046482947802</v>
      </c>
      <c r="H19" s="106">
        <v>0.464701387165456</v>
      </c>
      <c r="I19" s="106">
        <v>5.6776043658582402E-2</v>
      </c>
      <c r="J19" s="106">
        <v>3.5023733638119199E-3</v>
      </c>
      <c r="K19" s="106">
        <v>4.6899256897933901E-2</v>
      </c>
      <c r="L19" s="47">
        <v>7.99995847163921E-3</v>
      </c>
      <c r="M19" s="47">
        <v>3.6749815577381599E-2</v>
      </c>
      <c r="N19" s="106">
        <v>4.3147317248333997E-2</v>
      </c>
      <c r="O19" s="47">
        <v>1.9999896145790402E-3</v>
      </c>
      <c r="P19" s="47">
        <v>1.57499200131354E-2</v>
      </c>
      <c r="Q19" s="106">
        <v>243.966167526025</v>
      </c>
      <c r="R19" s="47">
        <f>0.000057143*Q19</f>
        <v>1.3940958710939646E-2</v>
      </c>
      <c r="S19" s="80">
        <f>0.000025616*Q19</f>
        <v>6.2494373473466567E-3</v>
      </c>
      <c r="T19" s="50">
        <f>C19*($F19*$G19)/453.59</f>
        <v>0.33297091844548338</v>
      </c>
      <c r="U19" s="50">
        <f>C19*($F19*$H19)/453.59</f>
        <v>0.61469792609906215</v>
      </c>
      <c r="V19" s="50">
        <f>C19*(($F19*$I19))/453.59</f>
        <v>7.5102242543154479E-2</v>
      </c>
      <c r="W19" s="50">
        <f>C19*($F19*$J19)/453.59</f>
        <v>4.6328711353582578E-3</v>
      </c>
      <c r="X19" s="50">
        <f>C19*(($F19*($K19+$L19+$M19)))/453.59</f>
        <v>0.12123154956717042</v>
      </c>
      <c r="Y19" s="50">
        <f>C19*(($F19*($N19+$O19+$P19)))/453.59</f>
        <v>8.0553663276591345E-2</v>
      </c>
      <c r="Z19" s="50">
        <f>C19*(F19)*$B$384</f>
        <v>5.8873831995850459E-2</v>
      </c>
      <c r="AA19" s="50">
        <f>Z19*0.21</f>
        <v>1.2363504719128596E-2</v>
      </c>
      <c r="AB19" s="50">
        <f>C19*(($F19*($Q19)))/453.59</f>
        <v>322.71368530085539</v>
      </c>
      <c r="AC19" s="50">
        <f>C19*(($F19*($R19)))/453.59</f>
        <v>1.8440828119146779E-2</v>
      </c>
      <c r="AD19" s="50">
        <f>C19*(($F19*($S19)))/453.59</f>
        <v>8.2666337626667117E-3</v>
      </c>
    </row>
    <row r="20" spans="1:30">
      <c r="A20" s="75" t="s">
        <v>28</v>
      </c>
      <c r="B20" s="74"/>
      <c r="C20" s="112"/>
      <c r="D20" s="112"/>
      <c r="E20" s="74"/>
      <c r="F20" s="74"/>
      <c r="G20" s="569"/>
      <c r="H20" s="41"/>
      <c r="I20" s="41"/>
      <c r="J20" s="41"/>
      <c r="K20" s="566"/>
      <c r="L20" s="566"/>
      <c r="M20" s="566"/>
      <c r="N20" s="566"/>
      <c r="O20" s="566"/>
      <c r="P20" s="566"/>
      <c r="Q20" s="41"/>
      <c r="R20" s="566"/>
      <c r="S20" s="566"/>
      <c r="T20" s="81">
        <f t="shared" ref="T20:AD20" si="2">SUM(T19:T19)</f>
        <v>0.33297091844548338</v>
      </c>
      <c r="U20" s="81">
        <f t="shared" si="2"/>
        <v>0.61469792609906215</v>
      </c>
      <c r="V20" s="81">
        <f t="shared" si="2"/>
        <v>7.5102242543154479E-2</v>
      </c>
      <c r="W20" s="81">
        <f t="shared" si="2"/>
        <v>4.6328711353582578E-3</v>
      </c>
      <c r="X20" s="81">
        <f t="shared" si="2"/>
        <v>0.12123154956717042</v>
      </c>
      <c r="Y20" s="81">
        <f t="shared" si="2"/>
        <v>8.0553663276591345E-2</v>
      </c>
      <c r="Z20" s="81">
        <f t="shared" si="2"/>
        <v>5.8873831995850459E-2</v>
      </c>
      <c r="AA20" s="81">
        <f t="shared" si="2"/>
        <v>1.2363504719128596E-2</v>
      </c>
      <c r="AB20" s="81">
        <f t="shared" si="2"/>
        <v>322.71368530085539</v>
      </c>
      <c r="AC20" s="81">
        <f t="shared" si="2"/>
        <v>1.8440828119146779E-2</v>
      </c>
      <c r="AD20" s="81">
        <f t="shared" si="2"/>
        <v>8.2666337626667117E-3</v>
      </c>
    </row>
    <row r="21" spans="1:30">
      <c r="A21" s="75"/>
      <c r="B21" s="74"/>
      <c r="C21" s="112"/>
      <c r="D21" s="112"/>
      <c r="E21" s="74"/>
      <c r="F21" s="74"/>
      <c r="G21" s="569"/>
      <c r="H21" s="41"/>
      <c r="I21" s="41"/>
      <c r="J21" s="41"/>
      <c r="K21" s="566"/>
      <c r="L21" s="566"/>
      <c r="M21" s="566"/>
      <c r="N21" s="566"/>
      <c r="O21" s="566"/>
      <c r="P21" s="566"/>
      <c r="Q21" s="41"/>
      <c r="R21" s="566"/>
      <c r="S21" s="566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</row>
    <row r="22" spans="1:30">
      <c r="A22" s="75" t="s">
        <v>388</v>
      </c>
      <c r="B22" s="74"/>
      <c r="C22" s="112"/>
      <c r="D22" s="112"/>
      <c r="E22" s="74"/>
      <c r="F22" s="74"/>
      <c r="G22" s="569"/>
      <c r="H22" s="41"/>
      <c r="I22" s="41"/>
      <c r="J22" s="41"/>
      <c r="K22" s="566"/>
      <c r="L22" s="566"/>
      <c r="M22" s="566"/>
      <c r="N22" s="566"/>
      <c r="O22" s="566"/>
      <c r="P22" s="566"/>
      <c r="Q22" s="41"/>
      <c r="R22" s="566"/>
      <c r="S22" s="566"/>
      <c r="T22" s="81">
        <f>T11+T16+T20</f>
        <v>16.299050646543158</v>
      </c>
      <c r="U22" s="81">
        <f t="shared" ref="U22:AD22" si="3">U11+U16+U20</f>
        <v>72.556480376902798</v>
      </c>
      <c r="V22" s="81">
        <f t="shared" si="3"/>
        <v>3.9375543560240942</v>
      </c>
      <c r="W22" s="81">
        <f t="shared" si="3"/>
        <v>0.16461152292977774</v>
      </c>
      <c r="X22" s="81">
        <f t="shared" si="3"/>
        <v>2.7234092376708054</v>
      </c>
      <c r="Y22" s="81">
        <f t="shared" si="3"/>
        <v>1.9843549145281001</v>
      </c>
      <c r="Z22" s="81">
        <f t="shared" si="3"/>
        <v>0.78302196554481118</v>
      </c>
      <c r="AA22" s="81">
        <f t="shared" si="3"/>
        <v>0.16443461276441032</v>
      </c>
      <c r="AB22" s="81">
        <f t="shared" si="3"/>
        <v>25246.267000860938</v>
      </c>
      <c r="AC22" s="81">
        <f t="shared" si="3"/>
        <v>0.2637532440691942</v>
      </c>
      <c r="AD22" s="81">
        <f t="shared" si="3"/>
        <v>0.64670837549405358</v>
      </c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25" spans="1:30">
      <c r="A25" s="370"/>
      <c r="B25" s="371"/>
      <c r="C25" s="372"/>
      <c r="D25" s="372"/>
      <c r="E25" s="371"/>
      <c r="F25" s="371"/>
      <c r="G25" s="373"/>
      <c r="H25" s="373"/>
      <c r="I25" s="373"/>
      <c r="J25" s="373"/>
      <c r="K25" s="373"/>
      <c r="L25" s="373"/>
      <c r="M25" s="373"/>
      <c r="N25" s="373"/>
      <c r="O25" s="373"/>
      <c r="P25" s="373"/>
      <c r="Q25" s="373"/>
      <c r="R25" s="373"/>
      <c r="S25" s="373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</row>
    <row r="26" spans="1:30">
      <c r="A26" s="370"/>
      <c r="B26" s="371"/>
      <c r="C26" s="372"/>
      <c r="D26" s="372"/>
      <c r="E26" s="371"/>
      <c r="F26" s="371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</row>
    <row r="374" spans="1:2" ht="25.5">
      <c r="A374" s="82" t="s">
        <v>109</v>
      </c>
    </row>
    <row r="376" spans="1:2">
      <c r="A376" s="36" t="s">
        <v>81</v>
      </c>
    </row>
    <row r="377" spans="1:2">
      <c r="A377" s="36" t="s">
        <v>82</v>
      </c>
    </row>
    <row r="378" spans="1:2">
      <c r="A378" s="36" t="s">
        <v>83</v>
      </c>
    </row>
    <row r="379" spans="1:2">
      <c r="A379" s="37" t="s">
        <v>96</v>
      </c>
    </row>
    <row r="380" spans="1:2">
      <c r="A380" s="36" t="s">
        <v>85</v>
      </c>
    </row>
    <row r="381" spans="1:2">
      <c r="A381" s="36" t="s">
        <v>86</v>
      </c>
    </row>
    <row r="382" spans="1:2">
      <c r="A382" s="36" t="s">
        <v>87</v>
      </c>
    </row>
    <row r="383" spans="1:2">
      <c r="A383" s="36" t="s">
        <v>0</v>
      </c>
    </row>
    <row r="384" spans="1:2">
      <c r="A384" s="37" t="s">
        <v>97</v>
      </c>
      <c r="B384" s="36">
        <f>(0.016*(0.03/2)^0.65*(2/3)^1.5)-0.00047</f>
        <v>9.8123053326417428E-5</v>
      </c>
    </row>
    <row r="385" spans="1:2">
      <c r="A385" s="37" t="s">
        <v>98</v>
      </c>
      <c r="B385" s="36">
        <f>(0.016*(0.03/2)^0.65*(13/3)^1.5)-0.00047</f>
        <v>8.9448292388582783E-3</v>
      </c>
    </row>
    <row r="386" spans="1:2">
      <c r="A386" s="37" t="s">
        <v>99</v>
      </c>
      <c r="B386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2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Q17" sqref="Q17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746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407</v>
      </c>
      <c r="B4" s="45" t="s">
        <v>102</v>
      </c>
      <c r="C4" s="46">
        <v>19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43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435" t="s">
        <v>55</v>
      </c>
      <c r="G87" s="435" t="s">
        <v>73</v>
      </c>
      <c r="H87" s="435" t="s">
        <v>74</v>
      </c>
      <c r="I87" s="435" t="s">
        <v>58</v>
      </c>
      <c r="J87" s="435" t="s">
        <v>59</v>
      </c>
      <c r="K87" s="435" t="s">
        <v>60</v>
      </c>
      <c r="L87" s="434" t="s">
        <v>75</v>
      </c>
      <c r="M87" s="434" t="s">
        <v>76</v>
      </c>
      <c r="N87" s="434" t="s">
        <v>61</v>
      </c>
      <c r="O87" s="434" t="s">
        <v>62</v>
      </c>
      <c r="P87" s="434" t="s">
        <v>63</v>
      </c>
      <c r="AN87" s="38"/>
      <c r="AZ87" s="36"/>
    </row>
    <row r="88" spans="1:52" ht="25.5">
      <c r="A88" s="44" t="str">
        <f t="shared" ref="A88:C88" si="52">A4</f>
        <v>Site Grading and Access Roads</v>
      </c>
      <c r="B88" s="45" t="str">
        <f t="shared" si="52"/>
        <v>Light-Duty Truck, catalyst</v>
      </c>
      <c r="C88" s="46">
        <f t="shared" si="52"/>
        <v>19</v>
      </c>
      <c r="D88" s="46">
        <v>35</v>
      </c>
      <c r="E88" s="46">
        <v>80</v>
      </c>
      <c r="F88" s="50">
        <f>C4*($E4*$F4+($G4))/453.59</f>
        <v>9.2286683317374809</v>
      </c>
      <c r="G88" s="50">
        <f>C4*($E4*$H4+($I4))/453.59</f>
        <v>0.82974248859318211</v>
      </c>
      <c r="H88" s="50">
        <f>C4*(($E4*$J4)+($K4)+($L4)+($E4*$N4)+(($M4+$O4)))/453.59</f>
        <v>0.95949962615511319</v>
      </c>
      <c r="I88" s="50">
        <f>C4*($E4*$P4+($Q4))/453.59</f>
        <v>1.3809143516051703E-2</v>
      </c>
      <c r="J88" s="50">
        <f>C4*(($E4*($R4+$T4+$U4))+($S4))/453.59</f>
        <v>0.16195771864895006</v>
      </c>
      <c r="K88" s="50">
        <f>$C4*(($E4*($V4+$X4+$Y4))+($W4))/453.59</f>
        <v>7.0528101160809695E-2</v>
      </c>
      <c r="L88" s="50">
        <f>$B$21*C4*(E4+6)</f>
        <v>0.16033306913536607</v>
      </c>
      <c r="M88" s="50">
        <f t="shared" ref="M88" si="53">0.41*L88</f>
        <v>6.5736558345500087E-2</v>
      </c>
      <c r="N88" s="50">
        <f>C4*($E4*$Z4+($AA4))/453.59</f>
        <v>1053.047957794739</v>
      </c>
      <c r="O88" s="50">
        <f>C4*($E4*$AB4+($AC4))/453.59</f>
        <v>6.0239032391574736E-2</v>
      </c>
      <c r="P88" s="50">
        <f>C4*($E4*$AD4+($AE4))/453.59</f>
        <v>0.10965127836302384</v>
      </c>
      <c r="AN88" s="38"/>
      <c r="AZ88" s="36"/>
    </row>
    <row r="89" spans="1:52">
      <c r="A89" s="36" t="s">
        <v>103</v>
      </c>
      <c r="F89" s="443">
        <f t="shared" ref="F89:P89" si="54">SUM(F88:F88)</f>
        <v>9.2286683317374809</v>
      </c>
      <c r="G89" s="443">
        <f t="shared" si="54"/>
        <v>0.82974248859318211</v>
      </c>
      <c r="H89" s="443">
        <f t="shared" si="54"/>
        <v>0.95949962615511319</v>
      </c>
      <c r="I89" s="443">
        <f t="shared" si="54"/>
        <v>1.3809143516051703E-2</v>
      </c>
      <c r="J89" s="443">
        <f t="shared" si="54"/>
        <v>0.16195771864895006</v>
      </c>
      <c r="K89" s="443">
        <f t="shared" si="54"/>
        <v>7.0528101160809695E-2</v>
      </c>
      <c r="L89" s="443">
        <f t="shared" si="54"/>
        <v>0.16033306913536607</v>
      </c>
      <c r="M89" s="443">
        <f t="shared" si="54"/>
        <v>6.5736558345500087E-2</v>
      </c>
      <c r="N89" s="443">
        <f t="shared" si="54"/>
        <v>1053.047957794739</v>
      </c>
      <c r="O89" s="443">
        <f t="shared" si="54"/>
        <v>6.0239032391574736E-2</v>
      </c>
      <c r="P89" s="443">
        <f t="shared" si="54"/>
        <v>0.10965127836302384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B-6
Construction Worker Commute Emission Calculations
TL 6965 Construction</oddHeader>
    <oddFooter>&amp;CB-6</oddFooter>
  </headerFooter>
</worksheet>
</file>

<file path=xl/worksheets/sheet2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8"/>
  <sheetViews>
    <sheetView zoomScale="75" zoomScaleNormal="75" workbookViewId="0">
      <selection activeCell="A2" sqref="A2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747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72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296</v>
      </c>
      <c r="B7" s="29"/>
      <c r="C7" s="22"/>
      <c r="D7" s="18"/>
      <c r="E7" s="23"/>
      <c r="F7" s="23"/>
      <c r="G7" s="23"/>
      <c r="H7" s="23"/>
      <c r="I7" s="23"/>
      <c r="J7" s="24"/>
      <c r="K7" s="25"/>
      <c r="L7" s="23"/>
      <c r="M7" s="33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 t="s">
        <v>121</v>
      </c>
      <c r="B8" s="29" t="s">
        <v>27</v>
      </c>
      <c r="C8" s="97">
        <v>162</v>
      </c>
      <c r="D8" s="22">
        <v>0.41</v>
      </c>
      <c r="E8" s="108">
        <v>0.12153885438656534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0.5417857142857142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0.60233392857142853</v>
      </c>
      <c r="H8" s="413">
        <v>1.3943296443626662E-3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3.2214285714285709E-2</v>
      </c>
      <c r="J8" s="100">
        <f t="shared" ref="J8:J14" si="0">0.89*I8</f>
        <v>2.8670714285714282E-2</v>
      </c>
      <c r="K8" s="414">
        <v>123.92149503712022</v>
      </c>
      <c r="L8" s="415">
        <v>1.2505433199422452E-2</v>
      </c>
      <c r="M8" s="102">
        <f t="shared" ref="M8:M14" si="1">0.095*G8</f>
        <v>5.7221723214285709E-2</v>
      </c>
      <c r="N8" s="98">
        <v>1</v>
      </c>
      <c r="O8" s="98">
        <v>3</v>
      </c>
      <c r="P8" s="99">
        <v>66</v>
      </c>
      <c r="Q8" s="34">
        <f t="shared" ref="Q8:Y14" si="2">(E8*$N8*$O8)</f>
        <v>0.36461656315969604</v>
      </c>
      <c r="R8" s="26">
        <f t="shared" si="2"/>
        <v>1.6253571428571427</v>
      </c>
      <c r="S8" s="26">
        <f t="shared" si="2"/>
        <v>1.8070017857142857</v>
      </c>
      <c r="T8" s="26">
        <f t="shared" si="2"/>
        <v>4.1829889330879987E-3</v>
      </c>
      <c r="U8" s="26">
        <f t="shared" si="2"/>
        <v>9.6642857142857128E-2</v>
      </c>
      <c r="V8" s="26">
        <f t="shared" si="2"/>
        <v>8.6012142857142843E-2</v>
      </c>
      <c r="W8" s="26">
        <f t="shared" si="2"/>
        <v>371.76448511136067</v>
      </c>
      <c r="X8" s="26">
        <f t="shared" si="2"/>
        <v>3.7516299598267355E-2</v>
      </c>
      <c r="Y8" s="26">
        <f t="shared" si="2"/>
        <v>0.17166516964285713</v>
      </c>
    </row>
    <row r="9" spans="1:25" s="3" customFormat="1">
      <c r="A9" s="24" t="s">
        <v>122</v>
      </c>
      <c r="B9" s="29" t="s">
        <v>27</v>
      </c>
      <c r="C9" s="97">
        <v>356</v>
      </c>
      <c r="D9" s="22">
        <v>0.48</v>
      </c>
      <c r="E9" s="413">
        <v>0.27361983606105278</v>
      </c>
      <c r="F9" s="397">
        <f>IF($C9&lt;11,'Offroad Tiers EF (2)'!$AN$4*$C9*$D9,IF($C9&lt;25,'Offroad Tiers EF (2)'!$AN$5*$C9*$D9,IF($C9&lt;50,'Offroad Tiers EF (2)'!$AN$6*$C9*$D9,IF($C9&lt;75,'Offroad Tiers EF (2)'!$AN$7*$C9*$D9,IF($C9&lt;100,'Offroad Tiers EF (2)'!$AN$8*$C9*$D9,IF($C9&lt;175,'Offroad Tiers EF (2)'!$AN$9*$C9*$D9,IF($C9&lt;300,'Offroad Tiers EF (2)'!$AN$10*$C9*$D9,IF($C9&lt;600,'Offroad Tiers EF (2)'!$AN$11*$C9*$D9,"!"))))))))</f>
        <v>0.97947089947089949</v>
      </c>
      <c r="G9" s="397">
        <f>IF($C9&lt;11,'Offroad Tiers EF (2)'!$AM$4*$C9*$D9,IF($C9&lt;25,'Offroad Tiers EF (2)'!$AM$5*$C9*$D9,IF($C9&lt;50,'Offroad Tiers EF (2)'!$AM$6*$C9*$D9,IF($C9&lt;75,'Offroad Tiers EF (2)'!$AM$7*$C9*$D9,IF($C9&lt;100,'Offroad Tiers EF (2)'!$AM$8*$C9*$D9,IF($C9&lt;175,'Offroad Tiers EF (2)'!$AM$9*$C9*$D9,IF($C9&lt;300,'Offroad Tiers EF (2)'!$AM$10*$C9*$D9,IF($C9&lt;600,'Offroad Tiers EF (2)'!$AM$11*$C9*$D9,"!"))))))))</f>
        <v>1.5245841269841265</v>
      </c>
      <c r="H9" s="413">
        <v>3.1549250027299411E-3</v>
      </c>
      <c r="I9" s="397">
        <f>IF($C9&lt;11,'Offroad Tiers EF (2)'!$AO$4*$C9*$D9,IF($C9&lt;25,'Offroad Tiers EF (2)'!$AO$5*$C9*$D9,IF($C9&lt;50,'Offroad Tiers EF (2)'!$AO$6*$C9*$D9,IF($C9&lt;75,'Offroad Tiers EF (2)'!$AO$7*$C9*$D9,IF($C9&lt;100,'Offroad Tiers EF (2)'!$AO$8*$C9*$D9,IF($C9&lt;175,'Offroad Tiers EF (2)'!$AO$9*$C9*$D9,IF($C9&lt;300,'Offroad Tiers EF (2)'!$AO$10*$C9*$D9,IF($C9&lt;600,'Offroad Tiers EF (2)'!$AO$11*$C9*$D9,"!"))))))))</f>
        <v>5.65079365079365E-2</v>
      </c>
      <c r="J9" s="100">
        <f t="shared" si="0"/>
        <v>5.0292063492063485E-2</v>
      </c>
      <c r="K9" s="413">
        <v>321.42842594638495</v>
      </c>
      <c r="L9" s="413">
        <v>2.7367143038344539E-2</v>
      </c>
      <c r="M9" s="102">
        <f t="shared" si="1"/>
        <v>0.14483549206349203</v>
      </c>
      <c r="N9" s="98">
        <v>2</v>
      </c>
      <c r="O9" s="98">
        <v>3</v>
      </c>
      <c r="P9" s="99">
        <v>66</v>
      </c>
      <c r="Q9" s="34">
        <f t="shared" si="2"/>
        <v>1.6417190163663167</v>
      </c>
      <c r="R9" s="26">
        <f t="shared" si="2"/>
        <v>5.8768253968253967</v>
      </c>
      <c r="S9" s="26">
        <f t="shared" si="2"/>
        <v>9.1475047619047594</v>
      </c>
      <c r="T9" s="26">
        <f t="shared" si="2"/>
        <v>1.8929550016379647E-2</v>
      </c>
      <c r="U9" s="26">
        <f t="shared" si="2"/>
        <v>0.33904761904761899</v>
      </c>
      <c r="V9" s="26">
        <f t="shared" si="2"/>
        <v>0.30175238095238088</v>
      </c>
      <c r="W9" s="26">
        <f t="shared" si="2"/>
        <v>1928.5705556783096</v>
      </c>
      <c r="X9" s="26">
        <f t="shared" si="2"/>
        <v>0.16420285823006725</v>
      </c>
      <c r="Y9" s="26">
        <f t="shared" si="2"/>
        <v>0.86901295238095222</v>
      </c>
    </row>
    <row r="10" spans="1:25" s="3" customFormat="1">
      <c r="A10" s="24" t="s">
        <v>123</v>
      </c>
      <c r="B10" s="29" t="s">
        <v>27</v>
      </c>
      <c r="C10" s="97">
        <v>84</v>
      </c>
      <c r="D10" s="22">
        <v>0.38</v>
      </c>
      <c r="E10" s="102">
        <v>7.9534395197012789E-2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0.26037037037037036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0.33225370370370361</v>
      </c>
      <c r="H10" s="102">
        <v>6.9196834691909377E-4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2.1111111111111112E-2</v>
      </c>
      <c r="J10" s="100">
        <f t="shared" si="0"/>
        <v>1.878888888888889E-2</v>
      </c>
      <c r="K10" s="103">
        <v>58.988746640295226</v>
      </c>
      <c r="L10" s="102">
        <v>8.3100677993644661E-3</v>
      </c>
      <c r="M10" s="102">
        <f t="shared" si="1"/>
        <v>3.1564101851851843E-2</v>
      </c>
      <c r="N10" s="98">
        <v>2</v>
      </c>
      <c r="O10" s="98">
        <v>3</v>
      </c>
      <c r="P10" s="99">
        <v>66</v>
      </c>
      <c r="Q10" s="34">
        <f t="shared" si="2"/>
        <v>0.47720637118207676</v>
      </c>
      <c r="R10" s="26">
        <f t="shared" si="2"/>
        <v>1.5622222222222222</v>
      </c>
      <c r="S10" s="26">
        <f t="shared" si="2"/>
        <v>1.9935222222222215</v>
      </c>
      <c r="T10" s="26">
        <f t="shared" si="2"/>
        <v>4.151810081514563E-3</v>
      </c>
      <c r="U10" s="26">
        <f t="shared" si="2"/>
        <v>0.12666666666666668</v>
      </c>
      <c r="V10" s="26">
        <f t="shared" si="2"/>
        <v>0.11273333333333334</v>
      </c>
      <c r="W10" s="26">
        <f t="shared" si="2"/>
        <v>353.93247984177134</v>
      </c>
      <c r="X10" s="26">
        <f t="shared" si="2"/>
        <v>4.9860406796186793E-2</v>
      </c>
      <c r="Y10" s="26">
        <f t="shared" si="2"/>
        <v>0.18938461111111105</v>
      </c>
    </row>
    <row r="11" spans="1:25" s="3" customFormat="1">
      <c r="A11" s="24" t="s">
        <v>124</v>
      </c>
      <c r="B11" s="29" t="s">
        <v>27</v>
      </c>
      <c r="C11" s="97">
        <v>87</v>
      </c>
      <c r="D11" s="22">
        <v>0.37</v>
      </c>
      <c r="E11" s="102">
        <v>7.7253202863558038E-2</v>
      </c>
      <c r="F11" s="397">
        <f>IF($C11&lt;11,'Offroad Tiers EF (2)'!$AN$4*$C11*$D11,IF($C11&lt;25,'Offroad Tiers EF (2)'!$AN$5*$C11*$D11,IF($C11&lt;50,'Offroad Tiers EF (2)'!$AN$6*$C11*$D11,IF($C11&lt;75,'Offroad Tiers EF (2)'!$AN$7*$C11*$D11,IF($C11&lt;100,'Offroad Tiers EF (2)'!$AN$8*$C11*$D11,IF($C11&lt;175,'Offroad Tiers EF (2)'!$AN$9*$C11*$D11,IF($C11&lt;300,'Offroad Tiers EF (2)'!$AN$10*$C11*$D11,IF($C11&lt;600,'Offroad Tiers EF (2)'!$AN$11*$C11*$D11,"!"))))))))</f>
        <v>0.26257275132275132</v>
      </c>
      <c r="G11" s="397">
        <f>IF($C11&lt;11,'Offroad Tiers EF (2)'!$AM$4*$C11*$D11,IF($C11&lt;25,'Offroad Tiers EF (2)'!$AM$5*$C11*$D11,IF($C11&lt;50,'Offroad Tiers EF (2)'!$AM$6*$C11*$D11,IF($C11&lt;75,'Offroad Tiers EF (2)'!$AM$7*$C11*$D11,IF($C11&lt;100,'Offroad Tiers EF (2)'!$AM$8*$C11*$D11,IF($C11&lt;175,'Offroad Tiers EF (2)'!$AM$9*$C11*$D11,IF($C11&lt;300,'Offroad Tiers EF (2)'!$AM$10*$C11*$D11,IF($C11&lt;600,'Offroad Tiers EF (2)'!$AM$11*$C11*$D11,"!"))))))))</f>
        <v>0.33506412037037031</v>
      </c>
      <c r="H11" s="102">
        <v>6.910856115004858E-4</v>
      </c>
      <c r="I11" s="397">
        <f>IF($C11&lt;11,'Offroad Tiers EF (2)'!$AO$4*$C11*$D11,IF($C11&lt;25,'Offroad Tiers EF (2)'!$AO$5*$C11*$D11,IF($C11&lt;50,'Offroad Tiers EF (2)'!$AO$6*$C11*$D11,IF($C11&lt;75,'Offroad Tiers EF (2)'!$AO$7*$C11*$D11,IF($C11&lt;100,'Offroad Tiers EF (2)'!$AO$8*$C11*$D11,IF($C11&lt;175,'Offroad Tiers EF (2)'!$AO$9*$C11*$D11,IF($C11&lt;300,'Offroad Tiers EF (2)'!$AO$10*$C11*$D11,IF($C11&lt;600,'Offroad Tiers EF (2)'!$AO$11*$C11*$D11,"!"))))))))</f>
        <v>2.1289682539682539E-2</v>
      </c>
      <c r="J11" s="100">
        <f t="shared" si="0"/>
        <v>1.894781746031746E-2</v>
      </c>
      <c r="K11" s="103">
        <v>58.913505111712794</v>
      </c>
      <c r="L11" s="102">
        <v>8.1364324497053466E-3</v>
      </c>
      <c r="M11" s="102">
        <f t="shared" si="1"/>
        <v>3.1831091435185178E-2</v>
      </c>
      <c r="N11" s="98">
        <v>2</v>
      </c>
      <c r="O11" s="98">
        <v>6</v>
      </c>
      <c r="P11" s="99">
        <v>66</v>
      </c>
      <c r="Q11" s="34">
        <f t="shared" si="2"/>
        <v>0.92703843436269651</v>
      </c>
      <c r="R11" s="26">
        <f t="shared" si="2"/>
        <v>3.1508730158730156</v>
      </c>
      <c r="S11" s="26">
        <f t="shared" si="2"/>
        <v>4.0207694444444435</v>
      </c>
      <c r="T11" s="26">
        <f t="shared" si="2"/>
        <v>8.2930273380058296E-3</v>
      </c>
      <c r="U11" s="26">
        <f t="shared" si="2"/>
        <v>0.25547619047619047</v>
      </c>
      <c r="V11" s="26">
        <f t="shared" si="2"/>
        <v>0.22737380952380953</v>
      </c>
      <c r="W11" s="26">
        <f t="shared" si="2"/>
        <v>706.96206134055353</v>
      </c>
      <c r="X11" s="26">
        <f t="shared" si="2"/>
        <v>9.7637189396464152E-2</v>
      </c>
      <c r="Y11" s="26">
        <f t="shared" si="2"/>
        <v>0.38197309722222217</v>
      </c>
    </row>
    <row r="12" spans="1:25" s="3" customFormat="1">
      <c r="A12" s="32" t="s">
        <v>125</v>
      </c>
      <c r="B12" s="29" t="s">
        <v>27</v>
      </c>
      <c r="C12" s="97">
        <v>87</v>
      </c>
      <c r="D12" s="22">
        <v>0.37</v>
      </c>
      <c r="E12" s="413">
        <v>5.2437519504869065E-2</v>
      </c>
      <c r="F12" s="397">
        <f>IF($C12&lt;11,'Offroad Tiers EF (2)'!$AN$4*$C12*$D12,IF($C12&lt;25,'Offroad Tiers EF (2)'!$AN$5*$C12*$D12,IF($C12&lt;50,'Offroad Tiers EF (2)'!$AN$6*$C12*$D12,IF($C12&lt;75,'Offroad Tiers EF (2)'!$AN$7*$C12*$D12,IF($C12&lt;100,'Offroad Tiers EF (2)'!$AN$8*$C12*$D12,IF($C12&lt;175,'Offroad Tiers EF (2)'!$AN$9*$C12*$D12,IF($C12&lt;300,'Offroad Tiers EF (2)'!$AN$10*$C12*$D12,IF($C12&lt;600,'Offroad Tiers EF (2)'!$AN$11*$C12*$D12,"!"))))))))</f>
        <v>0.26257275132275132</v>
      </c>
      <c r="G12" s="397">
        <f>IF($C12&lt;11,'Offroad Tiers EF (2)'!$AM$4*$C12*$D12,IF($C12&lt;25,'Offroad Tiers EF (2)'!$AM$5*$C12*$D12,IF($C12&lt;50,'Offroad Tiers EF (2)'!$AM$6*$C12*$D12,IF($C12&lt;75,'Offroad Tiers EF (2)'!$AM$7*$C12*$D12,IF($C12&lt;100,'Offroad Tiers EF (2)'!$AM$8*$C12*$D12,IF($C12&lt;175,'Offroad Tiers EF (2)'!$AM$9*$C12*$D12,IF($C12&lt;300,'Offroad Tiers EF (2)'!$AM$10*$C12*$D12,IF($C12&lt;600,'Offroad Tiers EF (2)'!$AM$11*$C12*$D12,"!"))))))))</f>
        <v>0.33506412037037031</v>
      </c>
      <c r="H12" s="413">
        <v>6.0679618797898508E-4</v>
      </c>
      <c r="I12" s="397">
        <f>IF($C12&lt;11,'Offroad Tiers EF (2)'!$AO$4*$C12*$D12,IF($C12&lt;25,'Offroad Tiers EF (2)'!$AO$5*$C12*$D12,IF($C12&lt;50,'Offroad Tiers EF (2)'!$AO$6*$C12*$D12,IF($C12&lt;75,'Offroad Tiers EF (2)'!$AO$7*$C12*$D12,IF($C12&lt;100,'Offroad Tiers EF (2)'!$AO$8*$C12*$D12,IF($C12&lt;175,'Offroad Tiers EF (2)'!$AO$9*$C12*$D12,IF($C12&lt;300,'Offroad Tiers EF (2)'!$AO$10*$C12*$D12,IF($C12&lt;600,'Offroad Tiers EF (2)'!$AO$11*$C12*$D12,"!"))))))))</f>
        <v>2.1289682539682539E-2</v>
      </c>
      <c r="J12" s="100">
        <f t="shared" si="0"/>
        <v>1.894781746031746E-2</v>
      </c>
      <c r="K12" s="413">
        <v>51.728016924248784</v>
      </c>
      <c r="L12" s="413">
        <v>5.7223017989158831E-3</v>
      </c>
      <c r="M12" s="102">
        <f t="shared" si="1"/>
        <v>3.1831091435185178E-2</v>
      </c>
      <c r="N12" s="87">
        <v>2</v>
      </c>
      <c r="O12" s="87">
        <v>6</v>
      </c>
      <c r="P12" s="88">
        <v>66</v>
      </c>
      <c r="Q12" s="34">
        <f t="shared" si="2"/>
        <v>0.62925023405842873</v>
      </c>
      <c r="R12" s="26">
        <f t="shared" si="2"/>
        <v>3.1508730158730156</v>
      </c>
      <c r="S12" s="26">
        <f t="shared" si="2"/>
        <v>4.0207694444444435</v>
      </c>
      <c r="T12" s="26">
        <f t="shared" si="2"/>
        <v>7.2815542557478213E-3</v>
      </c>
      <c r="U12" s="26">
        <f t="shared" si="2"/>
        <v>0.25547619047619047</v>
      </c>
      <c r="V12" s="26">
        <f t="shared" si="2"/>
        <v>0.22737380952380953</v>
      </c>
      <c r="W12" s="26">
        <f t="shared" si="2"/>
        <v>620.73620309098544</v>
      </c>
      <c r="X12" s="26">
        <f t="shared" si="2"/>
        <v>6.8667621586990593E-2</v>
      </c>
      <c r="Y12" s="26">
        <f t="shared" si="2"/>
        <v>0.38197309722222217</v>
      </c>
    </row>
    <row r="13" spans="1:25" s="3" customFormat="1">
      <c r="A13" s="24" t="s">
        <v>126</v>
      </c>
      <c r="B13" s="29" t="s">
        <v>27</v>
      </c>
      <c r="C13" s="97">
        <v>175</v>
      </c>
      <c r="D13" s="97"/>
      <c r="E13" s="102">
        <v>0.11792220738547983</v>
      </c>
      <c r="F13" s="102">
        <v>0.36512193352152528</v>
      </c>
      <c r="G13" s="102">
        <v>0.86781464282266541</v>
      </c>
      <c r="H13" s="102">
        <v>1.8739217498104396E-3</v>
      </c>
      <c r="I13" s="102">
        <v>2.9041712295589866E-2</v>
      </c>
      <c r="J13" s="100">
        <f t="shared" si="0"/>
        <v>2.5847123943074982E-2</v>
      </c>
      <c r="K13" s="103">
        <v>166.54541562452522</v>
      </c>
      <c r="L13" s="102">
        <v>1.063993297769634E-2</v>
      </c>
      <c r="M13" s="104">
        <f t="shared" si="1"/>
        <v>8.2442391068153209E-2</v>
      </c>
      <c r="N13" s="98">
        <v>3</v>
      </c>
      <c r="O13" s="98">
        <v>2</v>
      </c>
      <c r="P13" s="99">
        <v>66</v>
      </c>
      <c r="Q13" s="34">
        <f t="shared" si="2"/>
        <v>0.70753324431287901</v>
      </c>
      <c r="R13" s="26">
        <f t="shared" si="2"/>
        <v>2.1907316011291518</v>
      </c>
      <c r="S13" s="26">
        <f t="shared" si="2"/>
        <v>5.2068878569359924</v>
      </c>
      <c r="T13" s="26">
        <f t="shared" si="2"/>
        <v>1.1243530498862637E-2</v>
      </c>
      <c r="U13" s="26">
        <f t="shared" si="2"/>
        <v>0.17425027377353919</v>
      </c>
      <c r="V13" s="26">
        <f t="shared" si="2"/>
        <v>0.1550827436584499</v>
      </c>
      <c r="W13" s="26">
        <f t="shared" si="2"/>
        <v>999.27249374715132</v>
      </c>
      <c r="X13" s="26">
        <f t="shared" si="2"/>
        <v>6.3839597866178044E-2</v>
      </c>
      <c r="Y13" s="26">
        <f t="shared" si="2"/>
        <v>0.49465434640891925</v>
      </c>
    </row>
    <row r="14" spans="1:25" s="3" customFormat="1">
      <c r="A14" s="24" t="s">
        <v>127</v>
      </c>
      <c r="B14" s="29" t="s">
        <v>27</v>
      </c>
      <c r="C14" s="97">
        <v>381</v>
      </c>
      <c r="D14" s="97"/>
      <c r="E14" s="102">
        <v>0.18553470911077993</v>
      </c>
      <c r="F14" s="102">
        <v>0.57956772121140698</v>
      </c>
      <c r="G14" s="102">
        <v>1.2523979210769924</v>
      </c>
      <c r="H14" s="102">
        <v>2.6730457491231348E-3</v>
      </c>
      <c r="I14" s="102">
        <v>4.4827947982520766E-2</v>
      </c>
      <c r="J14" s="100">
        <f t="shared" si="0"/>
        <v>3.9896873704443482E-2</v>
      </c>
      <c r="K14" s="103">
        <v>272.33380251586107</v>
      </c>
      <c r="L14" s="102">
        <v>1.6740496842659349E-2</v>
      </c>
      <c r="M14" s="102">
        <f t="shared" si="1"/>
        <v>0.11897780250231428</v>
      </c>
      <c r="N14" s="98">
        <v>2</v>
      </c>
      <c r="O14" s="98">
        <v>6</v>
      </c>
      <c r="P14" s="99">
        <v>66</v>
      </c>
      <c r="Q14" s="34">
        <f t="shared" si="2"/>
        <v>2.2264165093293591</v>
      </c>
      <c r="R14" s="26">
        <f t="shared" si="2"/>
        <v>6.9548126545368838</v>
      </c>
      <c r="S14" s="26">
        <f t="shared" si="2"/>
        <v>15.028775052923908</v>
      </c>
      <c r="T14" s="26">
        <f t="shared" si="2"/>
        <v>3.2076548989477621E-2</v>
      </c>
      <c r="U14" s="26">
        <f t="shared" si="2"/>
        <v>0.53793537579024919</v>
      </c>
      <c r="V14" s="26">
        <f t="shared" si="2"/>
        <v>0.47876248445332181</v>
      </c>
      <c r="W14" s="26">
        <f t="shared" si="2"/>
        <v>3268.0056301903328</v>
      </c>
      <c r="X14" s="26">
        <f t="shared" si="2"/>
        <v>0.20088596211191218</v>
      </c>
      <c r="Y14" s="26">
        <f t="shared" si="2"/>
        <v>1.4277336300277714</v>
      </c>
    </row>
    <row r="15" spans="1:25" s="3" customFormat="1">
      <c r="A15" s="17" t="s">
        <v>28</v>
      </c>
      <c r="B15" s="29"/>
      <c r="C15" s="97"/>
      <c r="D15" s="12"/>
      <c r="E15" s="102"/>
      <c r="F15" s="102"/>
      <c r="G15" s="102"/>
      <c r="H15" s="102"/>
      <c r="I15" s="102"/>
      <c r="J15" s="100"/>
      <c r="K15" s="103"/>
      <c r="L15" s="102"/>
      <c r="M15" s="104"/>
      <c r="N15" s="98"/>
      <c r="O15" s="98"/>
      <c r="P15" s="99"/>
      <c r="Q15" s="101">
        <f t="shared" ref="Q15:Y15" si="3">SUM(Q8:Q14)</f>
        <v>6.9737803727714525</v>
      </c>
      <c r="R15" s="101">
        <f t="shared" si="3"/>
        <v>24.511695049316828</v>
      </c>
      <c r="S15" s="101">
        <f t="shared" si="3"/>
        <v>41.225230568590057</v>
      </c>
      <c r="T15" s="101">
        <f t="shared" si="3"/>
        <v>8.6159010113076112E-2</v>
      </c>
      <c r="U15" s="101">
        <f t="shared" si="3"/>
        <v>1.785495173373312</v>
      </c>
      <c r="V15" s="101">
        <f t="shared" si="3"/>
        <v>1.589090704302248</v>
      </c>
      <c r="W15" s="101">
        <f t="shared" si="3"/>
        <v>8249.2439090004646</v>
      </c>
      <c r="X15" s="101">
        <f t="shared" si="3"/>
        <v>0.68260993558606642</v>
      </c>
      <c r="Y15" s="101">
        <f t="shared" si="3"/>
        <v>3.9163969040160556</v>
      </c>
    </row>
    <row r="16" spans="1:25" s="3" customFormat="1">
      <c r="A16" s="17"/>
      <c r="B16" s="29"/>
      <c r="C16" s="97"/>
      <c r="D16" s="12"/>
      <c r="E16" s="102"/>
      <c r="F16" s="102"/>
      <c r="G16" s="102"/>
      <c r="H16" s="102"/>
      <c r="I16" s="102"/>
      <c r="J16" s="100"/>
      <c r="K16" s="103"/>
      <c r="L16" s="102"/>
      <c r="M16" s="104"/>
      <c r="N16" s="98"/>
      <c r="O16" s="98"/>
      <c r="P16" s="99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32" s="3" customFormat="1">
      <c r="A17" s="17"/>
      <c r="B17" s="29"/>
      <c r="C17" s="97"/>
      <c r="D17" s="12"/>
      <c r="E17" s="102"/>
      <c r="F17" s="102"/>
      <c r="G17" s="102"/>
      <c r="H17" s="102"/>
      <c r="I17" s="102"/>
      <c r="J17" s="100"/>
      <c r="K17" s="103"/>
      <c r="L17" s="102"/>
      <c r="M17" s="104"/>
      <c r="N17" s="98"/>
      <c r="O17" s="98"/>
      <c r="P17" s="99"/>
      <c r="Q17" s="101"/>
      <c r="R17" s="101"/>
      <c r="S17" s="101"/>
      <c r="T17" s="101"/>
      <c r="U17" s="101"/>
      <c r="V17" s="101"/>
      <c r="W17" s="101"/>
      <c r="X17" s="101"/>
      <c r="Y17" s="101"/>
    </row>
    <row r="18" spans="1:32" s="6" customFormat="1">
      <c r="A18" s="122" t="s">
        <v>103</v>
      </c>
      <c r="B18" s="97"/>
      <c r="C18" s="22"/>
      <c r="D18" s="22"/>
      <c r="E18" s="23"/>
      <c r="F18" s="23"/>
      <c r="G18" s="23"/>
      <c r="H18" s="23"/>
      <c r="I18" s="23"/>
      <c r="J18" s="24"/>
      <c r="K18" s="25"/>
      <c r="L18" s="23"/>
      <c r="M18" s="23"/>
      <c r="N18" s="88"/>
      <c r="O18" s="88"/>
      <c r="P18" s="88"/>
      <c r="Q18" s="20">
        <f>Q15</f>
        <v>6.9737803727714525</v>
      </c>
      <c r="R18" s="20">
        <f t="shared" ref="R18:Y18" si="4">R15</f>
        <v>24.511695049316828</v>
      </c>
      <c r="S18" s="20">
        <f t="shared" si="4"/>
        <v>41.225230568590057</v>
      </c>
      <c r="T18" s="20">
        <f t="shared" si="4"/>
        <v>8.6159010113076112E-2</v>
      </c>
      <c r="U18" s="20">
        <f t="shared" si="4"/>
        <v>1.785495173373312</v>
      </c>
      <c r="V18" s="20">
        <f t="shared" si="4"/>
        <v>1.589090704302248</v>
      </c>
      <c r="W18" s="20">
        <f t="shared" si="4"/>
        <v>8249.2439090004646</v>
      </c>
      <c r="X18" s="20">
        <f t="shared" si="4"/>
        <v>0.68260993558606642</v>
      </c>
      <c r="Y18" s="20">
        <f t="shared" si="4"/>
        <v>3.9163969040160556</v>
      </c>
      <c r="AF18" s="7"/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B-4
Construction Heavy Equipment Emissions
TL 6965 Construction
</oddHeader>
    <oddFooter>&amp;CB-4</oddFooter>
  </headerFooter>
</worksheet>
</file>

<file path=xl/worksheets/sheet2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349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2.85546875" style="36" bestFit="1" customWidth="1"/>
    <col min="19" max="30" width="9.42578125" style="36" bestFit="1" customWidth="1"/>
    <col min="31" max="31" width="12.28515625" style="38" customWidth="1"/>
    <col min="32" max="33" width="9.28515625" style="36" bestFit="1" customWidth="1"/>
    <col min="34" max="34" width="11.42578125" style="36" customWidth="1"/>
    <col min="35" max="35" width="10.5703125" style="36" customWidth="1"/>
    <col min="36" max="39" width="9.5703125" style="36" customWidth="1"/>
    <col min="40" max="40" width="9.28515625" style="38" bestFit="1" customWidth="1"/>
    <col min="41" max="41" width="9.85546875" style="36" customWidth="1"/>
    <col min="42" max="42" width="9.28515625" style="36" bestFit="1" customWidth="1"/>
    <col min="43" max="16384" width="9.140625" style="36"/>
  </cols>
  <sheetData>
    <row r="1" spans="1:42">
      <c r="A1" s="3" t="s">
        <v>748</v>
      </c>
    </row>
    <row r="2" spans="1:42">
      <c r="A2"/>
    </row>
    <row r="6" spans="1:42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78" t="s">
        <v>55</v>
      </c>
      <c r="H6" s="578" t="s">
        <v>56</v>
      </c>
      <c r="I6" s="574" t="s">
        <v>57</v>
      </c>
      <c r="J6" s="57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78" t="s">
        <v>61</v>
      </c>
      <c r="R6" s="574" t="s">
        <v>62</v>
      </c>
      <c r="S6" s="57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  <c r="AE6" s="36"/>
      <c r="AN6" s="36"/>
    </row>
    <row r="7" spans="1:42" ht="63.75">
      <c r="A7" s="592"/>
      <c r="B7" s="592"/>
      <c r="C7" s="593"/>
      <c r="D7" s="593"/>
      <c r="E7" s="74" t="s">
        <v>67</v>
      </c>
      <c r="F7" s="74" t="s">
        <v>68</v>
      </c>
      <c r="G7" s="577" t="s">
        <v>69</v>
      </c>
      <c r="H7" s="41" t="s">
        <v>69</v>
      </c>
      <c r="I7" s="41" t="s">
        <v>69</v>
      </c>
      <c r="J7" s="41" t="s">
        <v>69</v>
      </c>
      <c r="K7" s="574" t="s">
        <v>69</v>
      </c>
      <c r="L7" s="574" t="s">
        <v>71</v>
      </c>
      <c r="M7" s="574" t="s">
        <v>72</v>
      </c>
      <c r="N7" s="574" t="s">
        <v>69</v>
      </c>
      <c r="O7" s="574" t="s">
        <v>71</v>
      </c>
      <c r="P7" s="574" t="s">
        <v>72</v>
      </c>
      <c r="Q7" s="41" t="s">
        <v>69</v>
      </c>
      <c r="R7" s="574" t="s">
        <v>69</v>
      </c>
      <c r="S7" s="57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  <c r="AE7" s="36"/>
      <c r="AN7" s="36"/>
    </row>
    <row r="8" spans="1:42">
      <c r="A8" s="17" t="s">
        <v>296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  <c r="AE8" s="36"/>
      <c r="AN8" s="36"/>
    </row>
    <row r="9" spans="1:42">
      <c r="A9" s="78" t="s">
        <v>331</v>
      </c>
      <c r="B9" s="76" t="s">
        <v>105</v>
      </c>
      <c r="C9" s="374">
        <v>2</v>
      </c>
      <c r="D9" s="77"/>
      <c r="E9" s="77">
        <v>35</v>
      </c>
      <c r="F9" s="77">
        <v>80</v>
      </c>
      <c r="G9" s="106">
        <v>1.08263976628415</v>
      </c>
      <c r="H9" s="106">
        <v>4.9712718909585103</v>
      </c>
      <c r="I9" s="106">
        <v>0.26248012575016899</v>
      </c>
      <c r="J9" s="106">
        <v>1.0711818E-2</v>
      </c>
      <c r="K9" s="106">
        <v>7.1679901072141505E-2</v>
      </c>
      <c r="L9" s="576">
        <v>3.59998119015979E-2</v>
      </c>
      <c r="M9" s="576">
        <v>6.1739677411240299E-2</v>
      </c>
      <c r="N9" s="106">
        <v>6.5945508986370194E-2</v>
      </c>
      <c r="O9" s="576">
        <v>2.9999843251331498E-3</v>
      </c>
      <c r="P9" s="576">
        <v>5.5859708133979398E-2</v>
      </c>
      <c r="Q9" s="106">
        <v>1710.7260798814</v>
      </c>
      <c r="R9" s="47">
        <v>1.5235246282551899E-2</v>
      </c>
      <c r="S9" s="80">
        <f>0.000025616*Q9</f>
        <v>4.3821959262241944E-2</v>
      </c>
      <c r="T9" s="50">
        <f>C9*($F9*$G9)/453.59</f>
        <v>0.38189193457850484</v>
      </c>
      <c r="U9" s="50">
        <f>C9*($F9*$H9)/453.59</f>
        <v>1.7535737175717316</v>
      </c>
      <c r="V9" s="50">
        <f>C9*(($F9*$I9))/453.59</f>
        <v>9.2587623448548345E-2</v>
      </c>
      <c r="W9" s="50">
        <f>C9*($F9*$J9)/453.59</f>
        <v>3.7785023479353602E-3</v>
      </c>
      <c r="X9" s="50">
        <f>C9*(($F9*($K9+$L9+$M9)))/453.59</f>
        <v>5.9761243549453814E-2</v>
      </c>
      <c r="Y9" s="50">
        <f>C9*(($F9*($N9+$O9+$P9)))/453.59</f>
        <v>4.4023969292262266E-2</v>
      </c>
      <c r="Z9" s="50">
        <f>C9*(F9)*$B$340</f>
        <v>0</v>
      </c>
      <c r="AA9" s="50">
        <f>Z9*0.21</f>
        <v>0</v>
      </c>
      <c r="AB9" s="50">
        <f>C9*(($F9*($Q9)))/453.59</f>
        <v>603.4440194471307</v>
      </c>
      <c r="AC9" s="50">
        <f>C9*(($F9*($R9)))/453.59</f>
        <v>5.3741030560821544E-3</v>
      </c>
      <c r="AD9" s="50">
        <f>C9*(($F9*($S9)))/453.59</f>
        <v>1.5457822002157701E-2</v>
      </c>
      <c r="AE9" s="36"/>
      <c r="AN9" s="36"/>
    </row>
    <row r="10" spans="1:42">
      <c r="A10" s="78" t="s">
        <v>327</v>
      </c>
      <c r="B10" s="76" t="s">
        <v>105</v>
      </c>
      <c r="C10" s="374">
        <v>3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0.57283790186775729</v>
      </c>
      <c r="U10" s="50">
        <f>C10*($F10*$H10)/453.59</f>
        <v>2.6303605763575972</v>
      </c>
      <c r="V10" s="50">
        <f>C10*(($F10*$I10))/453.59</f>
        <v>0.1388814351728225</v>
      </c>
      <c r="W10" s="50">
        <f>C10*($F10*$J10)/453.59</f>
        <v>5.6677535219030401E-3</v>
      </c>
      <c r="X10" s="50">
        <f>C10*(($F10*($K10+$L10+$M10)))/453.59</f>
        <v>8.9641865324180711E-2</v>
      </c>
      <c r="Y10" s="50">
        <f>C10*(($F10*($N10+$O10+$P10)))/453.59</f>
        <v>6.6035953938393399E-2</v>
      </c>
      <c r="Z10" s="50">
        <f>C10*(F10)*$B$340</f>
        <v>0</v>
      </c>
      <c r="AA10" s="50">
        <f>Z10*0.21</f>
        <v>0</v>
      </c>
      <c r="AB10" s="50">
        <f>C10*(($F10*($Q10)))/453.59</f>
        <v>905.16602917069611</v>
      </c>
      <c r="AC10" s="50">
        <f>C10*(($F10*($R10)))/453.59</f>
        <v>8.0611545841232316E-3</v>
      </c>
      <c r="AD10" s="50">
        <f>C10*(($F10*($S10)))/453.59</f>
        <v>2.3186733003236551E-2</v>
      </c>
      <c r="AE10" s="36"/>
      <c r="AN10" s="36"/>
    </row>
    <row r="11" spans="1:42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36"/>
      <c r="AN11" s="36"/>
    </row>
    <row r="12" spans="1:42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36"/>
      <c r="AN12" s="36"/>
    </row>
    <row r="13" spans="1:42">
      <c r="A13" s="573"/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81">
        <f>SUM(T9:T10)</f>
        <v>0.95472983644626219</v>
      </c>
      <c r="U13" s="81">
        <f t="shared" ref="U13:AD13" si="0">SUM(U9:U10)</f>
        <v>4.3839342939293289</v>
      </c>
      <c r="V13" s="81">
        <f t="shared" si="0"/>
        <v>0.23146905862137085</v>
      </c>
      <c r="W13" s="81">
        <f t="shared" si="0"/>
        <v>9.4462558698383998E-3</v>
      </c>
      <c r="X13" s="81">
        <f t="shared" si="0"/>
        <v>0.14940310887363453</v>
      </c>
      <c r="Y13" s="81">
        <f t="shared" si="0"/>
        <v>0.11005992323065567</v>
      </c>
      <c r="Z13" s="81">
        <f t="shared" si="0"/>
        <v>0</v>
      </c>
      <c r="AA13" s="81">
        <f t="shared" si="0"/>
        <v>0</v>
      </c>
      <c r="AB13" s="81">
        <f t="shared" si="0"/>
        <v>1508.6100486178268</v>
      </c>
      <c r="AC13" s="81">
        <f t="shared" si="0"/>
        <v>1.3435257640205386E-2</v>
      </c>
      <c r="AD13" s="81">
        <f t="shared" si="0"/>
        <v>3.8644555005394252E-2</v>
      </c>
      <c r="AE13" s="36"/>
      <c r="AN13" s="36"/>
    </row>
    <row r="14" spans="1:42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84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</row>
    <row r="15" spans="1:42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84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</row>
    <row r="16" spans="1:42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84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</row>
    <row r="17" spans="1:42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84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</row>
    <row r="337" spans="1:2" ht="25.5">
      <c r="A337" s="82" t="s">
        <v>109</v>
      </c>
    </row>
    <row r="339" spans="1:2">
      <c r="A339" s="36" t="s">
        <v>81</v>
      </c>
    </row>
    <row r="340" spans="1:2">
      <c r="A340" s="36" t="s">
        <v>82</v>
      </c>
    </row>
    <row r="341" spans="1:2">
      <c r="A341" s="36" t="s">
        <v>83</v>
      </c>
    </row>
    <row r="342" spans="1:2">
      <c r="A342" s="37" t="s">
        <v>96</v>
      </c>
    </row>
    <row r="343" spans="1:2">
      <c r="A343" s="36" t="s">
        <v>85</v>
      </c>
    </row>
    <row r="344" spans="1:2">
      <c r="A344" s="36" t="s">
        <v>86</v>
      </c>
    </row>
    <row r="345" spans="1:2">
      <c r="A345" s="36" t="s">
        <v>87</v>
      </c>
    </row>
    <row r="346" spans="1:2">
      <c r="A346" s="36" t="s">
        <v>0</v>
      </c>
    </row>
    <row r="347" spans="1:2">
      <c r="A347" s="37" t="s">
        <v>97</v>
      </c>
      <c r="B347" s="36">
        <f>(0.016*(0.03/2)^0.65*(2/3)^1.5)-0.00047</f>
        <v>9.8123053326417428E-5</v>
      </c>
    </row>
    <row r="348" spans="1:2">
      <c r="A348" s="37" t="s">
        <v>98</v>
      </c>
      <c r="B348" s="36">
        <f>(0.016*(0.03/2)^0.65*(13/3)^1.5)-0.00047</f>
        <v>8.9448292388582783E-3</v>
      </c>
    </row>
    <row r="349" spans="1:2">
      <c r="A349" s="37" t="s">
        <v>99</v>
      </c>
      <c r="B349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B-5
Construction Truck Trip Emissions
TL 6965 Construction</oddHeader>
    <oddFooter>&amp;CB-5</oddFooter>
  </headerFooter>
</worksheet>
</file>

<file path=xl/worksheets/sheet2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A2" sqref="A2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749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7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74" t="s">
        <v>69</v>
      </c>
      <c r="S3" s="42" t="s">
        <v>118</v>
      </c>
      <c r="T3" s="574" t="s">
        <v>71</v>
      </c>
      <c r="U3" s="574" t="s">
        <v>72</v>
      </c>
      <c r="V3" s="574" t="s">
        <v>69</v>
      </c>
      <c r="W3" s="42" t="s">
        <v>118</v>
      </c>
      <c r="X3" s="574" t="s">
        <v>71</v>
      </c>
      <c r="Y3" s="574" t="s">
        <v>72</v>
      </c>
      <c r="Z3" s="41" t="s">
        <v>69</v>
      </c>
      <c r="AA3" s="42" t="s">
        <v>118</v>
      </c>
      <c r="AB3" s="574" t="s">
        <v>69</v>
      </c>
      <c r="AC3" s="42" t="s">
        <v>118</v>
      </c>
      <c r="AD3" s="574" t="s">
        <v>69</v>
      </c>
      <c r="AE3" s="42" t="s">
        <v>118</v>
      </c>
    </row>
    <row r="4" spans="1:67" ht="25.5">
      <c r="A4" s="44" t="s">
        <v>407</v>
      </c>
      <c r="B4" s="45" t="s">
        <v>102</v>
      </c>
      <c r="C4" s="46">
        <v>17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57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575" t="s">
        <v>55</v>
      </c>
      <c r="G87" s="575" t="s">
        <v>73</v>
      </c>
      <c r="H87" s="575" t="s">
        <v>74</v>
      </c>
      <c r="I87" s="575" t="s">
        <v>58</v>
      </c>
      <c r="J87" s="575" t="s">
        <v>59</v>
      </c>
      <c r="K87" s="575" t="s">
        <v>60</v>
      </c>
      <c r="L87" s="574" t="s">
        <v>75</v>
      </c>
      <c r="M87" s="574" t="s">
        <v>76</v>
      </c>
      <c r="N87" s="574" t="s">
        <v>61</v>
      </c>
      <c r="O87" s="574" t="s">
        <v>62</v>
      </c>
      <c r="P87" s="574" t="s">
        <v>63</v>
      </c>
      <c r="AN87" s="38"/>
      <c r="AZ87" s="36"/>
    </row>
    <row r="88" spans="1:52" ht="25.5">
      <c r="A88" s="44" t="str">
        <f t="shared" ref="A88:C88" si="52">A4</f>
        <v>Site Grading and Access Roads</v>
      </c>
      <c r="B88" s="45" t="str">
        <f t="shared" si="52"/>
        <v>Light-Duty Truck, catalyst</v>
      </c>
      <c r="C88" s="46">
        <f t="shared" si="52"/>
        <v>17</v>
      </c>
      <c r="D88" s="46">
        <v>35</v>
      </c>
      <c r="E88" s="46">
        <v>80</v>
      </c>
      <c r="F88" s="50">
        <f>C4*($E4*$F4+($G4))/453.59</f>
        <v>8.2572295599756416</v>
      </c>
      <c r="G88" s="50">
        <f>C4*($E4*$H4+($I4))/453.59</f>
        <v>0.74240117400442607</v>
      </c>
      <c r="H88" s="50">
        <f>C4*(($E4*$J4)+($K4)+($L4)+($E4*$N4)+(($M4+$O4)))/453.59</f>
        <v>0.85849966550720647</v>
      </c>
      <c r="I88" s="50">
        <f>C4*($E4*$P4+($Q4))/453.59</f>
        <v>1.235554946173047E-2</v>
      </c>
      <c r="J88" s="50">
        <f>C4*(($E4*($R4+$T4+$U4))+($S4))/453.59</f>
        <v>0.14490953773853424</v>
      </c>
      <c r="K88" s="50">
        <f>$C4*(($E4*($V4+$X4+$Y4))+($W4))/453.59</f>
        <v>6.310409051230341E-2</v>
      </c>
      <c r="L88" s="50">
        <f>$B$21*C4*(E4+6)</f>
        <v>0.14345590396322228</v>
      </c>
      <c r="M88" s="50">
        <f t="shared" ref="M88" si="53">0.41*L88</f>
        <v>5.881692062492113E-2</v>
      </c>
      <c r="N88" s="50">
        <f>C4*($E4*$Z4+($AA4))/453.59</f>
        <v>942.20080434266129</v>
      </c>
      <c r="O88" s="50">
        <f>C4*($E4*$AB4+($AC4))/453.59</f>
        <v>5.3898081613514233E-2</v>
      </c>
      <c r="P88" s="50">
        <f>C4*($E4*$AD4+($AE4))/453.59</f>
        <v>9.8109038535337131E-2</v>
      </c>
      <c r="AN88" s="38"/>
      <c r="AZ88" s="36"/>
    </row>
    <row r="89" spans="1:52">
      <c r="A89" s="36" t="s">
        <v>103</v>
      </c>
      <c r="F89" s="443">
        <f t="shared" ref="F89:P89" si="54">SUM(F88:F88)</f>
        <v>8.2572295599756416</v>
      </c>
      <c r="G89" s="443">
        <f t="shared" si="54"/>
        <v>0.74240117400442607</v>
      </c>
      <c r="H89" s="443">
        <f t="shared" si="54"/>
        <v>0.85849966550720647</v>
      </c>
      <c r="I89" s="443">
        <f t="shared" si="54"/>
        <v>1.235554946173047E-2</v>
      </c>
      <c r="J89" s="443">
        <f t="shared" si="54"/>
        <v>0.14490953773853424</v>
      </c>
      <c r="K89" s="443">
        <f t="shared" si="54"/>
        <v>6.310409051230341E-2</v>
      </c>
      <c r="L89" s="443">
        <f t="shared" si="54"/>
        <v>0.14345590396322228</v>
      </c>
      <c r="M89" s="443">
        <f t="shared" si="54"/>
        <v>5.881692062492113E-2</v>
      </c>
      <c r="N89" s="443">
        <f t="shared" si="54"/>
        <v>942.20080434266129</v>
      </c>
      <c r="O89" s="443">
        <f t="shared" si="54"/>
        <v>5.3898081613514233E-2</v>
      </c>
      <c r="P89" s="443">
        <f t="shared" si="54"/>
        <v>9.8109038535337131E-2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B-6
Construction Worker Commute Emission Calculations
TL 6965 Construction</oddHeader>
    <oddFooter>&amp;CB-6</oddFooter>
  </headerFooter>
</worksheet>
</file>

<file path=xl/worksheets/sheet23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3"/>
  <sheetViews>
    <sheetView zoomScale="75" zoomScaleNormal="75" workbookViewId="0">
      <selection activeCell="A2" sqref="A2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32">
      <c r="A1" s="3" t="s">
        <v>750</v>
      </c>
    </row>
    <row r="3" spans="1:32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32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32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32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32" s="3" customFormat="1">
      <c r="A7" s="17" t="s">
        <v>409</v>
      </c>
      <c r="B7" s="29"/>
      <c r="C7" s="22"/>
      <c r="D7" s="18"/>
      <c r="E7" s="23"/>
      <c r="F7" s="23"/>
      <c r="G7" s="23"/>
      <c r="H7" s="23"/>
      <c r="I7" s="23"/>
      <c r="J7" s="24"/>
      <c r="K7" s="25"/>
      <c r="L7" s="23"/>
      <c r="M7" s="33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32" s="3" customFormat="1">
      <c r="A8" s="24" t="s">
        <v>111</v>
      </c>
      <c r="B8" s="29" t="s">
        <v>27</v>
      </c>
      <c r="C8" s="97">
        <v>82</v>
      </c>
      <c r="D8" s="22">
        <v>0.5</v>
      </c>
      <c r="E8" s="102">
        <v>3.490161163394627E-2</v>
      </c>
      <c r="F8" s="397">
        <v>0.33443562610229277</v>
      </c>
      <c r="G8" s="397">
        <v>0.48086419753086407</v>
      </c>
      <c r="H8" s="102">
        <v>9.0467809247651214E-4</v>
      </c>
      <c r="I8" s="397">
        <v>2.7116402116402115E-2</v>
      </c>
      <c r="J8" s="100">
        <f t="shared" ref="J8:J10" si="0">0.89*I8</f>
        <v>2.4133597883597882E-2</v>
      </c>
      <c r="K8" s="103">
        <v>77.121751200869411</v>
      </c>
      <c r="L8" s="102">
        <v>3.6861995629678865E-3</v>
      </c>
      <c r="M8" s="104">
        <f t="shared" ref="M8:M10" si="1">0.095*G8</f>
        <v>4.568209876543209E-2</v>
      </c>
      <c r="N8" s="87">
        <v>1</v>
      </c>
      <c r="O8" s="87">
        <v>8</v>
      </c>
      <c r="P8" s="88">
        <v>6</v>
      </c>
      <c r="Q8" s="34">
        <f t="shared" ref="Q8:Y10" si="2">(E8*$N8*$O8)</f>
        <v>0.27921289307157016</v>
      </c>
      <c r="R8" s="26">
        <f t="shared" si="2"/>
        <v>2.6754850088183422</v>
      </c>
      <c r="S8" s="26">
        <f t="shared" si="2"/>
        <v>3.8469135802469125</v>
      </c>
      <c r="T8" s="26">
        <f t="shared" si="2"/>
        <v>7.2374247398120971E-3</v>
      </c>
      <c r="U8" s="26">
        <f t="shared" si="2"/>
        <v>0.21693121693121692</v>
      </c>
      <c r="V8" s="26">
        <f t="shared" si="2"/>
        <v>0.19306878306878306</v>
      </c>
      <c r="W8" s="26">
        <f t="shared" si="2"/>
        <v>616.97400960695529</v>
      </c>
      <c r="X8" s="26">
        <f t="shared" si="2"/>
        <v>2.9489596503743092E-2</v>
      </c>
      <c r="Y8" s="26">
        <f t="shared" si="2"/>
        <v>0.36545679012345672</v>
      </c>
    </row>
    <row r="9" spans="1:32" s="3" customFormat="1">
      <c r="A9" s="32" t="s">
        <v>125</v>
      </c>
      <c r="B9" s="29" t="s">
        <v>27</v>
      </c>
      <c r="C9" s="97">
        <v>87</v>
      </c>
      <c r="D9" s="22">
        <v>0.37</v>
      </c>
      <c r="E9" s="413">
        <v>5.2437519504869065E-2</v>
      </c>
      <c r="F9" s="397">
        <v>0.26257275132275132</v>
      </c>
      <c r="G9" s="397">
        <v>0.33506412037037031</v>
      </c>
      <c r="H9" s="413">
        <v>6.0679618797898508E-4</v>
      </c>
      <c r="I9" s="397">
        <v>2.1289682539682539E-2</v>
      </c>
      <c r="J9" s="100">
        <f t="shared" si="0"/>
        <v>1.894781746031746E-2</v>
      </c>
      <c r="K9" s="413">
        <v>51.728016924248784</v>
      </c>
      <c r="L9" s="413">
        <v>5.7223017989158831E-3</v>
      </c>
      <c r="M9" s="102">
        <f t="shared" si="1"/>
        <v>3.1831091435185178E-2</v>
      </c>
      <c r="N9" s="87">
        <v>1</v>
      </c>
      <c r="O9" s="87">
        <v>8</v>
      </c>
      <c r="P9" s="88">
        <v>6</v>
      </c>
      <c r="Q9" s="34">
        <f t="shared" si="2"/>
        <v>0.41950015603895252</v>
      </c>
      <c r="R9" s="26">
        <f t="shared" si="2"/>
        <v>2.1005820105820106</v>
      </c>
      <c r="S9" s="26">
        <f t="shared" si="2"/>
        <v>2.6805129629629625</v>
      </c>
      <c r="T9" s="26">
        <f t="shared" si="2"/>
        <v>4.8543695038318806E-3</v>
      </c>
      <c r="U9" s="26">
        <f t="shared" si="2"/>
        <v>0.17031746031746031</v>
      </c>
      <c r="V9" s="26">
        <f t="shared" si="2"/>
        <v>0.15158253968253968</v>
      </c>
      <c r="W9" s="26">
        <f t="shared" si="2"/>
        <v>413.82413539399028</v>
      </c>
      <c r="X9" s="26">
        <f t="shared" si="2"/>
        <v>4.5778414391327064E-2</v>
      </c>
      <c r="Y9" s="26">
        <f t="shared" si="2"/>
        <v>0.25464873148148143</v>
      </c>
    </row>
    <row r="10" spans="1:32" s="3" customFormat="1">
      <c r="A10" s="32" t="s">
        <v>51</v>
      </c>
      <c r="B10" s="29" t="s">
        <v>27</v>
      </c>
      <c r="C10" s="97">
        <v>381</v>
      </c>
      <c r="D10" s="97"/>
      <c r="E10" s="102">
        <v>0.18553470911077993</v>
      </c>
      <c r="F10" s="102">
        <v>0.57956772121140698</v>
      </c>
      <c r="G10" s="102">
        <v>1.2523979210769924</v>
      </c>
      <c r="H10" s="102">
        <v>2.6730457491231348E-3</v>
      </c>
      <c r="I10" s="102">
        <v>4.4827947982520766E-2</v>
      </c>
      <c r="J10" s="100">
        <f t="shared" si="0"/>
        <v>3.9896873704443482E-2</v>
      </c>
      <c r="K10" s="103">
        <v>272.33380251586107</v>
      </c>
      <c r="L10" s="102">
        <v>1.6740496842659349E-2</v>
      </c>
      <c r="M10" s="102">
        <f t="shared" si="1"/>
        <v>0.11897780250231428</v>
      </c>
      <c r="N10" s="87">
        <v>1</v>
      </c>
      <c r="O10" s="87">
        <v>8</v>
      </c>
      <c r="P10" s="88">
        <v>3</v>
      </c>
      <c r="Q10" s="34">
        <f t="shared" si="2"/>
        <v>1.4842776728862395</v>
      </c>
      <c r="R10" s="26">
        <f t="shared" si="2"/>
        <v>4.6365417696912559</v>
      </c>
      <c r="S10" s="26">
        <f t="shared" si="2"/>
        <v>10.01918336861594</v>
      </c>
      <c r="T10" s="26">
        <f t="shared" si="2"/>
        <v>2.1384365992985079E-2</v>
      </c>
      <c r="U10" s="26">
        <f t="shared" si="2"/>
        <v>0.35862358386016613</v>
      </c>
      <c r="V10" s="26">
        <f t="shared" si="2"/>
        <v>0.31917498963554786</v>
      </c>
      <c r="W10" s="26">
        <f t="shared" si="2"/>
        <v>2178.6704201268885</v>
      </c>
      <c r="X10" s="26">
        <f t="shared" si="2"/>
        <v>0.13392397474127479</v>
      </c>
      <c r="Y10" s="26">
        <f t="shared" si="2"/>
        <v>0.95182242001851425</v>
      </c>
    </row>
    <row r="11" spans="1:32" s="3" customFormat="1">
      <c r="A11" s="24" t="s">
        <v>368</v>
      </c>
      <c r="B11" s="90" t="s">
        <v>27</v>
      </c>
      <c r="C11" s="22">
        <v>5</v>
      </c>
      <c r="D11" s="22">
        <v>0.74</v>
      </c>
      <c r="E11" s="413">
        <v>1.3017040437477556E-2</v>
      </c>
      <c r="F11" s="397">
        <v>4.8941798941798939E-2</v>
      </c>
      <c r="G11" s="397">
        <v>4.3395061728395051E-2</v>
      </c>
      <c r="H11" s="413">
        <v>1.5884019955091081E-4</v>
      </c>
      <c r="I11" s="397">
        <v>4.8941798941798936E-3</v>
      </c>
      <c r="J11" s="100">
        <f t="shared" ref="J11" si="3">0.89*I11</f>
        <v>4.3558201058201051E-3</v>
      </c>
      <c r="K11" s="413">
        <v>10.20766028636436</v>
      </c>
      <c r="L11" s="413">
        <v>1.2796045465601556E-3</v>
      </c>
      <c r="M11" s="102">
        <f t="shared" ref="M11" si="4">0.095*G11</f>
        <v>4.1225308641975296E-3</v>
      </c>
      <c r="N11" s="98">
        <v>1</v>
      </c>
      <c r="O11" s="363">
        <v>3</v>
      </c>
      <c r="P11" s="88"/>
      <c r="Q11" s="34">
        <f t="shared" ref="Q11" si="5">(E11*$N11*$O11)</f>
        <v>3.9051121312432671E-2</v>
      </c>
      <c r="R11" s="26">
        <f t="shared" ref="R11" si="6">(F11*$N11*$O11)</f>
        <v>0.1468253968253968</v>
      </c>
      <c r="S11" s="26">
        <f t="shared" ref="S11" si="7">(G11*$N11*$O11)</f>
        <v>0.13018518518518515</v>
      </c>
      <c r="T11" s="26">
        <f t="shared" ref="T11" si="8">(H11*$N11*$O11)</f>
        <v>4.7652059865273245E-4</v>
      </c>
      <c r="U11" s="26">
        <f t="shared" ref="U11" si="9">(I11*$N11*$O11)</f>
        <v>1.4682539682539681E-2</v>
      </c>
      <c r="V11" s="26">
        <f t="shared" ref="V11" si="10">(J11*$N11*$O11)</f>
        <v>1.3067460317460314E-2</v>
      </c>
      <c r="W11" s="26">
        <f t="shared" ref="W11" si="11">(K11*$N11*$O11)</f>
        <v>30.622980859093083</v>
      </c>
      <c r="X11" s="26">
        <f t="shared" ref="X11" si="12">(L11*$N11*$O11)</f>
        <v>3.8388136396804665E-3</v>
      </c>
      <c r="Y11" s="26">
        <f t="shared" ref="Y11" si="13">(M11*$N11*$O11)</f>
        <v>1.236759259259259E-2</v>
      </c>
    </row>
    <row r="12" spans="1:32" s="6" customFormat="1">
      <c r="A12" s="17" t="s">
        <v>28</v>
      </c>
      <c r="B12" s="29"/>
      <c r="C12" s="97"/>
      <c r="D12" s="12"/>
      <c r="E12" s="102"/>
      <c r="F12" s="102"/>
      <c r="G12" s="102"/>
      <c r="H12" s="102"/>
      <c r="I12" s="102"/>
      <c r="J12" s="100"/>
      <c r="K12" s="103"/>
      <c r="L12" s="102"/>
      <c r="M12" s="104"/>
      <c r="N12" s="98"/>
      <c r="O12" s="98"/>
      <c r="P12" s="99"/>
      <c r="Q12" s="101">
        <f>SUM(Q8:Q11)</f>
        <v>2.2220418433091949</v>
      </c>
      <c r="R12" s="101">
        <f t="shared" ref="R12:Y12" si="14">SUM(R8:R11)</f>
        <v>9.5594341859170058</v>
      </c>
      <c r="S12" s="101">
        <f t="shared" si="14"/>
        <v>16.676795097010999</v>
      </c>
      <c r="T12" s="101">
        <f t="shared" si="14"/>
        <v>3.3952680835281787E-2</v>
      </c>
      <c r="U12" s="101">
        <f t="shared" si="14"/>
        <v>0.76055480079138293</v>
      </c>
      <c r="V12" s="101">
        <f t="shared" si="14"/>
        <v>0.67689377270433093</v>
      </c>
      <c r="W12" s="101">
        <f t="shared" si="14"/>
        <v>3240.091545986927</v>
      </c>
      <c r="X12" s="101">
        <f t="shared" si="14"/>
        <v>0.21303079927602542</v>
      </c>
      <c r="Y12" s="101">
        <f t="shared" si="14"/>
        <v>1.584295534216045</v>
      </c>
      <c r="AF12" s="7"/>
    </row>
    <row r="13" spans="1:32">
      <c r="A13" s="122" t="s">
        <v>103</v>
      </c>
      <c r="B13" s="97"/>
      <c r="C13" s="22"/>
      <c r="D13" s="22"/>
      <c r="E13" s="23"/>
      <c r="F13" s="23"/>
      <c r="G13" s="23"/>
      <c r="H13" s="23"/>
      <c r="I13" s="23"/>
      <c r="J13" s="24"/>
      <c r="K13" s="25"/>
      <c r="L13" s="23"/>
      <c r="M13" s="23"/>
      <c r="N13" s="88"/>
      <c r="O13" s="88"/>
      <c r="P13" s="88"/>
      <c r="Q13" s="20">
        <f>Q12</f>
        <v>2.2220418433091949</v>
      </c>
      <c r="R13" s="20">
        <f t="shared" ref="R13:Y13" si="15">R12</f>
        <v>9.5594341859170058</v>
      </c>
      <c r="S13" s="20">
        <f t="shared" si="15"/>
        <v>16.676795097010999</v>
      </c>
      <c r="T13" s="20">
        <f t="shared" si="15"/>
        <v>3.3952680835281787E-2</v>
      </c>
      <c r="U13" s="20">
        <f t="shared" si="15"/>
        <v>0.76055480079138293</v>
      </c>
      <c r="V13" s="20">
        <f t="shared" si="15"/>
        <v>0.67689377270433093</v>
      </c>
      <c r="W13" s="20">
        <f t="shared" si="15"/>
        <v>3240.091545986927</v>
      </c>
      <c r="X13" s="20">
        <f t="shared" si="15"/>
        <v>0.21303079927602542</v>
      </c>
      <c r="Y13" s="20">
        <f t="shared" si="15"/>
        <v>1.584295534216045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B-4
Construction Heavy Equipment Emissions
TL 6965 Construction
</oddHeader>
    <oddFooter>&amp;CB-4</oddFooter>
  </headerFooter>
</worksheet>
</file>

<file path=xl/worksheets/sheet2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348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31" width="12.28515625" style="38" customWidth="1"/>
    <col min="32" max="33" width="9.28515625" style="36" bestFit="1" customWidth="1"/>
    <col min="34" max="34" width="11.42578125" style="36" customWidth="1"/>
    <col min="35" max="35" width="10.5703125" style="36" customWidth="1"/>
    <col min="36" max="39" width="9.5703125" style="36" customWidth="1"/>
    <col min="40" max="40" width="9.28515625" style="38" bestFit="1" customWidth="1"/>
    <col min="41" max="41" width="9.85546875" style="36" customWidth="1"/>
    <col min="42" max="42" width="9.28515625" style="36" bestFit="1" customWidth="1"/>
    <col min="43" max="16384" width="9.140625" style="36"/>
  </cols>
  <sheetData>
    <row r="1" spans="1:42">
      <c r="A1" s="3" t="s">
        <v>751</v>
      </c>
    </row>
    <row r="2" spans="1:42">
      <c r="A2"/>
    </row>
    <row r="6" spans="1:42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  <c r="AE6" s="36"/>
      <c r="AN6" s="36"/>
    </row>
    <row r="7" spans="1:42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  <c r="AE7" s="36"/>
      <c r="AN7" s="36"/>
    </row>
    <row r="8" spans="1:42">
      <c r="A8" s="17" t="s">
        <v>409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  <c r="AE8" s="36"/>
      <c r="AN8" s="36"/>
    </row>
    <row r="9" spans="1:42">
      <c r="A9" s="78" t="s">
        <v>327</v>
      </c>
      <c r="B9" s="76" t="s">
        <v>105</v>
      </c>
      <c r="C9" s="374">
        <v>1</v>
      </c>
      <c r="D9" s="77"/>
      <c r="E9" s="77">
        <v>35</v>
      </c>
      <c r="F9" s="77">
        <v>80</v>
      </c>
      <c r="G9" s="106">
        <v>1.08263976628415</v>
      </c>
      <c r="H9" s="106">
        <v>4.9712718909585103</v>
      </c>
      <c r="I9" s="106">
        <v>0.26248012575016899</v>
      </c>
      <c r="J9" s="106">
        <v>1.0711818E-2</v>
      </c>
      <c r="K9" s="106">
        <v>7.1679901072141505E-2</v>
      </c>
      <c r="L9" s="556">
        <v>3.59998119015979E-2</v>
      </c>
      <c r="M9" s="556">
        <v>6.1739677411240299E-2</v>
      </c>
      <c r="N9" s="106">
        <v>6.5945508986370194E-2</v>
      </c>
      <c r="O9" s="556">
        <v>2.9999843251331498E-3</v>
      </c>
      <c r="P9" s="556">
        <v>5.5859708133979398E-2</v>
      </c>
      <c r="Q9" s="106">
        <v>1710.7260798814</v>
      </c>
      <c r="R9" s="47">
        <v>1.5235246282551899E-2</v>
      </c>
      <c r="S9" s="80">
        <f>0.000025616*Q9</f>
        <v>4.3821959262241944E-2</v>
      </c>
      <c r="T9" s="50">
        <f>C9*($F9*$G9)/453.59</f>
        <v>0.19094596728925242</v>
      </c>
      <c r="U9" s="50">
        <f>C9*($F9*$H9)/453.59</f>
        <v>0.87678685878586582</v>
      </c>
      <c r="V9" s="50">
        <f>C9*(($F9*$I9))/453.59</f>
        <v>4.6293811724274173E-2</v>
      </c>
      <c r="W9" s="50">
        <f>C9*($F9*$J9)/453.59</f>
        <v>1.8892511739676801E-3</v>
      </c>
      <c r="X9" s="50">
        <f>C9*(($F9*($K9+$L9+$M9)))/453.59</f>
        <v>2.9880621774726907E-2</v>
      </c>
      <c r="Y9" s="50">
        <f>C9*(($F9*($N9+$O9+$P9)))/453.59</f>
        <v>2.2011984646131133E-2</v>
      </c>
      <c r="Z9" s="50">
        <f>C9*(F9)*$B$339</f>
        <v>0</v>
      </c>
      <c r="AA9" s="50">
        <f>Z9*0.21</f>
        <v>0</v>
      </c>
      <c r="AB9" s="50">
        <f>C9*(($F9*($Q9)))/453.59</f>
        <v>301.72200972356535</v>
      </c>
      <c r="AC9" s="50">
        <f>C9*(($F9*($R9)))/453.59</f>
        <v>2.6870515280410772E-3</v>
      </c>
      <c r="AD9" s="50">
        <f>C9*(($F9*($S9)))/453.59</f>
        <v>7.7289110010788503E-3</v>
      </c>
      <c r="AE9" s="36"/>
      <c r="AN9" s="36"/>
    </row>
    <row r="10" spans="1:42">
      <c r="A10" s="75" t="s">
        <v>28</v>
      </c>
      <c r="B10" s="74"/>
      <c r="C10" s="112"/>
      <c r="D10" s="112"/>
      <c r="E10" s="74"/>
      <c r="F10" s="74"/>
      <c r="G10" s="437"/>
      <c r="H10" s="41"/>
      <c r="I10" s="41"/>
      <c r="J10" s="41"/>
      <c r="K10" s="434"/>
      <c r="L10" s="434"/>
      <c r="M10" s="434"/>
      <c r="N10" s="434"/>
      <c r="O10" s="434"/>
      <c r="P10" s="434"/>
      <c r="Q10" s="41"/>
      <c r="R10" s="434"/>
      <c r="S10" s="434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36"/>
      <c r="AN10" s="36"/>
    </row>
    <row r="11" spans="1:42">
      <c r="A11" s="432"/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61"/>
      <c r="U11" s="61"/>
      <c r="V11" s="61"/>
      <c r="W11" s="61"/>
      <c r="X11" s="61"/>
      <c r="Y11" s="61"/>
      <c r="Z11" s="62"/>
      <c r="AA11" s="62"/>
      <c r="AB11" s="62"/>
      <c r="AC11" s="62"/>
      <c r="AD11" s="62"/>
      <c r="AE11" s="36"/>
      <c r="AN11" s="36"/>
    </row>
    <row r="12" spans="1:42">
      <c r="A12" s="432"/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81">
        <f>T9</f>
        <v>0.19094596728925242</v>
      </c>
      <c r="U12" s="81">
        <f t="shared" ref="U12:AD12" si="0">U9</f>
        <v>0.87678685878586582</v>
      </c>
      <c r="V12" s="81">
        <f t="shared" si="0"/>
        <v>4.6293811724274173E-2</v>
      </c>
      <c r="W12" s="81">
        <f t="shared" si="0"/>
        <v>1.8892511739676801E-3</v>
      </c>
      <c r="X12" s="81">
        <f t="shared" si="0"/>
        <v>2.9880621774726907E-2</v>
      </c>
      <c r="Y12" s="81">
        <f t="shared" si="0"/>
        <v>2.2011984646131133E-2</v>
      </c>
      <c r="Z12" s="81">
        <f t="shared" si="0"/>
        <v>0</v>
      </c>
      <c r="AA12" s="81">
        <f t="shared" si="0"/>
        <v>0</v>
      </c>
      <c r="AB12" s="81">
        <f t="shared" si="0"/>
        <v>301.72200972356535</v>
      </c>
      <c r="AC12" s="81">
        <f t="shared" si="0"/>
        <v>2.6870515280410772E-3</v>
      </c>
      <c r="AD12" s="81">
        <f t="shared" si="0"/>
        <v>7.7289110010788503E-3</v>
      </c>
      <c r="AE12" s="36"/>
      <c r="AN12" s="36"/>
    </row>
    <row r="13" spans="1:42">
      <c r="A13" s="370"/>
      <c r="B13" s="371"/>
      <c r="C13" s="372"/>
      <c r="D13" s="372"/>
      <c r="E13" s="371"/>
      <c r="F13" s="371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84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</row>
    <row r="14" spans="1:42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84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</row>
    <row r="15" spans="1:42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84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</row>
    <row r="16" spans="1:42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84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</row>
    <row r="336" spans="1:1" ht="25.5">
      <c r="A336" s="82" t="s">
        <v>109</v>
      </c>
    </row>
    <row r="338" spans="1:2">
      <c r="A338" s="36" t="s">
        <v>81</v>
      </c>
    </row>
    <row r="339" spans="1:2">
      <c r="A339" s="36" t="s">
        <v>82</v>
      </c>
    </row>
    <row r="340" spans="1:2">
      <c r="A340" s="36" t="s">
        <v>83</v>
      </c>
    </row>
    <row r="341" spans="1:2">
      <c r="A341" s="37" t="s">
        <v>96</v>
      </c>
    </row>
    <row r="342" spans="1:2">
      <c r="A342" s="36" t="s">
        <v>85</v>
      </c>
    </row>
    <row r="343" spans="1:2">
      <c r="A343" s="36" t="s">
        <v>86</v>
      </c>
    </row>
    <row r="344" spans="1:2">
      <c r="A344" s="36" t="s">
        <v>87</v>
      </c>
    </row>
    <row r="345" spans="1:2">
      <c r="A345" s="36" t="s">
        <v>0</v>
      </c>
    </row>
    <row r="346" spans="1:2">
      <c r="A346" s="37" t="s">
        <v>97</v>
      </c>
      <c r="B346" s="36">
        <f>(0.016*(0.03/2)^0.65*(2/3)^1.5)-0.00047</f>
        <v>9.8123053326417428E-5</v>
      </c>
    </row>
    <row r="347" spans="1:2">
      <c r="A347" s="37" t="s">
        <v>98</v>
      </c>
      <c r="B347" s="36">
        <f>(0.016*(0.03/2)^0.65*(13/3)^1.5)-0.00047</f>
        <v>8.9448292388582783E-3</v>
      </c>
    </row>
    <row r="348" spans="1:2">
      <c r="A348" s="37" t="s">
        <v>99</v>
      </c>
      <c r="B348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B-5
Construction Truck Trip Emissions
TL 6965 Construction</oddHeader>
    <oddFooter>&amp;CB-5</oddFooter>
  </headerFooter>
</worksheet>
</file>

<file path=xl/worksheets/sheet2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752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408</v>
      </c>
      <c r="B4" s="45" t="s">
        <v>102</v>
      </c>
      <c r="C4" s="46">
        <v>6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43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435" t="s">
        <v>55</v>
      </c>
      <c r="G87" s="435" t="s">
        <v>73</v>
      </c>
      <c r="H87" s="435" t="s">
        <v>74</v>
      </c>
      <c r="I87" s="435" t="s">
        <v>58</v>
      </c>
      <c r="J87" s="435" t="s">
        <v>59</v>
      </c>
      <c r="K87" s="435" t="s">
        <v>60</v>
      </c>
      <c r="L87" s="434" t="s">
        <v>75</v>
      </c>
      <c r="M87" s="434" t="s">
        <v>76</v>
      </c>
      <c r="N87" s="434" t="s">
        <v>61</v>
      </c>
      <c r="O87" s="434" t="s">
        <v>62</v>
      </c>
      <c r="P87" s="434" t="s">
        <v>63</v>
      </c>
      <c r="AN87" s="38"/>
      <c r="AZ87" s="36"/>
    </row>
    <row r="88" spans="1:52" ht="25.5">
      <c r="A88" s="44" t="str">
        <f>A4</f>
        <v>Foundation Installations</v>
      </c>
      <c r="B88" s="45" t="str">
        <f>B4</f>
        <v>Light-Duty Truck, catalyst</v>
      </c>
      <c r="C88" s="46">
        <f>C4</f>
        <v>6</v>
      </c>
      <c r="D88" s="46">
        <v>35</v>
      </c>
      <c r="E88" s="46">
        <v>80</v>
      </c>
      <c r="F88" s="50">
        <f>C4*($E4*$F4+($G4))/453.59</f>
        <v>2.9143163152855203</v>
      </c>
      <c r="G88" s="50">
        <f>C4*($E4*$H4+($I4))/453.59</f>
        <v>0.26202394376626803</v>
      </c>
      <c r="H88" s="50">
        <f>C4*(($E4*$J4)+($K4)+($L4)+($E4*$N4)+(($M4+$O4)))/453.59</f>
        <v>0.30299988194371996</v>
      </c>
      <c r="I88" s="50">
        <f>C4*($E4*$P4+($Q4))/453.59</f>
        <v>4.3607821629636952E-3</v>
      </c>
      <c r="J88" s="50">
        <f>C4*(($E4*($R4+$T4+$U4))+($S4))/453.59</f>
        <v>5.1144542731247376E-2</v>
      </c>
      <c r="K88" s="50">
        <f>$C4*(($E4*($V4+$X4+$Y4))+($W4))/453.59</f>
        <v>2.2272031945518852E-2</v>
      </c>
      <c r="L88" s="50">
        <f>$B$21*C4*(E4+6)</f>
        <v>5.0631495516431396E-2</v>
      </c>
      <c r="M88" s="50">
        <f t="shared" ref="M88" si="52">0.41*L88</f>
        <v>2.0758913161736871E-2</v>
      </c>
      <c r="N88" s="50">
        <f>C4*($E4*$Z4+($AA4))/453.59</f>
        <v>332.54146035623342</v>
      </c>
      <c r="O88" s="50">
        <f>C4*($E4*$AB4+($AC4))/453.59</f>
        <v>1.9022852334181495E-2</v>
      </c>
      <c r="P88" s="50">
        <f>C4*($E4*$AD4+($AE4))/453.59</f>
        <v>3.4626719483060162E-2</v>
      </c>
      <c r="AN88" s="38"/>
      <c r="AZ88" s="36"/>
    </row>
    <row r="89" spans="1:52">
      <c r="A89" s="36" t="s">
        <v>103</v>
      </c>
      <c r="F89" s="443">
        <f t="shared" ref="F89:P89" si="53">SUM(F88:F88)</f>
        <v>2.9143163152855203</v>
      </c>
      <c r="G89" s="443">
        <f t="shared" si="53"/>
        <v>0.26202394376626803</v>
      </c>
      <c r="H89" s="443">
        <f t="shared" si="53"/>
        <v>0.30299988194371996</v>
      </c>
      <c r="I89" s="443">
        <f t="shared" si="53"/>
        <v>4.3607821629636952E-3</v>
      </c>
      <c r="J89" s="443">
        <f t="shared" si="53"/>
        <v>5.1144542731247376E-2</v>
      </c>
      <c r="K89" s="443">
        <f t="shared" si="53"/>
        <v>2.2272031945518852E-2</v>
      </c>
      <c r="L89" s="443">
        <f t="shared" si="53"/>
        <v>5.0631495516431396E-2</v>
      </c>
      <c r="M89" s="443">
        <f t="shared" si="53"/>
        <v>2.0758913161736871E-2</v>
      </c>
      <c r="N89" s="443">
        <f t="shared" si="53"/>
        <v>332.54146035623342</v>
      </c>
      <c r="O89" s="443">
        <f t="shared" si="53"/>
        <v>1.9022852334181495E-2</v>
      </c>
      <c r="P89" s="443">
        <f t="shared" si="53"/>
        <v>3.4626719483060162E-2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B-6
Construction Worker Commute Emission Calculations
TL 6965 Construction</oddHeader>
    <oddFooter>&amp;CB-6</oddFooter>
  </headerFooter>
</worksheet>
</file>

<file path=xl/worksheets/sheet23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4"/>
  <sheetViews>
    <sheetView zoomScale="75" zoomScaleNormal="75" workbookViewId="0">
      <selection activeCell="E37" sqref="E37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32">
      <c r="A1" s="3" t="s">
        <v>753</v>
      </c>
    </row>
    <row r="3" spans="1:32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32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32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32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32" s="3" customFormat="1">
      <c r="A7" s="17" t="s">
        <v>409</v>
      </c>
      <c r="B7" s="29"/>
      <c r="C7" s="22"/>
      <c r="D7" s="18"/>
      <c r="E7" s="23"/>
      <c r="F7" s="23"/>
      <c r="G7" s="23"/>
      <c r="H7" s="23"/>
      <c r="I7" s="23"/>
      <c r="J7" s="24"/>
      <c r="K7" s="25"/>
      <c r="L7" s="23"/>
      <c r="M7" s="33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32" s="3" customFormat="1">
      <c r="A8" s="32" t="s">
        <v>112</v>
      </c>
      <c r="B8" s="29" t="s">
        <v>27</v>
      </c>
      <c r="C8" s="97">
        <v>235</v>
      </c>
      <c r="D8" s="97"/>
      <c r="E8" s="102">
        <v>0.11792220738547983</v>
      </c>
      <c r="F8" s="102">
        <v>0.36512193352152528</v>
      </c>
      <c r="G8" s="102">
        <v>0.86781464282266541</v>
      </c>
      <c r="H8" s="102">
        <v>1.8739217498104396E-3</v>
      </c>
      <c r="I8" s="102">
        <v>2.9041712295589866E-2</v>
      </c>
      <c r="J8" s="100">
        <f t="shared" ref="J8" si="0">0.89*I8</f>
        <v>2.5847123943074982E-2</v>
      </c>
      <c r="K8" s="103">
        <v>166.54541562452522</v>
      </c>
      <c r="L8" s="102">
        <v>1.063993297769634E-2</v>
      </c>
      <c r="M8" s="104">
        <f t="shared" ref="M8" si="1">0.095*G8</f>
        <v>8.2442391068153209E-2</v>
      </c>
      <c r="N8" s="87">
        <v>3</v>
      </c>
      <c r="O8" s="87">
        <v>3</v>
      </c>
      <c r="P8" s="88">
        <v>15</v>
      </c>
      <c r="Q8" s="34">
        <f t="shared" ref="Q8:Y9" si="2">(E8*$N8*$O8)</f>
        <v>1.0612998664693185</v>
      </c>
      <c r="R8" s="26">
        <f t="shared" si="2"/>
        <v>3.2860974016937279</v>
      </c>
      <c r="S8" s="26">
        <f t="shared" si="2"/>
        <v>7.8103317854039886</v>
      </c>
      <c r="T8" s="26">
        <f t="shared" si="2"/>
        <v>1.6865295748293957E-2</v>
      </c>
      <c r="U8" s="26">
        <f t="shared" si="2"/>
        <v>0.26137541066030878</v>
      </c>
      <c r="V8" s="26">
        <f t="shared" si="2"/>
        <v>0.23262411548767487</v>
      </c>
      <c r="W8" s="26">
        <f t="shared" si="2"/>
        <v>1498.908740620727</v>
      </c>
      <c r="X8" s="26">
        <f t="shared" si="2"/>
        <v>9.5759396799267066E-2</v>
      </c>
      <c r="Y8" s="26">
        <f t="shared" si="2"/>
        <v>0.74198151961337888</v>
      </c>
    </row>
    <row r="9" spans="1:32" s="3" customFormat="1">
      <c r="A9" s="24" t="s">
        <v>111</v>
      </c>
      <c r="B9" s="29" t="s">
        <v>27</v>
      </c>
      <c r="C9" s="97">
        <v>82</v>
      </c>
      <c r="D9" s="22">
        <v>0.5</v>
      </c>
      <c r="E9" s="102">
        <v>3.490161163394627E-2</v>
      </c>
      <c r="F9" s="397">
        <v>0.33443562610229277</v>
      </c>
      <c r="G9" s="397">
        <v>0.48086419753086407</v>
      </c>
      <c r="H9" s="102">
        <v>9.0467809247651214E-4</v>
      </c>
      <c r="I9" s="397">
        <v>2.7116402116402115E-2</v>
      </c>
      <c r="J9" s="100">
        <f t="shared" ref="J9" si="3">0.89*I9</f>
        <v>2.4133597883597882E-2</v>
      </c>
      <c r="K9" s="103">
        <v>77.121751200869411</v>
      </c>
      <c r="L9" s="102">
        <v>3.6861995629678865E-3</v>
      </c>
      <c r="M9" s="104">
        <f t="shared" ref="M9" si="4">0.095*G9</f>
        <v>4.568209876543209E-2</v>
      </c>
      <c r="N9" s="87">
        <v>1</v>
      </c>
      <c r="O9" s="87">
        <v>8</v>
      </c>
      <c r="P9" s="88">
        <v>6</v>
      </c>
      <c r="Q9" s="34">
        <f t="shared" si="2"/>
        <v>0.27921289307157016</v>
      </c>
      <c r="R9" s="26">
        <f t="shared" si="2"/>
        <v>2.6754850088183422</v>
      </c>
      <c r="S9" s="26">
        <f t="shared" si="2"/>
        <v>3.8469135802469125</v>
      </c>
      <c r="T9" s="26">
        <f t="shared" si="2"/>
        <v>7.2374247398120971E-3</v>
      </c>
      <c r="U9" s="26">
        <f t="shared" si="2"/>
        <v>0.21693121693121692</v>
      </c>
      <c r="V9" s="26">
        <f t="shared" si="2"/>
        <v>0.19306878306878306</v>
      </c>
      <c r="W9" s="26">
        <f t="shared" si="2"/>
        <v>616.97400960695529</v>
      </c>
      <c r="X9" s="26">
        <f t="shared" si="2"/>
        <v>2.9489596503743092E-2</v>
      </c>
      <c r="Y9" s="26">
        <f t="shared" si="2"/>
        <v>0.36545679012345672</v>
      </c>
    </row>
    <row r="10" spans="1:32" s="3" customFormat="1">
      <c r="A10" s="32" t="s">
        <v>125</v>
      </c>
      <c r="B10" s="29" t="s">
        <v>27</v>
      </c>
      <c r="C10" s="97">
        <v>87</v>
      </c>
      <c r="D10" s="22">
        <v>0.37</v>
      </c>
      <c r="E10" s="413">
        <v>5.2437519504869065E-2</v>
      </c>
      <c r="F10" s="397">
        <v>0.26257275132275132</v>
      </c>
      <c r="G10" s="397">
        <v>0.33506412037037031</v>
      </c>
      <c r="H10" s="413">
        <v>6.0679618797898508E-4</v>
      </c>
      <c r="I10" s="397">
        <v>2.1289682539682539E-2</v>
      </c>
      <c r="J10" s="100">
        <f t="shared" ref="J10:J12" si="5">0.89*I10</f>
        <v>1.894781746031746E-2</v>
      </c>
      <c r="K10" s="413">
        <v>51.728016924248784</v>
      </c>
      <c r="L10" s="413">
        <v>5.7223017989158831E-3</v>
      </c>
      <c r="M10" s="102">
        <f t="shared" ref="M10:M12" si="6">0.095*G10</f>
        <v>3.1831091435185178E-2</v>
      </c>
      <c r="N10" s="87">
        <v>1</v>
      </c>
      <c r="O10" s="87">
        <v>8</v>
      </c>
      <c r="P10" s="88">
        <v>6</v>
      </c>
      <c r="Q10" s="34">
        <f t="shared" ref="Q10:Y12" si="7">(E10*$N10*$O10)</f>
        <v>0.41950015603895252</v>
      </c>
      <c r="R10" s="26">
        <f t="shared" si="7"/>
        <v>2.1005820105820106</v>
      </c>
      <c r="S10" s="26">
        <f t="shared" si="7"/>
        <v>2.6805129629629625</v>
      </c>
      <c r="T10" s="26">
        <f t="shared" si="7"/>
        <v>4.8543695038318806E-3</v>
      </c>
      <c r="U10" s="26">
        <f t="shared" si="7"/>
        <v>0.17031746031746031</v>
      </c>
      <c r="V10" s="26">
        <f t="shared" si="7"/>
        <v>0.15158253968253968</v>
      </c>
      <c r="W10" s="26">
        <f t="shared" si="7"/>
        <v>413.82413539399028</v>
      </c>
      <c r="X10" s="26">
        <f t="shared" si="7"/>
        <v>4.5778414391327064E-2</v>
      </c>
      <c r="Y10" s="26">
        <f t="shared" si="7"/>
        <v>0.25464873148148143</v>
      </c>
    </row>
    <row r="11" spans="1:32" s="3" customFormat="1">
      <c r="A11" s="32" t="s">
        <v>51</v>
      </c>
      <c r="B11" s="29" t="s">
        <v>27</v>
      </c>
      <c r="C11" s="97">
        <v>381</v>
      </c>
      <c r="D11" s="97"/>
      <c r="E11" s="102">
        <v>0.18553470911077993</v>
      </c>
      <c r="F11" s="102">
        <v>0.57956772121140698</v>
      </c>
      <c r="G11" s="102">
        <v>1.2523979210769924</v>
      </c>
      <c r="H11" s="102">
        <v>2.6730457491231348E-3</v>
      </c>
      <c r="I11" s="102">
        <v>4.4827947982520766E-2</v>
      </c>
      <c r="J11" s="100">
        <f t="shared" si="5"/>
        <v>3.9896873704443482E-2</v>
      </c>
      <c r="K11" s="103">
        <v>272.33380251586107</v>
      </c>
      <c r="L11" s="102">
        <v>1.6740496842659349E-2</v>
      </c>
      <c r="M11" s="102">
        <f t="shared" si="6"/>
        <v>0.11897780250231428</v>
      </c>
      <c r="N11" s="87">
        <v>1</v>
      </c>
      <c r="O11" s="87">
        <v>8</v>
      </c>
      <c r="P11" s="88">
        <v>3</v>
      </c>
      <c r="Q11" s="34">
        <f t="shared" si="7"/>
        <v>1.4842776728862395</v>
      </c>
      <c r="R11" s="26">
        <f t="shared" si="7"/>
        <v>4.6365417696912559</v>
      </c>
      <c r="S11" s="26">
        <f t="shared" si="7"/>
        <v>10.01918336861594</v>
      </c>
      <c r="T11" s="26">
        <f t="shared" si="7"/>
        <v>2.1384365992985079E-2</v>
      </c>
      <c r="U11" s="26">
        <f t="shared" si="7"/>
        <v>0.35862358386016613</v>
      </c>
      <c r="V11" s="26">
        <f t="shared" si="7"/>
        <v>0.31917498963554786</v>
      </c>
      <c r="W11" s="26">
        <f t="shared" si="7"/>
        <v>2178.6704201268885</v>
      </c>
      <c r="X11" s="26">
        <f t="shared" si="7"/>
        <v>0.13392397474127479</v>
      </c>
      <c r="Y11" s="26">
        <f t="shared" si="7"/>
        <v>0.95182242001851425</v>
      </c>
    </row>
    <row r="12" spans="1:32" s="3" customFormat="1">
      <c r="A12" s="24" t="s">
        <v>368</v>
      </c>
      <c r="B12" s="90" t="s">
        <v>27</v>
      </c>
      <c r="C12" s="22">
        <v>5</v>
      </c>
      <c r="D12" s="22">
        <v>0.74</v>
      </c>
      <c r="E12" s="413">
        <v>1.3017040437477556E-2</v>
      </c>
      <c r="F12" s="397">
        <v>4.8941798941798939E-2</v>
      </c>
      <c r="G12" s="397">
        <v>4.3395061728395051E-2</v>
      </c>
      <c r="H12" s="413">
        <v>1.5884019955091081E-4</v>
      </c>
      <c r="I12" s="397">
        <v>4.8941798941798936E-3</v>
      </c>
      <c r="J12" s="100">
        <f t="shared" si="5"/>
        <v>4.3558201058201051E-3</v>
      </c>
      <c r="K12" s="413">
        <v>10.20766028636436</v>
      </c>
      <c r="L12" s="413">
        <v>1.2796045465601556E-3</v>
      </c>
      <c r="M12" s="102">
        <f t="shared" si="6"/>
        <v>4.1225308641975296E-3</v>
      </c>
      <c r="N12" s="98">
        <v>1</v>
      </c>
      <c r="O12" s="363">
        <v>3</v>
      </c>
      <c r="P12" s="88"/>
      <c r="Q12" s="34">
        <f t="shared" si="7"/>
        <v>3.9051121312432671E-2</v>
      </c>
      <c r="R12" s="26">
        <f t="shared" si="7"/>
        <v>0.1468253968253968</v>
      </c>
      <c r="S12" s="26">
        <f t="shared" si="7"/>
        <v>0.13018518518518515</v>
      </c>
      <c r="T12" s="26">
        <f t="shared" si="7"/>
        <v>4.7652059865273245E-4</v>
      </c>
      <c r="U12" s="26">
        <f t="shared" si="7"/>
        <v>1.4682539682539681E-2</v>
      </c>
      <c r="V12" s="26">
        <f t="shared" si="7"/>
        <v>1.3067460317460314E-2</v>
      </c>
      <c r="W12" s="26">
        <f t="shared" si="7"/>
        <v>30.622980859093083</v>
      </c>
      <c r="X12" s="26">
        <f t="shared" si="7"/>
        <v>3.8388136396804665E-3</v>
      </c>
      <c r="Y12" s="26">
        <f t="shared" si="7"/>
        <v>1.236759259259259E-2</v>
      </c>
    </row>
    <row r="13" spans="1:32" s="3" customFormat="1">
      <c r="A13" s="17" t="s">
        <v>28</v>
      </c>
      <c r="B13" s="29"/>
      <c r="C13" s="97"/>
      <c r="D13" s="12"/>
      <c r="E13" s="102"/>
      <c r="F13" s="102"/>
      <c r="G13" s="102"/>
      <c r="H13" s="102"/>
      <c r="I13" s="102"/>
      <c r="J13" s="100"/>
      <c r="K13" s="103"/>
      <c r="L13" s="102"/>
      <c r="M13" s="104"/>
      <c r="N13" s="98"/>
      <c r="O13" s="98"/>
      <c r="P13" s="99"/>
      <c r="Q13" s="101">
        <f>SUM(Q8:Q12)</f>
        <v>3.2833417097785134</v>
      </c>
      <c r="R13" s="101">
        <f t="shared" ref="R13:Y13" si="8">SUM(R8:R12)</f>
        <v>12.845531587610735</v>
      </c>
      <c r="S13" s="101">
        <f t="shared" si="8"/>
        <v>24.487126882414987</v>
      </c>
      <c r="T13" s="101">
        <f t="shared" si="8"/>
        <v>5.0817976583575744E-2</v>
      </c>
      <c r="U13" s="101">
        <f t="shared" si="8"/>
        <v>1.0219302114516917</v>
      </c>
      <c r="V13" s="101">
        <f t="shared" si="8"/>
        <v>0.90951788819200585</v>
      </c>
      <c r="W13" s="101">
        <f t="shared" si="8"/>
        <v>4739.0002866076547</v>
      </c>
      <c r="X13" s="101">
        <f t="shared" si="8"/>
        <v>0.30879019607529251</v>
      </c>
      <c r="Y13" s="101">
        <f t="shared" si="8"/>
        <v>2.3262770538294237</v>
      </c>
    </row>
    <row r="14" spans="1:32" s="6" customFormat="1">
      <c r="A14" s="122" t="s">
        <v>103</v>
      </c>
      <c r="B14" s="97"/>
      <c r="C14" s="22"/>
      <c r="D14" s="22"/>
      <c r="E14" s="23"/>
      <c r="F14" s="23"/>
      <c r="G14" s="23"/>
      <c r="H14" s="23"/>
      <c r="I14" s="23"/>
      <c r="J14" s="24"/>
      <c r="K14" s="25"/>
      <c r="L14" s="23"/>
      <c r="M14" s="23"/>
      <c r="N14" s="88"/>
      <c r="O14" s="88"/>
      <c r="P14" s="88"/>
      <c r="Q14" s="20">
        <f>Q13</f>
        <v>3.2833417097785134</v>
      </c>
      <c r="R14" s="20">
        <f t="shared" ref="R14:Y14" si="9">R13</f>
        <v>12.845531587610735</v>
      </c>
      <c r="S14" s="20">
        <f t="shared" si="9"/>
        <v>24.487126882414987</v>
      </c>
      <c r="T14" s="20">
        <f t="shared" si="9"/>
        <v>5.0817976583575744E-2</v>
      </c>
      <c r="U14" s="20">
        <f t="shared" si="9"/>
        <v>1.0219302114516917</v>
      </c>
      <c r="V14" s="20">
        <f t="shared" si="9"/>
        <v>0.90951788819200585</v>
      </c>
      <c r="W14" s="20">
        <f t="shared" si="9"/>
        <v>4739.0002866076547</v>
      </c>
      <c r="X14" s="20">
        <f t="shared" si="9"/>
        <v>0.30879019607529251</v>
      </c>
      <c r="Y14" s="20">
        <f t="shared" si="9"/>
        <v>2.3262770538294237</v>
      </c>
      <c r="AF14" s="7"/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B-4
Construction Heavy Equipment Emissions
TL 6965 Construction
</oddHeader>
    <oddFooter>&amp;CB-4</oddFooter>
  </headerFooter>
</worksheet>
</file>

<file path=xl/worksheets/sheet23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348"/>
  <sheetViews>
    <sheetView zoomScale="75" workbookViewId="0">
      <selection activeCell="B21" sqref="B21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31" width="12.28515625" style="38" customWidth="1"/>
    <col min="32" max="33" width="9.28515625" style="36" bestFit="1" customWidth="1"/>
    <col min="34" max="34" width="11.42578125" style="36" customWidth="1"/>
    <col min="35" max="35" width="10.5703125" style="36" customWidth="1"/>
    <col min="36" max="39" width="9.5703125" style="36" customWidth="1"/>
    <col min="40" max="40" width="9.28515625" style="38" bestFit="1" customWidth="1"/>
    <col min="41" max="41" width="9.85546875" style="36" customWidth="1"/>
    <col min="42" max="42" width="9.28515625" style="36" bestFit="1" customWidth="1"/>
    <col min="43" max="16384" width="9.140625" style="36"/>
  </cols>
  <sheetData>
    <row r="1" spans="1:42">
      <c r="A1" s="3" t="s">
        <v>754</v>
      </c>
    </row>
    <row r="2" spans="1:42">
      <c r="A2"/>
    </row>
    <row r="6" spans="1:42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  <c r="AE6" s="36"/>
      <c r="AN6" s="36"/>
    </row>
    <row r="7" spans="1:42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  <c r="AE7" s="36"/>
      <c r="AN7" s="36"/>
    </row>
    <row r="8" spans="1:42">
      <c r="A8" s="17" t="s">
        <v>296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  <c r="AE8" s="36"/>
      <c r="AN8" s="36"/>
    </row>
    <row r="9" spans="1:42">
      <c r="A9" s="78" t="s">
        <v>112</v>
      </c>
      <c r="B9" s="76" t="s">
        <v>105</v>
      </c>
      <c r="C9" s="374">
        <v>3</v>
      </c>
      <c r="D9" s="77"/>
      <c r="E9" s="77">
        <v>35</v>
      </c>
      <c r="F9" s="77">
        <v>80</v>
      </c>
      <c r="G9" s="106">
        <v>1.08263976628415</v>
      </c>
      <c r="H9" s="106">
        <v>4.9712718909585103</v>
      </c>
      <c r="I9" s="106">
        <v>0.26248012575016899</v>
      </c>
      <c r="J9" s="106">
        <v>1.0711818E-2</v>
      </c>
      <c r="K9" s="106">
        <v>7.1679901072141505E-2</v>
      </c>
      <c r="L9" s="556">
        <v>3.59998119015979E-2</v>
      </c>
      <c r="M9" s="556">
        <v>6.1739677411240299E-2</v>
      </c>
      <c r="N9" s="106">
        <v>6.5945508986370194E-2</v>
      </c>
      <c r="O9" s="556">
        <v>2.9999843251331498E-3</v>
      </c>
      <c r="P9" s="556">
        <v>5.5859708133979398E-2</v>
      </c>
      <c r="Q9" s="106">
        <v>1710.7260798814</v>
      </c>
      <c r="R9" s="47">
        <v>1.5235246282551899E-2</v>
      </c>
      <c r="S9" s="80">
        <f>0.000025616*Q9</f>
        <v>4.3821959262241944E-2</v>
      </c>
      <c r="T9" s="50">
        <f>C9*($F9*$G9)/453.59</f>
        <v>0.57283790186775729</v>
      </c>
      <c r="U9" s="50">
        <f>C9*($F9*$H9)/453.59</f>
        <v>2.6303605763575972</v>
      </c>
      <c r="V9" s="50">
        <f>C9*(($F9*$I9))/453.59</f>
        <v>0.1388814351728225</v>
      </c>
      <c r="W9" s="50">
        <f>C9*($F9*$J9)/453.59</f>
        <v>5.6677535219030401E-3</v>
      </c>
      <c r="X9" s="50">
        <f>C9*(($F9*($K9+$L9+$M9)))/453.59</f>
        <v>8.9641865324180711E-2</v>
      </c>
      <c r="Y9" s="50">
        <f>C9*(($F9*($N9+$O9+$P9)))/453.59</f>
        <v>6.6035953938393399E-2</v>
      </c>
      <c r="Z9" s="50">
        <f>C9*(F9)*$B$339</f>
        <v>0</v>
      </c>
      <c r="AA9" s="50">
        <f>Z9*0.21</f>
        <v>0</v>
      </c>
      <c r="AB9" s="50">
        <f>C9*(($F9*($Q9)))/453.59</f>
        <v>905.16602917069611</v>
      </c>
      <c r="AC9" s="50">
        <f>C9*(($F9*($R9)))/453.59</f>
        <v>8.0611545841232316E-3</v>
      </c>
      <c r="AD9" s="50">
        <f>C9*(($F9*($S9)))/453.59</f>
        <v>2.3186733003236551E-2</v>
      </c>
      <c r="AE9" s="36"/>
      <c r="AN9" s="36"/>
    </row>
    <row r="10" spans="1:42">
      <c r="A10" s="75" t="s">
        <v>28</v>
      </c>
      <c r="B10" s="74"/>
      <c r="C10" s="112"/>
      <c r="D10" s="112"/>
      <c r="E10" s="74"/>
      <c r="F10" s="74"/>
      <c r="G10" s="437"/>
      <c r="H10" s="41"/>
      <c r="I10" s="41"/>
      <c r="J10" s="41"/>
      <c r="K10" s="434"/>
      <c r="L10" s="434"/>
      <c r="M10" s="434"/>
      <c r="N10" s="434"/>
      <c r="O10" s="434"/>
      <c r="P10" s="434"/>
      <c r="Q10" s="41"/>
      <c r="R10" s="434"/>
      <c r="S10" s="434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36"/>
      <c r="AN10" s="36"/>
    </row>
    <row r="11" spans="1:42">
      <c r="A11" s="432"/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61"/>
      <c r="U11" s="61"/>
      <c r="V11" s="61"/>
      <c r="W11" s="61"/>
      <c r="X11" s="61"/>
      <c r="Y11" s="61"/>
      <c r="Z11" s="62"/>
      <c r="AA11" s="62"/>
      <c r="AB11" s="62"/>
      <c r="AC11" s="62"/>
      <c r="AD11" s="62"/>
      <c r="AE11" s="36"/>
      <c r="AN11" s="36"/>
    </row>
    <row r="12" spans="1:42">
      <c r="A12" s="432"/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81">
        <f>T9</f>
        <v>0.57283790186775729</v>
      </c>
      <c r="U12" s="81">
        <f t="shared" ref="U12:AD12" si="0">U9</f>
        <v>2.6303605763575972</v>
      </c>
      <c r="V12" s="81">
        <f t="shared" si="0"/>
        <v>0.1388814351728225</v>
      </c>
      <c r="W12" s="81">
        <f t="shared" si="0"/>
        <v>5.6677535219030401E-3</v>
      </c>
      <c r="X12" s="81">
        <f t="shared" si="0"/>
        <v>8.9641865324180711E-2</v>
      </c>
      <c r="Y12" s="81">
        <f t="shared" si="0"/>
        <v>6.6035953938393399E-2</v>
      </c>
      <c r="Z12" s="81">
        <f t="shared" si="0"/>
        <v>0</v>
      </c>
      <c r="AA12" s="81">
        <f t="shared" si="0"/>
        <v>0</v>
      </c>
      <c r="AB12" s="81">
        <f t="shared" si="0"/>
        <v>905.16602917069611</v>
      </c>
      <c r="AC12" s="81">
        <f t="shared" si="0"/>
        <v>8.0611545841232316E-3</v>
      </c>
      <c r="AD12" s="81">
        <f t="shared" si="0"/>
        <v>2.3186733003236551E-2</v>
      </c>
      <c r="AE12" s="36"/>
      <c r="AN12" s="36"/>
    </row>
    <row r="13" spans="1:42">
      <c r="A13" s="370"/>
      <c r="B13" s="371"/>
      <c r="C13" s="372"/>
      <c r="D13" s="372"/>
      <c r="E13" s="371"/>
      <c r="F13" s="371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84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</row>
    <row r="14" spans="1:42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84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</row>
    <row r="15" spans="1:42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84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</row>
    <row r="16" spans="1:42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84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</row>
    <row r="336" spans="1:1" ht="25.5">
      <c r="A336" s="82" t="s">
        <v>109</v>
      </c>
    </row>
    <row r="338" spans="1:2">
      <c r="A338" s="36" t="s">
        <v>81</v>
      </c>
    </row>
    <row r="339" spans="1:2">
      <c r="A339" s="36" t="s">
        <v>82</v>
      </c>
    </row>
    <row r="340" spans="1:2">
      <c r="A340" s="36" t="s">
        <v>83</v>
      </c>
    </row>
    <row r="341" spans="1:2">
      <c r="A341" s="37" t="s">
        <v>96</v>
      </c>
    </row>
    <row r="342" spans="1:2">
      <c r="A342" s="36" t="s">
        <v>85</v>
      </c>
    </row>
    <row r="343" spans="1:2">
      <c r="A343" s="36" t="s">
        <v>86</v>
      </c>
    </row>
    <row r="344" spans="1:2">
      <c r="A344" s="36" t="s">
        <v>87</v>
      </c>
    </row>
    <row r="345" spans="1:2">
      <c r="A345" s="36" t="s">
        <v>0</v>
      </c>
    </row>
    <row r="346" spans="1:2">
      <c r="A346" s="37" t="s">
        <v>97</v>
      </c>
      <c r="B346" s="36">
        <f>(0.016*(0.03/2)^0.65*(2/3)^1.5)-0.00047</f>
        <v>9.8123053326417428E-5</v>
      </c>
    </row>
    <row r="347" spans="1:2">
      <c r="A347" s="37" t="s">
        <v>98</v>
      </c>
      <c r="B347" s="36">
        <f>(0.016*(0.03/2)^0.65*(13/3)^1.5)-0.00047</f>
        <v>8.9448292388582783E-3</v>
      </c>
    </row>
    <row r="348" spans="1:2">
      <c r="A348" s="37" t="s">
        <v>99</v>
      </c>
      <c r="B348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B-5
Construction Truck Trip Emissions
TL 6965 Construction</oddHeader>
    <oddFooter>&amp;CB-5</oddFooter>
  </headerFooter>
</worksheet>
</file>

<file path=xl/worksheets/sheet23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B99" sqref="B99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755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408</v>
      </c>
      <c r="B4" s="45" t="s">
        <v>102</v>
      </c>
      <c r="C4" s="46">
        <v>6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43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435" t="s">
        <v>55</v>
      </c>
      <c r="G87" s="435" t="s">
        <v>73</v>
      </c>
      <c r="H87" s="435" t="s">
        <v>74</v>
      </c>
      <c r="I87" s="435" t="s">
        <v>58</v>
      </c>
      <c r="J87" s="435" t="s">
        <v>59</v>
      </c>
      <c r="K87" s="435" t="s">
        <v>60</v>
      </c>
      <c r="L87" s="434" t="s">
        <v>75</v>
      </c>
      <c r="M87" s="434" t="s">
        <v>76</v>
      </c>
      <c r="N87" s="434" t="s">
        <v>61</v>
      </c>
      <c r="O87" s="434" t="s">
        <v>62</v>
      </c>
      <c r="P87" s="434" t="s">
        <v>63</v>
      </c>
      <c r="AN87" s="38"/>
      <c r="AZ87" s="36"/>
    </row>
    <row r="88" spans="1:52" ht="25.5">
      <c r="A88" s="44" t="str">
        <f>A4</f>
        <v>Foundation Installations</v>
      </c>
      <c r="B88" s="45" t="str">
        <f>B4</f>
        <v>Light-Duty Truck, catalyst</v>
      </c>
      <c r="C88" s="46">
        <f>C4</f>
        <v>6</v>
      </c>
      <c r="D88" s="46">
        <v>35</v>
      </c>
      <c r="E88" s="46">
        <v>80</v>
      </c>
      <c r="F88" s="50">
        <f>C4*($E4*$F4+($G4))/453.59</f>
        <v>2.9143163152855203</v>
      </c>
      <c r="G88" s="50">
        <f>C4*($E4*$H4+($I4))/453.59</f>
        <v>0.26202394376626803</v>
      </c>
      <c r="H88" s="50">
        <f>C4*(($E4*$J4)+($K4)+($L4)+($E4*$N4)+(($M4+$O4)))/453.59</f>
        <v>0.30299988194371996</v>
      </c>
      <c r="I88" s="50">
        <f>C4*($E4*$P4+($Q4))/453.59</f>
        <v>4.3607821629636952E-3</v>
      </c>
      <c r="J88" s="50">
        <f>C4*(($E4*($R4+$T4+$U4))+($S4))/453.59</f>
        <v>5.1144542731247376E-2</v>
      </c>
      <c r="K88" s="50">
        <f>$C4*(($E4*($V4+$X4+$Y4))+($W4))/453.59</f>
        <v>2.2272031945518852E-2</v>
      </c>
      <c r="L88" s="50">
        <f>$B$21*C4*(E4+6)</f>
        <v>5.0631495516431396E-2</v>
      </c>
      <c r="M88" s="50">
        <f t="shared" ref="M88" si="52">0.41*L88</f>
        <v>2.0758913161736871E-2</v>
      </c>
      <c r="N88" s="50">
        <f>C4*($E4*$Z4+($AA4))/453.59</f>
        <v>332.54146035623342</v>
      </c>
      <c r="O88" s="50">
        <f>C4*($E4*$AB4+($AC4))/453.59</f>
        <v>1.9022852334181495E-2</v>
      </c>
      <c r="P88" s="50">
        <f>C4*($E4*$AD4+($AE4))/453.59</f>
        <v>3.4626719483060162E-2</v>
      </c>
      <c r="AN88" s="38"/>
      <c r="AZ88" s="36"/>
    </row>
    <row r="89" spans="1:52">
      <c r="A89" s="36" t="s">
        <v>103</v>
      </c>
      <c r="F89" s="443">
        <f t="shared" ref="F89:P89" si="53">SUM(F88:F88)</f>
        <v>2.9143163152855203</v>
      </c>
      <c r="G89" s="443">
        <f t="shared" si="53"/>
        <v>0.26202394376626803</v>
      </c>
      <c r="H89" s="443">
        <f t="shared" si="53"/>
        <v>0.30299988194371996</v>
      </c>
      <c r="I89" s="443">
        <f t="shared" si="53"/>
        <v>4.3607821629636952E-3</v>
      </c>
      <c r="J89" s="443">
        <f t="shared" si="53"/>
        <v>5.1144542731247376E-2</v>
      </c>
      <c r="K89" s="443">
        <f t="shared" si="53"/>
        <v>2.2272031945518852E-2</v>
      </c>
      <c r="L89" s="443">
        <f t="shared" si="53"/>
        <v>5.0631495516431396E-2</v>
      </c>
      <c r="M89" s="443">
        <f t="shared" si="53"/>
        <v>2.0758913161736871E-2</v>
      </c>
      <c r="N89" s="443">
        <f t="shared" si="53"/>
        <v>332.54146035623342</v>
      </c>
      <c r="O89" s="443">
        <f t="shared" si="53"/>
        <v>1.9022852334181495E-2</v>
      </c>
      <c r="P89" s="443">
        <f t="shared" si="53"/>
        <v>3.4626719483060162E-2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B-6
Construction Worker Commute Emission Calculations
TL 6965 Construction</oddHeader>
    <oddFooter>&amp;CB-6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F103" sqref="F10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542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69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66" t="s">
        <v>69</v>
      </c>
      <c r="S3" s="42" t="s">
        <v>118</v>
      </c>
      <c r="T3" s="566" t="s">
        <v>71</v>
      </c>
      <c r="U3" s="566" t="s">
        <v>72</v>
      </c>
      <c r="V3" s="566" t="s">
        <v>69</v>
      </c>
      <c r="W3" s="42" t="s">
        <v>118</v>
      </c>
      <c r="X3" s="566" t="s">
        <v>71</v>
      </c>
      <c r="Y3" s="566" t="s">
        <v>72</v>
      </c>
      <c r="Z3" s="41" t="s">
        <v>69</v>
      </c>
      <c r="AA3" s="42" t="s">
        <v>118</v>
      </c>
      <c r="AB3" s="566" t="s">
        <v>69</v>
      </c>
      <c r="AC3" s="42" t="s">
        <v>118</v>
      </c>
      <c r="AD3" s="566" t="s">
        <v>69</v>
      </c>
      <c r="AE3" s="42" t="s">
        <v>118</v>
      </c>
    </row>
    <row r="4" spans="1:67" ht="25.5">
      <c r="A4" s="44" t="s">
        <v>346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67" ht="25.5">
      <c r="A5" s="44" t="s">
        <v>330</v>
      </c>
      <c r="B5" s="45" t="s">
        <v>102</v>
      </c>
      <c r="C5" s="46">
        <v>20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426</v>
      </c>
      <c r="B6" s="45" t="s">
        <v>102</v>
      </c>
      <c r="C6" s="46">
        <v>13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568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2">AG$11*$AC16</f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>AR$11*$AC16</f>
        <v>#REF!</v>
      </c>
      <c r="AS16" s="36" t="e">
        <f t="shared" ref="AS16:BA24" si="3">AS$11*$AC16</f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4">AF$11*$AC17</f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ref="AR17:AR24" si="5">AR$11*$AC17</f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6">AF$11*$AC27</f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ref="AR27:BA35" si="7">AR$11*$AC27</f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8">AF$11*$AC38</f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ref="AR38:BA46" si="9">AR$11*$AC38</f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0">AF16+AF18+AF19</f>
        <v>#REF!</v>
      </c>
      <c r="AG51" s="70" t="e">
        <f t="shared" si="10"/>
        <v>#REF!</v>
      </c>
      <c r="AH51" s="70" t="e">
        <f t="shared" si="10"/>
        <v>#REF!</v>
      </c>
      <c r="AI51" s="70" t="e">
        <f t="shared" si="10"/>
        <v>#REF!</v>
      </c>
      <c r="AJ51" s="70" t="e">
        <f t="shared" si="10"/>
        <v>#REF!</v>
      </c>
      <c r="AK51" s="70" t="e">
        <f t="shared" si="10"/>
        <v>#REF!</v>
      </c>
      <c r="AL51" s="70" t="e">
        <f t="shared" si="10"/>
        <v>#REF!</v>
      </c>
      <c r="AM51" s="70" t="e">
        <f t="shared" si="10"/>
        <v>#REF!</v>
      </c>
      <c r="AN51" s="70" t="e">
        <f t="shared" si="10"/>
        <v>#REF!</v>
      </c>
      <c r="AO51" s="70" t="e">
        <f t="shared" si="10"/>
        <v>#REF!</v>
      </c>
      <c r="AP51" s="70"/>
      <c r="AQ51" s="70"/>
      <c r="AR51" s="70" t="e">
        <f t="shared" ref="AR51:BA51" si="11">AR16+AR18+AR19</f>
        <v>#REF!</v>
      </c>
      <c r="AS51" s="70" t="e">
        <f t="shared" si="11"/>
        <v>#REF!</v>
      </c>
      <c r="AT51" s="70" t="e">
        <f t="shared" si="11"/>
        <v>#REF!</v>
      </c>
      <c r="AU51" s="70" t="e">
        <f t="shared" si="11"/>
        <v>#REF!</v>
      </c>
      <c r="AV51" s="70" t="e">
        <f t="shared" si="11"/>
        <v>#REF!</v>
      </c>
      <c r="AW51" s="70" t="e">
        <f t="shared" si="11"/>
        <v>#REF!</v>
      </c>
      <c r="AX51" s="70" t="e">
        <f t="shared" si="11"/>
        <v>#REF!</v>
      </c>
      <c r="AY51" s="70" t="e">
        <f t="shared" si="11"/>
        <v>#REF!</v>
      </c>
      <c r="AZ51" s="70" t="e">
        <f t="shared" si="11"/>
        <v>#REF!</v>
      </c>
      <c r="BA51" s="70" t="e">
        <f t="shared" si="11"/>
        <v>#REF!</v>
      </c>
    </row>
    <row r="52" spans="27:53" hidden="1">
      <c r="AA52" s="71" t="s">
        <v>41</v>
      </c>
      <c r="AB52" s="35"/>
      <c r="AF52" s="70" t="e">
        <f t="shared" ref="AF52:AO52" si="12">AF27+AF29+AF30</f>
        <v>#REF!</v>
      </c>
      <c r="AG52" s="70" t="e">
        <f t="shared" si="12"/>
        <v>#REF!</v>
      </c>
      <c r="AH52" s="70" t="e">
        <f t="shared" si="12"/>
        <v>#REF!</v>
      </c>
      <c r="AI52" s="70" t="e">
        <f t="shared" si="12"/>
        <v>#REF!</v>
      </c>
      <c r="AJ52" s="70" t="e">
        <f t="shared" si="12"/>
        <v>#REF!</v>
      </c>
      <c r="AK52" s="70" t="e">
        <f t="shared" si="12"/>
        <v>#REF!</v>
      </c>
      <c r="AL52" s="70" t="e">
        <f t="shared" si="12"/>
        <v>#REF!</v>
      </c>
      <c r="AM52" s="70" t="e">
        <f t="shared" si="12"/>
        <v>#REF!</v>
      </c>
      <c r="AN52" s="70" t="e">
        <f t="shared" si="12"/>
        <v>#REF!</v>
      </c>
      <c r="AO52" s="70" t="e">
        <f t="shared" si="12"/>
        <v>#REF!</v>
      </c>
      <c r="AP52" s="70"/>
      <c r="AQ52" s="70"/>
      <c r="AR52" s="70" t="e">
        <f t="shared" ref="AR52:BA52" si="13">AR27+AR29+AR30</f>
        <v>#REF!</v>
      </c>
      <c r="AS52" s="70" t="e">
        <f t="shared" si="13"/>
        <v>#REF!</v>
      </c>
      <c r="AT52" s="70" t="e">
        <f t="shared" si="13"/>
        <v>#REF!</v>
      </c>
      <c r="AU52" s="70" t="e">
        <f t="shared" si="13"/>
        <v>#REF!</v>
      </c>
      <c r="AV52" s="70" t="e">
        <f t="shared" si="13"/>
        <v>#REF!</v>
      </c>
      <c r="AW52" s="70" t="e">
        <f t="shared" si="13"/>
        <v>#REF!</v>
      </c>
      <c r="AX52" s="70" t="e">
        <f t="shared" si="13"/>
        <v>#REF!</v>
      </c>
      <c r="AY52" s="70" t="e">
        <f t="shared" si="13"/>
        <v>#REF!</v>
      </c>
      <c r="AZ52" s="70" t="e">
        <f t="shared" si="13"/>
        <v>#REF!</v>
      </c>
      <c r="BA52" s="70" t="e">
        <f t="shared" si="13"/>
        <v>#REF!</v>
      </c>
    </row>
    <row r="53" spans="27:53" hidden="1">
      <c r="AA53" s="71" t="s">
        <v>42</v>
      </c>
      <c r="AB53" s="35"/>
      <c r="AF53" s="70" t="e">
        <f t="shared" ref="AF53:AO53" si="14">AF38+AF40+AF41</f>
        <v>#REF!</v>
      </c>
      <c r="AG53" s="70" t="e">
        <f t="shared" si="14"/>
        <v>#REF!</v>
      </c>
      <c r="AH53" s="70" t="e">
        <f t="shared" si="14"/>
        <v>#REF!</v>
      </c>
      <c r="AI53" s="70" t="e">
        <f t="shared" si="14"/>
        <v>#REF!</v>
      </c>
      <c r="AJ53" s="70" t="e">
        <f t="shared" si="14"/>
        <v>#REF!</v>
      </c>
      <c r="AK53" s="70" t="e">
        <f t="shared" si="14"/>
        <v>#REF!</v>
      </c>
      <c r="AL53" s="70" t="e">
        <f t="shared" si="14"/>
        <v>#REF!</v>
      </c>
      <c r="AM53" s="70" t="e">
        <f t="shared" si="14"/>
        <v>#REF!</v>
      </c>
      <c r="AN53" s="70" t="e">
        <f t="shared" si="14"/>
        <v>#REF!</v>
      </c>
      <c r="AO53" s="70" t="e">
        <f t="shared" si="14"/>
        <v>#REF!</v>
      </c>
      <c r="AP53" s="70"/>
      <c r="AQ53" s="70"/>
      <c r="AR53" s="70" t="e">
        <f t="shared" ref="AR53:BA53" si="15">AR38+AR40+AR41</f>
        <v>#REF!</v>
      </c>
      <c r="AS53" s="70" t="e">
        <f t="shared" si="15"/>
        <v>#REF!</v>
      </c>
      <c r="AT53" s="70" t="e">
        <f t="shared" si="15"/>
        <v>#REF!</v>
      </c>
      <c r="AU53" s="70" t="e">
        <f t="shared" si="15"/>
        <v>#REF!</v>
      </c>
      <c r="AV53" s="70" t="e">
        <f t="shared" si="15"/>
        <v>#REF!</v>
      </c>
      <c r="AW53" s="70" t="e">
        <f t="shared" si="15"/>
        <v>#REF!</v>
      </c>
      <c r="AX53" s="70" t="e">
        <f t="shared" si="15"/>
        <v>#REF!</v>
      </c>
      <c r="AY53" s="70" t="e">
        <f t="shared" si="15"/>
        <v>#REF!</v>
      </c>
      <c r="AZ53" s="70" t="e">
        <f t="shared" si="15"/>
        <v>#REF!</v>
      </c>
      <c r="BA53" s="70" t="e">
        <f t="shared" si="15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6">AF16+AF18+AF20+AF22</f>
        <v>#REF!</v>
      </c>
      <c r="AG55" s="70" t="e">
        <f t="shared" si="16"/>
        <v>#REF!</v>
      </c>
      <c r="AH55" s="70" t="e">
        <f t="shared" si="16"/>
        <v>#REF!</v>
      </c>
      <c r="AI55" s="70" t="e">
        <f t="shared" si="16"/>
        <v>#REF!</v>
      </c>
      <c r="AJ55" s="70" t="e">
        <f t="shared" si="16"/>
        <v>#REF!</v>
      </c>
      <c r="AK55" s="70" t="e">
        <f t="shared" si="16"/>
        <v>#REF!</v>
      </c>
      <c r="AL55" s="70" t="e">
        <f t="shared" si="16"/>
        <v>#REF!</v>
      </c>
      <c r="AM55" s="70" t="e">
        <f t="shared" si="16"/>
        <v>#REF!</v>
      </c>
      <c r="AN55" s="70" t="e">
        <f t="shared" si="16"/>
        <v>#REF!</v>
      </c>
      <c r="AO55" s="70" t="e">
        <f t="shared" si="16"/>
        <v>#REF!</v>
      </c>
      <c r="AP55" s="70"/>
      <c r="AQ55" s="70"/>
      <c r="AR55" s="70" t="e">
        <f t="shared" ref="AR55:BA55" si="17">AR16+AR18+AR20+AR22</f>
        <v>#REF!</v>
      </c>
      <c r="AS55" s="70" t="e">
        <f t="shared" si="17"/>
        <v>#REF!</v>
      </c>
      <c r="AT55" s="70" t="e">
        <f t="shared" si="17"/>
        <v>#REF!</v>
      </c>
      <c r="AU55" s="70" t="e">
        <f t="shared" si="17"/>
        <v>#REF!</v>
      </c>
      <c r="AV55" s="70" t="e">
        <f t="shared" si="17"/>
        <v>#REF!</v>
      </c>
      <c r="AW55" s="70" t="e">
        <f t="shared" si="17"/>
        <v>#REF!</v>
      </c>
      <c r="AX55" s="70" t="e">
        <f t="shared" si="17"/>
        <v>#REF!</v>
      </c>
      <c r="AY55" s="70" t="e">
        <f t="shared" si="17"/>
        <v>#REF!</v>
      </c>
      <c r="AZ55" s="70" t="e">
        <f t="shared" si="17"/>
        <v>#REF!</v>
      </c>
      <c r="BA55" s="70" t="e">
        <f t="shared" si="17"/>
        <v>#REF!</v>
      </c>
    </row>
    <row r="56" spans="27:53" hidden="1">
      <c r="AA56" s="71" t="s">
        <v>41</v>
      </c>
      <c r="AB56" s="35"/>
      <c r="AF56" s="70" t="e">
        <f t="shared" ref="AF56:AO56" si="18">AF27+AF29+AF31+AF33</f>
        <v>#REF!</v>
      </c>
      <c r="AG56" s="70" t="e">
        <f t="shared" si="18"/>
        <v>#REF!</v>
      </c>
      <c r="AH56" s="70" t="e">
        <f t="shared" si="18"/>
        <v>#REF!</v>
      </c>
      <c r="AI56" s="70" t="e">
        <f t="shared" si="18"/>
        <v>#REF!</v>
      </c>
      <c r="AJ56" s="70" t="e">
        <f t="shared" si="18"/>
        <v>#REF!</v>
      </c>
      <c r="AK56" s="70" t="e">
        <f t="shared" si="18"/>
        <v>#REF!</v>
      </c>
      <c r="AL56" s="70" t="e">
        <f t="shared" si="18"/>
        <v>#REF!</v>
      </c>
      <c r="AM56" s="70" t="e">
        <f t="shared" si="18"/>
        <v>#REF!</v>
      </c>
      <c r="AN56" s="70" t="e">
        <f t="shared" si="18"/>
        <v>#REF!</v>
      </c>
      <c r="AO56" s="70" t="e">
        <f t="shared" si="18"/>
        <v>#REF!</v>
      </c>
      <c r="AP56" s="70"/>
      <c r="AQ56" s="70"/>
      <c r="AR56" s="70" t="e">
        <f t="shared" ref="AR56:BA56" si="19">AR27+AR29+AR31+AR33</f>
        <v>#REF!</v>
      </c>
      <c r="AS56" s="70" t="e">
        <f t="shared" si="19"/>
        <v>#REF!</v>
      </c>
      <c r="AT56" s="70" t="e">
        <f t="shared" si="19"/>
        <v>#REF!</v>
      </c>
      <c r="AU56" s="70" t="e">
        <f t="shared" si="19"/>
        <v>#REF!</v>
      </c>
      <c r="AV56" s="70" t="e">
        <f t="shared" si="19"/>
        <v>#REF!</v>
      </c>
      <c r="AW56" s="70" t="e">
        <f t="shared" si="19"/>
        <v>#REF!</v>
      </c>
      <c r="AX56" s="70" t="e">
        <f t="shared" si="19"/>
        <v>#REF!</v>
      </c>
      <c r="AY56" s="70" t="e">
        <f t="shared" si="19"/>
        <v>#REF!</v>
      </c>
      <c r="AZ56" s="70" t="e">
        <f t="shared" si="19"/>
        <v>#REF!</v>
      </c>
      <c r="BA56" s="70" t="e">
        <f t="shared" si="19"/>
        <v>#REF!</v>
      </c>
    </row>
    <row r="57" spans="27:53" hidden="1">
      <c r="AA57" s="71" t="s">
        <v>42</v>
      </c>
      <c r="AB57" s="35"/>
      <c r="AF57" s="70" t="e">
        <f t="shared" ref="AF57:AO57" si="20">AF38+AF40+AF42+AF44</f>
        <v>#REF!</v>
      </c>
      <c r="AG57" s="70" t="e">
        <f t="shared" si="20"/>
        <v>#REF!</v>
      </c>
      <c r="AH57" s="70" t="e">
        <f t="shared" si="20"/>
        <v>#REF!</v>
      </c>
      <c r="AI57" s="70" t="e">
        <f t="shared" si="20"/>
        <v>#REF!</v>
      </c>
      <c r="AJ57" s="70" t="e">
        <f t="shared" si="20"/>
        <v>#REF!</v>
      </c>
      <c r="AK57" s="70" t="e">
        <f t="shared" si="20"/>
        <v>#REF!</v>
      </c>
      <c r="AL57" s="70" t="e">
        <f t="shared" si="20"/>
        <v>#REF!</v>
      </c>
      <c r="AM57" s="70" t="e">
        <f t="shared" si="20"/>
        <v>#REF!</v>
      </c>
      <c r="AN57" s="70" t="e">
        <f t="shared" si="20"/>
        <v>#REF!</v>
      </c>
      <c r="AO57" s="70" t="e">
        <f t="shared" si="20"/>
        <v>#REF!</v>
      </c>
      <c r="AP57" s="70"/>
      <c r="AQ57" s="70"/>
      <c r="AR57" s="70" t="e">
        <f t="shared" ref="AR57:BA57" si="21">AR38+AR40+AR42+AR44</f>
        <v>#REF!</v>
      </c>
      <c r="AS57" s="70" t="e">
        <f t="shared" si="21"/>
        <v>#REF!</v>
      </c>
      <c r="AT57" s="70" t="e">
        <f t="shared" si="21"/>
        <v>#REF!</v>
      </c>
      <c r="AU57" s="70" t="e">
        <f t="shared" si="21"/>
        <v>#REF!</v>
      </c>
      <c r="AV57" s="70" t="e">
        <f t="shared" si="21"/>
        <v>#REF!</v>
      </c>
      <c r="AW57" s="70" t="e">
        <f t="shared" si="21"/>
        <v>#REF!</v>
      </c>
      <c r="AX57" s="70" t="e">
        <f t="shared" si="21"/>
        <v>#REF!</v>
      </c>
      <c r="AY57" s="70" t="e">
        <f t="shared" si="21"/>
        <v>#REF!</v>
      </c>
      <c r="AZ57" s="70" t="e">
        <f t="shared" si="21"/>
        <v>#REF!</v>
      </c>
      <c r="BA57" s="70" t="e">
        <f t="shared" si="21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2">AF16+AF18+AF20+AF21+AF23</f>
        <v>#REF!</v>
      </c>
      <c r="AG59" s="70" t="e">
        <f t="shared" si="22"/>
        <v>#REF!</v>
      </c>
      <c r="AH59" s="70" t="e">
        <f t="shared" si="22"/>
        <v>#REF!</v>
      </c>
      <c r="AI59" s="70" t="e">
        <f t="shared" si="22"/>
        <v>#REF!</v>
      </c>
      <c r="AJ59" s="70" t="e">
        <f t="shared" si="22"/>
        <v>#REF!</v>
      </c>
      <c r="AK59" s="70" t="e">
        <f t="shared" si="22"/>
        <v>#REF!</v>
      </c>
      <c r="AL59" s="70" t="e">
        <f t="shared" si="22"/>
        <v>#REF!</v>
      </c>
      <c r="AM59" s="70" t="e">
        <f t="shared" si="22"/>
        <v>#REF!</v>
      </c>
      <c r="AN59" s="70" t="e">
        <f t="shared" si="22"/>
        <v>#REF!</v>
      </c>
      <c r="AO59" s="70" t="e">
        <f t="shared" si="22"/>
        <v>#REF!</v>
      </c>
      <c r="AP59" s="70"/>
      <c r="AQ59" s="70"/>
      <c r="AR59" s="70" t="e">
        <f t="shared" ref="AR59:BA59" si="23">AR16+AR18+AR20+AR21+AR23</f>
        <v>#REF!</v>
      </c>
      <c r="AS59" s="70" t="e">
        <f t="shared" si="23"/>
        <v>#REF!</v>
      </c>
      <c r="AT59" s="70" t="e">
        <f t="shared" si="23"/>
        <v>#REF!</v>
      </c>
      <c r="AU59" s="70" t="e">
        <f t="shared" si="23"/>
        <v>#REF!</v>
      </c>
      <c r="AV59" s="70" t="e">
        <f t="shared" si="23"/>
        <v>#REF!</v>
      </c>
      <c r="AW59" s="70" t="e">
        <f t="shared" si="23"/>
        <v>#REF!</v>
      </c>
      <c r="AX59" s="70" t="e">
        <f t="shared" si="23"/>
        <v>#REF!</v>
      </c>
      <c r="AY59" s="70" t="e">
        <f t="shared" si="23"/>
        <v>#REF!</v>
      </c>
      <c r="AZ59" s="70" t="e">
        <f t="shared" si="23"/>
        <v>#REF!</v>
      </c>
      <c r="BA59" s="70" t="e">
        <f t="shared" si="23"/>
        <v>#REF!</v>
      </c>
    </row>
    <row r="60" spans="27:53" hidden="1">
      <c r="AA60" s="71" t="s">
        <v>41</v>
      </c>
      <c r="AB60" s="35"/>
      <c r="AF60" s="70" t="e">
        <f t="shared" ref="AF60:AO60" si="24">AF27+AF29+AF31+AF32+AF34</f>
        <v>#REF!</v>
      </c>
      <c r="AG60" s="70" t="e">
        <f t="shared" si="24"/>
        <v>#REF!</v>
      </c>
      <c r="AH60" s="70" t="e">
        <f t="shared" si="24"/>
        <v>#REF!</v>
      </c>
      <c r="AI60" s="70" t="e">
        <f t="shared" si="24"/>
        <v>#REF!</v>
      </c>
      <c r="AJ60" s="70" t="e">
        <f t="shared" si="24"/>
        <v>#REF!</v>
      </c>
      <c r="AK60" s="70" t="e">
        <f t="shared" si="24"/>
        <v>#REF!</v>
      </c>
      <c r="AL60" s="70" t="e">
        <f t="shared" si="24"/>
        <v>#REF!</v>
      </c>
      <c r="AM60" s="70" t="e">
        <f t="shared" si="24"/>
        <v>#REF!</v>
      </c>
      <c r="AN60" s="70" t="e">
        <f t="shared" si="24"/>
        <v>#REF!</v>
      </c>
      <c r="AO60" s="70" t="e">
        <f t="shared" si="24"/>
        <v>#REF!</v>
      </c>
      <c r="AP60" s="70"/>
      <c r="AQ60" s="70"/>
      <c r="AR60" s="70" t="e">
        <f t="shared" ref="AR60:BA60" si="25">AR27+AR29+AR31+AR32+AR34</f>
        <v>#REF!</v>
      </c>
      <c r="AS60" s="70" t="e">
        <f t="shared" si="25"/>
        <v>#REF!</v>
      </c>
      <c r="AT60" s="70" t="e">
        <f t="shared" si="25"/>
        <v>#REF!</v>
      </c>
      <c r="AU60" s="70" t="e">
        <f t="shared" si="25"/>
        <v>#REF!</v>
      </c>
      <c r="AV60" s="70" t="e">
        <f t="shared" si="25"/>
        <v>#REF!</v>
      </c>
      <c r="AW60" s="70" t="e">
        <f t="shared" si="25"/>
        <v>#REF!</v>
      </c>
      <c r="AX60" s="70" t="e">
        <f t="shared" si="25"/>
        <v>#REF!</v>
      </c>
      <c r="AY60" s="70" t="e">
        <f t="shared" si="25"/>
        <v>#REF!</v>
      </c>
      <c r="AZ60" s="70" t="e">
        <f t="shared" si="25"/>
        <v>#REF!</v>
      </c>
      <c r="BA60" s="70" t="e">
        <f t="shared" si="25"/>
        <v>#REF!</v>
      </c>
    </row>
    <row r="61" spans="27:53" hidden="1">
      <c r="AA61" s="71" t="s">
        <v>42</v>
      </c>
      <c r="AB61" s="35"/>
      <c r="AF61" s="70" t="e">
        <f t="shared" ref="AF61:AO61" si="26">AF38+AF40+AF42+AF43+AF45</f>
        <v>#REF!</v>
      </c>
      <c r="AG61" s="70" t="e">
        <f t="shared" si="26"/>
        <v>#REF!</v>
      </c>
      <c r="AH61" s="70" t="e">
        <f t="shared" si="26"/>
        <v>#REF!</v>
      </c>
      <c r="AI61" s="70" t="e">
        <f t="shared" si="26"/>
        <v>#REF!</v>
      </c>
      <c r="AJ61" s="70" t="e">
        <f t="shared" si="26"/>
        <v>#REF!</v>
      </c>
      <c r="AK61" s="70" t="e">
        <f t="shared" si="26"/>
        <v>#REF!</v>
      </c>
      <c r="AL61" s="70" t="e">
        <f t="shared" si="26"/>
        <v>#REF!</v>
      </c>
      <c r="AM61" s="70" t="e">
        <f t="shared" si="26"/>
        <v>#REF!</v>
      </c>
      <c r="AN61" s="70" t="e">
        <f t="shared" si="26"/>
        <v>#REF!</v>
      </c>
      <c r="AO61" s="70" t="e">
        <f t="shared" si="26"/>
        <v>#REF!</v>
      </c>
      <c r="AP61" s="70"/>
      <c r="AQ61" s="70"/>
      <c r="AR61" s="70" t="e">
        <f t="shared" ref="AR61:BA61" si="27">AR38+AR40+AR42+AR43+AR45</f>
        <v>#REF!</v>
      </c>
      <c r="AS61" s="70" t="e">
        <f t="shared" si="27"/>
        <v>#REF!</v>
      </c>
      <c r="AT61" s="70" t="e">
        <f t="shared" si="27"/>
        <v>#REF!</v>
      </c>
      <c r="AU61" s="70" t="e">
        <f t="shared" si="27"/>
        <v>#REF!</v>
      </c>
      <c r="AV61" s="70" t="e">
        <f t="shared" si="27"/>
        <v>#REF!</v>
      </c>
      <c r="AW61" s="70" t="e">
        <f t="shared" si="27"/>
        <v>#REF!</v>
      </c>
      <c r="AX61" s="70" t="e">
        <f t="shared" si="27"/>
        <v>#REF!</v>
      </c>
      <c r="AY61" s="70" t="e">
        <f t="shared" si="27"/>
        <v>#REF!</v>
      </c>
      <c r="AZ61" s="70" t="e">
        <f t="shared" si="27"/>
        <v>#REF!</v>
      </c>
      <c r="BA61" s="70" t="e">
        <f t="shared" si="27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28">AF16+AF18+AF20+AF21+AF24</f>
        <v>#REF!</v>
      </c>
      <c r="AG63" s="70" t="e">
        <f t="shared" si="28"/>
        <v>#REF!</v>
      </c>
      <c r="AH63" s="70" t="e">
        <f t="shared" si="28"/>
        <v>#REF!</v>
      </c>
      <c r="AI63" s="70" t="e">
        <f t="shared" si="28"/>
        <v>#REF!</v>
      </c>
      <c r="AJ63" s="70" t="e">
        <f t="shared" si="28"/>
        <v>#REF!</v>
      </c>
      <c r="AK63" s="70" t="e">
        <f t="shared" si="28"/>
        <v>#REF!</v>
      </c>
      <c r="AL63" s="70" t="e">
        <f t="shared" si="28"/>
        <v>#REF!</v>
      </c>
      <c r="AM63" s="70" t="e">
        <f t="shared" si="28"/>
        <v>#REF!</v>
      </c>
      <c r="AN63" s="70" t="e">
        <f t="shared" si="28"/>
        <v>#REF!</v>
      </c>
      <c r="AO63" s="70" t="e">
        <f t="shared" si="28"/>
        <v>#REF!</v>
      </c>
      <c r="AP63" s="70"/>
      <c r="AQ63" s="70"/>
      <c r="AR63" s="70" t="e">
        <f t="shared" ref="AR63:BA63" si="29">AR16+AR18+AR20+AR21+AR24</f>
        <v>#REF!</v>
      </c>
      <c r="AS63" s="70" t="e">
        <f t="shared" si="29"/>
        <v>#REF!</v>
      </c>
      <c r="AT63" s="70" t="e">
        <f t="shared" si="29"/>
        <v>#REF!</v>
      </c>
      <c r="AU63" s="70" t="e">
        <f t="shared" si="29"/>
        <v>#REF!</v>
      </c>
      <c r="AV63" s="70" t="e">
        <f t="shared" si="29"/>
        <v>#REF!</v>
      </c>
      <c r="AW63" s="70" t="e">
        <f t="shared" si="29"/>
        <v>#REF!</v>
      </c>
      <c r="AX63" s="70" t="e">
        <f t="shared" si="29"/>
        <v>#REF!</v>
      </c>
      <c r="AY63" s="70" t="e">
        <f t="shared" si="29"/>
        <v>#REF!</v>
      </c>
      <c r="AZ63" s="70" t="e">
        <f t="shared" si="29"/>
        <v>#REF!</v>
      </c>
      <c r="BA63" s="70" t="e">
        <f t="shared" si="29"/>
        <v>#REF!</v>
      </c>
    </row>
    <row r="64" spans="27:53" hidden="1">
      <c r="AA64" s="71" t="s">
        <v>41</v>
      </c>
      <c r="AB64" s="35"/>
      <c r="AF64" s="70" t="e">
        <f t="shared" ref="AF64:AO64" si="30">AF27+AF29+AF31+AF32+AF35</f>
        <v>#REF!</v>
      </c>
      <c r="AG64" s="70" t="e">
        <f t="shared" si="30"/>
        <v>#REF!</v>
      </c>
      <c r="AH64" s="70" t="e">
        <f t="shared" si="30"/>
        <v>#REF!</v>
      </c>
      <c r="AI64" s="70" t="e">
        <f t="shared" si="30"/>
        <v>#REF!</v>
      </c>
      <c r="AJ64" s="70" t="e">
        <f t="shared" si="30"/>
        <v>#REF!</v>
      </c>
      <c r="AK64" s="70" t="e">
        <f t="shared" si="30"/>
        <v>#REF!</v>
      </c>
      <c r="AL64" s="70" t="e">
        <f t="shared" si="30"/>
        <v>#REF!</v>
      </c>
      <c r="AM64" s="70" t="e">
        <f t="shared" si="30"/>
        <v>#REF!</v>
      </c>
      <c r="AN64" s="70" t="e">
        <f t="shared" si="30"/>
        <v>#REF!</v>
      </c>
      <c r="AO64" s="70" t="e">
        <f t="shared" si="30"/>
        <v>#REF!</v>
      </c>
      <c r="AP64" s="70"/>
      <c r="AQ64" s="70"/>
      <c r="AR64" s="70" t="e">
        <f t="shared" ref="AR64:BA64" si="31">AR27+AR29+AR31+AR32+AR35</f>
        <v>#REF!</v>
      </c>
      <c r="AS64" s="70" t="e">
        <f t="shared" si="31"/>
        <v>#REF!</v>
      </c>
      <c r="AT64" s="70" t="e">
        <f t="shared" si="31"/>
        <v>#REF!</v>
      </c>
      <c r="AU64" s="70" t="e">
        <f t="shared" si="31"/>
        <v>#REF!</v>
      </c>
      <c r="AV64" s="70" t="e">
        <f t="shared" si="31"/>
        <v>#REF!</v>
      </c>
      <c r="AW64" s="70" t="e">
        <f t="shared" si="31"/>
        <v>#REF!</v>
      </c>
      <c r="AX64" s="70" t="e">
        <f t="shared" si="31"/>
        <v>#REF!</v>
      </c>
      <c r="AY64" s="70" t="e">
        <f t="shared" si="31"/>
        <v>#REF!</v>
      </c>
      <c r="AZ64" s="70" t="e">
        <f t="shared" si="31"/>
        <v>#REF!</v>
      </c>
      <c r="BA64" s="70" t="e">
        <f t="shared" si="31"/>
        <v>#REF!</v>
      </c>
    </row>
    <row r="65" spans="27:53" hidden="1">
      <c r="AA65" s="71" t="s">
        <v>42</v>
      </c>
      <c r="AB65" s="35"/>
      <c r="AF65" s="70" t="e">
        <f t="shared" ref="AF65:AO65" si="32">AF38+AF40+AF42+AF43+AF46</f>
        <v>#REF!</v>
      </c>
      <c r="AG65" s="70" t="e">
        <f t="shared" si="32"/>
        <v>#REF!</v>
      </c>
      <c r="AH65" s="70" t="e">
        <f t="shared" si="32"/>
        <v>#REF!</v>
      </c>
      <c r="AI65" s="70" t="e">
        <f t="shared" si="32"/>
        <v>#REF!</v>
      </c>
      <c r="AJ65" s="70" t="e">
        <f t="shared" si="32"/>
        <v>#REF!</v>
      </c>
      <c r="AK65" s="70" t="e">
        <f t="shared" si="32"/>
        <v>#REF!</v>
      </c>
      <c r="AL65" s="70" t="e">
        <f t="shared" si="32"/>
        <v>#REF!</v>
      </c>
      <c r="AM65" s="70" t="e">
        <f t="shared" si="32"/>
        <v>#REF!</v>
      </c>
      <c r="AN65" s="70" t="e">
        <f t="shared" si="32"/>
        <v>#REF!</v>
      </c>
      <c r="AO65" s="70" t="e">
        <f t="shared" si="32"/>
        <v>#REF!</v>
      </c>
      <c r="AP65" s="70"/>
      <c r="AQ65" s="70"/>
      <c r="AR65" s="70" t="e">
        <f t="shared" ref="AR65:BA65" si="33">AR38+AR40+AR42+AR43+AR46</f>
        <v>#REF!</v>
      </c>
      <c r="AS65" s="70" t="e">
        <f t="shared" si="33"/>
        <v>#REF!</v>
      </c>
      <c r="AT65" s="70" t="e">
        <f t="shared" si="33"/>
        <v>#REF!</v>
      </c>
      <c r="AU65" s="70" t="e">
        <f t="shared" si="33"/>
        <v>#REF!</v>
      </c>
      <c r="AV65" s="70" t="e">
        <f t="shared" si="33"/>
        <v>#REF!</v>
      </c>
      <c r="AW65" s="70" t="e">
        <f t="shared" si="33"/>
        <v>#REF!</v>
      </c>
      <c r="AX65" s="70" t="e">
        <f t="shared" si="33"/>
        <v>#REF!</v>
      </c>
      <c r="AY65" s="70" t="e">
        <f t="shared" si="33"/>
        <v>#REF!</v>
      </c>
      <c r="AZ65" s="70" t="e">
        <f t="shared" si="33"/>
        <v>#REF!</v>
      </c>
      <c r="BA65" s="70" t="e">
        <f t="shared" si="33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4">AF16+AF17+AF22</f>
        <v>#REF!</v>
      </c>
      <c r="AG67" s="70" t="e">
        <f t="shared" si="34"/>
        <v>#REF!</v>
      </c>
      <c r="AH67" s="70" t="e">
        <f t="shared" si="34"/>
        <v>#REF!</v>
      </c>
      <c r="AI67" s="70" t="e">
        <f t="shared" si="34"/>
        <v>#REF!</v>
      </c>
      <c r="AJ67" s="70" t="e">
        <f t="shared" si="34"/>
        <v>#REF!</v>
      </c>
      <c r="AK67" s="70" t="e">
        <f t="shared" si="34"/>
        <v>#REF!</v>
      </c>
      <c r="AL67" s="70" t="e">
        <f t="shared" si="34"/>
        <v>#REF!</v>
      </c>
      <c r="AM67" s="70" t="e">
        <f t="shared" si="34"/>
        <v>#REF!</v>
      </c>
      <c r="AN67" s="70" t="e">
        <f t="shared" si="34"/>
        <v>#REF!</v>
      </c>
      <c r="AO67" s="70" t="e">
        <f t="shared" si="34"/>
        <v>#REF!</v>
      </c>
      <c r="AP67" s="70"/>
      <c r="AQ67" s="70"/>
      <c r="AR67" s="70" t="e">
        <f t="shared" ref="AR67:BA67" si="35">AR16+AR17+AR22</f>
        <v>#REF!</v>
      </c>
      <c r="AS67" s="70" t="e">
        <f t="shared" si="35"/>
        <v>#REF!</v>
      </c>
      <c r="AT67" s="70" t="e">
        <f t="shared" si="35"/>
        <v>#REF!</v>
      </c>
      <c r="AU67" s="70" t="e">
        <f t="shared" si="35"/>
        <v>#REF!</v>
      </c>
      <c r="AV67" s="70" t="e">
        <f t="shared" si="35"/>
        <v>#REF!</v>
      </c>
      <c r="AW67" s="70" t="e">
        <f t="shared" si="35"/>
        <v>#REF!</v>
      </c>
      <c r="AX67" s="70" t="e">
        <f t="shared" si="35"/>
        <v>#REF!</v>
      </c>
      <c r="AY67" s="70" t="e">
        <f t="shared" si="35"/>
        <v>#REF!</v>
      </c>
      <c r="AZ67" s="70" t="e">
        <f t="shared" si="35"/>
        <v>#REF!</v>
      </c>
      <c r="BA67" s="70" t="e">
        <f t="shared" si="35"/>
        <v>#REF!</v>
      </c>
    </row>
    <row r="68" spans="27:53" hidden="1">
      <c r="AA68" s="71" t="s">
        <v>41</v>
      </c>
      <c r="AB68" s="35"/>
      <c r="AF68" s="70" t="e">
        <f t="shared" ref="AF68:AO68" si="36">AF27+AF28+AF33</f>
        <v>#REF!</v>
      </c>
      <c r="AG68" s="70" t="e">
        <f t="shared" si="36"/>
        <v>#REF!</v>
      </c>
      <c r="AH68" s="70" t="e">
        <f t="shared" si="36"/>
        <v>#REF!</v>
      </c>
      <c r="AI68" s="70" t="e">
        <f t="shared" si="36"/>
        <v>#REF!</v>
      </c>
      <c r="AJ68" s="70" t="e">
        <f t="shared" si="36"/>
        <v>#REF!</v>
      </c>
      <c r="AK68" s="70" t="e">
        <f t="shared" si="36"/>
        <v>#REF!</v>
      </c>
      <c r="AL68" s="70" t="e">
        <f t="shared" si="36"/>
        <v>#REF!</v>
      </c>
      <c r="AM68" s="70" t="e">
        <f t="shared" si="36"/>
        <v>#REF!</v>
      </c>
      <c r="AN68" s="70" t="e">
        <f t="shared" si="36"/>
        <v>#REF!</v>
      </c>
      <c r="AO68" s="70" t="e">
        <f t="shared" si="36"/>
        <v>#REF!</v>
      </c>
      <c r="AP68" s="70"/>
      <c r="AQ68" s="70"/>
      <c r="AR68" s="70" t="e">
        <f t="shared" ref="AR68:BA68" si="37">AR27+AR28+AR33</f>
        <v>#REF!</v>
      </c>
      <c r="AS68" s="70" t="e">
        <f t="shared" si="37"/>
        <v>#REF!</v>
      </c>
      <c r="AT68" s="70" t="e">
        <f t="shared" si="37"/>
        <v>#REF!</v>
      </c>
      <c r="AU68" s="70" t="e">
        <f t="shared" si="37"/>
        <v>#REF!</v>
      </c>
      <c r="AV68" s="70" t="e">
        <f t="shared" si="37"/>
        <v>#REF!</v>
      </c>
      <c r="AW68" s="70" t="e">
        <f t="shared" si="37"/>
        <v>#REF!</v>
      </c>
      <c r="AX68" s="70" t="e">
        <f t="shared" si="37"/>
        <v>#REF!</v>
      </c>
      <c r="AY68" s="70" t="e">
        <f t="shared" si="37"/>
        <v>#REF!</v>
      </c>
      <c r="AZ68" s="70" t="e">
        <f t="shared" si="37"/>
        <v>#REF!</v>
      </c>
      <c r="BA68" s="70" t="e">
        <f t="shared" si="37"/>
        <v>#REF!</v>
      </c>
    </row>
    <row r="69" spans="27:53" hidden="1">
      <c r="AA69" s="71" t="s">
        <v>42</v>
      </c>
      <c r="AB69" s="35"/>
      <c r="AF69" s="70" t="e">
        <f t="shared" ref="AF69:AO69" si="38">AF38+AF39+AF44</f>
        <v>#REF!</v>
      </c>
      <c r="AG69" s="70" t="e">
        <f t="shared" si="38"/>
        <v>#REF!</v>
      </c>
      <c r="AH69" s="70" t="e">
        <f t="shared" si="38"/>
        <v>#REF!</v>
      </c>
      <c r="AI69" s="70" t="e">
        <f t="shared" si="38"/>
        <v>#REF!</v>
      </c>
      <c r="AJ69" s="70" t="e">
        <f t="shared" si="38"/>
        <v>#REF!</v>
      </c>
      <c r="AK69" s="70" t="e">
        <f t="shared" si="38"/>
        <v>#REF!</v>
      </c>
      <c r="AL69" s="70" t="e">
        <f t="shared" si="38"/>
        <v>#REF!</v>
      </c>
      <c r="AM69" s="70" t="e">
        <f t="shared" si="38"/>
        <v>#REF!</v>
      </c>
      <c r="AN69" s="70" t="e">
        <f t="shared" si="38"/>
        <v>#REF!</v>
      </c>
      <c r="AO69" s="70" t="e">
        <f t="shared" si="38"/>
        <v>#REF!</v>
      </c>
      <c r="AP69" s="70"/>
      <c r="AQ69" s="70"/>
      <c r="AR69" s="70" t="e">
        <f t="shared" ref="AR69:BA69" si="39">AR38+AR39+AR44</f>
        <v>#REF!</v>
      </c>
      <c r="AS69" s="70" t="e">
        <f t="shared" si="39"/>
        <v>#REF!</v>
      </c>
      <c r="AT69" s="70" t="e">
        <f t="shared" si="39"/>
        <v>#REF!</v>
      </c>
      <c r="AU69" s="70" t="e">
        <f t="shared" si="39"/>
        <v>#REF!</v>
      </c>
      <c r="AV69" s="70" t="e">
        <f t="shared" si="39"/>
        <v>#REF!</v>
      </c>
      <c r="AW69" s="70" t="e">
        <f t="shared" si="39"/>
        <v>#REF!</v>
      </c>
      <c r="AX69" s="70" t="e">
        <f t="shared" si="39"/>
        <v>#REF!</v>
      </c>
      <c r="AY69" s="70" t="e">
        <f t="shared" si="39"/>
        <v>#REF!</v>
      </c>
      <c r="AZ69" s="70" t="e">
        <f t="shared" si="39"/>
        <v>#REF!</v>
      </c>
      <c r="BA69" s="70" t="e">
        <f t="shared" si="39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0">AF16+AF17+AF21+AF23</f>
        <v>#REF!</v>
      </c>
      <c r="AG71" s="70" t="e">
        <f t="shared" si="40"/>
        <v>#REF!</v>
      </c>
      <c r="AH71" s="70" t="e">
        <f t="shared" si="40"/>
        <v>#REF!</v>
      </c>
      <c r="AI71" s="70" t="e">
        <f t="shared" si="40"/>
        <v>#REF!</v>
      </c>
      <c r="AJ71" s="70" t="e">
        <f t="shared" si="40"/>
        <v>#REF!</v>
      </c>
      <c r="AK71" s="70" t="e">
        <f t="shared" si="40"/>
        <v>#REF!</v>
      </c>
      <c r="AL71" s="70" t="e">
        <f t="shared" si="40"/>
        <v>#REF!</v>
      </c>
      <c r="AM71" s="70" t="e">
        <f t="shared" si="40"/>
        <v>#REF!</v>
      </c>
      <c r="AN71" s="70" t="e">
        <f t="shared" si="40"/>
        <v>#REF!</v>
      </c>
      <c r="AO71" s="70" t="e">
        <f t="shared" si="40"/>
        <v>#REF!</v>
      </c>
      <c r="AP71" s="70"/>
      <c r="AQ71" s="70"/>
      <c r="AR71" s="70" t="e">
        <f t="shared" ref="AR71:BA71" si="41">AR16+AR17+AR21+AR23</f>
        <v>#REF!</v>
      </c>
      <c r="AS71" s="70" t="e">
        <f t="shared" si="41"/>
        <v>#REF!</v>
      </c>
      <c r="AT71" s="70" t="e">
        <f t="shared" si="41"/>
        <v>#REF!</v>
      </c>
      <c r="AU71" s="70" t="e">
        <f t="shared" si="41"/>
        <v>#REF!</v>
      </c>
      <c r="AV71" s="70" t="e">
        <f t="shared" si="41"/>
        <v>#REF!</v>
      </c>
      <c r="AW71" s="70" t="e">
        <f t="shared" si="41"/>
        <v>#REF!</v>
      </c>
      <c r="AX71" s="70" t="e">
        <f t="shared" si="41"/>
        <v>#REF!</v>
      </c>
      <c r="AY71" s="70" t="e">
        <f t="shared" si="41"/>
        <v>#REF!</v>
      </c>
      <c r="AZ71" s="70" t="e">
        <f t="shared" si="41"/>
        <v>#REF!</v>
      </c>
      <c r="BA71" s="70" t="e">
        <f t="shared" si="41"/>
        <v>#REF!</v>
      </c>
    </row>
    <row r="72" spans="27:53" hidden="1">
      <c r="AA72" s="71" t="s">
        <v>41</v>
      </c>
      <c r="AB72" s="35"/>
      <c r="AF72" s="70" t="e">
        <f t="shared" ref="AF72:AO72" si="42">AF27+AF28+AF32+AF34</f>
        <v>#REF!</v>
      </c>
      <c r="AG72" s="70" t="e">
        <f t="shared" si="42"/>
        <v>#REF!</v>
      </c>
      <c r="AH72" s="70" t="e">
        <f t="shared" si="42"/>
        <v>#REF!</v>
      </c>
      <c r="AI72" s="70" t="e">
        <f t="shared" si="42"/>
        <v>#REF!</v>
      </c>
      <c r="AJ72" s="70" t="e">
        <f t="shared" si="42"/>
        <v>#REF!</v>
      </c>
      <c r="AK72" s="70" t="e">
        <f t="shared" si="42"/>
        <v>#REF!</v>
      </c>
      <c r="AL72" s="70" t="e">
        <f t="shared" si="42"/>
        <v>#REF!</v>
      </c>
      <c r="AM72" s="70" t="e">
        <f t="shared" si="42"/>
        <v>#REF!</v>
      </c>
      <c r="AN72" s="70" t="e">
        <f t="shared" si="42"/>
        <v>#REF!</v>
      </c>
      <c r="AO72" s="70" t="e">
        <f t="shared" si="42"/>
        <v>#REF!</v>
      </c>
      <c r="AP72" s="70"/>
      <c r="AQ72" s="70"/>
      <c r="AR72" s="70" t="e">
        <f t="shared" ref="AR72:BA72" si="43">AR27+AR28+AR32+AR34</f>
        <v>#REF!</v>
      </c>
      <c r="AS72" s="70" t="e">
        <f t="shared" si="43"/>
        <v>#REF!</v>
      </c>
      <c r="AT72" s="70" t="e">
        <f t="shared" si="43"/>
        <v>#REF!</v>
      </c>
      <c r="AU72" s="70" t="e">
        <f t="shared" si="43"/>
        <v>#REF!</v>
      </c>
      <c r="AV72" s="70" t="e">
        <f t="shared" si="43"/>
        <v>#REF!</v>
      </c>
      <c r="AW72" s="70" t="e">
        <f t="shared" si="43"/>
        <v>#REF!</v>
      </c>
      <c r="AX72" s="70" t="e">
        <f t="shared" si="43"/>
        <v>#REF!</v>
      </c>
      <c r="AY72" s="70" t="e">
        <f t="shared" si="43"/>
        <v>#REF!</v>
      </c>
      <c r="AZ72" s="70" t="e">
        <f t="shared" si="43"/>
        <v>#REF!</v>
      </c>
      <c r="BA72" s="70" t="e">
        <f t="shared" si="43"/>
        <v>#REF!</v>
      </c>
    </row>
    <row r="73" spans="27:53" hidden="1">
      <c r="AA73" s="71" t="s">
        <v>42</v>
      </c>
      <c r="AB73" s="35"/>
      <c r="AF73" s="70" t="e">
        <f t="shared" ref="AF73:AO73" si="44">AF38+AF39+AF43+AF45</f>
        <v>#REF!</v>
      </c>
      <c r="AG73" s="70" t="e">
        <f t="shared" si="44"/>
        <v>#REF!</v>
      </c>
      <c r="AH73" s="70" t="e">
        <f t="shared" si="44"/>
        <v>#REF!</v>
      </c>
      <c r="AI73" s="70" t="e">
        <f t="shared" si="44"/>
        <v>#REF!</v>
      </c>
      <c r="AJ73" s="70" t="e">
        <f t="shared" si="44"/>
        <v>#REF!</v>
      </c>
      <c r="AK73" s="70" t="e">
        <f t="shared" si="44"/>
        <v>#REF!</v>
      </c>
      <c r="AL73" s="70" t="e">
        <f t="shared" si="44"/>
        <v>#REF!</v>
      </c>
      <c r="AM73" s="70" t="e">
        <f t="shared" si="44"/>
        <v>#REF!</v>
      </c>
      <c r="AN73" s="70" t="e">
        <f t="shared" si="44"/>
        <v>#REF!</v>
      </c>
      <c r="AO73" s="70" t="e">
        <f t="shared" si="44"/>
        <v>#REF!</v>
      </c>
      <c r="AP73" s="70"/>
      <c r="AQ73" s="70"/>
      <c r="AR73" s="70" t="e">
        <f t="shared" ref="AR73:BA73" si="45">AR38+AR39+AR43+AR45</f>
        <v>#REF!</v>
      </c>
      <c r="AS73" s="70" t="e">
        <f t="shared" si="45"/>
        <v>#REF!</v>
      </c>
      <c r="AT73" s="70" t="e">
        <f t="shared" si="45"/>
        <v>#REF!</v>
      </c>
      <c r="AU73" s="70" t="e">
        <f t="shared" si="45"/>
        <v>#REF!</v>
      </c>
      <c r="AV73" s="70" t="e">
        <f t="shared" si="45"/>
        <v>#REF!</v>
      </c>
      <c r="AW73" s="70" t="e">
        <f t="shared" si="45"/>
        <v>#REF!</v>
      </c>
      <c r="AX73" s="70" t="e">
        <f t="shared" si="45"/>
        <v>#REF!</v>
      </c>
      <c r="AY73" s="70" t="e">
        <f t="shared" si="45"/>
        <v>#REF!</v>
      </c>
      <c r="AZ73" s="70" t="e">
        <f t="shared" si="45"/>
        <v>#REF!</v>
      </c>
      <c r="BA73" s="70" t="e">
        <f t="shared" si="45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6">AF16+AF17+AF21+AF24</f>
        <v>#REF!</v>
      </c>
      <c r="AG75" s="70" t="e">
        <f t="shared" si="46"/>
        <v>#REF!</v>
      </c>
      <c r="AH75" s="70" t="e">
        <f t="shared" si="46"/>
        <v>#REF!</v>
      </c>
      <c r="AI75" s="70" t="e">
        <f t="shared" si="46"/>
        <v>#REF!</v>
      </c>
      <c r="AJ75" s="70" t="e">
        <f t="shared" si="46"/>
        <v>#REF!</v>
      </c>
      <c r="AK75" s="70" t="e">
        <f t="shared" si="46"/>
        <v>#REF!</v>
      </c>
      <c r="AL75" s="70" t="e">
        <f t="shared" si="46"/>
        <v>#REF!</v>
      </c>
      <c r="AM75" s="70" t="e">
        <f t="shared" si="46"/>
        <v>#REF!</v>
      </c>
      <c r="AN75" s="70" t="e">
        <f t="shared" si="46"/>
        <v>#REF!</v>
      </c>
      <c r="AO75" s="70" t="e">
        <f t="shared" si="46"/>
        <v>#REF!</v>
      </c>
      <c r="AP75" s="70"/>
      <c r="AQ75" s="70"/>
      <c r="AR75" s="70" t="e">
        <f t="shared" ref="AR75:BA75" si="47">AR16+AR17+AR21+AR24</f>
        <v>#REF!</v>
      </c>
      <c r="AS75" s="70" t="e">
        <f t="shared" si="47"/>
        <v>#REF!</v>
      </c>
      <c r="AT75" s="70" t="e">
        <f t="shared" si="47"/>
        <v>#REF!</v>
      </c>
      <c r="AU75" s="70" t="e">
        <f t="shared" si="47"/>
        <v>#REF!</v>
      </c>
      <c r="AV75" s="70" t="e">
        <f t="shared" si="47"/>
        <v>#REF!</v>
      </c>
      <c r="AW75" s="70" t="e">
        <f t="shared" si="47"/>
        <v>#REF!</v>
      </c>
      <c r="AX75" s="70" t="e">
        <f t="shared" si="47"/>
        <v>#REF!</v>
      </c>
      <c r="AY75" s="70" t="e">
        <f t="shared" si="47"/>
        <v>#REF!</v>
      </c>
      <c r="AZ75" s="70" t="e">
        <f t="shared" si="47"/>
        <v>#REF!</v>
      </c>
      <c r="BA75" s="70" t="e">
        <f t="shared" si="47"/>
        <v>#REF!</v>
      </c>
    </row>
    <row r="76" spans="27:53" hidden="1">
      <c r="AA76" s="71" t="s">
        <v>41</v>
      </c>
      <c r="AB76" s="35"/>
      <c r="AF76" s="70" t="e">
        <f t="shared" ref="AF76:AO76" si="48">AF27+AF28+AF32+AF35</f>
        <v>#REF!</v>
      </c>
      <c r="AG76" s="70" t="e">
        <f t="shared" si="48"/>
        <v>#REF!</v>
      </c>
      <c r="AH76" s="70" t="e">
        <f t="shared" si="48"/>
        <v>#REF!</v>
      </c>
      <c r="AI76" s="70" t="e">
        <f t="shared" si="48"/>
        <v>#REF!</v>
      </c>
      <c r="AJ76" s="70" t="e">
        <f t="shared" si="48"/>
        <v>#REF!</v>
      </c>
      <c r="AK76" s="70" t="e">
        <f t="shared" si="48"/>
        <v>#REF!</v>
      </c>
      <c r="AL76" s="70" t="e">
        <f t="shared" si="48"/>
        <v>#REF!</v>
      </c>
      <c r="AM76" s="70" t="e">
        <f t="shared" si="48"/>
        <v>#REF!</v>
      </c>
      <c r="AN76" s="70" t="e">
        <f t="shared" si="48"/>
        <v>#REF!</v>
      </c>
      <c r="AO76" s="70" t="e">
        <f t="shared" si="48"/>
        <v>#REF!</v>
      </c>
      <c r="AP76" s="70"/>
      <c r="AQ76" s="70"/>
      <c r="AR76" s="70" t="e">
        <f t="shared" ref="AR76:BA76" si="49">AR27+AR28+AR32+AR35</f>
        <v>#REF!</v>
      </c>
      <c r="AS76" s="70" t="e">
        <f t="shared" si="49"/>
        <v>#REF!</v>
      </c>
      <c r="AT76" s="70" t="e">
        <f t="shared" si="49"/>
        <v>#REF!</v>
      </c>
      <c r="AU76" s="70" t="e">
        <f t="shared" si="49"/>
        <v>#REF!</v>
      </c>
      <c r="AV76" s="70" t="e">
        <f t="shared" si="49"/>
        <v>#REF!</v>
      </c>
      <c r="AW76" s="70" t="e">
        <f t="shared" si="49"/>
        <v>#REF!</v>
      </c>
      <c r="AX76" s="70" t="e">
        <f t="shared" si="49"/>
        <v>#REF!</v>
      </c>
      <c r="AY76" s="70" t="e">
        <f t="shared" si="49"/>
        <v>#REF!</v>
      </c>
      <c r="AZ76" s="70" t="e">
        <f t="shared" si="49"/>
        <v>#REF!</v>
      </c>
      <c r="BA76" s="70" t="e">
        <f t="shared" si="49"/>
        <v>#REF!</v>
      </c>
    </row>
    <row r="77" spans="27:53" hidden="1">
      <c r="AA77" s="71" t="s">
        <v>42</v>
      </c>
      <c r="AB77" s="35"/>
      <c r="AF77" s="70" t="e">
        <f t="shared" ref="AF77:AO77" si="50">AF38+AF39+AF43+AF46</f>
        <v>#REF!</v>
      </c>
      <c r="AG77" s="70" t="e">
        <f t="shared" si="50"/>
        <v>#REF!</v>
      </c>
      <c r="AH77" s="70" t="e">
        <f t="shared" si="50"/>
        <v>#REF!</v>
      </c>
      <c r="AI77" s="70" t="e">
        <f t="shared" si="50"/>
        <v>#REF!</v>
      </c>
      <c r="AJ77" s="70" t="e">
        <f t="shared" si="50"/>
        <v>#REF!</v>
      </c>
      <c r="AK77" s="70" t="e">
        <f t="shared" si="50"/>
        <v>#REF!</v>
      </c>
      <c r="AL77" s="70" t="e">
        <f t="shared" si="50"/>
        <v>#REF!</v>
      </c>
      <c r="AM77" s="70" t="e">
        <f t="shared" si="50"/>
        <v>#REF!</v>
      </c>
      <c r="AN77" s="70" t="e">
        <f t="shared" si="50"/>
        <v>#REF!</v>
      </c>
      <c r="AO77" s="70" t="e">
        <f t="shared" si="50"/>
        <v>#REF!</v>
      </c>
      <c r="AP77" s="70"/>
      <c r="AQ77" s="70"/>
      <c r="AR77" s="70" t="e">
        <f t="shared" ref="AR77:BA77" si="51">AR38+AR39+AR43+AR46</f>
        <v>#REF!</v>
      </c>
      <c r="AS77" s="70" t="e">
        <f t="shared" si="51"/>
        <v>#REF!</v>
      </c>
      <c r="AT77" s="70" t="e">
        <f t="shared" si="51"/>
        <v>#REF!</v>
      </c>
      <c r="AU77" s="70" t="e">
        <f t="shared" si="51"/>
        <v>#REF!</v>
      </c>
      <c r="AV77" s="70" t="e">
        <f t="shared" si="51"/>
        <v>#REF!</v>
      </c>
      <c r="AW77" s="70" t="e">
        <f t="shared" si="51"/>
        <v>#REF!</v>
      </c>
      <c r="AX77" s="70" t="e">
        <f t="shared" si="51"/>
        <v>#REF!</v>
      </c>
      <c r="AY77" s="70" t="e">
        <f t="shared" si="51"/>
        <v>#REF!</v>
      </c>
      <c r="AZ77" s="70" t="e">
        <f t="shared" si="51"/>
        <v>#REF!</v>
      </c>
      <c r="BA77" s="70" t="e">
        <f t="shared" si="51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67" t="s">
        <v>55</v>
      </c>
      <c r="G89" s="567" t="s">
        <v>73</v>
      </c>
      <c r="H89" s="567" t="s">
        <v>74</v>
      </c>
      <c r="I89" s="567" t="s">
        <v>58</v>
      </c>
      <c r="J89" s="567" t="s">
        <v>59</v>
      </c>
      <c r="K89" s="567" t="s">
        <v>60</v>
      </c>
      <c r="L89" s="566" t="s">
        <v>75</v>
      </c>
      <c r="M89" s="566" t="s">
        <v>76</v>
      </c>
      <c r="N89" s="566" t="s">
        <v>61</v>
      </c>
      <c r="O89" s="566" t="s">
        <v>62</v>
      </c>
      <c r="P89" s="566" t="s">
        <v>63</v>
      </c>
      <c r="AN89" s="38"/>
      <c r="AZ89" s="36"/>
    </row>
    <row r="90" spans="1:52" ht="25.5">
      <c r="A90" s="44" t="str">
        <f>A4</f>
        <v>General Construction</v>
      </c>
      <c r="B90" s="45" t="str">
        <f>B4</f>
        <v>Light-Duty Truck, catalyst</v>
      </c>
      <c r="C90" s="46">
        <f>C4</f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2" si="52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ref="A91:C92" si="53">A5</f>
        <v>Site and Access Road Grading</v>
      </c>
      <c r="B91" s="45" t="str">
        <f t="shared" si="53"/>
        <v>Light-Duty Truck, catalyst</v>
      </c>
      <c r="C91" s="46">
        <f t="shared" si="53"/>
        <v>20</v>
      </c>
      <c r="D91" s="46">
        <v>35</v>
      </c>
      <c r="E91" s="46">
        <v>80</v>
      </c>
      <c r="F91" s="50">
        <f>C5*($E5*$F5+($G5))/453.59</f>
        <v>9.7143877176184024</v>
      </c>
      <c r="G91" s="50">
        <f>C5*($E5*$H5+($I5))/453.59</f>
        <v>0.87341314588756025</v>
      </c>
      <c r="H91" s="50">
        <f>C5*(($E5*$J5)+($K5)+($L5)+($E5*$N5)+(($M5+$O5)))/453.59</f>
        <v>1.0099996064790666</v>
      </c>
      <c r="I91" s="50">
        <f>C5*($E5*$P5+($Q5))/453.59</f>
        <v>1.453594054321232E-2</v>
      </c>
      <c r="J91" s="50">
        <f>C5*(($E5*($R5+$T5+$U5))+($S5))/453.59</f>
        <v>0.17048180910415792</v>
      </c>
      <c r="K91" s="50">
        <f>$C5*(($E5*($V5+$X5+$Y5))+($W5))/453.59</f>
        <v>7.4240106485062823E-2</v>
      </c>
      <c r="L91" s="50">
        <f>$B$23*C5*(E5+6)</f>
        <v>0.16877165172143796</v>
      </c>
      <c r="M91" s="50">
        <f t="shared" si="52"/>
        <v>6.9196377205789555E-2</v>
      </c>
      <c r="N91" s="50">
        <f>C5*($E5*$Z5+($AA5))/453.59</f>
        <v>1108.4715345207778</v>
      </c>
      <c r="O91" s="50">
        <f>C5*($E5*$AB5+($AC5))/453.59</f>
        <v>6.3409507780604987E-2</v>
      </c>
      <c r="P91" s="50">
        <f>C5*($E5*$AD5+($AE5))/453.59</f>
        <v>0.11542239827686719</v>
      </c>
      <c r="AN91" s="38"/>
      <c r="AZ91" s="36"/>
    </row>
    <row r="92" spans="1:52" ht="25.5">
      <c r="A92" s="44" t="str">
        <f t="shared" si="53"/>
        <v>Storm Drain and Erosion Control</v>
      </c>
      <c r="B92" s="45" t="str">
        <f t="shared" si="53"/>
        <v>Light-Duty Truck, catalyst</v>
      </c>
      <c r="C92" s="46">
        <f t="shared" si="53"/>
        <v>13</v>
      </c>
      <c r="D92" s="46">
        <v>35</v>
      </c>
      <c r="E92" s="46">
        <v>80</v>
      </c>
      <c r="F92" s="50">
        <f>C6*($E6*$F6+($G6))/453.59</f>
        <v>6.3143520164519611</v>
      </c>
      <c r="G92" s="50">
        <f>C6*($E6*$H6+($I6))/453.59</f>
        <v>0.56771854482691408</v>
      </c>
      <c r="H92" s="50">
        <f>C6*(($E6*$J6)+($K6)+($L6)+($E6*$N6)+(($M6+$O6)))/453.59</f>
        <v>0.65649974421139334</v>
      </c>
      <c r="I92" s="50">
        <f>C6*($E6*$P6+($Q6))/453.59</f>
        <v>9.4483613530880074E-3</v>
      </c>
      <c r="J92" s="50">
        <f>C6*(($E6*($R6+$T6+$U6))+($S6))/453.59</f>
        <v>0.11081317591770266</v>
      </c>
      <c r="K92" s="50">
        <f>$C6*(($E6*($V6+$X6+$Y6))+($W6))/453.59</f>
        <v>4.8256069215290839E-2</v>
      </c>
      <c r="L92" s="50">
        <f>$B$23*C6*(E6+6)</f>
        <v>0.10970157361893468</v>
      </c>
      <c r="M92" s="50">
        <f t="shared" si="52"/>
        <v>4.4977645183763217E-2</v>
      </c>
      <c r="N92" s="50">
        <f>C6*($E6*$Z6+($AA6))/453.59</f>
        <v>720.50649743850568</v>
      </c>
      <c r="O92" s="50">
        <f>C6*($E6*$AB6+($AC6))/453.59</f>
        <v>4.1216180057393241E-2</v>
      </c>
      <c r="P92" s="50">
        <f>C6*($E6*$AD6+($AE6))/453.59</f>
        <v>7.5024558879963676E-2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 t="shared" ref="F93:P93" si="54">SUM(F90:F92)</f>
        <v>17.485897891713122</v>
      </c>
      <c r="G93" s="81">
        <f t="shared" si="54"/>
        <v>1.5721436625976084</v>
      </c>
      <c r="H93" s="81">
        <f t="shared" si="54"/>
        <v>1.81799929166232</v>
      </c>
      <c r="I93" s="81">
        <f t="shared" si="54"/>
        <v>2.6164692977782171E-2</v>
      </c>
      <c r="J93" s="81">
        <f t="shared" si="54"/>
        <v>0.30686725638748424</v>
      </c>
      <c r="K93" s="81">
        <f t="shared" si="54"/>
        <v>0.13363219167311308</v>
      </c>
      <c r="L93" s="81">
        <f t="shared" si="54"/>
        <v>0.30378897309858832</v>
      </c>
      <c r="M93" s="81">
        <f t="shared" si="54"/>
        <v>0.12455347897042121</v>
      </c>
      <c r="N93" s="81">
        <f t="shared" si="54"/>
        <v>1995.2487621374003</v>
      </c>
      <c r="O93" s="81">
        <f t="shared" si="54"/>
        <v>0.11413711400508897</v>
      </c>
      <c r="P93" s="81">
        <f t="shared" si="54"/>
        <v>0.20776031689836094</v>
      </c>
      <c r="AN93" s="38"/>
      <c r="AZ93" s="36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24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3"/>
  <sheetViews>
    <sheetView zoomScale="75" zoomScaleNormal="75" workbookViewId="0"/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32">
      <c r="A1" s="3" t="s">
        <v>756</v>
      </c>
    </row>
    <row r="3" spans="1:32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19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32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32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32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32" s="3" customFormat="1">
      <c r="A7" s="17" t="s">
        <v>339</v>
      </c>
      <c r="B7" s="29"/>
      <c r="C7" s="97"/>
      <c r="D7" s="12"/>
      <c r="E7" s="102"/>
      <c r="F7" s="102"/>
      <c r="G7" s="102"/>
      <c r="H7" s="102"/>
      <c r="I7" s="102"/>
      <c r="J7" s="100"/>
      <c r="K7" s="103"/>
      <c r="L7" s="102"/>
      <c r="M7" s="104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32" s="3" customFormat="1">
      <c r="A8" s="24" t="s">
        <v>129</v>
      </c>
      <c r="B8" s="29" t="s">
        <v>27</v>
      </c>
      <c r="C8" s="97">
        <v>399</v>
      </c>
      <c r="D8" s="97">
        <v>0.28999999999999998</v>
      </c>
      <c r="E8" s="418">
        <v>0.13249726882716423</v>
      </c>
      <c r="F8" s="397">
        <f>IF($C8&lt;11,'Offroad Tiers EF (2)'!$AB$4*$C8*$D8,IF($C8&lt;25,'Offroad Tiers EF (2)'!$AB$5*$C8*$D8,IF($C8&lt;50,'Offroad Tiers EF (2)'!$AB$6*$C8*$D8,IF($C8&lt;75,'Offroad Tiers EF (2)'!$AB$7*$C8*$D8,IF($C8&lt;100,'Offroad Tiers EF (2)'!$AB$8*$C8*$D8,IF($C8&lt;175,'Offroad Tiers EF (2)'!$AB$9*$C8*$D8,IF($C8&lt;300,'Offroad Tiers EF (2)'!$AB$10*$C8*$D8,IF($C8&lt;600,'Offroad Tiers EF (2)'!$AB$11*$C8*$D8,"!"))))))))</f>
        <v>0.66324074074074058</v>
      </c>
      <c r="G8" s="397">
        <f>IF($C8&lt;11,'Offroad Tiers EF (2)'!$Z$4*$C8*$D8,IF($C8&lt;25,'Offroad Tiers EF (2)'!$Z$5*$C8*$D8,IF($C8&lt;50,'Offroad Tiers EF (2)'!$Z$6*$C8*$D8,IF($C8&lt;75,'Offroad Tiers EF (2)'!$Z$7*$C8*$D8,IF($C8&lt;100,'Offroad Tiers EF (2)'!$Z$8*$C8*$D8,IF($C8&lt;175,'Offroad Tiers EF (2)'!$Z$9*$C8*$D8,IF($C8&lt;300,'Offroad Tiers EF (2)'!$Z$10*$C8*$D8,IF($C8&lt;600,'Offroad Tiers EF (2)'!$Z$11*$C8*$D8,"!"))))))))</f>
        <v>1.1632222222222219</v>
      </c>
      <c r="H8" s="418">
        <v>1.7677529729271738E-3</v>
      </c>
      <c r="I8" s="397">
        <f>IF($C8&lt;11,'Offroad Tiers EF (2)'!$AD$4*$C8*$D8,IF($C8&lt;25,'Offroad Tiers EF (2)'!$AD$5*$C8*$D8,IF($C8&lt;50,'Offroad Tiers EF (2)'!$AD$6*$C8*$D8,IF($C8&lt;75,'Offroad Tiers EF (2)'!$AD$7*$C8*$D8,IF($C8&lt;100,'Offroad Tiers EF (2)'!$AD$8*$C8*$D8,IF($C8&lt;175,'Offroad Tiers EF (2)'!$AD$9*$C8*$D8,IF($C8&lt;300,'Offroad Tiers EF (2)'!$AD$10*$C8*$D8,IF($C8&lt;600,'Offroad Tiers EF (2)'!$AD$11*$C8*$D8,"!"))))))))</f>
        <v>3.8263888888888889E-2</v>
      </c>
      <c r="J8" s="100">
        <f t="shared" ref="J8:J11" si="0">0.89*I8</f>
        <v>3.4054861111111112E-2</v>
      </c>
      <c r="K8" s="103">
        <v>180.10131655574588</v>
      </c>
      <c r="L8" s="102">
        <v>1.3243614024502522E-2</v>
      </c>
      <c r="M8" s="104">
        <f t="shared" ref="M8:M11" si="1">0.095*G8</f>
        <v>0.11050611111111108</v>
      </c>
      <c r="N8" s="87">
        <v>1</v>
      </c>
      <c r="O8" s="87">
        <v>8</v>
      </c>
      <c r="P8" s="88">
        <v>2</v>
      </c>
      <c r="Q8" s="34">
        <f t="shared" ref="Q8:Y11" si="2">(E8*$N8*$O8)</f>
        <v>1.0599781506173138</v>
      </c>
      <c r="R8" s="26">
        <f t="shared" si="2"/>
        <v>5.3059259259259246</v>
      </c>
      <c r="S8" s="26">
        <f t="shared" si="2"/>
        <v>9.3057777777777755</v>
      </c>
      <c r="T8" s="26">
        <f t="shared" si="2"/>
        <v>1.414202378341739E-2</v>
      </c>
      <c r="U8" s="26">
        <f t="shared" si="2"/>
        <v>0.30611111111111111</v>
      </c>
      <c r="V8" s="26">
        <f t="shared" si="2"/>
        <v>0.2724388888888889</v>
      </c>
      <c r="W8" s="26">
        <f t="shared" si="2"/>
        <v>1440.8105324459671</v>
      </c>
      <c r="X8" s="26">
        <f t="shared" si="2"/>
        <v>0.10594891219602018</v>
      </c>
      <c r="Y8" s="26">
        <f t="shared" si="2"/>
        <v>0.88404888888888866</v>
      </c>
    </row>
    <row r="9" spans="1:32" s="3" customFormat="1">
      <c r="A9" s="24" t="s">
        <v>114</v>
      </c>
      <c r="B9" s="90" t="s">
        <v>27</v>
      </c>
      <c r="C9" s="97">
        <v>34</v>
      </c>
      <c r="D9" s="97">
        <v>0.31</v>
      </c>
      <c r="E9" s="102">
        <v>4.2958246826547246E-2</v>
      </c>
      <c r="F9" s="397">
        <f>IF($C9&lt;11,'Offroad Tiers EF (2)'!$AB$4*$C9*$D9,IF($C9&lt;25,'Offroad Tiers EF (2)'!$AB$5*$C9*$D9,IF($C9&lt;50,'Offroad Tiers EF (2)'!$AB$6*$C9*$D9,IF($C9&lt;75,'Offroad Tiers EF (2)'!$AB$7*$C9*$D9,IF($C9&lt;100,'Offroad Tiers EF (2)'!$AB$8*$C9*$D9,IF($C9&lt;175,'Offroad Tiers EF (2)'!$AB$9*$C9*$D9,IF($C9&lt;300,'Offroad Tiers EF (2)'!$AB$10*$C9*$D9,IF($C9&lt;600,'Offroad Tiers EF (2)'!$AB$11*$C9*$D9,"!"))))))))</f>
        <v>9.5268959435626091E-2</v>
      </c>
      <c r="G9" s="397">
        <f>IF($C9&lt;11,'Offroad Tiers EF (2)'!$Z$4*$C9*$D9,IF($C9&lt;25,'Offroad Tiers EF (2)'!$Z$5*$C9*$D9,IF($C9&lt;50,'Offroad Tiers EF (2)'!$Z$6*$C9*$D9,IF($C9&lt;75,'Offroad Tiers EF (2)'!$Z$7*$C9*$D9,IF($C9&lt;100,'Offroad Tiers EF (2)'!$Z$8*$C9*$D9,IF($C9&lt;175,'Offroad Tiers EF (2)'!$Z$9*$C9*$D9,IF($C9&lt;300,'Offroad Tiers EF (2)'!$Z$10*$C9*$D9,IF($C9&lt;600,'Offroad Tiers EF (2)'!$Z$11*$C9*$D9,"!"))))))))</f>
        <v>0.12361728395061726</v>
      </c>
      <c r="H9" s="102">
        <v>2.5354407605791113E-4</v>
      </c>
      <c r="I9" s="397">
        <f>IF($C9&lt;11,'Offroad Tiers EF (2)'!$AD$4*$C9*$D9,IF($C9&lt;25,'Offroad Tiers EF (2)'!$AD$5*$C9*$D9,IF($C9&lt;50,'Offroad Tiers EF (2)'!$AD$6*$C9*$D9,IF($C9&lt;75,'Offroad Tiers EF (2)'!$AD$7*$C9*$D9,IF($C9&lt;100,'Offroad Tiers EF (2)'!$AD$8*$C9*$D9,IF($C9&lt;175,'Offroad Tiers EF (2)'!$AD$9*$C9*$D9,IF($C9&lt;300,'Offroad Tiers EF (2)'!$AD$10*$C9*$D9,IF($C9&lt;600,'Offroad Tiers EF (2)'!$AD$11*$C9*$D9,"!"))))))))</f>
        <v>1.0456349206349205E-2</v>
      </c>
      <c r="J9" s="100">
        <f t="shared" si="0"/>
        <v>9.3061507936507935E-3</v>
      </c>
      <c r="K9" s="103">
        <v>19.61276416423032</v>
      </c>
      <c r="L9" s="102">
        <v>4.8141782348593348E-3</v>
      </c>
      <c r="M9" s="104">
        <f t="shared" si="1"/>
        <v>1.174364197530864E-2</v>
      </c>
      <c r="N9" s="87">
        <v>4</v>
      </c>
      <c r="O9" s="87">
        <v>8</v>
      </c>
      <c r="P9" s="99">
        <v>2</v>
      </c>
      <c r="Q9" s="34">
        <f t="shared" si="2"/>
        <v>1.3746638984495119</v>
      </c>
      <c r="R9" s="26">
        <f t="shared" si="2"/>
        <v>3.0486067019400349</v>
      </c>
      <c r="S9" s="26">
        <f t="shared" si="2"/>
        <v>3.9557530864197523</v>
      </c>
      <c r="T9" s="26">
        <f t="shared" si="2"/>
        <v>8.1134104338531562E-3</v>
      </c>
      <c r="U9" s="26">
        <f t="shared" si="2"/>
        <v>0.33460317460317457</v>
      </c>
      <c r="V9" s="26">
        <f t="shared" si="2"/>
        <v>0.29779682539682539</v>
      </c>
      <c r="W9" s="26">
        <f t="shared" si="2"/>
        <v>627.60845325537025</v>
      </c>
      <c r="X9" s="26">
        <f t="shared" si="2"/>
        <v>0.15405370351549871</v>
      </c>
      <c r="Y9" s="26">
        <f t="shared" si="2"/>
        <v>0.37579654320987649</v>
      </c>
    </row>
    <row r="10" spans="1:32" s="3" customFormat="1">
      <c r="A10" s="24" t="s">
        <v>297</v>
      </c>
      <c r="B10" s="29" t="s">
        <v>27</v>
      </c>
      <c r="C10" s="97">
        <v>235</v>
      </c>
      <c r="D10" s="97"/>
      <c r="E10" s="102">
        <v>0.11792220738547983</v>
      </c>
      <c r="F10" s="102">
        <v>0.36512193352152528</v>
      </c>
      <c r="G10" s="102">
        <v>0.86781464282266541</v>
      </c>
      <c r="H10" s="102">
        <v>1.8739217498104396E-3</v>
      </c>
      <c r="I10" s="102">
        <v>2.9041712295589866E-2</v>
      </c>
      <c r="J10" s="100">
        <f t="shared" si="0"/>
        <v>2.5847123943074982E-2</v>
      </c>
      <c r="K10" s="103">
        <v>166.54541562452522</v>
      </c>
      <c r="L10" s="102">
        <v>1.063993297769634E-2</v>
      </c>
      <c r="M10" s="104">
        <f t="shared" si="1"/>
        <v>8.2442391068153209E-2</v>
      </c>
      <c r="N10" s="98">
        <v>2</v>
      </c>
      <c r="O10" s="98">
        <v>8</v>
      </c>
      <c r="P10" s="88">
        <v>2</v>
      </c>
      <c r="Q10" s="34">
        <f t="shared" si="2"/>
        <v>1.8867553181676773</v>
      </c>
      <c r="R10" s="26">
        <f t="shared" si="2"/>
        <v>5.8419509363444044</v>
      </c>
      <c r="S10" s="26">
        <f t="shared" si="2"/>
        <v>13.885034285162646</v>
      </c>
      <c r="T10" s="26">
        <f t="shared" si="2"/>
        <v>2.9982747996967034E-2</v>
      </c>
      <c r="U10" s="26">
        <f t="shared" si="2"/>
        <v>0.46466739672943785</v>
      </c>
      <c r="V10" s="26">
        <f t="shared" si="2"/>
        <v>0.41355398308919972</v>
      </c>
      <c r="W10" s="26">
        <f t="shared" si="2"/>
        <v>2664.7266499924035</v>
      </c>
      <c r="X10" s="26">
        <f t="shared" si="2"/>
        <v>0.17023892764314144</v>
      </c>
      <c r="Y10" s="26">
        <f t="shared" si="2"/>
        <v>1.3190782570904513</v>
      </c>
    </row>
    <row r="11" spans="1:32" s="3" customFormat="1">
      <c r="A11" s="24" t="s">
        <v>129</v>
      </c>
      <c r="B11" s="29" t="s">
        <v>27</v>
      </c>
      <c r="C11" s="97">
        <v>152</v>
      </c>
      <c r="D11" s="97">
        <v>0.28999999999999998</v>
      </c>
      <c r="E11" s="418">
        <v>0.13249726882716423</v>
      </c>
      <c r="F11" s="397">
        <f>IF($C11&lt;11,'Offroad Tiers EF (2)'!$AB$4*$C11*$D11,IF($C11&lt;25,'Offroad Tiers EF (2)'!$AB$5*$C11*$D11,IF($C11&lt;50,'Offroad Tiers EF (2)'!$AB$6*$C11*$D11,IF($C11&lt;75,'Offroad Tiers EF (2)'!$AB$7*$C11*$D11,IF($C11&lt;100,'Offroad Tiers EF (2)'!$AB$8*$C11*$D11,IF($C11&lt;175,'Offroad Tiers EF (2)'!$AB$9*$C11*$D11,IF($C11&lt;300,'Offroad Tiers EF (2)'!$AB$10*$C11*$D11,IF($C11&lt;600,'Offroad Tiers EF (2)'!$AB$11*$C11*$D11,"!"))))))))</f>
        <v>0.35955908289241617</v>
      </c>
      <c r="G11" s="397">
        <f>IF($C11&lt;11,'Offroad Tiers EF (2)'!$Z$4*$C11*$D11,IF($C11&lt;25,'Offroad Tiers EF (2)'!$Z$5*$C11*$D11,IF($C11&lt;50,'Offroad Tiers EF (2)'!$Z$6*$C11*$D11,IF($C11&lt;75,'Offroad Tiers EF (2)'!$Z$7*$C11*$D11,IF($C11&lt;100,'Offroad Tiers EF (2)'!$Z$8*$C11*$D11,IF($C11&lt;175,'Offroad Tiers EF (2)'!$Z$9*$C11*$D11,IF($C11&lt;300,'Offroad Tiers EF (2)'!$Z$10*$C11*$D11,IF($C11&lt;600,'Offroad Tiers EF (2)'!$Z$11*$C11*$D11,"!"))))))))</f>
        <v>0.45236419753086415</v>
      </c>
      <c r="H11" s="418">
        <v>1.7677529729271738E-3</v>
      </c>
      <c r="I11" s="397">
        <f>IF($C11&lt;11,'Offroad Tiers EF (2)'!$AD$4*$C11*$D11,IF($C11&lt;25,'Offroad Tiers EF (2)'!$AD$5*$C11*$D11,IF($C11&lt;50,'Offroad Tiers EF (2)'!$AD$6*$C11*$D11,IF($C11&lt;75,'Offroad Tiers EF (2)'!$AD$7*$C11*$D11,IF($C11&lt;100,'Offroad Tiers EF (2)'!$AD$8*$C11*$D11,IF($C11&lt;175,'Offroad Tiers EF (2)'!$AD$9*$C11*$D11,IF($C11&lt;300,'Offroad Tiers EF (2)'!$AD$10*$C11*$D11,IF($C11&lt;600,'Offroad Tiers EF (2)'!$AD$11*$C11*$D11,"!"))))))))</f>
        <v>2.1379188712522045E-2</v>
      </c>
      <c r="J11" s="100">
        <f t="shared" si="0"/>
        <v>1.9027477954144622E-2</v>
      </c>
      <c r="K11" s="103">
        <v>180.10131655574588</v>
      </c>
      <c r="L11" s="102">
        <v>1.3243614024502522E-2</v>
      </c>
      <c r="M11" s="104">
        <f t="shared" si="1"/>
        <v>4.2974598765432095E-2</v>
      </c>
      <c r="N11" s="87">
        <v>2</v>
      </c>
      <c r="O11" s="87">
        <v>8</v>
      </c>
      <c r="P11" s="88">
        <v>2</v>
      </c>
      <c r="Q11" s="34">
        <f t="shared" si="2"/>
        <v>2.1199563012346276</v>
      </c>
      <c r="R11" s="26">
        <f t="shared" si="2"/>
        <v>5.7529453262786587</v>
      </c>
      <c r="S11" s="26">
        <f t="shared" si="2"/>
        <v>7.2378271604938265</v>
      </c>
      <c r="T11" s="26">
        <f t="shared" si="2"/>
        <v>2.828404756683478E-2</v>
      </c>
      <c r="U11" s="26">
        <f t="shared" si="2"/>
        <v>0.34206701940035272</v>
      </c>
      <c r="V11" s="26">
        <f t="shared" si="2"/>
        <v>0.30443964726631395</v>
      </c>
      <c r="W11" s="26">
        <f t="shared" si="2"/>
        <v>2881.6210648919341</v>
      </c>
      <c r="X11" s="26">
        <f t="shared" si="2"/>
        <v>0.21189782439204036</v>
      </c>
      <c r="Y11" s="26">
        <f t="shared" si="2"/>
        <v>0.68759358024691353</v>
      </c>
    </row>
    <row r="12" spans="1:32" s="3" customFormat="1">
      <c r="A12" s="17" t="s">
        <v>28</v>
      </c>
      <c r="B12" s="29"/>
      <c r="C12" s="97"/>
      <c r="D12" s="12"/>
      <c r="E12" s="102"/>
      <c r="F12" s="102"/>
      <c r="G12" s="102"/>
      <c r="H12" s="102"/>
      <c r="I12" s="102"/>
      <c r="J12" s="100"/>
      <c r="K12" s="103"/>
      <c r="L12" s="102"/>
      <c r="M12" s="104"/>
      <c r="N12" s="98"/>
      <c r="O12" s="98"/>
      <c r="P12" s="99"/>
      <c r="Q12" s="101">
        <f t="shared" ref="Q12:Y12" si="3">SUM(Q8:Q11)</f>
        <v>6.4413536684691302</v>
      </c>
      <c r="R12" s="101">
        <f t="shared" si="3"/>
        <v>19.949428890489024</v>
      </c>
      <c r="S12" s="101">
        <f t="shared" si="3"/>
        <v>34.384392309854</v>
      </c>
      <c r="T12" s="101">
        <f t="shared" si="3"/>
        <v>8.052222978107236E-2</v>
      </c>
      <c r="U12" s="101">
        <f t="shared" si="3"/>
        <v>1.4474487018440763</v>
      </c>
      <c r="V12" s="101">
        <f t="shared" si="3"/>
        <v>1.2882293446412281</v>
      </c>
      <c r="W12" s="101">
        <f t="shared" si="3"/>
        <v>7614.7667005856747</v>
      </c>
      <c r="X12" s="101">
        <f t="shared" si="3"/>
        <v>0.64213936774670066</v>
      </c>
      <c r="Y12" s="101">
        <f t="shared" si="3"/>
        <v>3.2665172694361297</v>
      </c>
    </row>
    <row r="13" spans="1:32" s="6" customFormat="1">
      <c r="A13" s="122" t="s">
        <v>103</v>
      </c>
      <c r="B13" s="97"/>
      <c r="C13" s="22"/>
      <c r="D13" s="22"/>
      <c r="E13" s="23"/>
      <c r="F13" s="23"/>
      <c r="G13" s="23"/>
      <c r="H13" s="23"/>
      <c r="I13" s="23"/>
      <c r="J13" s="24"/>
      <c r="K13" s="25"/>
      <c r="L13" s="23"/>
      <c r="M13" s="23"/>
      <c r="N13" s="88"/>
      <c r="O13" s="88"/>
      <c r="P13" s="88"/>
      <c r="Q13" s="20">
        <f>Q12</f>
        <v>6.4413536684691302</v>
      </c>
      <c r="R13" s="20">
        <f t="shared" ref="R13:Y13" si="4">R12</f>
        <v>19.949428890489024</v>
      </c>
      <c r="S13" s="20">
        <f t="shared" si="4"/>
        <v>34.384392309854</v>
      </c>
      <c r="T13" s="20">
        <f t="shared" si="4"/>
        <v>8.052222978107236E-2</v>
      </c>
      <c r="U13" s="20">
        <f t="shared" si="4"/>
        <v>1.4474487018440763</v>
      </c>
      <c r="V13" s="20">
        <f t="shared" si="4"/>
        <v>1.2882293446412281</v>
      </c>
      <c r="W13" s="20">
        <f t="shared" si="4"/>
        <v>7614.7667005856747</v>
      </c>
      <c r="X13" s="20">
        <f t="shared" si="4"/>
        <v>0.64213936774670066</v>
      </c>
      <c r="Y13" s="20">
        <f t="shared" si="4"/>
        <v>3.2665172694361297</v>
      </c>
      <c r="AF13" s="7"/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B-4
Construction Heavy Equipment Emissions
TL 6965 Construction
</oddHeader>
    <oddFooter>&amp;CB-4</oddFooter>
  </headerFooter>
</worksheet>
</file>

<file path=xl/worksheets/sheet24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350"/>
  <sheetViews>
    <sheetView zoomScale="75" workbookViewId="0"/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31" width="12.28515625" style="38" customWidth="1"/>
    <col min="32" max="33" width="9.28515625" style="36" bestFit="1" customWidth="1"/>
    <col min="34" max="34" width="11.42578125" style="36" customWidth="1"/>
    <col min="35" max="35" width="10.5703125" style="36" customWidth="1"/>
    <col min="36" max="39" width="9.5703125" style="36" customWidth="1"/>
    <col min="40" max="40" width="9.28515625" style="38" bestFit="1" customWidth="1"/>
    <col min="41" max="41" width="9.85546875" style="36" customWidth="1"/>
    <col min="42" max="42" width="9.28515625" style="36" bestFit="1" customWidth="1"/>
    <col min="43" max="16384" width="9.140625" style="36"/>
  </cols>
  <sheetData>
    <row r="1" spans="1:42">
      <c r="A1" s="3" t="s">
        <v>757</v>
      </c>
    </row>
    <row r="2" spans="1:42">
      <c r="A2"/>
    </row>
    <row r="6" spans="1:42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25" t="s">
        <v>55</v>
      </c>
      <c r="H6" s="425" t="s">
        <v>56</v>
      </c>
      <c r="I6" s="421" t="s">
        <v>57</v>
      </c>
      <c r="J6" s="425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25" t="s">
        <v>61</v>
      </c>
      <c r="R6" s="421" t="s">
        <v>62</v>
      </c>
      <c r="S6" s="421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  <c r="AE6" s="36"/>
      <c r="AN6" s="36"/>
    </row>
    <row r="7" spans="1:42" ht="63.75">
      <c r="A7" s="592"/>
      <c r="B7" s="592"/>
      <c r="C7" s="593"/>
      <c r="D7" s="593"/>
      <c r="E7" s="74" t="s">
        <v>67</v>
      </c>
      <c r="F7" s="74" t="s">
        <v>68</v>
      </c>
      <c r="G7" s="424" t="s">
        <v>69</v>
      </c>
      <c r="H7" s="41" t="s">
        <v>69</v>
      </c>
      <c r="I7" s="41" t="s">
        <v>69</v>
      </c>
      <c r="J7" s="41" t="s">
        <v>69</v>
      </c>
      <c r="K7" s="421" t="s">
        <v>69</v>
      </c>
      <c r="L7" s="421" t="s">
        <v>71</v>
      </c>
      <c r="M7" s="421" t="s">
        <v>72</v>
      </c>
      <c r="N7" s="421" t="s">
        <v>69</v>
      </c>
      <c r="O7" s="421" t="s">
        <v>71</v>
      </c>
      <c r="P7" s="421" t="s">
        <v>72</v>
      </c>
      <c r="Q7" s="41" t="s">
        <v>69</v>
      </c>
      <c r="R7" s="421" t="s">
        <v>69</v>
      </c>
      <c r="S7" s="421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  <c r="AE7" s="36"/>
      <c r="AN7" s="36"/>
    </row>
    <row r="8" spans="1:42">
      <c r="A8" s="114" t="s">
        <v>405</v>
      </c>
      <c r="B8" s="74"/>
      <c r="C8" s="112"/>
      <c r="D8" s="112"/>
      <c r="E8" s="74"/>
      <c r="F8" s="74"/>
      <c r="G8" s="424"/>
      <c r="H8" s="41"/>
      <c r="I8" s="41"/>
      <c r="J8" s="41"/>
      <c r="K8" s="421"/>
      <c r="L8" s="421"/>
      <c r="M8" s="421"/>
      <c r="N8" s="421"/>
      <c r="O8" s="421"/>
      <c r="P8" s="421"/>
      <c r="Q8" s="41"/>
      <c r="R8" s="421"/>
      <c r="S8" s="421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  <c r="AE8" s="36"/>
      <c r="AN8" s="36"/>
    </row>
    <row r="9" spans="1:42">
      <c r="A9" s="78" t="s">
        <v>406</v>
      </c>
      <c r="B9" s="76" t="s">
        <v>105</v>
      </c>
      <c r="C9" s="374">
        <v>1</v>
      </c>
      <c r="D9" s="77"/>
      <c r="E9" s="77">
        <v>35</v>
      </c>
      <c r="F9" s="77">
        <v>80</v>
      </c>
      <c r="G9" s="106">
        <v>1.08263976628415</v>
      </c>
      <c r="H9" s="106">
        <v>4.9712718909585103</v>
      </c>
      <c r="I9" s="106">
        <v>0.26248012575016899</v>
      </c>
      <c r="J9" s="106">
        <v>1.0711818E-2</v>
      </c>
      <c r="K9" s="106">
        <v>7.1679901072141505E-2</v>
      </c>
      <c r="L9" s="556">
        <v>3.59998119015979E-2</v>
      </c>
      <c r="M9" s="556">
        <v>6.1739677411240299E-2</v>
      </c>
      <c r="N9" s="106">
        <v>6.5945508986370194E-2</v>
      </c>
      <c r="O9" s="556">
        <v>2.9999843251331498E-3</v>
      </c>
      <c r="P9" s="556">
        <v>5.5859708133979398E-2</v>
      </c>
      <c r="Q9" s="106">
        <v>1710.7260798814</v>
      </c>
      <c r="R9" s="47">
        <v>1.5235246282551899E-2</v>
      </c>
      <c r="S9" s="80">
        <f>0.000025616*Q9</f>
        <v>4.3821959262241944E-2</v>
      </c>
      <c r="T9" s="50">
        <f>C9*($F9*$G9)/453.59</f>
        <v>0.19094596728925242</v>
      </c>
      <c r="U9" s="50">
        <f>C9*($F9*$H9)/453.59</f>
        <v>0.87678685878586582</v>
      </c>
      <c r="V9" s="50">
        <f>C9*(($F9*$I9))/453.59</f>
        <v>4.6293811724274173E-2</v>
      </c>
      <c r="W9" s="50">
        <f>C9*($F9*$J9)/453.59</f>
        <v>1.8892511739676801E-3</v>
      </c>
      <c r="X9" s="50">
        <f>C9*(($F9*($K9+$L9+$M9)))/453.59</f>
        <v>2.9880621774726907E-2</v>
      </c>
      <c r="Y9" s="50">
        <f>C9*(($F9*($N9+$O9+$P9)))/453.59</f>
        <v>2.2011984646131133E-2</v>
      </c>
      <c r="Z9" s="50">
        <f>C9*(F9)*$B$348</f>
        <v>7.8498442661133934E-3</v>
      </c>
      <c r="AA9" s="50">
        <f>Z9*0.21</f>
        <v>1.6484672958838125E-3</v>
      </c>
      <c r="AB9" s="50">
        <f>C9*(($F9*($Q9)))/453.59</f>
        <v>301.72200972356535</v>
      </c>
      <c r="AC9" s="50">
        <f>C9*(($F9*($R9)))/453.59</f>
        <v>2.6870515280410772E-3</v>
      </c>
      <c r="AD9" s="50">
        <f>C9*(($F9*($S9)))/453.59</f>
        <v>7.7289110010788503E-3</v>
      </c>
      <c r="AE9" s="36"/>
      <c r="AN9" s="36"/>
    </row>
    <row r="10" spans="1:42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6">
        <v>3.59998119015979E-2</v>
      </c>
      <c r="M10" s="556">
        <v>6.1739677411240299E-2</v>
      </c>
      <c r="N10" s="106">
        <v>6.5945508986370194E-2</v>
      </c>
      <c r="O10" s="556">
        <v>2.9999843251331498E-3</v>
      </c>
      <c r="P10" s="55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C10*(F10)*$B$348</f>
        <v>7.8498442661133934E-3</v>
      </c>
      <c r="AA10" s="50">
        <f>Z10*0.21</f>
        <v>1.6484672958838125E-3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  <c r="AE10" s="36"/>
      <c r="AN10" s="36"/>
    </row>
    <row r="11" spans="1:42">
      <c r="A11" s="78" t="s">
        <v>342</v>
      </c>
      <c r="B11" s="76" t="s">
        <v>95</v>
      </c>
      <c r="C11" s="79">
        <v>2</v>
      </c>
      <c r="D11" s="77"/>
      <c r="E11" s="77">
        <v>35</v>
      </c>
      <c r="F11" s="77">
        <v>60</v>
      </c>
      <c r="G11" s="106">
        <v>0.25172046482947802</v>
      </c>
      <c r="H11" s="106">
        <v>0.464701387165456</v>
      </c>
      <c r="I11" s="106">
        <v>5.6776043658582402E-2</v>
      </c>
      <c r="J11" s="106">
        <v>3.5023733638119199E-3</v>
      </c>
      <c r="K11" s="106">
        <v>4.6899256897933901E-2</v>
      </c>
      <c r="L11" s="47">
        <v>7.99995847163921E-3</v>
      </c>
      <c r="M11" s="47">
        <v>3.6749815577381599E-2</v>
      </c>
      <c r="N11" s="106">
        <v>4.3147317248333997E-2</v>
      </c>
      <c r="O11" s="47">
        <v>1.9999896145790402E-3</v>
      </c>
      <c r="P11" s="47">
        <v>1.57499200131354E-2</v>
      </c>
      <c r="Q11" s="106">
        <v>243.966167526025</v>
      </c>
      <c r="R11" s="47">
        <f>0.000057143*Q11</f>
        <v>1.3940958710939646E-2</v>
      </c>
      <c r="S11" s="80">
        <f>0.000025616*Q11</f>
        <v>6.2494373473466567E-3</v>
      </c>
      <c r="T11" s="50">
        <f>C11*($F11*$G11)/453.59</f>
        <v>6.6594183689096684E-2</v>
      </c>
      <c r="U11" s="50">
        <f>C11*($F11*$H11)/453.59</f>
        <v>0.12293958521981244</v>
      </c>
      <c r="V11" s="50">
        <f>C11*(($F11*$I11))/453.59</f>
        <v>1.5020448508630898E-2</v>
      </c>
      <c r="W11" s="50">
        <f>C11*($F11*$J11)/453.59</f>
        <v>9.2657422707165152E-4</v>
      </c>
      <c r="X11" s="50">
        <f>C11*(($F11*($K11+$L11+$M11)))/453.59</f>
        <v>2.4246309913434082E-2</v>
      </c>
      <c r="Y11" s="50">
        <f>C11*(($F11*($N11+$O11+$P11)))/453.59</f>
        <v>1.6110732655318268E-2</v>
      </c>
      <c r="Z11" s="50">
        <f>C11*(F11)*$B$348</f>
        <v>1.1774766399170092E-2</v>
      </c>
      <c r="AA11" s="50">
        <f>Z11*0.21</f>
        <v>2.4727009438257194E-3</v>
      </c>
      <c r="AB11" s="50">
        <f>C11*(($F11*($Q11)))/453.59</f>
        <v>64.542737060171092</v>
      </c>
      <c r="AC11" s="50">
        <f>C11*(($F11*($R11)))/453.59</f>
        <v>3.688165623829356E-3</v>
      </c>
      <c r="AD11" s="50">
        <f>C11*(($F11*($S11)))/453.59</f>
        <v>1.6533267525333424E-3</v>
      </c>
      <c r="AE11" s="36"/>
      <c r="AN11" s="36"/>
    </row>
    <row r="12" spans="1:42">
      <c r="A12" s="78" t="s">
        <v>343</v>
      </c>
      <c r="B12" s="76" t="s">
        <v>95</v>
      </c>
      <c r="C12" s="79">
        <v>2</v>
      </c>
      <c r="D12" s="77"/>
      <c r="E12" s="77">
        <v>35</v>
      </c>
      <c r="F12" s="77">
        <v>60</v>
      </c>
      <c r="G12" s="106">
        <v>0.25172046482947802</v>
      </c>
      <c r="H12" s="106">
        <v>0.464701387165456</v>
      </c>
      <c r="I12" s="106">
        <v>5.6776043658582402E-2</v>
      </c>
      <c r="J12" s="106">
        <v>3.5023733638119199E-3</v>
      </c>
      <c r="K12" s="106">
        <v>4.6899256897933901E-2</v>
      </c>
      <c r="L12" s="47">
        <v>7.99995847163921E-3</v>
      </c>
      <c r="M12" s="47">
        <v>3.6749815577381599E-2</v>
      </c>
      <c r="N12" s="106">
        <v>4.3147317248333997E-2</v>
      </c>
      <c r="O12" s="47">
        <v>1.9999896145790402E-3</v>
      </c>
      <c r="P12" s="47">
        <v>1.57499200131354E-2</v>
      </c>
      <c r="Q12" s="106">
        <v>243.966167526025</v>
      </c>
      <c r="R12" s="47">
        <f>0.000057143*Q12</f>
        <v>1.3940958710939646E-2</v>
      </c>
      <c r="S12" s="80">
        <f>0.000025616*Q12</f>
        <v>6.2494373473466567E-3</v>
      </c>
      <c r="T12" s="50">
        <f>C12*($F12*$G12)/453.59</f>
        <v>6.6594183689096684E-2</v>
      </c>
      <c r="U12" s="50">
        <f>C12*($F12*$H12)/453.59</f>
        <v>0.12293958521981244</v>
      </c>
      <c r="V12" s="50">
        <f>C12*(($F12*$I12))/453.59</f>
        <v>1.5020448508630898E-2</v>
      </c>
      <c r="W12" s="50">
        <f>C12*($F12*$J12)/453.59</f>
        <v>9.2657422707165152E-4</v>
      </c>
      <c r="X12" s="50">
        <f>C12*(($F12*($K12+$L12+$M12)))/453.59</f>
        <v>2.4246309913434082E-2</v>
      </c>
      <c r="Y12" s="50">
        <f>C12*(($F12*($N12+$O12+$P12)))/453.59</f>
        <v>1.6110732655318268E-2</v>
      </c>
      <c r="Z12" s="50">
        <f>C12*(F12)*$B$348</f>
        <v>1.1774766399170092E-2</v>
      </c>
      <c r="AA12" s="50">
        <f>Z12*0.21</f>
        <v>2.4727009438257194E-3</v>
      </c>
      <c r="AB12" s="50">
        <f>C12*(($F12*($Q12)))/453.59</f>
        <v>64.542737060171092</v>
      </c>
      <c r="AC12" s="50">
        <f>C12*(($F12*($R12)))/453.59</f>
        <v>3.688165623829356E-3</v>
      </c>
      <c r="AD12" s="50">
        <f>C12*(($F12*($S12)))/453.59</f>
        <v>1.6533267525333424E-3</v>
      </c>
      <c r="AE12" s="36"/>
      <c r="AN12" s="36"/>
    </row>
    <row r="13" spans="1:42">
      <c r="A13" s="75" t="s">
        <v>28</v>
      </c>
      <c r="B13" s="74"/>
      <c r="C13" s="112"/>
      <c r="D13" s="112"/>
      <c r="E13" s="74"/>
      <c r="F13" s="74"/>
      <c r="G13" s="424"/>
      <c r="H13" s="41"/>
      <c r="I13" s="41"/>
      <c r="J13" s="41"/>
      <c r="K13" s="421"/>
      <c r="L13" s="421"/>
      <c r="M13" s="421"/>
      <c r="N13" s="421"/>
      <c r="O13" s="421"/>
      <c r="P13" s="421"/>
      <c r="Q13" s="41"/>
      <c r="R13" s="421"/>
      <c r="S13" s="421"/>
      <c r="T13" s="81">
        <f t="shared" ref="T13:AD13" si="0">SUM(T11:T12)</f>
        <v>0.13318836737819337</v>
      </c>
      <c r="U13" s="81">
        <f t="shared" si="0"/>
        <v>0.24587917043962487</v>
      </c>
      <c r="V13" s="81">
        <f t="shared" si="0"/>
        <v>3.0040897017261797E-2</v>
      </c>
      <c r="W13" s="81">
        <f t="shared" si="0"/>
        <v>1.853148454143303E-3</v>
      </c>
      <c r="X13" s="81">
        <f t="shared" si="0"/>
        <v>4.8492619826868165E-2</v>
      </c>
      <c r="Y13" s="81">
        <f t="shared" si="0"/>
        <v>3.2221465310636535E-2</v>
      </c>
      <c r="Z13" s="81">
        <f t="shared" si="0"/>
        <v>2.3549532798340184E-2</v>
      </c>
      <c r="AA13" s="81">
        <f t="shared" si="0"/>
        <v>4.9454018876514388E-3</v>
      </c>
      <c r="AB13" s="81">
        <f t="shared" si="0"/>
        <v>129.08547412034218</v>
      </c>
      <c r="AC13" s="81">
        <f t="shared" si="0"/>
        <v>7.376331247658712E-3</v>
      </c>
      <c r="AD13" s="81">
        <f t="shared" si="0"/>
        <v>3.3066535050666848E-3</v>
      </c>
      <c r="AE13" s="36"/>
      <c r="AN13" s="36"/>
    </row>
    <row r="14" spans="1:42">
      <c r="A14" s="420"/>
      <c r="B14" s="74"/>
      <c r="C14" s="112"/>
      <c r="D14" s="112"/>
      <c r="E14" s="74"/>
      <c r="F14" s="74"/>
      <c r="G14" s="424"/>
      <c r="H14" s="41"/>
      <c r="I14" s="41"/>
      <c r="J14" s="41"/>
      <c r="K14" s="421"/>
      <c r="L14" s="421"/>
      <c r="M14" s="421"/>
      <c r="N14" s="421"/>
      <c r="O14" s="421"/>
      <c r="P14" s="421"/>
      <c r="Q14" s="41"/>
      <c r="R14" s="421"/>
      <c r="S14" s="421"/>
      <c r="T14" s="61"/>
      <c r="U14" s="61"/>
      <c r="V14" s="61"/>
      <c r="W14" s="61"/>
      <c r="X14" s="61"/>
      <c r="Y14" s="61"/>
      <c r="Z14" s="62"/>
      <c r="AA14" s="62"/>
      <c r="AB14" s="62"/>
      <c r="AC14" s="62"/>
      <c r="AD14" s="62"/>
      <c r="AE14" s="36"/>
      <c r="AN14" s="36"/>
    </row>
    <row r="15" spans="1:42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84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</row>
    <row r="16" spans="1:42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84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</row>
    <row r="17" spans="1:42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84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</row>
    <row r="18" spans="1:42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84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</row>
    <row r="338" spans="1:2" ht="25.5">
      <c r="A338" s="82" t="s">
        <v>109</v>
      </c>
    </row>
    <row r="340" spans="1:2">
      <c r="A340" s="36" t="s">
        <v>81</v>
      </c>
    </row>
    <row r="341" spans="1:2">
      <c r="A341" s="36" t="s">
        <v>82</v>
      </c>
    </row>
    <row r="342" spans="1:2">
      <c r="A342" s="36" t="s">
        <v>83</v>
      </c>
    </row>
    <row r="343" spans="1:2">
      <c r="A343" s="37" t="s">
        <v>96</v>
      </c>
    </row>
    <row r="344" spans="1:2">
      <c r="A344" s="36" t="s">
        <v>85</v>
      </c>
    </row>
    <row r="345" spans="1:2">
      <c r="A345" s="36" t="s">
        <v>86</v>
      </c>
    </row>
    <row r="346" spans="1:2">
      <c r="A346" s="36" t="s">
        <v>87</v>
      </c>
    </row>
    <row r="347" spans="1:2">
      <c r="A347" s="36" t="s">
        <v>0</v>
      </c>
    </row>
    <row r="348" spans="1:2">
      <c r="A348" s="37" t="s">
        <v>97</v>
      </c>
      <c r="B348" s="36">
        <f>(0.016*(0.03/2)^0.65*(2/3)^1.5)-0.00047</f>
        <v>9.8123053326417428E-5</v>
      </c>
    </row>
    <row r="349" spans="1:2">
      <c r="A349" s="37" t="s">
        <v>98</v>
      </c>
      <c r="B349" s="36">
        <f>(0.016*(0.03/2)^0.65*(13/3)^1.5)-0.00047</f>
        <v>8.9448292388582783E-3</v>
      </c>
    </row>
    <row r="350" spans="1:2">
      <c r="A350" s="37" t="s">
        <v>99</v>
      </c>
      <c r="B35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B-5
Construction Truck Trip Emissions
TL 6965 Construction</oddHeader>
    <oddFooter>&amp;CB-5</oddFooter>
  </headerFooter>
</worksheet>
</file>

<file path=xl/worksheets/sheet24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8"/>
  <sheetViews>
    <sheetView zoomScale="85" zoomScaleNormal="85" workbookViewId="0">
      <selection activeCell="A92" sqref="A92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758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24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21" t="s">
        <v>69</v>
      </c>
      <c r="S3" s="42" t="s">
        <v>118</v>
      </c>
      <c r="T3" s="421" t="s">
        <v>71</v>
      </c>
      <c r="U3" s="421" t="s">
        <v>72</v>
      </c>
      <c r="V3" s="421" t="s">
        <v>69</v>
      </c>
      <c r="W3" s="42" t="s">
        <v>118</v>
      </c>
      <c r="X3" s="421" t="s">
        <v>71</v>
      </c>
      <c r="Y3" s="421" t="s">
        <v>72</v>
      </c>
      <c r="Z3" s="41" t="s">
        <v>69</v>
      </c>
      <c r="AA3" s="42" t="s">
        <v>118</v>
      </c>
      <c r="AB3" s="421" t="s">
        <v>69</v>
      </c>
      <c r="AC3" s="42" t="s">
        <v>118</v>
      </c>
      <c r="AD3" s="421" t="s">
        <v>69</v>
      </c>
      <c r="AE3" s="42" t="s">
        <v>118</v>
      </c>
    </row>
    <row r="4" spans="1:67" ht="25.5">
      <c r="A4" s="44" t="s">
        <v>339</v>
      </c>
      <c r="B4" s="45" t="s">
        <v>102</v>
      </c>
      <c r="C4" s="46">
        <v>18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423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422" t="s">
        <v>55</v>
      </c>
      <c r="G87" s="422" t="s">
        <v>73</v>
      </c>
      <c r="H87" s="422" t="s">
        <v>74</v>
      </c>
      <c r="I87" s="422" t="s">
        <v>58</v>
      </c>
      <c r="J87" s="422" t="s">
        <v>59</v>
      </c>
      <c r="K87" s="422" t="s">
        <v>60</v>
      </c>
      <c r="L87" s="421" t="s">
        <v>75</v>
      </c>
      <c r="M87" s="421" t="s">
        <v>76</v>
      </c>
      <c r="N87" s="421" t="s">
        <v>61</v>
      </c>
      <c r="O87" s="421" t="s">
        <v>62</v>
      </c>
      <c r="P87" s="421" t="s">
        <v>63</v>
      </c>
      <c r="AN87" s="38"/>
      <c r="AZ87" s="36"/>
    </row>
    <row r="88" spans="1:52" ht="25.5">
      <c r="A88" s="44" t="str">
        <f t="shared" ref="A88:C88" si="52">A4</f>
        <v>Steel Structure Installations</v>
      </c>
      <c r="B88" s="45" t="str">
        <f t="shared" si="52"/>
        <v>Light-Duty Truck, catalyst</v>
      </c>
      <c r="C88" s="46">
        <f t="shared" si="52"/>
        <v>18</v>
      </c>
      <c r="D88" s="46">
        <v>35</v>
      </c>
      <c r="E88" s="46">
        <v>80</v>
      </c>
      <c r="F88" s="50">
        <f t="shared" ref="F88" si="53">C4*($E4*$F4+($G4))/453.59</f>
        <v>8.7429489458565612</v>
      </c>
      <c r="G88" s="50">
        <f t="shared" ref="G88" si="54">C4*($E4*$H4+($I4))/453.59</f>
        <v>0.7860718312988042</v>
      </c>
      <c r="H88" s="50">
        <f>C4*(($E4*$J4)+($K4)+($L4)+($E4*$N4)+(($M4+$O4)))/453.59</f>
        <v>0.90899964583115989</v>
      </c>
      <c r="I88" s="50">
        <f t="shared" ref="I88" si="55">C4*($E4*$P4+($Q4))/453.59</f>
        <v>1.3082346488891087E-2</v>
      </c>
      <c r="J88" s="50">
        <f t="shared" ref="J88" si="56">C4*(($E4*($R4+$T4+$U4))+($S4))/453.59</f>
        <v>0.15343362819374215</v>
      </c>
      <c r="K88" s="50">
        <f t="shared" ref="K88" si="57">$C4*(($E4*($V4+$X4+$Y4))+($W4))/453.59</f>
        <v>6.6816095836556552E-2</v>
      </c>
      <c r="L88" s="50">
        <f>$B$21*C4*(E4+6)</f>
        <v>0.15189448654929416</v>
      </c>
      <c r="M88" s="50">
        <f t="shared" ref="M88" si="58">0.41*L88</f>
        <v>6.2276739485210605E-2</v>
      </c>
      <c r="N88" s="50">
        <f t="shared" ref="N88" si="59">C4*($E4*$Z4+($AA4))/453.59</f>
        <v>997.62438106870013</v>
      </c>
      <c r="O88" s="50">
        <f t="shared" ref="O88" si="60">C4*($E4*$AB4+($AC4))/453.59</f>
        <v>5.7068557002544491E-2</v>
      </c>
      <c r="P88" s="50">
        <f t="shared" ref="P88" si="61">C4*($E4*$AD4+($AE4))/453.59</f>
        <v>0.10388015844918047</v>
      </c>
      <c r="AN88" s="38"/>
      <c r="AZ88" s="36"/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B-6
Construction Worker Commute Emission Calculations
TL 6965 Construction</oddHeader>
    <oddFooter>&amp;CB-6</oddFooter>
  </headerFooter>
</worksheet>
</file>

<file path=xl/worksheets/sheet24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64"/>
  <sheetViews>
    <sheetView zoomScale="75" zoomScaleNormal="75" workbookViewId="0">
      <selection activeCell="K34" sqref="K34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759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410</v>
      </c>
      <c r="B7" s="29"/>
      <c r="C7" s="97"/>
      <c r="D7" s="12"/>
      <c r="E7" s="102"/>
      <c r="F7" s="102"/>
      <c r="G7" s="102"/>
      <c r="H7" s="102"/>
      <c r="I7" s="102"/>
      <c r="J7" s="100"/>
      <c r="K7" s="103"/>
      <c r="L7" s="102"/>
      <c r="M7" s="104"/>
      <c r="N7" s="88"/>
      <c r="O7" s="88"/>
      <c r="P7" s="88"/>
      <c r="Q7" s="26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 t="s">
        <v>114</v>
      </c>
      <c r="B8" s="90" t="s">
        <v>27</v>
      </c>
      <c r="C8" s="97">
        <v>34</v>
      </c>
      <c r="D8" s="97">
        <v>0.31</v>
      </c>
      <c r="E8" s="102">
        <v>4.2958246826547246E-2</v>
      </c>
      <c r="F8" s="397">
        <v>9.5268959435626091E-2</v>
      </c>
      <c r="G8" s="397">
        <v>0.12361728395061726</v>
      </c>
      <c r="H8" s="102">
        <v>2.5354407605791113E-4</v>
      </c>
      <c r="I8" s="397">
        <v>1.0456349206349205E-2</v>
      </c>
      <c r="J8" s="100">
        <f t="shared" ref="J8:J13" si="0">0.89*I8</f>
        <v>9.3061507936507935E-3</v>
      </c>
      <c r="K8" s="103">
        <v>19.61276416423032</v>
      </c>
      <c r="L8" s="102">
        <v>4.8141782348593348E-3</v>
      </c>
      <c r="M8" s="104">
        <f t="shared" ref="M8:M13" si="1">0.095*G8</f>
        <v>1.174364197530864E-2</v>
      </c>
      <c r="N8" s="88">
        <v>2</v>
      </c>
      <c r="O8" s="88">
        <v>8</v>
      </c>
      <c r="P8" s="88">
        <v>4</v>
      </c>
      <c r="Q8" s="26">
        <f t="shared" ref="Q8:Y13" si="2">(E8*$N8*$O8)</f>
        <v>0.68733194922475593</v>
      </c>
      <c r="R8" s="26">
        <f t="shared" si="2"/>
        <v>1.5243033509700175</v>
      </c>
      <c r="S8" s="26">
        <f t="shared" si="2"/>
        <v>1.9778765432098762</v>
      </c>
      <c r="T8" s="26">
        <f t="shared" si="2"/>
        <v>4.0567052169265781E-3</v>
      </c>
      <c r="U8" s="26">
        <f t="shared" si="2"/>
        <v>0.16730158730158728</v>
      </c>
      <c r="V8" s="26">
        <f t="shared" si="2"/>
        <v>0.1488984126984127</v>
      </c>
      <c r="W8" s="26">
        <f t="shared" si="2"/>
        <v>313.80422662768513</v>
      </c>
      <c r="X8" s="26">
        <f t="shared" si="2"/>
        <v>7.7026851757749357E-2</v>
      </c>
      <c r="Y8" s="26">
        <f t="shared" si="2"/>
        <v>0.18789827160493824</v>
      </c>
    </row>
    <row r="9" spans="1:25" s="3" customFormat="1">
      <c r="A9" s="24" t="s">
        <v>298</v>
      </c>
      <c r="B9" s="29" t="s">
        <v>27</v>
      </c>
      <c r="C9" s="97">
        <v>300</v>
      </c>
      <c r="D9" s="97"/>
      <c r="E9" s="102">
        <v>0.12431762378554365</v>
      </c>
      <c r="F9" s="102">
        <v>0.4868439847761532</v>
      </c>
      <c r="G9" s="102">
        <v>1.0415214118246066</v>
      </c>
      <c r="H9" s="102">
        <v>2.4954334272364047E-3</v>
      </c>
      <c r="I9" s="102">
        <v>3.5011591348186828E-2</v>
      </c>
      <c r="J9" s="100">
        <f t="shared" si="0"/>
        <v>3.1160316299886276E-2</v>
      </c>
      <c r="K9" s="103">
        <v>254.23851177178003</v>
      </c>
      <c r="L9" s="102">
        <v>1.1216977037398481E-2</v>
      </c>
      <c r="M9" s="104">
        <f t="shared" si="1"/>
        <v>9.8944534123337619E-2</v>
      </c>
      <c r="N9" s="88">
        <v>1</v>
      </c>
      <c r="O9" s="88">
        <v>8</v>
      </c>
      <c r="P9" s="88">
        <v>4</v>
      </c>
      <c r="Q9" s="26">
        <f t="shared" si="2"/>
        <v>0.99454099028434917</v>
      </c>
      <c r="R9" s="26">
        <f t="shared" si="2"/>
        <v>3.8947518782092256</v>
      </c>
      <c r="S9" s="26">
        <f t="shared" si="2"/>
        <v>8.3321712945968525</v>
      </c>
      <c r="T9" s="26">
        <f t="shared" si="2"/>
        <v>1.9963467417891238E-2</v>
      </c>
      <c r="U9" s="26">
        <f t="shared" si="2"/>
        <v>0.28009273078549463</v>
      </c>
      <c r="V9" s="26">
        <f t="shared" si="2"/>
        <v>0.24928253039909021</v>
      </c>
      <c r="W9" s="26">
        <f t="shared" si="2"/>
        <v>2033.9080941742402</v>
      </c>
      <c r="X9" s="26">
        <f t="shared" si="2"/>
        <v>8.9735816299187851E-2</v>
      </c>
      <c r="Y9" s="26">
        <f t="shared" si="2"/>
        <v>0.79155627298670095</v>
      </c>
    </row>
    <row r="10" spans="1:25" s="3" customFormat="1">
      <c r="A10" s="24" t="s">
        <v>411</v>
      </c>
      <c r="B10" s="29" t="s">
        <v>27</v>
      </c>
      <c r="C10" s="97">
        <v>300</v>
      </c>
      <c r="D10" s="97"/>
      <c r="E10" s="102">
        <v>0.12431762378554365</v>
      </c>
      <c r="F10" s="102">
        <v>0.4868439847761532</v>
      </c>
      <c r="G10" s="102">
        <v>1.0415214118246066</v>
      </c>
      <c r="H10" s="102">
        <v>2.4954334272364047E-3</v>
      </c>
      <c r="I10" s="102">
        <v>3.5011591348186828E-2</v>
      </c>
      <c r="J10" s="100">
        <f t="shared" ref="J10" si="3">0.89*I10</f>
        <v>3.1160316299886276E-2</v>
      </c>
      <c r="K10" s="103">
        <v>254.23850326322778</v>
      </c>
      <c r="L10" s="102">
        <v>1.2442241704011571E-2</v>
      </c>
      <c r="M10" s="104">
        <f t="shared" ref="M10" si="4">0.095*G10</f>
        <v>9.8944534123337619E-2</v>
      </c>
      <c r="N10" s="88">
        <v>1</v>
      </c>
      <c r="O10" s="88">
        <v>8</v>
      </c>
      <c r="P10" s="88">
        <v>4</v>
      </c>
      <c r="Q10" s="26">
        <f t="shared" ref="Q10" si="5">(E10*$N10*$O10)</f>
        <v>0.99454099028434917</v>
      </c>
      <c r="R10" s="26">
        <f t="shared" ref="R10" si="6">(F10*$N10*$O10)</f>
        <v>3.8947518782092256</v>
      </c>
      <c r="S10" s="26">
        <f t="shared" ref="S10" si="7">(G10*$N10*$O10)</f>
        <v>8.3321712945968525</v>
      </c>
      <c r="T10" s="26">
        <f t="shared" ref="T10" si="8">(H10*$N10*$O10)</f>
        <v>1.9963467417891238E-2</v>
      </c>
      <c r="U10" s="26">
        <f t="shared" ref="U10" si="9">(I10*$N10*$O10)</f>
        <v>0.28009273078549463</v>
      </c>
      <c r="V10" s="26">
        <f t="shared" ref="V10" si="10">(J10*$N10*$O10)</f>
        <v>0.24928253039909021</v>
      </c>
      <c r="W10" s="26">
        <f t="shared" ref="W10" si="11">(K10*$N10*$O10)</f>
        <v>2033.9080261058223</v>
      </c>
      <c r="X10" s="26">
        <f t="shared" ref="X10" si="12">(L10*$N10*$O10)</f>
        <v>9.9537933632092568E-2</v>
      </c>
      <c r="Y10" s="26">
        <f t="shared" ref="Y10" si="13">(M10*$N10*$O10)</f>
        <v>0.79155627298670095</v>
      </c>
    </row>
    <row r="11" spans="1:25" s="3" customFormat="1">
      <c r="A11" s="24" t="s">
        <v>132</v>
      </c>
      <c r="B11" s="29" t="s">
        <v>27</v>
      </c>
      <c r="C11" s="97">
        <v>300</v>
      </c>
      <c r="D11" s="97"/>
      <c r="E11" s="102">
        <v>0.12431762378554365</v>
      </c>
      <c r="F11" s="102">
        <v>0.4868439847761532</v>
      </c>
      <c r="G11" s="102">
        <v>1.0415214118246066</v>
      </c>
      <c r="H11" s="102">
        <v>2.4954334272364047E-3</v>
      </c>
      <c r="I11" s="102">
        <v>3.5011591348186828E-2</v>
      </c>
      <c r="J11" s="100">
        <f t="shared" si="0"/>
        <v>3.1160316299886276E-2</v>
      </c>
      <c r="K11" s="103">
        <v>254.23850326322778</v>
      </c>
      <c r="L11" s="102">
        <v>1.2442241704011571E-2</v>
      </c>
      <c r="M11" s="104">
        <f t="shared" si="1"/>
        <v>9.8944534123337619E-2</v>
      </c>
      <c r="N11" s="88">
        <v>1</v>
      </c>
      <c r="O11" s="88">
        <v>8</v>
      </c>
      <c r="P11" s="88">
        <v>4</v>
      </c>
      <c r="Q11" s="26">
        <f t="shared" si="2"/>
        <v>0.99454099028434917</v>
      </c>
      <c r="R11" s="26">
        <f t="shared" si="2"/>
        <v>3.8947518782092256</v>
      </c>
      <c r="S11" s="26">
        <f t="shared" si="2"/>
        <v>8.3321712945968525</v>
      </c>
      <c r="T11" s="26">
        <f t="shared" si="2"/>
        <v>1.9963467417891238E-2</v>
      </c>
      <c r="U11" s="26">
        <f t="shared" si="2"/>
        <v>0.28009273078549463</v>
      </c>
      <c r="V11" s="26">
        <f t="shared" si="2"/>
        <v>0.24928253039909021</v>
      </c>
      <c r="W11" s="26">
        <f t="shared" si="2"/>
        <v>2033.9080261058223</v>
      </c>
      <c r="X11" s="26">
        <f t="shared" si="2"/>
        <v>9.9537933632092568E-2</v>
      </c>
      <c r="Y11" s="26">
        <f t="shared" si="2"/>
        <v>0.79155627298670095</v>
      </c>
    </row>
    <row r="12" spans="1:25" s="3" customFormat="1">
      <c r="A12" s="24" t="s">
        <v>297</v>
      </c>
      <c r="B12" s="29" t="s">
        <v>27</v>
      </c>
      <c r="C12" s="97">
        <v>235</v>
      </c>
      <c r="D12" s="97"/>
      <c r="E12" s="102">
        <v>0.11792220738547983</v>
      </c>
      <c r="F12" s="102">
        <v>0.36512193352152528</v>
      </c>
      <c r="G12" s="102">
        <v>0.86781464282266541</v>
      </c>
      <c r="H12" s="102">
        <v>1.8739217498104396E-3</v>
      </c>
      <c r="I12" s="102">
        <v>2.9041712295589866E-2</v>
      </c>
      <c r="J12" s="100">
        <f t="shared" si="0"/>
        <v>2.5847123943074982E-2</v>
      </c>
      <c r="K12" s="103">
        <v>166.54541562452522</v>
      </c>
      <c r="L12" s="102">
        <v>1.063993297769634E-2</v>
      </c>
      <c r="M12" s="104">
        <f t="shared" si="1"/>
        <v>8.2442391068153209E-2</v>
      </c>
      <c r="N12" s="88">
        <v>1</v>
      </c>
      <c r="O12" s="88">
        <v>8</v>
      </c>
      <c r="P12" s="88">
        <v>4</v>
      </c>
      <c r="Q12" s="26">
        <f t="shared" si="2"/>
        <v>0.94337765908383864</v>
      </c>
      <c r="R12" s="26">
        <f t="shared" si="2"/>
        <v>2.9209754681722022</v>
      </c>
      <c r="S12" s="26">
        <f t="shared" si="2"/>
        <v>6.9425171425813232</v>
      </c>
      <c r="T12" s="26">
        <f t="shared" si="2"/>
        <v>1.4991373998483517E-2</v>
      </c>
      <c r="U12" s="26">
        <f t="shared" si="2"/>
        <v>0.23233369836471893</v>
      </c>
      <c r="V12" s="26">
        <f t="shared" si="2"/>
        <v>0.20677699154459986</v>
      </c>
      <c r="W12" s="26">
        <f t="shared" si="2"/>
        <v>1332.3633249962018</v>
      </c>
      <c r="X12" s="26">
        <f t="shared" si="2"/>
        <v>8.5119463821570721E-2</v>
      </c>
      <c r="Y12" s="26">
        <f t="shared" si="2"/>
        <v>0.65953912854522567</v>
      </c>
    </row>
    <row r="13" spans="1:25" s="3" customFormat="1">
      <c r="A13" s="24" t="s">
        <v>129</v>
      </c>
      <c r="B13" s="29" t="s">
        <v>27</v>
      </c>
      <c r="C13" s="97">
        <v>399</v>
      </c>
      <c r="D13" s="97">
        <v>0.28999999999999998</v>
      </c>
      <c r="E13" s="418">
        <v>0.13249726882716423</v>
      </c>
      <c r="F13" s="397">
        <v>0.66324074074074058</v>
      </c>
      <c r="G13" s="397">
        <v>1.1632222222222219</v>
      </c>
      <c r="H13" s="418">
        <v>1.7677529729271738E-3</v>
      </c>
      <c r="I13" s="397">
        <v>3.8263888888888889E-2</v>
      </c>
      <c r="J13" s="100">
        <f t="shared" si="0"/>
        <v>3.4054861111111112E-2</v>
      </c>
      <c r="K13" s="103">
        <v>180.10131655574588</v>
      </c>
      <c r="L13" s="102">
        <v>1.3243614024502522E-2</v>
      </c>
      <c r="M13" s="104">
        <f t="shared" si="1"/>
        <v>0.11050611111111108</v>
      </c>
      <c r="N13" s="88">
        <v>1</v>
      </c>
      <c r="O13" s="88">
        <v>8</v>
      </c>
      <c r="P13" s="88">
        <v>4</v>
      </c>
      <c r="Q13" s="26">
        <f t="shared" si="2"/>
        <v>1.0599781506173138</v>
      </c>
      <c r="R13" s="26">
        <f t="shared" si="2"/>
        <v>5.3059259259259246</v>
      </c>
      <c r="S13" s="26">
        <f t="shared" si="2"/>
        <v>9.3057777777777755</v>
      </c>
      <c r="T13" s="26">
        <f t="shared" si="2"/>
        <v>1.414202378341739E-2</v>
      </c>
      <c r="U13" s="26">
        <f t="shared" si="2"/>
        <v>0.30611111111111111</v>
      </c>
      <c r="V13" s="26">
        <f t="shared" si="2"/>
        <v>0.2724388888888889</v>
      </c>
      <c r="W13" s="26">
        <f t="shared" si="2"/>
        <v>1440.8105324459671</v>
      </c>
      <c r="X13" s="26">
        <f t="shared" si="2"/>
        <v>0.10594891219602018</v>
      </c>
      <c r="Y13" s="26">
        <f t="shared" si="2"/>
        <v>0.88404888888888866</v>
      </c>
    </row>
    <row r="14" spans="1:25" s="3" customFormat="1">
      <c r="A14" s="24" t="s">
        <v>482</v>
      </c>
      <c r="B14" s="29"/>
      <c r="C14" s="97"/>
      <c r="D14" s="97"/>
      <c r="E14" s="418"/>
      <c r="F14" s="397"/>
      <c r="G14" s="397"/>
      <c r="H14" s="418"/>
      <c r="I14" s="397"/>
      <c r="J14" s="100"/>
      <c r="K14" s="103"/>
      <c r="L14" s="102"/>
      <c r="M14" s="104"/>
      <c r="N14" s="88"/>
      <c r="O14" s="88"/>
      <c r="P14" s="88"/>
      <c r="Q14" s="26">
        <f>D36</f>
        <v>0.38017825944708816</v>
      </c>
      <c r="R14" s="34">
        <f>C36</f>
        <v>4.1318309974384855</v>
      </c>
      <c r="S14" s="34">
        <f>E36</f>
        <v>5.1193887557344739</v>
      </c>
      <c r="T14" s="34"/>
      <c r="U14" s="34"/>
      <c r="V14" s="34"/>
      <c r="W14" s="34">
        <f>D64*2000</f>
        <v>1304.3051539961016</v>
      </c>
      <c r="X14" s="34">
        <f>E64*2000</f>
        <v>0.23238013937621832</v>
      </c>
      <c r="Y14" s="34">
        <f>F64*2000</f>
        <v>0.20239560526315795</v>
      </c>
    </row>
    <row r="15" spans="1:25" s="3" customFormat="1">
      <c r="A15" s="17" t="s">
        <v>28</v>
      </c>
      <c r="B15" s="29"/>
      <c r="C15" s="97"/>
      <c r="D15" s="12"/>
      <c r="E15" s="102"/>
      <c r="F15" s="102"/>
      <c r="G15" s="102"/>
      <c r="H15" s="102"/>
      <c r="I15" s="102"/>
      <c r="J15" s="100"/>
      <c r="K15" s="103"/>
      <c r="L15" s="102"/>
      <c r="M15" s="104"/>
      <c r="N15" s="88"/>
      <c r="O15" s="88"/>
      <c r="P15" s="88"/>
      <c r="Q15" s="27">
        <f t="shared" ref="Q15:Y15" si="14">SUM(Q8:Q14)</f>
        <v>6.0544889892260443</v>
      </c>
      <c r="R15" s="101">
        <f t="shared" si="14"/>
        <v>25.567291377134303</v>
      </c>
      <c r="S15" s="101">
        <f t="shared" si="14"/>
        <v>48.342074103094014</v>
      </c>
      <c r="T15" s="101">
        <f t="shared" si="14"/>
        <v>9.3080505252501194E-2</v>
      </c>
      <c r="U15" s="101">
        <f t="shared" si="14"/>
        <v>1.5460245891339013</v>
      </c>
      <c r="V15" s="101">
        <f t="shared" si="14"/>
        <v>1.3759618843291721</v>
      </c>
      <c r="W15" s="101">
        <f t="shared" si="14"/>
        <v>10493.007384451839</v>
      </c>
      <c r="X15" s="101">
        <f t="shared" si="14"/>
        <v>0.78928705071493166</v>
      </c>
      <c r="Y15" s="101">
        <f t="shared" si="14"/>
        <v>4.3085507132623135</v>
      </c>
    </row>
    <row r="18" spans="1:21" ht="15">
      <c r="A18" s="451" t="s">
        <v>478</v>
      </c>
      <c r="B18" s="452"/>
      <c r="C18" s="452"/>
      <c r="D18" s="452"/>
      <c r="E18" s="453"/>
      <c r="F18" s="452"/>
      <c r="G18" s="452"/>
      <c r="H18" s="452"/>
      <c r="I18" s="452"/>
      <c r="J18" s="452"/>
      <c r="K18" s="452"/>
      <c r="L18" s="452"/>
      <c r="M18" s="452"/>
      <c r="N18" s="452"/>
      <c r="O18" s="452"/>
      <c r="P18" s="452"/>
      <c r="Q18" s="452"/>
      <c r="R18" s="452"/>
      <c r="S18" s="452"/>
      <c r="T18" s="452"/>
      <c r="U18" s="452"/>
    </row>
    <row r="19" spans="1:21" ht="21.75" thickBot="1">
      <c r="A19" s="643" t="s">
        <v>479</v>
      </c>
      <c r="B19" s="643"/>
      <c r="C19" s="643"/>
      <c r="D19" s="643"/>
      <c r="E19" s="643"/>
      <c r="F19" s="643"/>
      <c r="G19" s="643"/>
      <c r="H19" s="643"/>
      <c r="I19" s="452"/>
      <c r="J19" s="452"/>
      <c r="K19" s="452"/>
      <c r="L19" s="452"/>
      <c r="M19" s="452"/>
      <c r="N19" s="452"/>
      <c r="O19" s="452"/>
      <c r="P19" s="452"/>
      <c r="Q19" s="452"/>
      <c r="R19" s="452"/>
      <c r="S19" s="452"/>
      <c r="T19" s="452"/>
      <c r="U19" s="452"/>
    </row>
    <row r="20" spans="1:21" ht="15.75" thickBot="1">
      <c r="A20" s="625" t="s">
        <v>192</v>
      </c>
      <c r="B20" s="626" t="s">
        <v>427</v>
      </c>
      <c r="C20" s="626" t="s">
        <v>428</v>
      </c>
      <c r="D20" s="626" t="s">
        <v>187</v>
      </c>
      <c r="E20" s="638" t="s">
        <v>186</v>
      </c>
      <c r="F20" s="640" t="s">
        <v>429</v>
      </c>
      <c r="G20" s="454"/>
      <c r="H20" s="454"/>
      <c r="I20" s="454"/>
      <c r="J20" s="454"/>
      <c r="K20" s="454"/>
      <c r="L20" s="454"/>
      <c r="M20" s="454"/>
      <c r="N20" s="454"/>
      <c r="O20" s="454"/>
      <c r="P20" s="454"/>
      <c r="Q20" s="454"/>
      <c r="R20" s="454"/>
      <c r="S20" s="454"/>
      <c r="T20" s="454"/>
      <c r="U20" s="454"/>
    </row>
    <row r="21" spans="1:21" ht="15">
      <c r="A21" s="628"/>
      <c r="B21" s="629"/>
      <c r="C21" s="629"/>
      <c r="D21" s="629"/>
      <c r="E21" s="639"/>
      <c r="F21" s="641"/>
      <c r="G21" s="642" t="s">
        <v>430</v>
      </c>
      <c r="H21" s="626"/>
      <c r="I21" s="626"/>
      <c r="J21" s="626"/>
      <c r="K21" s="627"/>
      <c r="L21" s="625" t="s">
        <v>431</v>
      </c>
      <c r="M21" s="626"/>
      <c r="N21" s="626"/>
      <c r="O21" s="626"/>
      <c r="P21" s="627"/>
      <c r="Q21" s="625" t="s">
        <v>432</v>
      </c>
      <c r="R21" s="626"/>
      <c r="S21" s="626"/>
      <c r="T21" s="626"/>
      <c r="U21" s="627"/>
    </row>
    <row r="22" spans="1:21" ht="15">
      <c r="A22" s="455" t="s">
        <v>164</v>
      </c>
      <c r="B22" s="456" t="s">
        <v>163</v>
      </c>
      <c r="C22" s="456" t="s">
        <v>433</v>
      </c>
      <c r="D22" s="456"/>
      <c r="E22" s="456"/>
      <c r="F22" s="457"/>
      <c r="G22" s="458" t="s">
        <v>55</v>
      </c>
      <c r="H22" s="459" t="s">
        <v>181</v>
      </c>
      <c r="I22" s="459" t="s">
        <v>73</v>
      </c>
      <c r="J22" s="459" t="s">
        <v>434</v>
      </c>
      <c r="K22" s="460" t="s">
        <v>139</v>
      </c>
      <c r="L22" s="458" t="s">
        <v>55</v>
      </c>
      <c r="M22" s="459" t="s">
        <v>181</v>
      </c>
      <c r="N22" s="459" t="s">
        <v>73</v>
      </c>
      <c r="O22" s="459" t="s">
        <v>434</v>
      </c>
      <c r="P22" s="460" t="s">
        <v>139</v>
      </c>
      <c r="Q22" s="458" t="s">
        <v>55</v>
      </c>
      <c r="R22" s="459" t="s">
        <v>181</v>
      </c>
      <c r="S22" s="459" t="s">
        <v>73</v>
      </c>
      <c r="T22" s="459" t="s">
        <v>434</v>
      </c>
      <c r="U22" s="460" t="s">
        <v>139</v>
      </c>
    </row>
    <row r="23" spans="1:21" ht="15">
      <c r="A23" s="455"/>
      <c r="B23" s="456"/>
      <c r="C23" s="456"/>
      <c r="D23" s="456" t="s">
        <v>165</v>
      </c>
      <c r="E23" s="456">
        <v>8.1539999999999998E-3</v>
      </c>
      <c r="F23" s="457">
        <v>19</v>
      </c>
      <c r="G23" s="455">
        <v>2.199837</v>
      </c>
      <c r="H23" s="456">
        <v>23.004097000000002</v>
      </c>
      <c r="I23" s="456">
        <v>2.199837</v>
      </c>
      <c r="J23" s="456">
        <v>1.292</v>
      </c>
      <c r="K23" s="461" t="s">
        <v>104</v>
      </c>
      <c r="L23" s="455">
        <f t="shared" ref="L23:P27" si="15">G23*$E23*$F23*60/453.59</f>
        <v>4.5081939248484318E-2</v>
      </c>
      <c r="M23" s="456">
        <f t="shared" si="15"/>
        <v>0.4714300666004983</v>
      </c>
      <c r="N23" s="456">
        <f t="shared" si="15"/>
        <v>4.5081939248484318E-2</v>
      </c>
      <c r="O23" s="456">
        <f t="shared" si="15"/>
        <v>2.647735514451377E-2</v>
      </c>
      <c r="P23" s="461" t="e">
        <f t="shared" si="15"/>
        <v>#VALUE!</v>
      </c>
      <c r="Q23" s="455"/>
      <c r="R23" s="456"/>
      <c r="S23" s="456"/>
      <c r="T23" s="456"/>
      <c r="U23" s="461"/>
    </row>
    <row r="24" spans="1:21" ht="15">
      <c r="A24" s="455"/>
      <c r="B24" s="456"/>
      <c r="C24" s="456"/>
      <c r="D24" s="456" t="s">
        <v>160</v>
      </c>
      <c r="E24" s="456">
        <v>3.1642000000000003E-2</v>
      </c>
      <c r="F24" s="457">
        <v>10.4</v>
      </c>
      <c r="G24" s="455">
        <v>6.5999939999999997</v>
      </c>
      <c r="H24" s="456">
        <v>0.40267500000000001</v>
      </c>
      <c r="I24" s="456">
        <v>6.5999939999999997</v>
      </c>
      <c r="J24" s="456">
        <v>1.292</v>
      </c>
      <c r="K24" s="461" t="s">
        <v>104</v>
      </c>
      <c r="L24" s="455">
        <f t="shared" si="15"/>
        <v>0.28729534234077475</v>
      </c>
      <c r="M24" s="456">
        <f t="shared" si="15"/>
        <v>1.7528296537401622E-2</v>
      </c>
      <c r="N24" s="456">
        <f t="shared" si="15"/>
        <v>0.28729534234077475</v>
      </c>
      <c r="O24" s="456">
        <f t="shared" si="15"/>
        <v>5.6240290870610034E-2</v>
      </c>
      <c r="P24" s="461" t="e">
        <f t="shared" si="15"/>
        <v>#VALUE!</v>
      </c>
      <c r="Q24" s="455"/>
      <c r="R24" s="456"/>
      <c r="S24" s="456"/>
      <c r="T24" s="456"/>
      <c r="U24" s="461"/>
    </row>
    <row r="25" spans="1:21" ht="15">
      <c r="A25" s="455"/>
      <c r="B25" s="456"/>
      <c r="C25" s="456"/>
      <c r="D25" s="456" t="s">
        <v>159</v>
      </c>
      <c r="E25" s="456">
        <v>2.8926E-2</v>
      </c>
      <c r="F25" s="457">
        <v>0.09</v>
      </c>
      <c r="G25" s="455">
        <v>5.9811420000000002</v>
      </c>
      <c r="H25" s="456">
        <v>0.40833700000000001</v>
      </c>
      <c r="I25" s="456">
        <v>5.9811420000000002</v>
      </c>
      <c r="J25" s="456">
        <v>1.292</v>
      </c>
      <c r="K25" s="461" t="s">
        <v>104</v>
      </c>
      <c r="L25" s="455">
        <f t="shared" si="15"/>
        <v>2.0596943778672366E-3</v>
      </c>
      <c r="M25" s="456">
        <f t="shared" si="15"/>
        <v>1.4061686266187527E-4</v>
      </c>
      <c r="N25" s="456">
        <f t="shared" si="15"/>
        <v>2.0596943778672366E-3</v>
      </c>
      <c r="O25" s="456">
        <f t="shared" si="15"/>
        <v>4.449192371965873E-4</v>
      </c>
      <c r="P25" s="461" t="e">
        <f t="shared" si="15"/>
        <v>#VALUE!</v>
      </c>
      <c r="Q25" s="455">
        <f>$E25*G25*3600/453.59</f>
        <v>1.3731295852448246</v>
      </c>
      <c r="R25" s="456">
        <f>$E25*H25*3600/453.59</f>
        <v>9.3744575107916853E-2</v>
      </c>
      <c r="S25" s="456">
        <f>$E25*I25*3600/453.59</f>
        <v>1.3731295852448246</v>
      </c>
      <c r="T25" s="456">
        <f>$E25*J25*3600/453.59</f>
        <v>0.29661282479772488</v>
      </c>
      <c r="U25" s="461" t="s">
        <v>104</v>
      </c>
    </row>
    <row r="26" spans="1:21" ht="15">
      <c r="A26" s="455"/>
      <c r="B26" s="456"/>
      <c r="C26" s="456"/>
      <c r="D26" s="456" t="s">
        <v>158</v>
      </c>
      <c r="E26" s="456">
        <v>1.0515999999999999E-2</v>
      </c>
      <c r="F26" s="457">
        <v>10.050000000000001</v>
      </c>
      <c r="G26" s="455">
        <v>2.200637</v>
      </c>
      <c r="H26" s="456">
        <v>5.9887670000000002</v>
      </c>
      <c r="I26" s="456">
        <v>2.200637</v>
      </c>
      <c r="J26" s="456">
        <v>1.292</v>
      </c>
      <c r="K26" s="461" t="s">
        <v>104</v>
      </c>
      <c r="L26" s="455">
        <f t="shared" si="15"/>
        <v>3.0764710225701625E-2</v>
      </c>
      <c r="M26" s="456">
        <f t="shared" si="15"/>
        <v>8.3722431897784333E-2</v>
      </c>
      <c r="N26" s="456">
        <f t="shared" si="15"/>
        <v>3.0764710225701625E-2</v>
      </c>
      <c r="O26" s="456">
        <f t="shared" si="15"/>
        <v>1.8062045494830134E-2</v>
      </c>
      <c r="P26" s="461" t="e">
        <f t="shared" si="15"/>
        <v>#VALUE!</v>
      </c>
      <c r="Q26" s="455"/>
      <c r="R26" s="456"/>
      <c r="S26" s="456"/>
      <c r="T26" s="456"/>
      <c r="U26" s="461"/>
    </row>
    <row r="27" spans="1:21" ht="15.75" thickBot="1">
      <c r="A27" s="462"/>
      <c r="B27" s="463"/>
      <c r="C27" s="463"/>
      <c r="D27" s="463" t="s">
        <v>157</v>
      </c>
      <c r="E27" s="463">
        <v>8.1539999999999998E-3</v>
      </c>
      <c r="F27" s="464">
        <v>7</v>
      </c>
      <c r="G27" s="462">
        <v>2.199837</v>
      </c>
      <c r="H27" s="463">
        <v>23.004097000000002</v>
      </c>
      <c r="I27" s="463">
        <v>2.199837</v>
      </c>
      <c r="J27" s="463">
        <v>1.292</v>
      </c>
      <c r="K27" s="465" t="s">
        <v>104</v>
      </c>
      <c r="L27" s="462">
        <f t="shared" si="15"/>
        <v>1.6609135512599488E-2</v>
      </c>
      <c r="M27" s="463">
        <f t="shared" si="15"/>
        <v>0.17368476137913094</v>
      </c>
      <c r="N27" s="463">
        <f t="shared" si="15"/>
        <v>1.6609135512599488E-2</v>
      </c>
      <c r="O27" s="463">
        <f t="shared" si="15"/>
        <v>9.7548150532419144E-3</v>
      </c>
      <c r="P27" s="465" t="e">
        <f t="shared" si="15"/>
        <v>#VALUE!</v>
      </c>
      <c r="Q27" s="462"/>
      <c r="R27" s="463"/>
      <c r="S27" s="463"/>
      <c r="T27" s="463"/>
      <c r="U27" s="465"/>
    </row>
    <row r="28" spans="1:21" ht="16.5" thickTop="1" thickBot="1">
      <c r="A28" s="466"/>
      <c r="B28" s="467"/>
      <c r="C28" s="467"/>
      <c r="D28" s="467"/>
      <c r="E28" s="467"/>
      <c r="F28" s="468"/>
      <c r="G28" s="466"/>
      <c r="H28" s="630" t="s">
        <v>435</v>
      </c>
      <c r="I28" s="631"/>
      <c r="J28" s="631"/>
      <c r="K28" s="631"/>
      <c r="L28" s="517">
        <f>SUM(L23:L27)</f>
        <v>0.38181082170542735</v>
      </c>
      <c r="M28" s="518">
        <f>SUM(M23:M27)</f>
        <v>0.74650617327747704</v>
      </c>
      <c r="N28" s="518">
        <f>SUM(N23:N27)</f>
        <v>0.38181082170542735</v>
      </c>
      <c r="O28" s="518">
        <f>SUM(O23:O27)</f>
        <v>0.11097942580039243</v>
      </c>
      <c r="P28" s="469"/>
      <c r="Q28" s="466"/>
      <c r="R28" s="467"/>
      <c r="S28" s="467"/>
      <c r="T28" s="470"/>
      <c r="U28" s="470"/>
    </row>
    <row r="30" spans="1:21" ht="15.75">
      <c r="A30" s="480" t="s">
        <v>438</v>
      </c>
      <c r="B30" s="481"/>
      <c r="C30" s="481"/>
      <c r="D30" s="481"/>
      <c r="E30" s="482"/>
    </row>
    <row r="31" spans="1:21" ht="15.75" thickBot="1">
      <c r="A31" s="484" t="s">
        <v>439</v>
      </c>
      <c r="B31" s="481"/>
      <c r="C31" s="481"/>
      <c r="D31" s="481"/>
      <c r="E31" s="482"/>
    </row>
    <row r="32" spans="1:21" ht="15.75">
      <c r="A32" s="632" t="s">
        <v>440</v>
      </c>
      <c r="B32" s="633"/>
      <c r="C32" s="623" t="s">
        <v>441</v>
      </c>
      <c r="D32" s="623"/>
      <c r="E32" s="624"/>
    </row>
    <row r="33" spans="1:12" ht="19.5" thickBot="1">
      <c r="A33" s="634"/>
      <c r="B33" s="635"/>
      <c r="C33" s="472" t="s">
        <v>55</v>
      </c>
      <c r="D33" s="472" t="s">
        <v>436</v>
      </c>
      <c r="E33" s="473" t="s">
        <v>437</v>
      </c>
    </row>
    <row r="34" spans="1:12" ht="15">
      <c r="A34" s="636" t="s">
        <v>480</v>
      </c>
      <c r="B34" s="637"/>
      <c r="C34" s="474">
        <f>L10</f>
        <v>1.2442241704011571E-2</v>
      </c>
      <c r="D34" s="474">
        <f>M10</f>
        <v>9.8944534123337619E-2</v>
      </c>
      <c r="E34" s="475">
        <f>N10</f>
        <v>1</v>
      </c>
    </row>
    <row r="35" spans="1:12" ht="15">
      <c r="A35" s="485" t="s">
        <v>442</v>
      </c>
      <c r="B35" s="485"/>
      <c r="C35" s="476">
        <f>3*Q25</f>
        <v>4.1193887557344739</v>
      </c>
      <c r="D35" s="476">
        <f>3*R25</f>
        <v>0.28123372532375057</v>
      </c>
      <c r="E35" s="476">
        <f>3*S25</f>
        <v>4.1193887557344739</v>
      </c>
    </row>
    <row r="36" spans="1:12" ht="15.75" thickBot="1">
      <c r="A36" s="651" t="s">
        <v>443</v>
      </c>
      <c r="B36" s="652"/>
      <c r="C36" s="486">
        <f>C34+C35</f>
        <v>4.1318309974384855</v>
      </c>
      <c r="D36" s="486">
        <f>D34+D35</f>
        <v>0.38017825944708816</v>
      </c>
      <c r="E36" s="486">
        <f>E34+E35</f>
        <v>5.1193887557344739</v>
      </c>
    </row>
    <row r="37" spans="1:12" ht="15">
      <c r="A37" s="477" t="s">
        <v>481</v>
      </c>
      <c r="B37" s="477"/>
      <c r="C37" s="477"/>
      <c r="D37" s="477"/>
      <c r="E37" s="478"/>
    </row>
    <row r="39" spans="1:12" ht="23.25">
      <c r="A39" s="653" t="s">
        <v>444</v>
      </c>
      <c r="B39" s="653"/>
      <c r="C39" s="653"/>
      <c r="D39" s="653"/>
      <c r="E39" s="653"/>
      <c r="F39" s="653"/>
      <c r="G39" s="653"/>
      <c r="H39" s="653"/>
      <c r="I39" s="653"/>
      <c r="J39" s="653"/>
      <c r="K39" s="653"/>
      <c r="L39" s="452"/>
    </row>
    <row r="40" spans="1:12" ht="21">
      <c r="A40" s="643" t="s">
        <v>479</v>
      </c>
      <c r="B40" s="643"/>
      <c r="C40" s="643"/>
      <c r="D40" s="643"/>
      <c r="E40" s="643"/>
      <c r="F40" s="643"/>
      <c r="G40" s="643"/>
      <c r="H40" s="643"/>
      <c r="I40" s="643"/>
      <c r="J40" s="643"/>
      <c r="K40" s="643"/>
      <c r="L40" s="452"/>
    </row>
    <row r="41" spans="1:12" ht="15.75">
      <c r="A41" s="487" t="s">
        <v>445</v>
      </c>
      <c r="B41" s="487"/>
      <c r="C41" s="487"/>
      <c r="D41" s="487"/>
      <c r="E41" s="488"/>
      <c r="F41" s="489"/>
      <c r="G41" s="489"/>
      <c r="H41" s="489"/>
      <c r="I41" s="489"/>
      <c r="J41" s="489"/>
      <c r="K41" s="489"/>
      <c r="L41" s="489"/>
    </row>
    <row r="42" spans="1:12" ht="15">
      <c r="A42" s="490" t="s">
        <v>446</v>
      </c>
      <c r="B42" s="491" t="s">
        <v>447</v>
      </c>
      <c r="C42" s="491" t="s">
        <v>448</v>
      </c>
      <c r="D42" s="492"/>
      <c r="E42" s="489"/>
      <c r="F42" s="489"/>
      <c r="G42" s="491"/>
      <c r="H42" s="489"/>
      <c r="I42" s="489"/>
      <c r="J42" s="489"/>
      <c r="K42" s="489"/>
      <c r="L42" s="452"/>
    </row>
    <row r="43" spans="1:12" ht="17.25">
      <c r="A43" s="493">
        <v>6.84</v>
      </c>
      <c r="B43" s="489" t="s">
        <v>449</v>
      </c>
      <c r="C43" s="489" t="s">
        <v>450</v>
      </c>
      <c r="D43" s="492"/>
      <c r="E43" s="489"/>
      <c r="F43" s="489"/>
      <c r="G43" s="491"/>
      <c r="H43" s="489"/>
      <c r="I43" s="489"/>
      <c r="J43" s="489"/>
      <c r="K43" s="489"/>
      <c r="L43" s="452"/>
    </row>
    <row r="44" spans="1:12" ht="15">
      <c r="A44" s="489">
        <v>142</v>
      </c>
      <c r="B44" s="489" t="s">
        <v>134</v>
      </c>
      <c r="C44" s="489" t="s">
        <v>451</v>
      </c>
      <c r="D44" s="492"/>
      <c r="E44" s="489"/>
      <c r="F44" s="489"/>
      <c r="G44" s="491"/>
      <c r="H44" s="489"/>
      <c r="I44" s="489"/>
      <c r="J44" s="489"/>
      <c r="K44" s="489"/>
      <c r="L44" s="452"/>
    </row>
    <row r="45" spans="1:12" ht="15">
      <c r="A45" s="494">
        <f>+A44/A$46</f>
        <v>0.20913107511045656</v>
      </c>
      <c r="B45" s="495" t="s">
        <v>452</v>
      </c>
      <c r="C45" s="495" t="s">
        <v>453</v>
      </c>
      <c r="D45" s="496"/>
      <c r="E45" s="495"/>
      <c r="F45" s="495"/>
      <c r="G45" s="497"/>
      <c r="H45" s="495"/>
      <c r="I45" s="495"/>
      <c r="J45" s="495"/>
      <c r="K45" s="495"/>
      <c r="L45" s="483"/>
    </row>
    <row r="46" spans="1:12" ht="15">
      <c r="A46" s="489">
        <v>679</v>
      </c>
      <c r="B46" s="489" t="s">
        <v>134</v>
      </c>
      <c r="C46" s="489" t="s">
        <v>454</v>
      </c>
      <c r="D46" s="492"/>
      <c r="E46" s="489"/>
      <c r="F46" s="489"/>
      <c r="G46" s="491"/>
      <c r="H46" s="489"/>
      <c r="I46" s="489"/>
      <c r="J46" s="489"/>
      <c r="K46" s="489"/>
      <c r="L46" s="452"/>
    </row>
    <row r="47" spans="1:12" ht="15">
      <c r="A47" s="494">
        <f>+A46/A$46</f>
        <v>1</v>
      </c>
      <c r="B47" s="495" t="s">
        <v>452</v>
      </c>
      <c r="C47" s="495" t="s">
        <v>455</v>
      </c>
      <c r="D47" s="496"/>
      <c r="E47" s="495"/>
      <c r="F47" s="495"/>
      <c r="G47" s="497"/>
      <c r="H47" s="495"/>
      <c r="I47" s="495"/>
      <c r="J47" s="495"/>
      <c r="K47" s="495"/>
      <c r="L47" s="483"/>
    </row>
    <row r="48" spans="1:12" ht="18">
      <c r="A48" s="489">
        <v>8.32</v>
      </c>
      <c r="B48" s="489" t="s">
        <v>456</v>
      </c>
      <c r="C48" s="489" t="s">
        <v>457</v>
      </c>
      <c r="D48" s="498"/>
      <c r="E48" s="489"/>
      <c r="F48" s="489"/>
      <c r="G48" s="489"/>
      <c r="H48" s="489"/>
      <c r="I48" s="489"/>
      <c r="J48" s="489"/>
      <c r="K48" s="489"/>
      <c r="L48" s="452"/>
    </row>
    <row r="49" spans="1:12" ht="18">
      <c r="A49" s="489">
        <v>0.31</v>
      </c>
      <c r="B49" s="489" t="s">
        <v>458</v>
      </c>
      <c r="C49" s="489" t="s">
        <v>459</v>
      </c>
      <c r="D49" s="498"/>
      <c r="E49" s="489"/>
      <c r="F49" s="489"/>
      <c r="G49" s="489"/>
      <c r="H49" s="489"/>
      <c r="I49" s="489"/>
      <c r="J49" s="489"/>
      <c r="K49" s="489"/>
      <c r="L49" s="452"/>
    </row>
    <row r="50" spans="1:12" ht="18">
      <c r="A50" s="489">
        <v>0.27</v>
      </c>
      <c r="B50" s="489" t="s">
        <v>460</v>
      </c>
      <c r="C50" s="489" t="s">
        <v>461</v>
      </c>
      <c r="D50" s="498"/>
      <c r="E50" s="489"/>
      <c r="F50" s="489"/>
      <c r="G50" s="489"/>
      <c r="H50" s="489"/>
      <c r="I50" s="489"/>
      <c r="J50" s="489"/>
      <c r="K50" s="489"/>
      <c r="L50" s="452"/>
    </row>
    <row r="51" spans="1:12" ht="15">
      <c r="A51" s="489"/>
      <c r="B51" s="489"/>
      <c r="C51" s="489"/>
      <c r="D51" s="489"/>
      <c r="E51" s="498"/>
      <c r="F51" s="489"/>
      <c r="G51" s="489"/>
      <c r="H51" s="489"/>
      <c r="I51" s="489"/>
      <c r="J51" s="489"/>
      <c r="K51" s="489"/>
      <c r="L51" s="452"/>
    </row>
    <row r="52" spans="1:12" ht="15">
      <c r="A52" s="499" t="s">
        <v>462</v>
      </c>
      <c r="B52" s="499"/>
      <c r="C52" s="499"/>
      <c r="D52" s="499"/>
      <c r="E52" s="500"/>
      <c r="F52" s="501"/>
      <c r="G52" s="501"/>
      <c r="H52" s="479"/>
      <c r="I52" s="479"/>
      <c r="J52" s="479"/>
      <c r="K52" s="479"/>
      <c r="L52" s="479"/>
    </row>
    <row r="53" spans="1:12" ht="15">
      <c r="A53" s="499" t="s">
        <v>463</v>
      </c>
      <c r="B53" s="499"/>
      <c r="C53" s="499"/>
      <c r="D53" s="499"/>
      <c r="E53" s="500"/>
      <c r="F53" s="501"/>
      <c r="G53" s="501"/>
      <c r="H53" s="479"/>
      <c r="I53" s="479"/>
      <c r="J53" s="479"/>
      <c r="K53" s="479"/>
      <c r="L53" s="479"/>
    </row>
    <row r="54" spans="1:12" ht="15">
      <c r="A54" s="499" t="s">
        <v>464</v>
      </c>
      <c r="B54" s="499"/>
      <c r="C54" s="499"/>
      <c r="D54" s="499"/>
      <c r="E54" s="500"/>
      <c r="F54" s="501"/>
      <c r="G54" s="501"/>
      <c r="H54" s="479"/>
      <c r="I54" s="479"/>
      <c r="J54" s="479"/>
      <c r="K54" s="479"/>
      <c r="L54" s="479"/>
    </row>
    <row r="55" spans="1:12" ht="15">
      <c r="A55" s="499"/>
      <c r="B55" s="499"/>
      <c r="C55" s="499"/>
      <c r="D55" s="499"/>
      <c r="E55" s="500"/>
      <c r="F55" s="501"/>
      <c r="G55" s="501"/>
      <c r="H55" s="479"/>
      <c r="I55" s="479"/>
      <c r="J55" s="479"/>
      <c r="K55" s="479"/>
      <c r="L55" s="479"/>
    </row>
    <row r="56" spans="1:12" ht="15">
      <c r="A56" s="452"/>
      <c r="B56" s="452"/>
      <c r="C56" s="452"/>
      <c r="D56" s="452"/>
      <c r="E56" s="453"/>
      <c r="F56" s="452"/>
      <c r="G56" s="452"/>
      <c r="H56" s="452"/>
      <c r="I56" s="452"/>
      <c r="J56" s="452"/>
      <c r="K56" s="452"/>
      <c r="L56" s="452"/>
    </row>
    <row r="57" spans="1:12" ht="16.5" thickBot="1">
      <c r="A57" s="654" t="s">
        <v>465</v>
      </c>
      <c r="B57" s="654"/>
      <c r="C57" s="654"/>
      <c r="D57" s="654"/>
      <c r="E57" s="654"/>
      <c r="F57" s="654"/>
      <c r="G57" s="654"/>
      <c r="H57" s="654"/>
      <c r="I57" s="654"/>
      <c r="J57" s="654"/>
      <c r="K57" s="654"/>
      <c r="L57" s="489"/>
    </row>
    <row r="58" spans="1:12" ht="15.75">
      <c r="A58" s="655" t="s">
        <v>440</v>
      </c>
      <c r="B58" s="656"/>
      <c r="C58" s="659" t="s">
        <v>466</v>
      </c>
      <c r="D58" s="661" t="s">
        <v>467</v>
      </c>
      <c r="E58" s="662"/>
      <c r="F58" s="662"/>
      <c r="G58" s="663"/>
      <c r="H58" s="664" t="s">
        <v>468</v>
      </c>
      <c r="I58" s="622" t="s">
        <v>469</v>
      </c>
      <c r="J58" s="623"/>
      <c r="K58" s="623"/>
      <c r="L58" s="624"/>
    </row>
    <row r="59" spans="1:12" ht="19.5" thickBot="1">
      <c r="A59" s="657"/>
      <c r="B59" s="658"/>
      <c r="C59" s="660"/>
      <c r="D59" s="471" t="s">
        <v>470</v>
      </c>
      <c r="E59" s="472" t="s">
        <v>471</v>
      </c>
      <c r="F59" s="473" t="s">
        <v>472</v>
      </c>
      <c r="G59" s="473" t="s">
        <v>473</v>
      </c>
      <c r="H59" s="665"/>
      <c r="I59" s="471" t="s">
        <v>470</v>
      </c>
      <c r="J59" s="472" t="s">
        <v>471</v>
      </c>
      <c r="K59" s="472" t="s">
        <v>472</v>
      </c>
      <c r="L59" s="473" t="s">
        <v>473</v>
      </c>
    </row>
    <row r="60" spans="1:12" ht="15.75">
      <c r="A60" s="644" t="s">
        <v>474</v>
      </c>
      <c r="B60" s="645"/>
      <c r="C60" s="502"/>
      <c r="D60" s="503"/>
      <c r="E60" s="504"/>
      <c r="F60" s="505"/>
      <c r="G60" s="505"/>
      <c r="H60" s="506"/>
      <c r="I60" s="503"/>
      <c r="J60" s="504"/>
      <c r="K60" s="504"/>
      <c r="L60" s="505"/>
    </row>
    <row r="61" spans="1:12" ht="15">
      <c r="A61" s="644" t="s">
        <v>475</v>
      </c>
      <c r="B61" s="645"/>
      <c r="C61" s="507">
        <v>0.43333333333333335</v>
      </c>
      <c r="D61" s="508">
        <v>7.4847563352826524E-2</v>
      </c>
      <c r="E61" s="509">
        <v>1.3335136452241716E-5</v>
      </c>
      <c r="F61" s="510">
        <v>1.1614473684210528E-5</v>
      </c>
      <c r="G61" s="475">
        <v>7.9225359600389886E-2</v>
      </c>
      <c r="H61" s="646">
        <v>4</v>
      </c>
      <c r="I61" s="508">
        <f t="shared" ref="I61:K63" si="16">+D61*$H$61</f>
        <v>0.2993902534113061</v>
      </c>
      <c r="J61" s="511">
        <f t="shared" si="16"/>
        <v>5.3340545808966865E-5</v>
      </c>
      <c r="K61" s="511">
        <f t="shared" si="16"/>
        <v>4.6457894736842111E-5</v>
      </c>
      <c r="L61" s="475">
        <f>+I61+(J61*310)+(K61*21)</f>
        <v>0.31690143840155954</v>
      </c>
    </row>
    <row r="62" spans="1:12" ht="15">
      <c r="A62" s="649" t="s">
        <v>476</v>
      </c>
      <c r="B62" s="650"/>
      <c r="C62" s="512">
        <v>0.34233333333333332</v>
      </c>
      <c r="D62" s="513">
        <v>5.9129575048732945E-2</v>
      </c>
      <c r="E62" s="514">
        <v>1.0534757797270956E-5</v>
      </c>
      <c r="F62" s="515">
        <v>9.1754342105263171E-6</v>
      </c>
      <c r="G62" s="475">
        <v>6.2588034084307992E-2</v>
      </c>
      <c r="H62" s="647"/>
      <c r="I62" s="508">
        <f t="shared" si="16"/>
        <v>0.23651830019493178</v>
      </c>
      <c r="J62" s="511">
        <f t="shared" si="16"/>
        <v>4.2139031189083825E-5</v>
      </c>
      <c r="K62" s="511">
        <f t="shared" si="16"/>
        <v>3.6701736842105268E-5</v>
      </c>
      <c r="L62" s="475">
        <f>+I62+(J62*310)+(K62*21)</f>
        <v>0.25035213633723197</v>
      </c>
    </row>
    <row r="63" spans="1:12" ht="15">
      <c r="A63" s="650" t="s">
        <v>477</v>
      </c>
      <c r="B63" s="650"/>
      <c r="C63" s="516">
        <v>3</v>
      </c>
      <c r="D63" s="476">
        <v>0.51817543859649129</v>
      </c>
      <c r="E63" s="514">
        <v>9.2320175438596495E-5</v>
      </c>
      <c r="F63" s="514">
        <v>8.040789473684213E-5</v>
      </c>
      <c r="G63" s="476">
        <v>0.54848325877192994</v>
      </c>
      <c r="H63" s="648"/>
      <c r="I63" s="508">
        <f t="shared" si="16"/>
        <v>2.0727017543859652</v>
      </c>
      <c r="J63" s="511">
        <f t="shared" si="16"/>
        <v>3.6928070175438598E-4</v>
      </c>
      <c r="K63" s="511">
        <f t="shared" si="16"/>
        <v>3.2163157894736852E-4</v>
      </c>
      <c r="L63" s="475">
        <f>+I63+(J63*310)+(K63*21)</f>
        <v>2.1939330350877198</v>
      </c>
    </row>
    <row r="64" spans="1:12">
      <c r="D64" s="519">
        <f>SUM(D61:D63)</f>
        <v>0.65215257699805074</v>
      </c>
      <c r="E64" s="2">
        <f>SUM(E61:E63)</f>
        <v>1.1619006968810916E-4</v>
      </c>
      <c r="F64" s="2">
        <f>SUM(F61:F63)</f>
        <v>1.0119780263157897E-4</v>
      </c>
      <c r="G64" s="2">
        <f>SUM(G61:G63)</f>
        <v>0.69029665245662786</v>
      </c>
      <c r="I64" s="2">
        <f>SUM(I61:I63)</f>
        <v>2.6086103079922029</v>
      </c>
      <c r="J64" s="2">
        <f>SUM(J61:J63)</f>
        <v>4.6476027875243665E-4</v>
      </c>
      <c r="K64" s="2">
        <f>SUM(K61:K63)</f>
        <v>4.0479121052631588E-4</v>
      </c>
      <c r="L64" s="2">
        <f>SUM(L61:L63)</f>
        <v>2.7611866098265114</v>
      </c>
    </row>
  </sheetData>
  <mergeCells count="30">
    <mergeCell ref="E3:L3"/>
    <mergeCell ref="Q3:X3"/>
    <mergeCell ref="A19:H19"/>
    <mergeCell ref="A60:B60"/>
    <mergeCell ref="A61:B61"/>
    <mergeCell ref="H61:H63"/>
    <mergeCell ref="A62:B62"/>
    <mergeCell ref="A63:B63"/>
    <mergeCell ref="A36:B36"/>
    <mergeCell ref="A39:K39"/>
    <mergeCell ref="A40:K40"/>
    <mergeCell ref="A57:K57"/>
    <mergeCell ref="A58:B59"/>
    <mergeCell ref="C58:C59"/>
    <mergeCell ref="D58:G58"/>
    <mergeCell ref="H58:H59"/>
    <mergeCell ref="I58:L58"/>
    <mergeCell ref="L21:P21"/>
    <mergeCell ref="Q21:U21"/>
    <mergeCell ref="A20:A21"/>
    <mergeCell ref="B20:B21"/>
    <mergeCell ref="C20:C21"/>
    <mergeCell ref="D20:D21"/>
    <mergeCell ref="H28:K28"/>
    <mergeCell ref="A32:B33"/>
    <mergeCell ref="C32:E32"/>
    <mergeCell ref="A34:B34"/>
    <mergeCell ref="E20:E21"/>
    <mergeCell ref="F20:F21"/>
    <mergeCell ref="G21:K21"/>
  </mergeCells>
  <pageMargins left="0.75" right="0.75" top="1" bottom="1" header="0.5" footer="0.5"/>
  <pageSetup scale="48" orientation="landscape" r:id="rId1"/>
  <headerFooter alignWithMargins="0">
    <oddHeader xml:space="preserve">&amp;CTable B-4
Construction Heavy Equipment Emissions
TL 6965 Construction
</oddHeader>
    <oddFooter>&amp;CB-4</oddFooter>
  </headerFooter>
</worksheet>
</file>

<file path=xl/worksheets/sheet24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348"/>
  <sheetViews>
    <sheetView zoomScale="75" workbookViewId="0">
      <selection activeCell="D27" sqref="D27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31" width="12.28515625" style="38" customWidth="1"/>
    <col min="32" max="33" width="9.28515625" style="36" bestFit="1" customWidth="1"/>
    <col min="34" max="34" width="11.42578125" style="36" customWidth="1"/>
    <col min="35" max="35" width="10.5703125" style="36" customWidth="1"/>
    <col min="36" max="39" width="9.5703125" style="36" customWidth="1"/>
    <col min="40" max="40" width="9.28515625" style="38" bestFit="1" customWidth="1"/>
    <col min="41" max="41" width="9.85546875" style="36" customWidth="1"/>
    <col min="42" max="42" width="9.28515625" style="36" bestFit="1" customWidth="1"/>
    <col min="43" max="16384" width="9.140625" style="36"/>
  </cols>
  <sheetData>
    <row r="1" spans="1:42">
      <c r="A1" s="3" t="s">
        <v>760</v>
      </c>
    </row>
    <row r="2" spans="1:42">
      <c r="A2"/>
    </row>
    <row r="6" spans="1:42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  <c r="AE6" s="36"/>
      <c r="AN6" s="36"/>
    </row>
    <row r="7" spans="1:42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  <c r="AE7" s="36"/>
      <c r="AN7" s="36"/>
    </row>
    <row r="8" spans="1:42">
      <c r="A8" s="17" t="s">
        <v>410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  <c r="AE8" s="36"/>
      <c r="AN8" s="36"/>
    </row>
    <row r="9" spans="1:42">
      <c r="A9" s="78" t="s">
        <v>327</v>
      </c>
      <c r="B9" s="76" t="s">
        <v>105</v>
      </c>
      <c r="C9" s="374">
        <v>3</v>
      </c>
      <c r="D9" s="77"/>
      <c r="E9" s="77">
        <v>35</v>
      </c>
      <c r="F9" s="77">
        <v>80</v>
      </c>
      <c r="G9" s="106">
        <v>1.08263976628415</v>
      </c>
      <c r="H9" s="106">
        <v>4.9712718909585103</v>
      </c>
      <c r="I9" s="106">
        <v>0.26248012575016899</v>
      </c>
      <c r="J9" s="106">
        <v>1.0711818E-2</v>
      </c>
      <c r="K9" s="106">
        <v>7.1679901072141505E-2</v>
      </c>
      <c r="L9" s="556">
        <v>3.59998119015979E-2</v>
      </c>
      <c r="M9" s="556">
        <v>6.1739677411240299E-2</v>
      </c>
      <c r="N9" s="106">
        <v>6.5945508986370194E-2</v>
      </c>
      <c r="O9" s="556">
        <v>2.9999843251331498E-3</v>
      </c>
      <c r="P9" s="556">
        <v>5.5859708133979398E-2</v>
      </c>
      <c r="Q9" s="106">
        <v>1710.7260798814</v>
      </c>
      <c r="R9" s="47">
        <v>1.5235246282551899E-2</v>
      </c>
      <c r="S9" s="80">
        <f>0.000025616*Q9</f>
        <v>4.3821959262241944E-2</v>
      </c>
      <c r="T9" s="50">
        <f>C9*($F9*$G9)/453.59</f>
        <v>0.57283790186775729</v>
      </c>
      <c r="U9" s="50">
        <f>C9*($F9*$H9)/453.59</f>
        <v>2.6303605763575972</v>
      </c>
      <c r="V9" s="50">
        <f>C9*(($F9*$I9))/453.59</f>
        <v>0.1388814351728225</v>
      </c>
      <c r="W9" s="50">
        <f>C9*($F9*$J9)/453.59</f>
        <v>5.6677535219030401E-3</v>
      </c>
      <c r="X9" s="50">
        <f>C9*(($F9*($K9+$L9+$M9)))/453.59</f>
        <v>8.9641865324180711E-2</v>
      </c>
      <c r="Y9" s="50">
        <f>C9*(($F9*($N9+$O9+$P9)))/453.59</f>
        <v>6.6035953938393399E-2</v>
      </c>
      <c r="Z9" s="50">
        <f>C9*(F9)*$B$339</f>
        <v>0</v>
      </c>
      <c r="AA9" s="50">
        <f>Z9*0.21</f>
        <v>0</v>
      </c>
      <c r="AB9" s="50">
        <f>C9*(($F9*($Q9)))/453.59</f>
        <v>905.16602917069611</v>
      </c>
      <c r="AC9" s="50">
        <f>C9*(($F9*($R9)))/453.59</f>
        <v>8.0611545841232316E-3</v>
      </c>
      <c r="AD9" s="50">
        <f>C9*(($F9*($S9)))/453.59</f>
        <v>2.3186733003236551E-2</v>
      </c>
      <c r="AE9" s="36"/>
      <c r="AN9" s="36"/>
    </row>
    <row r="10" spans="1:42">
      <c r="A10" s="75" t="s">
        <v>28</v>
      </c>
      <c r="B10" s="74"/>
      <c r="C10" s="112"/>
      <c r="D10" s="112"/>
      <c r="E10" s="74"/>
      <c r="F10" s="74"/>
      <c r="G10" s="437"/>
      <c r="H10" s="41"/>
      <c r="I10" s="41"/>
      <c r="J10" s="41"/>
      <c r="K10" s="434"/>
      <c r="L10" s="434"/>
      <c r="M10" s="434"/>
      <c r="N10" s="434"/>
      <c r="O10" s="434"/>
      <c r="P10" s="434"/>
      <c r="Q10" s="41"/>
      <c r="R10" s="434"/>
      <c r="S10" s="434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36"/>
      <c r="AN10" s="36"/>
    </row>
    <row r="11" spans="1:42">
      <c r="A11" s="432"/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61"/>
      <c r="U11" s="61"/>
      <c r="V11" s="61"/>
      <c r="W11" s="61"/>
      <c r="X11" s="61"/>
      <c r="Y11" s="61"/>
      <c r="Z11" s="62"/>
      <c r="AA11" s="62"/>
      <c r="AB11" s="62"/>
      <c r="AC11" s="62"/>
      <c r="AD11" s="62"/>
      <c r="AE11" s="36"/>
      <c r="AN11" s="36"/>
    </row>
    <row r="12" spans="1:42">
      <c r="A12" s="432"/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81">
        <f>T9</f>
        <v>0.57283790186775729</v>
      </c>
      <c r="U12" s="81">
        <f t="shared" ref="U12:AD12" si="0">U9</f>
        <v>2.6303605763575972</v>
      </c>
      <c r="V12" s="81">
        <f t="shared" si="0"/>
        <v>0.1388814351728225</v>
      </c>
      <c r="W12" s="81">
        <f t="shared" si="0"/>
        <v>5.6677535219030401E-3</v>
      </c>
      <c r="X12" s="81">
        <f t="shared" si="0"/>
        <v>8.9641865324180711E-2</v>
      </c>
      <c r="Y12" s="81">
        <f t="shared" si="0"/>
        <v>6.6035953938393399E-2</v>
      </c>
      <c r="Z12" s="81">
        <f t="shared" si="0"/>
        <v>0</v>
      </c>
      <c r="AA12" s="81">
        <f t="shared" si="0"/>
        <v>0</v>
      </c>
      <c r="AB12" s="81">
        <f t="shared" si="0"/>
        <v>905.16602917069611</v>
      </c>
      <c r="AC12" s="81">
        <f t="shared" si="0"/>
        <v>8.0611545841232316E-3</v>
      </c>
      <c r="AD12" s="81">
        <f t="shared" si="0"/>
        <v>2.3186733003236551E-2</v>
      </c>
      <c r="AE12" s="36"/>
      <c r="AN12" s="36"/>
    </row>
    <row r="13" spans="1:42">
      <c r="A13" s="370"/>
      <c r="B13" s="371"/>
      <c r="C13" s="372"/>
      <c r="D13" s="372"/>
      <c r="E13" s="371"/>
      <c r="F13" s="371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84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</row>
    <row r="14" spans="1:42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84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</row>
    <row r="15" spans="1:42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84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</row>
    <row r="16" spans="1:42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84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</row>
    <row r="336" spans="1:1" ht="25.5">
      <c r="A336" s="82" t="s">
        <v>109</v>
      </c>
    </row>
    <row r="338" spans="1:2">
      <c r="A338" s="36" t="s">
        <v>81</v>
      </c>
    </row>
    <row r="339" spans="1:2">
      <c r="A339" s="36" t="s">
        <v>82</v>
      </c>
    </row>
    <row r="340" spans="1:2">
      <c r="A340" s="36" t="s">
        <v>83</v>
      </c>
    </row>
    <row r="341" spans="1:2">
      <c r="A341" s="37" t="s">
        <v>96</v>
      </c>
    </row>
    <row r="342" spans="1:2">
      <c r="A342" s="36" t="s">
        <v>85</v>
      </c>
    </row>
    <row r="343" spans="1:2">
      <c r="A343" s="36" t="s">
        <v>86</v>
      </c>
    </row>
    <row r="344" spans="1:2">
      <c r="A344" s="36" t="s">
        <v>87</v>
      </c>
    </row>
    <row r="345" spans="1:2">
      <c r="A345" s="36" t="s">
        <v>0</v>
      </c>
    </row>
    <row r="346" spans="1:2">
      <c r="A346" s="37" t="s">
        <v>97</v>
      </c>
      <c r="B346" s="36">
        <f>(0.016*(0.03/2)^0.65*(2/3)^1.5)-0.00047</f>
        <v>9.8123053326417428E-5</v>
      </c>
    </row>
    <row r="347" spans="1:2">
      <c r="A347" s="37" t="s">
        <v>98</v>
      </c>
      <c r="B347" s="36">
        <f>(0.016*(0.03/2)^0.65*(13/3)^1.5)-0.00047</f>
        <v>8.9448292388582783E-3</v>
      </c>
    </row>
    <row r="348" spans="1:2">
      <c r="A348" s="37" t="s">
        <v>99</v>
      </c>
      <c r="B348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B-5
Construction Truck Trip Emissions
TL 6965 Construction</oddHeader>
    <oddFooter>&amp;CB-5</oddFooter>
  </headerFooter>
</worksheet>
</file>

<file path=xl/worksheets/sheet24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761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340</v>
      </c>
      <c r="B4" s="45" t="s">
        <v>102</v>
      </c>
      <c r="C4" s="46">
        <v>24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43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435" t="s">
        <v>55</v>
      </c>
      <c r="G87" s="435" t="s">
        <v>73</v>
      </c>
      <c r="H87" s="435" t="s">
        <v>74</v>
      </c>
      <c r="I87" s="435" t="s">
        <v>58</v>
      </c>
      <c r="J87" s="435" t="s">
        <v>59</v>
      </c>
      <c r="K87" s="435" t="s">
        <v>60</v>
      </c>
      <c r="L87" s="434" t="s">
        <v>75</v>
      </c>
      <c r="M87" s="434" t="s">
        <v>76</v>
      </c>
      <c r="N87" s="434" t="s">
        <v>61</v>
      </c>
      <c r="O87" s="434" t="s">
        <v>62</v>
      </c>
      <c r="P87" s="434" t="s">
        <v>63</v>
      </c>
      <c r="AN87" s="38"/>
      <c r="AZ87" s="36"/>
    </row>
    <row r="88" spans="1:52" ht="25.5">
      <c r="A88" s="44" t="str">
        <f>A4</f>
        <v>OH Conductor Pulling and Tensioning</v>
      </c>
      <c r="B88" s="45" t="str">
        <f>B4</f>
        <v>Light-Duty Truck, catalyst</v>
      </c>
      <c r="C88" s="46">
        <f>C4</f>
        <v>24</v>
      </c>
      <c r="D88" s="46">
        <v>35</v>
      </c>
      <c r="E88" s="46">
        <v>80</v>
      </c>
      <c r="F88" s="50">
        <f>C4*($E4*$F4+($G4))/453.59</f>
        <v>11.657265261142081</v>
      </c>
      <c r="G88" s="50">
        <f>C4*($E4*$H4+($I4))/453.59</f>
        <v>1.0480957750650721</v>
      </c>
      <c r="H88" s="50">
        <f>C4*(($E4*$J4)+($K4)+($L4)+($E4*$N4)+(($M4+$O4)))/453.59</f>
        <v>1.2119995277748798</v>
      </c>
      <c r="I88" s="50">
        <f>C4*($E4*$P4+($Q4))/453.59</f>
        <v>1.7443128651854781E-2</v>
      </c>
      <c r="J88" s="50">
        <f>C4*(($E4*($R4+$T4+$U4))+($S4))/453.59</f>
        <v>0.20457817092498951</v>
      </c>
      <c r="K88" s="50">
        <f>$C4*(($E4*($V4+$X4+$Y4))+($W4))/453.59</f>
        <v>8.9088127782075408E-2</v>
      </c>
      <c r="L88" s="50">
        <f>$B$21*C4*(E4+6)</f>
        <v>0.20252598206572558</v>
      </c>
      <c r="M88" s="50">
        <f t="shared" ref="M88" si="52">0.41*L88</f>
        <v>8.3035652646947483E-2</v>
      </c>
      <c r="N88" s="50">
        <f>C4*($E4*$Z4+($AA4))/453.59</f>
        <v>1330.1658414249337</v>
      </c>
      <c r="O88" s="50">
        <f>C4*($E4*$AB4+($AC4))/453.59</f>
        <v>7.6091409336725979E-2</v>
      </c>
      <c r="P88" s="50">
        <f>C4*($E4*$AD4+($AE4))/453.59</f>
        <v>0.13850687793224065</v>
      </c>
      <c r="AN88" s="38"/>
      <c r="AZ88" s="36"/>
    </row>
    <row r="89" spans="1:52">
      <c r="A89" s="36" t="s">
        <v>103</v>
      </c>
      <c r="F89" s="443">
        <f t="shared" ref="F89:P89" si="53">SUM(F88:F88)</f>
        <v>11.657265261142081</v>
      </c>
      <c r="G89" s="443">
        <f t="shared" si="53"/>
        <v>1.0480957750650721</v>
      </c>
      <c r="H89" s="443">
        <f t="shared" si="53"/>
        <v>1.2119995277748798</v>
      </c>
      <c r="I89" s="443">
        <f t="shared" si="53"/>
        <v>1.7443128651854781E-2</v>
      </c>
      <c r="J89" s="443">
        <f t="shared" si="53"/>
        <v>0.20457817092498951</v>
      </c>
      <c r="K89" s="443">
        <f t="shared" si="53"/>
        <v>8.9088127782075408E-2</v>
      </c>
      <c r="L89" s="443">
        <f t="shared" si="53"/>
        <v>0.20252598206572558</v>
      </c>
      <c r="M89" s="443">
        <f t="shared" si="53"/>
        <v>8.3035652646947483E-2</v>
      </c>
      <c r="N89" s="443">
        <f t="shared" si="53"/>
        <v>1330.1658414249337</v>
      </c>
      <c r="O89" s="443">
        <f t="shared" si="53"/>
        <v>7.6091409336725979E-2</v>
      </c>
      <c r="P89" s="443">
        <f t="shared" si="53"/>
        <v>0.13850687793224065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B-6
Construction Worker Commute Emission Calculations
TL 6965 Construction</oddHeader>
    <oddFooter>&amp;CB-6</oddFooter>
  </headerFooter>
</worksheet>
</file>

<file path=xl/worksheets/sheet24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4"/>
  <sheetViews>
    <sheetView zoomScale="75" zoomScaleNormal="75" workbookViewId="0">
      <selection activeCell="A2" sqref="A2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762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410</v>
      </c>
      <c r="B7" s="29"/>
      <c r="C7" s="97"/>
      <c r="D7" s="12"/>
      <c r="E7" s="102"/>
      <c r="F7" s="102"/>
      <c r="G7" s="102"/>
      <c r="H7" s="102"/>
      <c r="I7" s="102"/>
      <c r="J7" s="100"/>
      <c r="K7" s="103"/>
      <c r="L7" s="102"/>
      <c r="M7" s="104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 t="s">
        <v>114</v>
      </c>
      <c r="B8" s="90" t="s">
        <v>27</v>
      </c>
      <c r="C8" s="97">
        <v>34</v>
      </c>
      <c r="D8" s="97">
        <v>0.31</v>
      </c>
      <c r="E8" s="102">
        <v>4.2958246826547246E-2</v>
      </c>
      <c r="F8" s="397">
        <v>9.5268959435626091E-2</v>
      </c>
      <c r="G8" s="397">
        <v>0.12361728395061726</v>
      </c>
      <c r="H8" s="102">
        <v>2.5354407605791113E-4</v>
      </c>
      <c r="I8" s="397">
        <v>1.0456349206349205E-2</v>
      </c>
      <c r="J8" s="100">
        <f t="shared" ref="J8:J13" si="0">0.89*I8</f>
        <v>9.3061507936507935E-3</v>
      </c>
      <c r="K8" s="103">
        <v>19.61276416423032</v>
      </c>
      <c r="L8" s="102">
        <v>4.8141782348593348E-3</v>
      </c>
      <c r="M8" s="104">
        <f t="shared" ref="M8:M13" si="1">0.095*G8</f>
        <v>1.174364197530864E-2</v>
      </c>
      <c r="N8" s="87">
        <v>2</v>
      </c>
      <c r="O8" s="87">
        <v>8</v>
      </c>
      <c r="P8" s="88">
        <v>4</v>
      </c>
      <c r="Q8" s="34">
        <f t="shared" ref="Q8:Y13" si="2">(E8*$N8*$O8)</f>
        <v>0.68733194922475593</v>
      </c>
      <c r="R8" s="26">
        <f t="shared" si="2"/>
        <v>1.5243033509700175</v>
      </c>
      <c r="S8" s="26">
        <f t="shared" si="2"/>
        <v>1.9778765432098762</v>
      </c>
      <c r="T8" s="26">
        <f t="shared" si="2"/>
        <v>4.0567052169265781E-3</v>
      </c>
      <c r="U8" s="26">
        <f t="shared" si="2"/>
        <v>0.16730158730158728</v>
      </c>
      <c r="V8" s="26">
        <f t="shared" si="2"/>
        <v>0.1488984126984127</v>
      </c>
      <c r="W8" s="26">
        <f t="shared" si="2"/>
        <v>313.80422662768513</v>
      </c>
      <c r="X8" s="26">
        <f t="shared" si="2"/>
        <v>7.7026851757749357E-2</v>
      </c>
      <c r="Y8" s="26">
        <f t="shared" si="2"/>
        <v>0.18789827160493824</v>
      </c>
    </row>
    <row r="9" spans="1:25" s="3" customFormat="1">
      <c r="A9" s="24" t="s">
        <v>298</v>
      </c>
      <c r="B9" s="29" t="s">
        <v>27</v>
      </c>
      <c r="C9" s="97">
        <v>300</v>
      </c>
      <c r="D9" s="97"/>
      <c r="E9" s="102">
        <v>0.12431762378554365</v>
      </c>
      <c r="F9" s="102">
        <v>0.4868439847761532</v>
      </c>
      <c r="G9" s="102">
        <v>1.0415214118246066</v>
      </c>
      <c r="H9" s="102">
        <v>2.4954334272364047E-3</v>
      </c>
      <c r="I9" s="102">
        <v>3.5011591348186828E-2</v>
      </c>
      <c r="J9" s="100">
        <f t="shared" si="0"/>
        <v>3.1160316299886276E-2</v>
      </c>
      <c r="K9" s="103">
        <v>254.23851177178003</v>
      </c>
      <c r="L9" s="102">
        <v>1.1216977037398481E-2</v>
      </c>
      <c r="M9" s="104">
        <f t="shared" si="1"/>
        <v>9.8944534123337619E-2</v>
      </c>
      <c r="N9" s="98">
        <v>1</v>
      </c>
      <c r="O9" s="87">
        <v>8</v>
      </c>
      <c r="P9" s="88">
        <v>4</v>
      </c>
      <c r="Q9" s="34">
        <f t="shared" si="2"/>
        <v>0.99454099028434917</v>
      </c>
      <c r="R9" s="26">
        <f t="shared" si="2"/>
        <v>3.8947518782092256</v>
      </c>
      <c r="S9" s="26">
        <f t="shared" si="2"/>
        <v>8.3321712945968525</v>
      </c>
      <c r="T9" s="26">
        <f t="shared" si="2"/>
        <v>1.9963467417891238E-2</v>
      </c>
      <c r="U9" s="26">
        <f t="shared" si="2"/>
        <v>0.28009273078549463</v>
      </c>
      <c r="V9" s="26">
        <f t="shared" si="2"/>
        <v>0.24928253039909021</v>
      </c>
      <c r="W9" s="26">
        <f t="shared" si="2"/>
        <v>2033.9080941742402</v>
      </c>
      <c r="X9" s="26">
        <f t="shared" si="2"/>
        <v>8.9735816299187851E-2</v>
      </c>
      <c r="Y9" s="26">
        <f t="shared" si="2"/>
        <v>0.79155627298670095</v>
      </c>
    </row>
    <row r="10" spans="1:25" s="3" customFormat="1">
      <c r="A10" s="24" t="s">
        <v>411</v>
      </c>
      <c r="B10" s="29" t="s">
        <v>27</v>
      </c>
      <c r="C10" s="97">
        <v>300</v>
      </c>
      <c r="D10" s="97"/>
      <c r="E10" s="102">
        <v>0.12431762378554365</v>
      </c>
      <c r="F10" s="102">
        <v>0.4868439847761532</v>
      </c>
      <c r="G10" s="102">
        <v>1.0415214118246066</v>
      </c>
      <c r="H10" s="102">
        <v>2.4954334272364047E-3</v>
      </c>
      <c r="I10" s="102">
        <v>3.5011591348186828E-2</v>
      </c>
      <c r="J10" s="100">
        <f t="shared" si="0"/>
        <v>3.1160316299886276E-2</v>
      </c>
      <c r="K10" s="103">
        <v>254.23851177178003</v>
      </c>
      <c r="L10" s="102">
        <v>1.1216977037398481E-2</v>
      </c>
      <c r="M10" s="104">
        <f t="shared" si="1"/>
        <v>9.8944534123337619E-2</v>
      </c>
      <c r="N10" s="98">
        <v>1</v>
      </c>
      <c r="O10" s="87">
        <v>8</v>
      </c>
      <c r="P10" s="88">
        <v>4</v>
      </c>
      <c r="Q10" s="34">
        <f t="shared" si="2"/>
        <v>0.99454099028434917</v>
      </c>
      <c r="R10" s="26">
        <f t="shared" si="2"/>
        <v>3.8947518782092256</v>
      </c>
      <c r="S10" s="26">
        <f t="shared" si="2"/>
        <v>8.3321712945968525</v>
      </c>
      <c r="T10" s="26">
        <f t="shared" si="2"/>
        <v>1.9963467417891238E-2</v>
      </c>
      <c r="U10" s="26">
        <f t="shared" si="2"/>
        <v>0.28009273078549463</v>
      </c>
      <c r="V10" s="26">
        <f t="shared" si="2"/>
        <v>0.24928253039909021</v>
      </c>
      <c r="W10" s="26">
        <f t="shared" si="2"/>
        <v>2033.9080941742402</v>
      </c>
      <c r="X10" s="26">
        <f t="shared" si="2"/>
        <v>8.9735816299187851E-2</v>
      </c>
      <c r="Y10" s="26">
        <f t="shared" si="2"/>
        <v>0.79155627298670095</v>
      </c>
    </row>
    <row r="11" spans="1:25" s="3" customFormat="1">
      <c r="A11" s="24" t="s">
        <v>132</v>
      </c>
      <c r="B11" s="29" t="s">
        <v>27</v>
      </c>
      <c r="C11" s="97">
        <v>300</v>
      </c>
      <c r="D11" s="97"/>
      <c r="E11" s="102">
        <v>0.12431762378554365</v>
      </c>
      <c r="F11" s="102">
        <v>0.4868439847761532</v>
      </c>
      <c r="G11" s="102">
        <v>1.0415214118246066</v>
      </c>
      <c r="H11" s="102">
        <v>2.4954334272364047E-3</v>
      </c>
      <c r="I11" s="102">
        <v>3.5011591348186828E-2</v>
      </c>
      <c r="J11" s="100">
        <f t="shared" si="0"/>
        <v>3.1160316299886276E-2</v>
      </c>
      <c r="K11" s="103">
        <v>254.23851177178003</v>
      </c>
      <c r="L11" s="102">
        <v>1.1216977037398481E-2</v>
      </c>
      <c r="M11" s="104">
        <f t="shared" si="1"/>
        <v>9.8944534123337619E-2</v>
      </c>
      <c r="N11" s="98">
        <v>1</v>
      </c>
      <c r="O11" s="87">
        <v>8</v>
      </c>
      <c r="P11" s="88">
        <v>4</v>
      </c>
      <c r="Q11" s="34">
        <f t="shared" si="2"/>
        <v>0.99454099028434917</v>
      </c>
      <c r="R11" s="26">
        <f t="shared" si="2"/>
        <v>3.8947518782092256</v>
      </c>
      <c r="S11" s="26">
        <f t="shared" si="2"/>
        <v>8.3321712945968525</v>
      </c>
      <c r="T11" s="26">
        <f t="shared" si="2"/>
        <v>1.9963467417891238E-2</v>
      </c>
      <c r="U11" s="26">
        <f t="shared" si="2"/>
        <v>0.28009273078549463</v>
      </c>
      <c r="V11" s="26">
        <f t="shared" si="2"/>
        <v>0.24928253039909021</v>
      </c>
      <c r="W11" s="26">
        <f t="shared" si="2"/>
        <v>2033.9080941742402</v>
      </c>
      <c r="X11" s="26">
        <f t="shared" si="2"/>
        <v>8.9735816299187851E-2</v>
      </c>
      <c r="Y11" s="26">
        <f t="shared" si="2"/>
        <v>0.79155627298670095</v>
      </c>
    </row>
    <row r="12" spans="1:25" s="3" customFormat="1">
      <c r="A12" s="24" t="s">
        <v>297</v>
      </c>
      <c r="B12" s="29" t="s">
        <v>27</v>
      </c>
      <c r="C12" s="97">
        <v>235</v>
      </c>
      <c r="D12" s="97"/>
      <c r="E12" s="102">
        <v>0.11792220738547983</v>
      </c>
      <c r="F12" s="102">
        <v>0.36512193352152528</v>
      </c>
      <c r="G12" s="102">
        <v>0.86781464282266541</v>
      </c>
      <c r="H12" s="102">
        <v>1.8739217498104396E-3</v>
      </c>
      <c r="I12" s="102">
        <v>2.9041712295589866E-2</v>
      </c>
      <c r="J12" s="100">
        <f t="shared" si="0"/>
        <v>2.5847123943074982E-2</v>
      </c>
      <c r="K12" s="103">
        <v>166.54541562452522</v>
      </c>
      <c r="L12" s="102">
        <v>1.063993297769634E-2</v>
      </c>
      <c r="M12" s="104">
        <f t="shared" si="1"/>
        <v>8.2442391068153209E-2</v>
      </c>
      <c r="N12" s="98">
        <v>1</v>
      </c>
      <c r="O12" s="87">
        <v>8</v>
      </c>
      <c r="P12" s="88">
        <v>4</v>
      </c>
      <c r="Q12" s="34">
        <f t="shared" si="2"/>
        <v>0.94337765908383864</v>
      </c>
      <c r="R12" s="26">
        <f t="shared" si="2"/>
        <v>2.9209754681722022</v>
      </c>
      <c r="S12" s="26">
        <f t="shared" si="2"/>
        <v>6.9425171425813232</v>
      </c>
      <c r="T12" s="26">
        <f t="shared" si="2"/>
        <v>1.4991373998483517E-2</v>
      </c>
      <c r="U12" s="26">
        <f t="shared" si="2"/>
        <v>0.23233369836471893</v>
      </c>
      <c r="V12" s="26">
        <f t="shared" si="2"/>
        <v>0.20677699154459986</v>
      </c>
      <c r="W12" s="26">
        <f t="shared" si="2"/>
        <v>1332.3633249962018</v>
      </c>
      <c r="X12" s="26">
        <f t="shared" si="2"/>
        <v>8.5119463821570721E-2</v>
      </c>
      <c r="Y12" s="26">
        <f t="shared" si="2"/>
        <v>0.65953912854522567</v>
      </c>
    </row>
    <row r="13" spans="1:25" s="3" customFormat="1">
      <c r="A13" s="24" t="s">
        <v>129</v>
      </c>
      <c r="B13" s="29" t="s">
        <v>27</v>
      </c>
      <c r="C13" s="97">
        <v>399</v>
      </c>
      <c r="D13" s="97">
        <v>0.28999999999999998</v>
      </c>
      <c r="E13" s="418">
        <v>0.13249726882716423</v>
      </c>
      <c r="F13" s="397">
        <v>0.66324074074074058</v>
      </c>
      <c r="G13" s="397">
        <v>1.1632222222222219</v>
      </c>
      <c r="H13" s="418">
        <v>1.7677529729271738E-3</v>
      </c>
      <c r="I13" s="397">
        <v>3.8263888888888889E-2</v>
      </c>
      <c r="J13" s="100">
        <f t="shared" si="0"/>
        <v>3.4054861111111112E-2</v>
      </c>
      <c r="K13" s="103">
        <v>180.10131655574588</v>
      </c>
      <c r="L13" s="102">
        <v>1.3243614024502522E-2</v>
      </c>
      <c r="M13" s="104">
        <f t="shared" si="1"/>
        <v>0.11050611111111108</v>
      </c>
      <c r="N13" s="87">
        <v>1</v>
      </c>
      <c r="O13" s="87">
        <v>8</v>
      </c>
      <c r="P13" s="88">
        <v>4</v>
      </c>
      <c r="Q13" s="34">
        <f t="shared" si="2"/>
        <v>1.0599781506173138</v>
      </c>
      <c r="R13" s="26">
        <f t="shared" si="2"/>
        <v>5.3059259259259246</v>
      </c>
      <c r="S13" s="26">
        <f t="shared" si="2"/>
        <v>9.3057777777777755</v>
      </c>
      <c r="T13" s="26">
        <f t="shared" si="2"/>
        <v>1.414202378341739E-2</v>
      </c>
      <c r="U13" s="26">
        <f t="shared" si="2"/>
        <v>0.30611111111111111</v>
      </c>
      <c r="V13" s="26">
        <f t="shared" si="2"/>
        <v>0.2724388888888889</v>
      </c>
      <c r="W13" s="26">
        <f t="shared" si="2"/>
        <v>1440.8105324459671</v>
      </c>
      <c r="X13" s="26">
        <f t="shared" si="2"/>
        <v>0.10594891219602018</v>
      </c>
      <c r="Y13" s="26">
        <f t="shared" si="2"/>
        <v>0.88404888888888866</v>
      </c>
    </row>
    <row r="14" spans="1:25" s="3" customFormat="1">
      <c r="A14" s="17" t="s">
        <v>28</v>
      </c>
      <c r="B14" s="29"/>
      <c r="C14" s="97"/>
      <c r="D14" s="12"/>
      <c r="E14" s="102"/>
      <c r="F14" s="102"/>
      <c r="G14" s="102"/>
      <c r="H14" s="102"/>
      <c r="I14" s="102"/>
      <c r="J14" s="100"/>
      <c r="K14" s="103"/>
      <c r="L14" s="102"/>
      <c r="M14" s="104"/>
      <c r="N14" s="98"/>
      <c r="O14" s="98"/>
      <c r="P14" s="99"/>
      <c r="Q14" s="101">
        <f>SUM(Q8:Q13)</f>
        <v>5.6743107297789557</v>
      </c>
      <c r="R14" s="101">
        <f t="shared" ref="R14:Y14" si="3">SUM(R8:R13)</f>
        <v>21.435460379695819</v>
      </c>
      <c r="S14" s="101">
        <f t="shared" si="3"/>
        <v>43.222685347359537</v>
      </c>
      <c r="T14" s="101">
        <f t="shared" si="3"/>
        <v>9.3080505252501194E-2</v>
      </c>
      <c r="U14" s="101">
        <f t="shared" si="3"/>
        <v>1.5460245891339013</v>
      </c>
      <c r="V14" s="101">
        <f t="shared" si="3"/>
        <v>1.3759618843291721</v>
      </c>
      <c r="W14" s="101">
        <f t="shared" si="3"/>
        <v>9188.7023665925735</v>
      </c>
      <c r="X14" s="101">
        <f t="shared" si="3"/>
        <v>0.53730267667290377</v>
      </c>
      <c r="Y14" s="101">
        <f t="shared" si="3"/>
        <v>4.1061551079991556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B-4
Construction Heavy Equipment Emissions
TL 6965 Construction
</oddHeader>
    <oddFooter>&amp;CB-4</oddFooter>
  </headerFooter>
</worksheet>
</file>

<file path=xl/worksheets/sheet24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348"/>
  <sheetViews>
    <sheetView zoomScale="75" workbookViewId="0">
      <selection activeCell="B32" sqref="B3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31" width="12.28515625" style="38" customWidth="1"/>
    <col min="32" max="33" width="9.28515625" style="36" bestFit="1" customWidth="1"/>
    <col min="34" max="34" width="11.42578125" style="36" customWidth="1"/>
    <col min="35" max="35" width="10.5703125" style="36" customWidth="1"/>
    <col min="36" max="39" width="9.5703125" style="36" customWidth="1"/>
    <col min="40" max="40" width="9.28515625" style="38" bestFit="1" customWidth="1"/>
    <col min="41" max="41" width="9.85546875" style="36" customWidth="1"/>
    <col min="42" max="42" width="9.28515625" style="36" bestFit="1" customWidth="1"/>
    <col min="43" max="16384" width="9.140625" style="36"/>
  </cols>
  <sheetData>
    <row r="1" spans="1:42">
      <c r="A1" s="3" t="s">
        <v>763</v>
      </c>
    </row>
    <row r="2" spans="1:42">
      <c r="A2"/>
    </row>
    <row r="6" spans="1:42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  <c r="AE6" s="36"/>
      <c r="AN6" s="36"/>
    </row>
    <row r="7" spans="1:42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  <c r="AE7" s="36"/>
      <c r="AN7" s="36"/>
    </row>
    <row r="8" spans="1:42">
      <c r="A8" s="17" t="s">
        <v>410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  <c r="AE8" s="36"/>
      <c r="AN8" s="36"/>
    </row>
    <row r="9" spans="1:42">
      <c r="A9" s="78" t="s">
        <v>327</v>
      </c>
      <c r="B9" s="76" t="s">
        <v>105</v>
      </c>
      <c r="C9" s="374">
        <v>3</v>
      </c>
      <c r="D9" s="77"/>
      <c r="E9" s="77">
        <v>35</v>
      </c>
      <c r="F9" s="77">
        <v>80</v>
      </c>
      <c r="G9" s="106">
        <v>1.08263976628415</v>
      </c>
      <c r="H9" s="106">
        <v>4.9712718909585103</v>
      </c>
      <c r="I9" s="106">
        <v>0.26248012575016899</v>
      </c>
      <c r="J9" s="106">
        <v>1.0711818E-2</v>
      </c>
      <c r="K9" s="106">
        <v>7.1679901072141505E-2</v>
      </c>
      <c r="L9" s="556">
        <v>3.59998119015979E-2</v>
      </c>
      <c r="M9" s="556">
        <v>6.1739677411240299E-2</v>
      </c>
      <c r="N9" s="106">
        <v>6.5945508986370194E-2</v>
      </c>
      <c r="O9" s="556">
        <v>2.9999843251331498E-3</v>
      </c>
      <c r="P9" s="556">
        <v>5.5859708133979398E-2</v>
      </c>
      <c r="Q9" s="106">
        <v>1710.7260798814</v>
      </c>
      <c r="R9" s="47">
        <v>1.5235246282551899E-2</v>
      </c>
      <c r="S9" s="80">
        <f>0.000025616*Q9</f>
        <v>4.3821959262241944E-2</v>
      </c>
      <c r="T9" s="50">
        <f>C9*($F9*$G9)/453.59</f>
        <v>0.57283790186775729</v>
      </c>
      <c r="U9" s="50">
        <f>C9*($F9*$H9)/453.59</f>
        <v>2.6303605763575972</v>
      </c>
      <c r="V9" s="50">
        <f>C9*(($F9*$I9))/453.59</f>
        <v>0.1388814351728225</v>
      </c>
      <c r="W9" s="50">
        <f>C9*($F9*$J9)/453.59</f>
        <v>5.6677535219030401E-3</v>
      </c>
      <c r="X9" s="50">
        <f>C9*(($F9*($K9+$L9+$M9)))/453.59</f>
        <v>8.9641865324180711E-2</v>
      </c>
      <c r="Y9" s="50">
        <f>C9*(($F9*($N9+$O9+$P9)))/453.59</f>
        <v>6.6035953938393399E-2</v>
      </c>
      <c r="Z9" s="50">
        <f>C9*(F9)*$B$339</f>
        <v>0</v>
      </c>
      <c r="AA9" s="50">
        <f>Z9*0.21</f>
        <v>0</v>
      </c>
      <c r="AB9" s="50">
        <f>C9*(($F9*($Q9)))/453.59</f>
        <v>905.16602917069611</v>
      </c>
      <c r="AC9" s="50">
        <f>C9*(($F9*($R9)))/453.59</f>
        <v>8.0611545841232316E-3</v>
      </c>
      <c r="AD9" s="50">
        <f>C9*(($F9*($S9)))/453.59</f>
        <v>2.3186733003236551E-2</v>
      </c>
      <c r="AE9" s="36"/>
      <c r="AN9" s="36"/>
    </row>
    <row r="10" spans="1:42">
      <c r="A10" s="75" t="s">
        <v>28</v>
      </c>
      <c r="B10" s="74"/>
      <c r="C10" s="112"/>
      <c r="D10" s="112"/>
      <c r="E10" s="74"/>
      <c r="F10" s="74"/>
      <c r="G10" s="437"/>
      <c r="H10" s="41"/>
      <c r="I10" s="41"/>
      <c r="J10" s="41"/>
      <c r="K10" s="434"/>
      <c r="L10" s="434"/>
      <c r="M10" s="434"/>
      <c r="N10" s="434"/>
      <c r="O10" s="434"/>
      <c r="P10" s="434"/>
      <c r="Q10" s="41"/>
      <c r="R10" s="434"/>
      <c r="S10" s="434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36"/>
      <c r="AN10" s="36"/>
    </row>
    <row r="11" spans="1:42">
      <c r="A11" s="432"/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61"/>
      <c r="U11" s="61"/>
      <c r="V11" s="61"/>
      <c r="W11" s="61"/>
      <c r="X11" s="61"/>
      <c r="Y11" s="61"/>
      <c r="Z11" s="62"/>
      <c r="AA11" s="62"/>
      <c r="AB11" s="62"/>
      <c r="AC11" s="62"/>
      <c r="AD11" s="62"/>
      <c r="AE11" s="36"/>
      <c r="AN11" s="36"/>
    </row>
    <row r="12" spans="1:42">
      <c r="A12" s="432"/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81">
        <f>T9</f>
        <v>0.57283790186775729</v>
      </c>
      <c r="U12" s="81">
        <f t="shared" ref="U12:AD12" si="0">U9</f>
        <v>2.6303605763575972</v>
      </c>
      <c r="V12" s="81">
        <f t="shared" si="0"/>
        <v>0.1388814351728225</v>
      </c>
      <c r="W12" s="81">
        <f t="shared" si="0"/>
        <v>5.6677535219030401E-3</v>
      </c>
      <c r="X12" s="81">
        <f t="shared" si="0"/>
        <v>8.9641865324180711E-2</v>
      </c>
      <c r="Y12" s="81">
        <f t="shared" si="0"/>
        <v>6.6035953938393399E-2</v>
      </c>
      <c r="Z12" s="81">
        <f t="shared" si="0"/>
        <v>0</v>
      </c>
      <c r="AA12" s="81">
        <f t="shared" si="0"/>
        <v>0</v>
      </c>
      <c r="AB12" s="81">
        <f t="shared" si="0"/>
        <v>905.16602917069611</v>
      </c>
      <c r="AC12" s="81">
        <f t="shared" si="0"/>
        <v>8.0611545841232316E-3</v>
      </c>
      <c r="AD12" s="81">
        <f t="shared" si="0"/>
        <v>2.3186733003236551E-2</v>
      </c>
      <c r="AE12" s="36"/>
      <c r="AN12" s="36"/>
    </row>
    <row r="13" spans="1:42">
      <c r="A13" s="370"/>
      <c r="B13" s="371"/>
      <c r="C13" s="372"/>
      <c r="D13" s="372"/>
      <c r="E13" s="371"/>
      <c r="F13" s="371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84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</row>
    <row r="14" spans="1:42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84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</row>
    <row r="15" spans="1:42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84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</row>
    <row r="16" spans="1:42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84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</row>
    <row r="336" spans="1:1" ht="25.5">
      <c r="A336" s="82" t="s">
        <v>109</v>
      </c>
    </row>
    <row r="338" spans="1:2">
      <c r="A338" s="36" t="s">
        <v>81</v>
      </c>
    </row>
    <row r="339" spans="1:2">
      <c r="A339" s="36" t="s">
        <v>82</v>
      </c>
    </row>
    <row r="340" spans="1:2">
      <c r="A340" s="36" t="s">
        <v>83</v>
      </c>
    </row>
    <row r="341" spans="1:2">
      <c r="A341" s="37" t="s">
        <v>96</v>
      </c>
    </row>
    <row r="342" spans="1:2">
      <c r="A342" s="36" t="s">
        <v>85</v>
      </c>
    </row>
    <row r="343" spans="1:2">
      <c r="A343" s="36" t="s">
        <v>86</v>
      </c>
    </row>
    <row r="344" spans="1:2">
      <c r="A344" s="36" t="s">
        <v>87</v>
      </c>
    </row>
    <row r="345" spans="1:2">
      <c r="A345" s="36" t="s">
        <v>0</v>
      </c>
    </row>
    <row r="346" spans="1:2">
      <c r="A346" s="37" t="s">
        <v>97</v>
      </c>
      <c r="B346" s="36">
        <f>(0.016*(0.03/2)^0.65*(2/3)^1.5)-0.00047</f>
        <v>9.8123053326417428E-5</v>
      </c>
    </row>
    <row r="347" spans="1:2">
      <c r="A347" s="37" t="s">
        <v>98</v>
      </c>
      <c r="B347" s="36">
        <f>(0.016*(0.03/2)^0.65*(13/3)^1.5)-0.00047</f>
        <v>8.9448292388582783E-3</v>
      </c>
    </row>
    <row r="348" spans="1:2">
      <c r="A348" s="37" t="s">
        <v>99</v>
      </c>
      <c r="B348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B-5
Construction Truck Trip Emissions
TL 6965 Construction</oddHeader>
    <oddFooter>&amp;CB-5</oddFooter>
  </headerFooter>
</worksheet>
</file>

<file path=xl/worksheets/sheet24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C96" sqref="C96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764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340</v>
      </c>
      <c r="B4" s="45" t="s">
        <v>102</v>
      </c>
      <c r="C4" s="46">
        <v>24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43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435" t="s">
        <v>55</v>
      </c>
      <c r="G87" s="435" t="s">
        <v>73</v>
      </c>
      <c r="H87" s="435" t="s">
        <v>74</v>
      </c>
      <c r="I87" s="435" t="s">
        <v>58</v>
      </c>
      <c r="J87" s="435" t="s">
        <v>59</v>
      </c>
      <c r="K87" s="435" t="s">
        <v>60</v>
      </c>
      <c r="L87" s="434" t="s">
        <v>75</v>
      </c>
      <c r="M87" s="434" t="s">
        <v>76</v>
      </c>
      <c r="N87" s="434" t="s">
        <v>61</v>
      </c>
      <c r="O87" s="434" t="s">
        <v>62</v>
      </c>
      <c r="P87" s="434" t="s">
        <v>63</v>
      </c>
      <c r="AN87" s="38"/>
      <c r="AZ87" s="36"/>
    </row>
    <row r="88" spans="1:52" ht="25.5">
      <c r="A88" s="44" t="str">
        <f>A4</f>
        <v>OH Conductor Pulling and Tensioning</v>
      </c>
      <c r="B88" s="45" t="str">
        <f>B4</f>
        <v>Light-Duty Truck, catalyst</v>
      </c>
      <c r="C88" s="46">
        <f>C4</f>
        <v>24</v>
      </c>
      <c r="D88" s="46">
        <v>35</v>
      </c>
      <c r="E88" s="46">
        <v>80</v>
      </c>
      <c r="F88" s="50">
        <f>C4*($E4*$F4+($G4))/453.59</f>
        <v>11.657265261142081</v>
      </c>
      <c r="G88" s="50">
        <f>C4*($E4*$H4+($I4))/453.59</f>
        <v>1.0480957750650721</v>
      </c>
      <c r="H88" s="50">
        <f>C4*(($E4*$J4)+($K4)+($L4)+($E4*$N4)+(($M4+$O4)))/453.59</f>
        <v>1.2119995277748798</v>
      </c>
      <c r="I88" s="50">
        <f>C4*($E4*$P4+($Q4))/453.59</f>
        <v>1.7443128651854781E-2</v>
      </c>
      <c r="J88" s="50">
        <f>C4*(($E4*($R4+$T4+$U4))+($S4))/453.59</f>
        <v>0.20457817092498951</v>
      </c>
      <c r="K88" s="50">
        <f>$C4*(($E4*($V4+$X4+$Y4))+($W4))/453.59</f>
        <v>8.9088127782075408E-2</v>
      </c>
      <c r="L88" s="50">
        <f>$B$21*C4*(E4+6)</f>
        <v>0.20252598206572558</v>
      </c>
      <c r="M88" s="50">
        <f t="shared" ref="M88" si="52">0.41*L88</f>
        <v>8.3035652646947483E-2</v>
      </c>
      <c r="N88" s="50">
        <f>C4*($E4*$Z4+($AA4))/453.59</f>
        <v>1330.1658414249337</v>
      </c>
      <c r="O88" s="50">
        <f>C4*($E4*$AB4+($AC4))/453.59</f>
        <v>7.6091409336725979E-2</v>
      </c>
      <c r="P88" s="50">
        <f>C4*($E4*$AD4+($AE4))/453.59</f>
        <v>0.13850687793224065</v>
      </c>
      <c r="AN88" s="38"/>
      <c r="AZ88" s="36"/>
    </row>
    <row r="89" spans="1:52">
      <c r="A89" s="36" t="s">
        <v>103</v>
      </c>
      <c r="F89" s="443">
        <f t="shared" ref="F89:P89" si="53">SUM(F88:F88)</f>
        <v>11.657265261142081</v>
      </c>
      <c r="G89" s="443">
        <f t="shared" si="53"/>
        <v>1.0480957750650721</v>
      </c>
      <c r="H89" s="443">
        <f t="shared" si="53"/>
        <v>1.2119995277748798</v>
      </c>
      <c r="I89" s="443">
        <f t="shared" si="53"/>
        <v>1.7443128651854781E-2</v>
      </c>
      <c r="J89" s="443">
        <f t="shared" si="53"/>
        <v>0.20457817092498951</v>
      </c>
      <c r="K89" s="443">
        <f t="shared" si="53"/>
        <v>8.9088127782075408E-2</v>
      </c>
      <c r="L89" s="443">
        <f t="shared" si="53"/>
        <v>0.20252598206572558</v>
      </c>
      <c r="M89" s="443">
        <f t="shared" si="53"/>
        <v>8.3035652646947483E-2</v>
      </c>
      <c r="N89" s="443">
        <f t="shared" si="53"/>
        <v>1330.1658414249337</v>
      </c>
      <c r="O89" s="443">
        <f t="shared" si="53"/>
        <v>7.6091409336725979E-2</v>
      </c>
      <c r="P89" s="443">
        <f t="shared" si="53"/>
        <v>0.13850687793224065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B-6
Construction Worker Commute Emission Calculations
TL 6965 Construction</oddHeader>
    <oddFooter>&amp;CB-6</oddFooter>
  </headerFooter>
</worksheet>
</file>

<file path=xl/worksheets/sheet24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4"/>
  <sheetViews>
    <sheetView zoomScale="75" zoomScaleNormal="75" workbookViewId="0">
      <selection activeCell="C26" sqref="C26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765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410</v>
      </c>
      <c r="B7" s="29"/>
      <c r="C7" s="97"/>
      <c r="D7" s="12"/>
      <c r="E7" s="102"/>
      <c r="F7" s="102"/>
      <c r="G7" s="102"/>
      <c r="H7" s="102"/>
      <c r="I7" s="102"/>
      <c r="J7" s="100"/>
      <c r="K7" s="103"/>
      <c r="L7" s="102"/>
      <c r="M7" s="104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 t="s">
        <v>114</v>
      </c>
      <c r="B8" s="90" t="s">
        <v>27</v>
      </c>
      <c r="C8" s="97">
        <v>34</v>
      </c>
      <c r="D8" s="97">
        <v>0.31</v>
      </c>
      <c r="E8" s="102">
        <v>4.2958246826547246E-2</v>
      </c>
      <c r="F8" s="397">
        <v>9.5268959435626091E-2</v>
      </c>
      <c r="G8" s="397">
        <v>0.12361728395061726</v>
      </c>
      <c r="H8" s="102">
        <v>2.5354407605791113E-4</v>
      </c>
      <c r="I8" s="397">
        <v>1.0456349206349205E-2</v>
      </c>
      <c r="J8" s="100">
        <f t="shared" ref="J8:J13" si="0">0.89*I8</f>
        <v>9.3061507936507935E-3</v>
      </c>
      <c r="K8" s="103">
        <v>19.61276416423032</v>
      </c>
      <c r="L8" s="102">
        <v>4.8141782348593348E-3</v>
      </c>
      <c r="M8" s="104">
        <f t="shared" ref="M8:M13" si="1">0.095*G8</f>
        <v>1.174364197530864E-2</v>
      </c>
      <c r="N8" s="87">
        <v>2</v>
      </c>
      <c r="O8" s="87">
        <v>8</v>
      </c>
      <c r="P8" s="88">
        <v>4</v>
      </c>
      <c r="Q8" s="34">
        <f t="shared" ref="Q8:Y13" si="2">(E8*$N8*$O8)</f>
        <v>0.68733194922475593</v>
      </c>
      <c r="R8" s="26">
        <f t="shared" si="2"/>
        <v>1.5243033509700175</v>
      </c>
      <c r="S8" s="26">
        <f t="shared" si="2"/>
        <v>1.9778765432098762</v>
      </c>
      <c r="T8" s="26">
        <f t="shared" si="2"/>
        <v>4.0567052169265781E-3</v>
      </c>
      <c r="U8" s="26">
        <f t="shared" si="2"/>
        <v>0.16730158730158728</v>
      </c>
      <c r="V8" s="26">
        <f t="shared" si="2"/>
        <v>0.1488984126984127</v>
      </c>
      <c r="W8" s="26">
        <f t="shared" si="2"/>
        <v>313.80422662768513</v>
      </c>
      <c r="X8" s="26">
        <f t="shared" si="2"/>
        <v>7.7026851757749357E-2</v>
      </c>
      <c r="Y8" s="26">
        <f t="shared" si="2"/>
        <v>0.18789827160493824</v>
      </c>
    </row>
    <row r="9" spans="1:25" s="3" customFormat="1">
      <c r="A9" s="24" t="s">
        <v>298</v>
      </c>
      <c r="B9" s="29" t="s">
        <v>27</v>
      </c>
      <c r="C9" s="97">
        <v>300</v>
      </c>
      <c r="D9" s="97"/>
      <c r="E9" s="102">
        <v>0.12431762378554365</v>
      </c>
      <c r="F9" s="102">
        <v>0.4868439847761532</v>
      </c>
      <c r="G9" s="102">
        <v>1.0415214118246066</v>
      </c>
      <c r="H9" s="102">
        <v>2.4954334272364047E-3</v>
      </c>
      <c r="I9" s="102">
        <v>3.5011591348186828E-2</v>
      </c>
      <c r="J9" s="100">
        <f t="shared" si="0"/>
        <v>3.1160316299886276E-2</v>
      </c>
      <c r="K9" s="103">
        <v>254.23851177178003</v>
      </c>
      <c r="L9" s="102">
        <v>1.1216977037398481E-2</v>
      </c>
      <c r="M9" s="104">
        <f t="shared" si="1"/>
        <v>9.8944534123337619E-2</v>
      </c>
      <c r="N9" s="98">
        <v>1</v>
      </c>
      <c r="O9" s="87">
        <v>8</v>
      </c>
      <c r="P9" s="88">
        <v>4</v>
      </c>
      <c r="Q9" s="34">
        <f t="shared" si="2"/>
        <v>0.99454099028434917</v>
      </c>
      <c r="R9" s="26">
        <f t="shared" si="2"/>
        <v>3.8947518782092256</v>
      </c>
      <c r="S9" s="26">
        <f t="shared" si="2"/>
        <v>8.3321712945968525</v>
      </c>
      <c r="T9" s="26">
        <f t="shared" si="2"/>
        <v>1.9963467417891238E-2</v>
      </c>
      <c r="U9" s="26">
        <f t="shared" si="2"/>
        <v>0.28009273078549463</v>
      </c>
      <c r="V9" s="26">
        <f t="shared" si="2"/>
        <v>0.24928253039909021</v>
      </c>
      <c r="W9" s="26">
        <f t="shared" si="2"/>
        <v>2033.9080941742402</v>
      </c>
      <c r="X9" s="26">
        <f t="shared" si="2"/>
        <v>8.9735816299187851E-2</v>
      </c>
      <c r="Y9" s="26">
        <f t="shared" si="2"/>
        <v>0.79155627298670095</v>
      </c>
    </row>
    <row r="10" spans="1:25" s="3" customFormat="1">
      <c r="A10" s="24" t="s">
        <v>411</v>
      </c>
      <c r="B10" s="29" t="s">
        <v>27</v>
      </c>
      <c r="C10" s="97">
        <v>300</v>
      </c>
      <c r="D10" s="97"/>
      <c r="E10" s="102">
        <v>0.12431762378554365</v>
      </c>
      <c r="F10" s="102">
        <v>0.4868439847761532</v>
      </c>
      <c r="G10" s="102">
        <v>1.0415214118246066</v>
      </c>
      <c r="H10" s="102">
        <v>2.4954334272364047E-3</v>
      </c>
      <c r="I10" s="102">
        <v>3.5011591348186828E-2</v>
      </c>
      <c r="J10" s="100">
        <f t="shared" si="0"/>
        <v>3.1160316299886276E-2</v>
      </c>
      <c r="K10" s="103">
        <v>254.23851177178003</v>
      </c>
      <c r="L10" s="102">
        <v>1.1216977037398481E-2</v>
      </c>
      <c r="M10" s="104">
        <f t="shared" si="1"/>
        <v>9.8944534123337619E-2</v>
      </c>
      <c r="N10" s="98">
        <v>1</v>
      </c>
      <c r="O10" s="87">
        <v>8</v>
      </c>
      <c r="P10" s="88">
        <v>4</v>
      </c>
      <c r="Q10" s="34">
        <f t="shared" si="2"/>
        <v>0.99454099028434917</v>
      </c>
      <c r="R10" s="26">
        <f t="shared" si="2"/>
        <v>3.8947518782092256</v>
      </c>
      <c r="S10" s="26">
        <f t="shared" si="2"/>
        <v>8.3321712945968525</v>
      </c>
      <c r="T10" s="26">
        <f t="shared" si="2"/>
        <v>1.9963467417891238E-2</v>
      </c>
      <c r="U10" s="26">
        <f t="shared" si="2"/>
        <v>0.28009273078549463</v>
      </c>
      <c r="V10" s="26">
        <f t="shared" si="2"/>
        <v>0.24928253039909021</v>
      </c>
      <c r="W10" s="26">
        <f t="shared" si="2"/>
        <v>2033.9080941742402</v>
      </c>
      <c r="X10" s="26">
        <f t="shared" si="2"/>
        <v>8.9735816299187851E-2</v>
      </c>
      <c r="Y10" s="26">
        <f t="shared" si="2"/>
        <v>0.79155627298670095</v>
      </c>
    </row>
    <row r="11" spans="1:25" s="3" customFormat="1">
      <c r="A11" s="24" t="s">
        <v>132</v>
      </c>
      <c r="B11" s="29" t="s">
        <v>27</v>
      </c>
      <c r="C11" s="97">
        <v>300</v>
      </c>
      <c r="D11" s="97"/>
      <c r="E11" s="102">
        <v>0.12431762378554365</v>
      </c>
      <c r="F11" s="102">
        <v>0.4868439847761532</v>
      </c>
      <c r="G11" s="102">
        <v>1.0415214118246066</v>
      </c>
      <c r="H11" s="102">
        <v>2.4954334272364047E-3</v>
      </c>
      <c r="I11" s="102">
        <v>3.5011591348186828E-2</v>
      </c>
      <c r="J11" s="100">
        <f t="shared" si="0"/>
        <v>3.1160316299886276E-2</v>
      </c>
      <c r="K11" s="103">
        <v>254.23851177178003</v>
      </c>
      <c r="L11" s="102">
        <v>1.1216977037398481E-2</v>
      </c>
      <c r="M11" s="104">
        <f t="shared" si="1"/>
        <v>9.8944534123337619E-2</v>
      </c>
      <c r="N11" s="98">
        <v>1</v>
      </c>
      <c r="O11" s="87">
        <v>8</v>
      </c>
      <c r="P11" s="88">
        <v>4</v>
      </c>
      <c r="Q11" s="34">
        <f t="shared" si="2"/>
        <v>0.99454099028434917</v>
      </c>
      <c r="R11" s="26">
        <f t="shared" si="2"/>
        <v>3.8947518782092256</v>
      </c>
      <c r="S11" s="26">
        <f t="shared" si="2"/>
        <v>8.3321712945968525</v>
      </c>
      <c r="T11" s="26">
        <f t="shared" si="2"/>
        <v>1.9963467417891238E-2</v>
      </c>
      <c r="U11" s="26">
        <f t="shared" si="2"/>
        <v>0.28009273078549463</v>
      </c>
      <c r="V11" s="26">
        <f t="shared" si="2"/>
        <v>0.24928253039909021</v>
      </c>
      <c r="W11" s="26">
        <f t="shared" si="2"/>
        <v>2033.9080941742402</v>
      </c>
      <c r="X11" s="26">
        <f t="shared" si="2"/>
        <v>8.9735816299187851E-2</v>
      </c>
      <c r="Y11" s="26">
        <f t="shared" si="2"/>
        <v>0.79155627298670095</v>
      </c>
    </row>
    <row r="12" spans="1:25" s="3" customFormat="1">
      <c r="A12" s="24" t="s">
        <v>297</v>
      </c>
      <c r="B12" s="29" t="s">
        <v>27</v>
      </c>
      <c r="C12" s="97">
        <v>235</v>
      </c>
      <c r="D12" s="97"/>
      <c r="E12" s="102">
        <v>0.11792220738547983</v>
      </c>
      <c r="F12" s="102">
        <v>0.36512193352152528</v>
      </c>
      <c r="G12" s="102">
        <v>0.86781464282266541</v>
      </c>
      <c r="H12" s="102">
        <v>1.8739217498104396E-3</v>
      </c>
      <c r="I12" s="102">
        <v>2.9041712295589866E-2</v>
      </c>
      <c r="J12" s="100">
        <f t="shared" si="0"/>
        <v>2.5847123943074982E-2</v>
      </c>
      <c r="K12" s="103">
        <v>166.54541562452522</v>
      </c>
      <c r="L12" s="102">
        <v>1.063993297769634E-2</v>
      </c>
      <c r="M12" s="104">
        <f t="shared" si="1"/>
        <v>8.2442391068153209E-2</v>
      </c>
      <c r="N12" s="98">
        <v>1</v>
      </c>
      <c r="O12" s="87">
        <v>8</v>
      </c>
      <c r="P12" s="88">
        <v>4</v>
      </c>
      <c r="Q12" s="34">
        <f t="shared" si="2"/>
        <v>0.94337765908383864</v>
      </c>
      <c r="R12" s="26">
        <f t="shared" si="2"/>
        <v>2.9209754681722022</v>
      </c>
      <c r="S12" s="26">
        <f t="shared" si="2"/>
        <v>6.9425171425813232</v>
      </c>
      <c r="T12" s="26">
        <f t="shared" si="2"/>
        <v>1.4991373998483517E-2</v>
      </c>
      <c r="U12" s="26">
        <f t="shared" si="2"/>
        <v>0.23233369836471893</v>
      </c>
      <c r="V12" s="26">
        <f t="shared" si="2"/>
        <v>0.20677699154459986</v>
      </c>
      <c r="W12" s="26">
        <f t="shared" si="2"/>
        <v>1332.3633249962018</v>
      </c>
      <c r="X12" s="26">
        <f t="shared" si="2"/>
        <v>8.5119463821570721E-2</v>
      </c>
      <c r="Y12" s="26">
        <f t="shared" si="2"/>
        <v>0.65953912854522567</v>
      </c>
    </row>
    <row r="13" spans="1:25" s="3" customFormat="1">
      <c r="A13" s="24" t="s">
        <v>129</v>
      </c>
      <c r="B13" s="29" t="s">
        <v>27</v>
      </c>
      <c r="C13" s="97">
        <v>399</v>
      </c>
      <c r="D13" s="97">
        <v>0.28999999999999998</v>
      </c>
      <c r="E13" s="418">
        <v>0.13249726882716423</v>
      </c>
      <c r="F13" s="397">
        <v>0.66324074074074058</v>
      </c>
      <c r="G13" s="397">
        <v>1.1632222222222219</v>
      </c>
      <c r="H13" s="418">
        <v>1.7677529729271738E-3</v>
      </c>
      <c r="I13" s="397">
        <v>3.8263888888888889E-2</v>
      </c>
      <c r="J13" s="100">
        <f t="shared" si="0"/>
        <v>3.4054861111111112E-2</v>
      </c>
      <c r="K13" s="103">
        <v>180.10131655574588</v>
      </c>
      <c r="L13" s="102">
        <v>1.3243614024502522E-2</v>
      </c>
      <c r="M13" s="104">
        <f t="shared" si="1"/>
        <v>0.11050611111111108</v>
      </c>
      <c r="N13" s="87">
        <v>1</v>
      </c>
      <c r="O13" s="87">
        <v>8</v>
      </c>
      <c r="P13" s="88">
        <v>4</v>
      </c>
      <c r="Q13" s="34">
        <f t="shared" si="2"/>
        <v>1.0599781506173138</v>
      </c>
      <c r="R13" s="26">
        <f t="shared" si="2"/>
        <v>5.3059259259259246</v>
      </c>
      <c r="S13" s="26">
        <f t="shared" si="2"/>
        <v>9.3057777777777755</v>
      </c>
      <c r="T13" s="26">
        <f t="shared" si="2"/>
        <v>1.414202378341739E-2</v>
      </c>
      <c r="U13" s="26">
        <f t="shared" si="2"/>
        <v>0.30611111111111111</v>
      </c>
      <c r="V13" s="26">
        <f t="shared" si="2"/>
        <v>0.2724388888888889</v>
      </c>
      <c r="W13" s="26">
        <f t="shared" si="2"/>
        <v>1440.8105324459671</v>
      </c>
      <c r="X13" s="26">
        <f t="shared" si="2"/>
        <v>0.10594891219602018</v>
      </c>
      <c r="Y13" s="26">
        <f t="shared" si="2"/>
        <v>0.88404888888888866</v>
      </c>
    </row>
    <row r="14" spans="1:25" s="3" customFormat="1">
      <c r="A14" s="17" t="s">
        <v>28</v>
      </c>
      <c r="B14" s="29"/>
      <c r="C14" s="97"/>
      <c r="D14" s="12"/>
      <c r="E14" s="102"/>
      <c r="F14" s="102"/>
      <c r="G14" s="102"/>
      <c r="H14" s="102"/>
      <c r="I14" s="102"/>
      <c r="J14" s="100"/>
      <c r="K14" s="103"/>
      <c r="L14" s="102"/>
      <c r="M14" s="104"/>
      <c r="N14" s="98"/>
      <c r="O14" s="98"/>
      <c r="P14" s="99"/>
      <c r="Q14" s="101">
        <f>SUM(Q8:Q13)</f>
        <v>5.6743107297789557</v>
      </c>
      <c r="R14" s="101">
        <f t="shared" ref="R14:Y14" si="3">SUM(R8:R13)</f>
        <v>21.435460379695819</v>
      </c>
      <c r="S14" s="101">
        <f t="shared" si="3"/>
        <v>43.222685347359537</v>
      </c>
      <c r="T14" s="101">
        <f t="shared" si="3"/>
        <v>9.3080505252501194E-2</v>
      </c>
      <c r="U14" s="101">
        <f t="shared" si="3"/>
        <v>1.5460245891339013</v>
      </c>
      <c r="V14" s="101">
        <f t="shared" si="3"/>
        <v>1.3759618843291721</v>
      </c>
      <c r="W14" s="101">
        <f t="shared" si="3"/>
        <v>9188.7023665925735</v>
      </c>
      <c r="X14" s="101">
        <f t="shared" si="3"/>
        <v>0.53730267667290377</v>
      </c>
      <c r="Y14" s="101">
        <f t="shared" si="3"/>
        <v>4.1061551079991556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B-4
Construction Heavy Equipment Emissions
TL 6965 Construction
</oddHeader>
    <oddFooter>&amp;CB-4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8"/>
  <sheetViews>
    <sheetView zoomScale="75" zoomScaleNormal="75" workbookViewId="0">
      <selection activeCell="B34" sqref="B34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543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19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314</v>
      </c>
      <c r="B7" s="571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8</v>
      </c>
      <c r="P8" s="88">
        <v>125</v>
      </c>
      <c r="Q8" s="34">
        <f t="shared" ref="Q8:Y10" si="2">(E8*$N8*$O8)</f>
        <v>0.49946184642775621</v>
      </c>
      <c r="R8" s="26">
        <f t="shared" si="2"/>
        <v>2.4431746031746027</v>
      </c>
      <c r="S8" s="26">
        <f t="shared" si="2"/>
        <v>3.1176888888888881</v>
      </c>
      <c r="T8" s="26">
        <f t="shared" si="2"/>
        <v>4.4060015200662857E-3</v>
      </c>
      <c r="U8" s="26">
        <f t="shared" si="2"/>
        <v>0.19809523809523807</v>
      </c>
      <c r="V8" s="26">
        <f t="shared" si="2"/>
        <v>0.17630476190476188</v>
      </c>
      <c r="W8" s="26">
        <f t="shared" si="2"/>
        <v>375.60183859341714</v>
      </c>
      <c r="X8" s="26">
        <f t="shared" si="2"/>
        <v>5.4697471816927752E-2</v>
      </c>
      <c r="Y8" s="26">
        <f t="shared" si="2"/>
        <v>0.29618044444444436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9</v>
      </c>
      <c r="P9" s="363">
        <v>125</v>
      </c>
      <c r="Q9" s="34">
        <f t="shared" si="2"/>
        <v>1.0612998664693185</v>
      </c>
      <c r="R9" s="26">
        <f t="shared" si="2"/>
        <v>3.2860974016937274</v>
      </c>
      <c r="S9" s="26">
        <f t="shared" si="2"/>
        <v>7.8103317854039886</v>
      </c>
      <c r="T9" s="26">
        <f t="shared" si="2"/>
        <v>1.6865295748293957E-2</v>
      </c>
      <c r="U9" s="26">
        <f t="shared" si="2"/>
        <v>0.26137541066030878</v>
      </c>
      <c r="V9" s="26">
        <f t="shared" si="2"/>
        <v>0.23262411548767484</v>
      </c>
      <c r="W9" s="26">
        <f t="shared" si="2"/>
        <v>1498.908740620727</v>
      </c>
      <c r="X9" s="26">
        <f t="shared" si="2"/>
        <v>9.5759396799267066E-2</v>
      </c>
      <c r="Y9" s="26">
        <f t="shared" si="2"/>
        <v>0.74198151961337888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3</v>
      </c>
      <c r="P10" s="363">
        <v>125</v>
      </c>
      <c r="Q10" s="34">
        <f t="shared" si="2"/>
        <v>3.9051121312432671E-2</v>
      </c>
      <c r="R10" s="26">
        <f t="shared" si="2"/>
        <v>0.1468253968253968</v>
      </c>
      <c r="S10" s="26">
        <f t="shared" si="2"/>
        <v>0.13018518518518515</v>
      </c>
      <c r="T10" s="26">
        <f t="shared" si="2"/>
        <v>4.7652059865273245E-4</v>
      </c>
      <c r="U10" s="26">
        <f t="shared" si="2"/>
        <v>1.4682539682539681E-2</v>
      </c>
      <c r="V10" s="26">
        <f t="shared" si="2"/>
        <v>1.3067460317460314E-2</v>
      </c>
      <c r="W10" s="26">
        <f t="shared" si="2"/>
        <v>30.622980859093083</v>
      </c>
      <c r="X10" s="26">
        <f t="shared" si="2"/>
        <v>3.8388136396804665E-3</v>
      </c>
      <c r="Y10" s="26">
        <f t="shared" si="2"/>
        <v>1.236759259259259E-2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1.5998128342095075</v>
      </c>
      <c r="R11" s="101">
        <f t="shared" ref="R11:Y11" si="3">SUM(R8:R10)</f>
        <v>5.8760974016937269</v>
      </c>
      <c r="S11" s="101">
        <f t="shared" si="3"/>
        <v>11.058205859478063</v>
      </c>
      <c r="T11" s="101">
        <f t="shared" si="3"/>
        <v>2.1747817867012974E-2</v>
      </c>
      <c r="U11" s="101">
        <f t="shared" si="3"/>
        <v>0.47415318843808657</v>
      </c>
      <c r="V11" s="101">
        <f t="shared" si="3"/>
        <v>0.42199633770989703</v>
      </c>
      <c r="W11" s="101">
        <f t="shared" si="3"/>
        <v>1905.1335600732373</v>
      </c>
      <c r="X11" s="101">
        <f t="shared" si="3"/>
        <v>0.15429568225587528</v>
      </c>
      <c r="Y11" s="101">
        <f t="shared" si="3"/>
        <v>1.0505295566504158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87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7" t="s">
        <v>281</v>
      </c>
      <c r="B13" s="90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30"/>
      <c r="O13" s="30"/>
      <c r="P13" s="30"/>
      <c r="Q13" s="20"/>
      <c r="R13" s="20"/>
      <c r="S13" s="27"/>
      <c r="T13" s="20"/>
      <c r="U13" s="20"/>
      <c r="V13" s="20"/>
      <c r="W13" s="21"/>
      <c r="X13" s="20"/>
      <c r="Y13" s="20"/>
    </row>
    <row r="14" spans="1:25" s="3" customFormat="1">
      <c r="A14" s="100" t="s">
        <v>120</v>
      </c>
      <c r="B14" s="29" t="s">
        <v>27</v>
      </c>
      <c r="C14" s="22">
        <v>358</v>
      </c>
      <c r="D14" s="22">
        <v>0.4</v>
      </c>
      <c r="E14" s="108">
        <v>0.27937428148624566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0.82081128747795418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1.2776243386243384</v>
      </c>
      <c r="H14" s="108">
        <v>2.5998088533883764E-3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4.735449735449735E-2</v>
      </c>
      <c r="J14" s="100">
        <f t="shared" ref="J14:J19" si="4">0.89*I14</f>
        <v>4.2145502645502646E-2</v>
      </c>
      <c r="K14" s="108">
        <v>264.8725636721183</v>
      </c>
      <c r="L14" s="108">
        <v>2.6451144743432839E-2</v>
      </c>
      <c r="M14" s="102">
        <f t="shared" ref="M14:M19" si="5">0.095*G14</f>
        <v>0.12137431216931216</v>
      </c>
      <c r="N14" s="98">
        <v>1</v>
      </c>
      <c r="O14" s="87">
        <v>8</v>
      </c>
      <c r="P14" s="363">
        <v>75</v>
      </c>
      <c r="Q14" s="34">
        <f t="shared" ref="Q14:Y19" si="6">(E14*$N14*$O14)</f>
        <v>2.2349942518899653</v>
      </c>
      <c r="R14" s="26">
        <f t="shared" si="6"/>
        <v>6.5664902998236334</v>
      </c>
      <c r="S14" s="26">
        <f t="shared" si="6"/>
        <v>10.220994708994708</v>
      </c>
      <c r="T14" s="26">
        <f t="shared" si="6"/>
        <v>2.0798470827107011E-2</v>
      </c>
      <c r="U14" s="26">
        <f t="shared" si="6"/>
        <v>0.3788359788359788</v>
      </c>
      <c r="V14" s="26">
        <f t="shared" si="6"/>
        <v>0.33716402116402117</v>
      </c>
      <c r="W14" s="26">
        <f t="shared" si="6"/>
        <v>2118.9805093769464</v>
      </c>
      <c r="X14" s="26">
        <f t="shared" si="6"/>
        <v>0.21160915794746271</v>
      </c>
      <c r="Y14" s="26">
        <f t="shared" si="6"/>
        <v>0.97099449735449728</v>
      </c>
    </row>
    <row r="15" spans="1:25">
      <c r="A15" s="100" t="s">
        <v>121</v>
      </c>
      <c r="B15" s="29" t="s">
        <v>27</v>
      </c>
      <c r="C15" s="22">
        <v>162</v>
      </c>
      <c r="D15" s="22">
        <v>0.41</v>
      </c>
      <c r="E15" s="108">
        <v>0.12153885438656534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0.5417857142857142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0.60233392857142853</v>
      </c>
      <c r="H15" s="108">
        <v>1.3943296443626662E-3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3.2214285714285709E-2</v>
      </c>
      <c r="J15" s="100">
        <f t="shared" si="4"/>
        <v>2.8670714285714282E-2</v>
      </c>
      <c r="K15" s="365">
        <v>123.92149503712022</v>
      </c>
      <c r="L15" s="23">
        <v>1.1720218383966691E-2</v>
      </c>
      <c r="M15" s="102">
        <f t="shared" si="5"/>
        <v>5.7221723214285709E-2</v>
      </c>
      <c r="N15" s="98">
        <v>1</v>
      </c>
      <c r="O15" s="87">
        <v>8</v>
      </c>
      <c r="P15" s="363">
        <v>75</v>
      </c>
      <c r="Q15" s="34">
        <f t="shared" si="6"/>
        <v>0.9723108350925227</v>
      </c>
      <c r="R15" s="26">
        <f t="shared" si="6"/>
        <v>4.3342857142857136</v>
      </c>
      <c r="S15" s="26">
        <f t="shared" si="6"/>
        <v>4.8186714285714283</v>
      </c>
      <c r="T15" s="26">
        <f t="shared" si="6"/>
        <v>1.115463715490133E-2</v>
      </c>
      <c r="U15" s="26">
        <f t="shared" si="6"/>
        <v>0.25771428571428567</v>
      </c>
      <c r="V15" s="26">
        <f t="shared" si="6"/>
        <v>0.22936571428571426</v>
      </c>
      <c r="W15" s="26">
        <f t="shared" si="6"/>
        <v>991.37196029696179</v>
      </c>
      <c r="X15" s="26">
        <f t="shared" si="6"/>
        <v>9.3761747071733528E-2</v>
      </c>
      <c r="Y15" s="26">
        <f t="shared" si="6"/>
        <v>0.45777378571428567</v>
      </c>
    </row>
    <row r="16" spans="1:25">
      <c r="A16" s="100" t="s">
        <v>123</v>
      </c>
      <c r="B16" s="29" t="s">
        <v>27</v>
      </c>
      <c r="C16" s="22">
        <v>84</v>
      </c>
      <c r="D16" s="22">
        <v>0.38</v>
      </c>
      <c r="E16" s="102">
        <v>7.9534395197012789E-2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0.26037037037037036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0.33225370370370361</v>
      </c>
      <c r="H16" s="102">
        <v>6.9196834691909377E-4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2.1111111111111112E-2</v>
      </c>
      <c r="J16" s="100">
        <f t="shared" si="4"/>
        <v>1.878888888888889E-2</v>
      </c>
      <c r="K16" s="103">
        <v>58.988746640295226</v>
      </c>
      <c r="L16" s="102">
        <v>7.7311979659905822E-3</v>
      </c>
      <c r="M16" s="102">
        <f t="shared" si="5"/>
        <v>3.1564101851851843E-2</v>
      </c>
      <c r="N16" s="363">
        <v>1</v>
      </c>
      <c r="O16" s="87">
        <v>8</v>
      </c>
      <c r="P16" s="363">
        <v>75</v>
      </c>
      <c r="Q16" s="34">
        <f t="shared" si="6"/>
        <v>0.63627516157610231</v>
      </c>
      <c r="R16" s="26">
        <f t="shared" si="6"/>
        <v>2.0829629629629629</v>
      </c>
      <c r="S16" s="26">
        <f t="shared" si="6"/>
        <v>2.6580296296296289</v>
      </c>
      <c r="T16" s="26">
        <f t="shared" si="6"/>
        <v>5.5357467753527501E-3</v>
      </c>
      <c r="U16" s="26">
        <f t="shared" si="6"/>
        <v>0.16888888888888889</v>
      </c>
      <c r="V16" s="26">
        <f t="shared" si="6"/>
        <v>0.15031111111111112</v>
      </c>
      <c r="W16" s="26">
        <f t="shared" si="6"/>
        <v>471.90997312236181</v>
      </c>
      <c r="X16" s="26">
        <f t="shared" si="6"/>
        <v>6.1849583727924658E-2</v>
      </c>
      <c r="Y16" s="26">
        <f t="shared" si="6"/>
        <v>0.25251281481481475</v>
      </c>
    </row>
    <row r="17" spans="1:25">
      <c r="A17" s="100" t="s">
        <v>282</v>
      </c>
      <c r="B17" s="29" t="s">
        <v>27</v>
      </c>
      <c r="C17" s="97">
        <v>37</v>
      </c>
      <c r="D17" s="22">
        <v>0.37</v>
      </c>
      <c r="E17" s="102">
        <v>3.2313389441625637E-2</v>
      </c>
      <c r="F17" s="397">
        <f>IF($C17&lt;11,'Offroad Tiers EF (2)'!$AN$4*$C17*$D17,IF($C17&lt;25,'Offroad Tiers EF (2)'!$AN$5*$C17*$D17,IF($C17&lt;50,'Offroad Tiers EF (2)'!$AN$6*$C17*$D17,IF($C17&lt;75,'Offroad Tiers EF (2)'!$AN$7*$C17*$D17,IF($C17&lt;100,'Offroad Tiers EF (2)'!$AN$8*$C17*$D17,IF($C17&lt;175,'Offroad Tiers EF (2)'!$AN$9*$C17*$D17,IF($C17&lt;300,'Offroad Tiers EF (2)'!$AN$10*$C17*$D17,IF($C17&lt;600,'Offroad Tiers EF (2)'!$AN$11*$C17*$D17,"!"))))))))</f>
        <v>0.12374118165784832</v>
      </c>
      <c r="G17" s="397">
        <f>IF($C17&lt;11,'Offroad Tiers EF (2)'!$AM$4*$C17*$D17,IF($C17&lt;25,'Offroad Tiers EF (2)'!$AM$5*$C17*$D17,IF($C17&lt;50,'Offroad Tiers EF (2)'!$AM$6*$C17*$D17,IF($C17&lt;75,'Offroad Tiers EF (2)'!$AM$7*$C17*$D17,IF($C17&lt;100,'Offroad Tiers EF (2)'!$AM$8*$C17*$D17,IF($C17&lt;175,'Offroad Tiers EF (2)'!$AM$9*$C17*$D17,IF($C17&lt;300,'Offroad Tiers EF (2)'!$AM$10*$C17*$D17,IF($C17&lt;600,'Offroad Tiers EF (2)'!$AM$11*$C17*$D17,"!"))))))))</f>
        <v>0.16056172839506169</v>
      </c>
      <c r="H17" s="102">
        <v>3.2989906092678058E-4</v>
      </c>
      <c r="I17" s="397">
        <f>IF($C17&lt;11,'Offroad Tiers EF (2)'!$AO$4*$C17*$D17,IF($C17&lt;25,'Offroad Tiers EF (2)'!$AO$5*$C17*$D17,IF($C17&lt;50,'Offroad Tiers EF (2)'!$AO$6*$C17*$D17,IF($C17&lt;75,'Offroad Tiers EF (2)'!$AO$7*$C17*$D17,IF($C17&lt;100,'Offroad Tiers EF (2)'!$AO$8*$C17*$D17,IF($C17&lt;175,'Offroad Tiers EF (2)'!$AO$9*$C17*$D17,IF($C17&lt;300,'Offroad Tiers EF (2)'!$AO$10*$C17*$D17,IF($C17&lt;600,'Offroad Tiers EF (2)'!$AO$11*$C17*$D17,"!"))))))))</f>
        <v>1.3581349206349205E-2</v>
      </c>
      <c r="J17" s="100">
        <f t="shared" si="4"/>
        <v>1.2087400793650793E-2</v>
      </c>
      <c r="K17" s="103">
        <v>25.519156990664225</v>
      </c>
      <c r="L17" s="102">
        <v>3.413848047070189E-3</v>
      </c>
      <c r="M17" s="104">
        <f t="shared" si="5"/>
        <v>1.5253364197530862E-2</v>
      </c>
      <c r="N17" s="87">
        <v>1</v>
      </c>
      <c r="O17" s="87">
        <v>8</v>
      </c>
      <c r="P17" s="363">
        <v>75</v>
      </c>
      <c r="Q17" s="34">
        <f t="shared" si="6"/>
        <v>0.25850711553300509</v>
      </c>
      <c r="R17" s="26">
        <f t="shared" si="6"/>
        <v>0.98992945326278659</v>
      </c>
      <c r="S17" s="26">
        <f t="shared" si="6"/>
        <v>1.2844938271604935</v>
      </c>
      <c r="T17" s="26">
        <f t="shared" si="6"/>
        <v>2.6391924874142447E-3</v>
      </c>
      <c r="U17" s="26">
        <f t="shared" si="6"/>
        <v>0.10865079365079364</v>
      </c>
      <c r="V17" s="26">
        <f t="shared" si="6"/>
        <v>9.669920634920634E-2</v>
      </c>
      <c r="W17" s="26">
        <f t="shared" si="6"/>
        <v>204.1532559253138</v>
      </c>
      <c r="X17" s="26">
        <f t="shared" si="6"/>
        <v>2.7310784376561512E-2</v>
      </c>
      <c r="Y17" s="26">
        <f t="shared" si="6"/>
        <v>0.12202691358024689</v>
      </c>
    </row>
    <row r="18" spans="1:25">
      <c r="A18" s="100" t="s">
        <v>283</v>
      </c>
      <c r="B18" s="29" t="s">
        <v>27</v>
      </c>
      <c r="C18" s="22">
        <v>88</v>
      </c>
      <c r="D18" s="22"/>
      <c r="E18" s="102">
        <v>7.7350469494183435E-2</v>
      </c>
      <c r="F18" s="102">
        <v>0.50168655138603524</v>
      </c>
      <c r="G18" s="102">
        <v>0.53236808560333904</v>
      </c>
      <c r="H18" s="102">
        <v>8.8025852246575076E-4</v>
      </c>
      <c r="I18" s="102">
        <v>3.9192407788964947E-2</v>
      </c>
      <c r="J18" s="100">
        <f t="shared" si="4"/>
        <v>3.4881242932178806E-2</v>
      </c>
      <c r="K18" s="103">
        <v>75.040091008231684</v>
      </c>
      <c r="L18" s="102">
        <v>6.9792086054076847E-3</v>
      </c>
      <c r="M18" s="102">
        <f t="shared" si="5"/>
        <v>5.0574968132317211E-2</v>
      </c>
      <c r="N18" s="98">
        <v>1</v>
      </c>
      <c r="O18" s="87">
        <v>8</v>
      </c>
      <c r="P18" s="363">
        <v>30</v>
      </c>
      <c r="Q18" s="34">
        <f t="shared" si="6"/>
        <v>0.61880375595346748</v>
      </c>
      <c r="R18" s="26">
        <f t="shared" si="6"/>
        <v>4.0134924110882819</v>
      </c>
      <c r="S18" s="26">
        <f t="shared" si="6"/>
        <v>4.2589446848267123</v>
      </c>
      <c r="T18" s="26">
        <f t="shared" si="6"/>
        <v>7.0420681797260061E-3</v>
      </c>
      <c r="U18" s="26">
        <f t="shared" si="6"/>
        <v>0.31353926231171958</v>
      </c>
      <c r="V18" s="26">
        <f t="shared" si="6"/>
        <v>0.27904994345743045</v>
      </c>
      <c r="W18" s="26">
        <f t="shared" si="6"/>
        <v>600.32072806585347</v>
      </c>
      <c r="X18" s="26">
        <f t="shared" si="6"/>
        <v>5.5833668843261477E-2</v>
      </c>
      <c r="Y18" s="26">
        <f t="shared" si="6"/>
        <v>0.40459974505853769</v>
      </c>
    </row>
    <row r="19" spans="1:25">
      <c r="A19" s="100" t="s">
        <v>126</v>
      </c>
      <c r="B19" s="29" t="s">
        <v>27</v>
      </c>
      <c r="C19" s="22">
        <v>175</v>
      </c>
      <c r="D19" s="22"/>
      <c r="E19" s="102">
        <v>0.11792220738547983</v>
      </c>
      <c r="F19" s="102">
        <v>0.36512193352152528</v>
      </c>
      <c r="G19" s="102">
        <v>0.86781464282266541</v>
      </c>
      <c r="H19" s="102">
        <v>1.8739217498104396E-3</v>
      </c>
      <c r="I19" s="102">
        <v>2.9041712295589866E-2</v>
      </c>
      <c r="J19" s="100">
        <f t="shared" si="4"/>
        <v>2.5847123943074982E-2</v>
      </c>
      <c r="K19" s="103">
        <v>166.54541562452522</v>
      </c>
      <c r="L19" s="102">
        <v>1.063993297769634E-2</v>
      </c>
      <c r="M19" s="104">
        <f t="shared" si="5"/>
        <v>8.2442391068153209E-2</v>
      </c>
      <c r="N19" s="98">
        <v>2</v>
      </c>
      <c r="O19" s="87">
        <v>8</v>
      </c>
      <c r="P19" s="363">
        <v>75</v>
      </c>
      <c r="Q19" s="34">
        <f t="shared" si="6"/>
        <v>1.8867553181676773</v>
      </c>
      <c r="R19" s="26">
        <f t="shared" si="6"/>
        <v>5.8419509363444044</v>
      </c>
      <c r="S19" s="26">
        <f t="shared" si="6"/>
        <v>13.885034285162646</v>
      </c>
      <c r="T19" s="26">
        <f t="shared" si="6"/>
        <v>2.9982747996967034E-2</v>
      </c>
      <c r="U19" s="26">
        <f t="shared" si="6"/>
        <v>0.46466739672943785</v>
      </c>
      <c r="V19" s="26">
        <f t="shared" si="6"/>
        <v>0.41355398308919972</v>
      </c>
      <c r="W19" s="26">
        <f t="shared" si="6"/>
        <v>2664.7266499924035</v>
      </c>
      <c r="X19" s="26">
        <f t="shared" si="6"/>
        <v>0.17023892764314144</v>
      </c>
      <c r="Y19" s="26">
        <f t="shared" si="6"/>
        <v>1.3190782570904513</v>
      </c>
    </row>
    <row r="20" spans="1:25">
      <c r="A20" s="11" t="s">
        <v>28</v>
      </c>
      <c r="B20" s="571"/>
      <c r="C20" s="18"/>
      <c r="D20" s="22"/>
      <c r="E20" s="19"/>
      <c r="F20" s="19"/>
      <c r="G20" s="19"/>
      <c r="H20" s="19"/>
      <c r="I20" s="19"/>
      <c r="J20" s="19"/>
      <c r="K20" s="19"/>
      <c r="L20" s="19"/>
      <c r="M20" s="19"/>
      <c r="N20" s="30"/>
      <c r="O20" s="30"/>
      <c r="P20" s="364"/>
      <c r="Q20" s="20">
        <f t="shared" ref="Q20:Y20" si="7">SUM(Q14:Q19)</f>
        <v>6.6076464382127398</v>
      </c>
      <c r="R20" s="20">
        <f t="shared" si="7"/>
        <v>23.829111777767782</v>
      </c>
      <c r="S20" s="27">
        <f t="shared" si="7"/>
        <v>37.126168564345619</v>
      </c>
      <c r="T20" s="20">
        <f t="shared" si="7"/>
        <v>7.7152863421468376E-2</v>
      </c>
      <c r="U20" s="20">
        <f t="shared" si="7"/>
        <v>1.6922966061311044</v>
      </c>
      <c r="V20" s="20">
        <f t="shared" si="7"/>
        <v>1.5061439794566829</v>
      </c>
      <c r="W20" s="20">
        <f t="shared" si="7"/>
        <v>7051.4630767798408</v>
      </c>
      <c r="X20" s="20">
        <f t="shared" si="7"/>
        <v>0.62060386961008529</v>
      </c>
      <c r="Y20" s="20">
        <f t="shared" si="7"/>
        <v>3.5269860136128335</v>
      </c>
    </row>
    <row r="21" spans="1:25">
      <c r="A21" s="11"/>
      <c r="B21" s="571"/>
      <c r="C21" s="18"/>
      <c r="D21" s="22"/>
      <c r="E21" s="19"/>
      <c r="F21" s="19"/>
      <c r="G21" s="19"/>
      <c r="H21" s="19"/>
      <c r="I21" s="19"/>
      <c r="J21" s="19"/>
      <c r="K21" s="19"/>
      <c r="L21" s="19"/>
      <c r="M21" s="19"/>
      <c r="N21" s="30"/>
      <c r="O21" s="375"/>
      <c r="P21" s="364"/>
      <c r="Q21" s="20"/>
      <c r="R21" s="20"/>
      <c r="S21" s="27"/>
      <c r="T21" s="20"/>
      <c r="U21" s="20"/>
      <c r="V21" s="20"/>
      <c r="W21" s="21"/>
      <c r="X21" s="20"/>
      <c r="Y21" s="20"/>
    </row>
    <row r="22" spans="1:25">
      <c r="A22" s="17" t="s">
        <v>285</v>
      </c>
      <c r="B22" s="90"/>
      <c r="C22" s="18"/>
      <c r="D22" s="22"/>
      <c r="E22" s="19"/>
      <c r="F22" s="19"/>
      <c r="G22" s="19"/>
      <c r="H22" s="19"/>
      <c r="I22" s="19"/>
      <c r="J22" s="19"/>
      <c r="K22" s="19"/>
      <c r="L22" s="19"/>
      <c r="M22" s="19"/>
      <c r="N22" s="30"/>
      <c r="O22" s="17"/>
      <c r="P22" s="533"/>
      <c r="Q22" s="20"/>
      <c r="R22" s="20"/>
      <c r="S22" s="20"/>
      <c r="T22" s="20"/>
      <c r="U22" s="20"/>
      <c r="V22" s="20"/>
      <c r="W22" s="21"/>
      <c r="X22" s="20"/>
      <c r="Y22" s="20"/>
    </row>
    <row r="23" spans="1:25">
      <c r="A23" s="100" t="s">
        <v>124</v>
      </c>
      <c r="B23" s="29" t="s">
        <v>27</v>
      </c>
      <c r="C23" s="97">
        <v>87</v>
      </c>
      <c r="D23" s="22">
        <v>0.37</v>
      </c>
      <c r="E23" s="102">
        <v>7.7253202863558038E-2</v>
      </c>
      <c r="F23" s="397">
        <f>IF($C23&lt;11,'Offroad Tiers EF (2)'!$AN$4*$C23*$D23,IF($C23&lt;25,'Offroad Tiers EF (2)'!$AN$5*$C23*$D23,IF($C23&lt;50,'Offroad Tiers EF (2)'!$AN$6*$C23*$D23,IF($C23&lt;75,'Offroad Tiers EF (2)'!$AN$7*$C23*$D23,IF($C23&lt;100,'Offroad Tiers EF (2)'!$AN$8*$C23*$D23,IF($C23&lt;175,'Offroad Tiers EF (2)'!$AN$9*$C23*$D23,IF($C23&lt;300,'Offroad Tiers EF (2)'!$AN$10*$C23*$D23,IF($C23&lt;600,'Offroad Tiers EF (2)'!$AN$11*$C23*$D23,"!"))))))))</f>
        <v>0.26257275132275132</v>
      </c>
      <c r="G23" s="397">
        <f>IF($C23&lt;11,'Offroad Tiers EF (2)'!$AM$4*$C23*$D23,IF($C23&lt;25,'Offroad Tiers EF (2)'!$AM$5*$C23*$D23,IF($C23&lt;50,'Offroad Tiers EF (2)'!$AM$6*$C23*$D23,IF($C23&lt;75,'Offroad Tiers EF (2)'!$AM$7*$C23*$D23,IF($C23&lt;100,'Offroad Tiers EF (2)'!$AM$8*$C23*$D23,IF($C23&lt;175,'Offroad Tiers EF (2)'!$AM$9*$C23*$D23,IF($C23&lt;300,'Offroad Tiers EF (2)'!$AM$10*$C23*$D23,IF($C23&lt;600,'Offroad Tiers EF (2)'!$AM$11*$C23*$D23,"!"))))))))</f>
        <v>0.33506412037037031</v>
      </c>
      <c r="H23" s="102">
        <v>6.910856115004858E-4</v>
      </c>
      <c r="I23" s="397">
        <f>IF($C23&lt;11,'Offroad Tiers EF (2)'!$AO$4*$C23*$D23,IF($C23&lt;25,'Offroad Tiers EF (2)'!$AO$5*$C23*$D23,IF($C23&lt;50,'Offroad Tiers EF (2)'!$AO$6*$C23*$D23,IF($C23&lt;75,'Offroad Tiers EF (2)'!$AO$7*$C23*$D23,IF($C23&lt;100,'Offroad Tiers EF (2)'!$AO$8*$C23*$D23,IF($C23&lt;175,'Offroad Tiers EF (2)'!$AO$9*$C23*$D23,IF($C23&lt;300,'Offroad Tiers EF (2)'!$AO$10*$C23*$D23,IF($C23&lt;600,'Offroad Tiers EF (2)'!$AO$11*$C23*$D23,"!"))))))))</f>
        <v>2.1289682539682539E-2</v>
      </c>
      <c r="J23" s="100">
        <f t="shared" ref="J23:J25" si="8">0.89*I23</f>
        <v>1.894781746031746E-2</v>
      </c>
      <c r="K23" s="103">
        <v>58.913505111712794</v>
      </c>
      <c r="L23" s="102">
        <v>7.5344751889799754E-3</v>
      </c>
      <c r="M23" s="102">
        <f t="shared" ref="M23:M25" si="9">0.095*G23</f>
        <v>3.1831091435185178E-2</v>
      </c>
      <c r="N23" s="98">
        <v>1</v>
      </c>
      <c r="O23" s="87">
        <v>8</v>
      </c>
      <c r="P23" s="363">
        <v>15</v>
      </c>
      <c r="Q23" s="34">
        <f t="shared" ref="Q23:Y25" si="10">(E23*$N23*$O23)</f>
        <v>0.6180256229084643</v>
      </c>
      <c r="R23" s="26">
        <f t="shared" si="10"/>
        <v>2.1005820105820106</v>
      </c>
      <c r="S23" s="26">
        <f t="shared" si="10"/>
        <v>2.6805129629629625</v>
      </c>
      <c r="T23" s="26">
        <f t="shared" si="10"/>
        <v>5.5286848920038864E-3</v>
      </c>
      <c r="U23" s="26">
        <f t="shared" si="10"/>
        <v>0.17031746031746031</v>
      </c>
      <c r="V23" s="26">
        <f t="shared" si="10"/>
        <v>0.15158253968253968</v>
      </c>
      <c r="W23" s="26">
        <f t="shared" si="10"/>
        <v>471.30804089370235</v>
      </c>
      <c r="X23" s="26">
        <f t="shared" si="10"/>
        <v>6.0275801511839804E-2</v>
      </c>
      <c r="Y23" s="26">
        <f t="shared" si="10"/>
        <v>0.25464873148148143</v>
      </c>
    </row>
    <row r="24" spans="1:25">
      <c r="A24" s="100" t="s">
        <v>126</v>
      </c>
      <c r="B24" s="29" t="s">
        <v>27</v>
      </c>
      <c r="C24" s="22">
        <v>175</v>
      </c>
      <c r="D24" s="22"/>
      <c r="E24" s="102">
        <v>0.11792220738547983</v>
      </c>
      <c r="F24" s="102">
        <v>0.36512193352152528</v>
      </c>
      <c r="G24" s="102">
        <v>0.86781464282266541</v>
      </c>
      <c r="H24" s="102">
        <v>1.8739217498104396E-3</v>
      </c>
      <c r="I24" s="102">
        <v>2.9041712295589866E-2</v>
      </c>
      <c r="J24" s="100">
        <f t="shared" si="8"/>
        <v>2.5847123943074982E-2</v>
      </c>
      <c r="K24" s="103">
        <v>166.54541562452522</v>
      </c>
      <c r="L24" s="102">
        <v>1.063993297769634E-2</v>
      </c>
      <c r="M24" s="104">
        <f t="shared" si="9"/>
        <v>8.2442391068153209E-2</v>
      </c>
      <c r="N24" s="98">
        <v>1</v>
      </c>
      <c r="O24" s="88">
        <v>8</v>
      </c>
      <c r="P24" s="367">
        <v>40</v>
      </c>
      <c r="Q24" s="26">
        <f t="shared" si="10"/>
        <v>0.94337765908383864</v>
      </c>
      <c r="R24" s="26">
        <f t="shared" si="10"/>
        <v>2.9209754681722022</v>
      </c>
      <c r="S24" s="26">
        <f t="shared" si="10"/>
        <v>6.9425171425813232</v>
      </c>
      <c r="T24" s="26">
        <f t="shared" si="10"/>
        <v>1.4991373998483517E-2</v>
      </c>
      <c r="U24" s="26">
        <f t="shared" si="10"/>
        <v>0.23233369836471893</v>
      </c>
      <c r="V24" s="26">
        <f t="shared" si="10"/>
        <v>0.20677699154459986</v>
      </c>
      <c r="W24" s="26">
        <f t="shared" si="10"/>
        <v>1332.3633249962018</v>
      </c>
      <c r="X24" s="26">
        <f t="shared" si="10"/>
        <v>8.5119463821570721E-2</v>
      </c>
      <c r="Y24" s="26">
        <f t="shared" si="10"/>
        <v>0.65953912854522567</v>
      </c>
    </row>
    <row r="25" spans="1:25">
      <c r="A25" s="100" t="s">
        <v>128</v>
      </c>
      <c r="B25" s="29" t="s">
        <v>27</v>
      </c>
      <c r="C25" s="22">
        <v>157</v>
      </c>
      <c r="D25" s="22">
        <v>0.38</v>
      </c>
      <c r="E25" s="550">
        <v>9.7211873502789536E-2</v>
      </c>
      <c r="F25" s="397">
        <f>IF($C25&lt;11,'Offroad Tiers EF (2)'!$AN$4*$C25*$D25,IF($C25&lt;25,'Offroad Tiers EF (2)'!$AN$5*$C25*$D25,IF($C25&lt;50,'Offroad Tiers EF (2)'!$AN$6*$C25*$D25,IF($C25&lt;75,'Offroad Tiers EF (2)'!$AN$7*$C25*$D25,IF($C25&lt;100,'Offroad Tiers EF (2)'!$AN$8*$C25*$D25,IF($C25&lt;175,'Offroad Tiers EF (2)'!$AN$9*$C25*$D25,IF($C25&lt;300,'Offroad Tiers EF (2)'!$AN$10*$C25*$D25,IF($C25&lt;600,'Offroad Tiers EF (2)'!$AN$11*$C25*$D25,"!"))))))))</f>
        <v>0.48664462081128745</v>
      </c>
      <c r="G25" s="397">
        <f>IF($C25&lt;11,'Offroad Tiers EF (2)'!$AM$4*$C25*$D25,IF($C25&lt;25,'Offroad Tiers EF (2)'!$AM$5*$C25*$D25,IF($C25&lt;50,'Offroad Tiers EF (2)'!$AM$6*$C25*$D25,IF($C25&lt;75,'Offroad Tiers EF (2)'!$AM$7*$C25*$D25,IF($C25&lt;100,'Offroad Tiers EF (2)'!$AM$8*$C25*$D25,IF($C25&lt;175,'Offroad Tiers EF (2)'!$AM$9*$C25*$D25,IF($C25&lt;300,'Offroad Tiers EF (2)'!$AM$10*$C25*$D25,IF($C25&lt;600,'Offroad Tiers EF (2)'!$AM$11*$C25*$D25,"!"))))))))</f>
        <v>0.54103044532627864</v>
      </c>
      <c r="H25" s="550">
        <v>1.2626852382997586E-3</v>
      </c>
      <c r="I25" s="397">
        <f>IF($C25&lt;11,'Offroad Tiers EF (2)'!$AO$4*$C25*$D25,IF($C25&lt;25,'Offroad Tiers EF (2)'!$AO$5*$C25*$D25,IF($C25&lt;50,'Offroad Tiers EF (2)'!$AO$6*$C25*$D25,IF($C25&lt;75,'Offroad Tiers EF (2)'!$AO$7*$C25*$D25,IF($C25&lt;100,'Offroad Tiers EF (2)'!$AO$8*$C25*$D25,IF($C25&lt;175,'Offroad Tiers EF (2)'!$AO$9*$C25*$D25,IF($C25&lt;300,'Offroad Tiers EF (2)'!$AO$10*$C25*$D25,IF($C25&lt;600,'Offroad Tiers EF (2)'!$AO$11*$C25*$D25,"!"))))))))</f>
        <v>2.8935626102292767E-2</v>
      </c>
      <c r="J25" s="551">
        <f t="shared" si="8"/>
        <v>2.5752707231040561E-2</v>
      </c>
      <c r="K25" s="552">
        <v>112.22156581723891</v>
      </c>
      <c r="L25" s="111">
        <v>9.4890670020510905E-3</v>
      </c>
      <c r="M25" s="553">
        <f t="shared" si="9"/>
        <v>5.1397892305996472E-2</v>
      </c>
      <c r="N25" s="554">
        <v>2</v>
      </c>
      <c r="O25" s="88">
        <v>2</v>
      </c>
      <c r="P25" s="88">
        <v>15</v>
      </c>
      <c r="Q25" s="26">
        <f t="shared" si="10"/>
        <v>0.38884749401115815</v>
      </c>
      <c r="R25" s="26">
        <f t="shared" si="10"/>
        <v>1.9465784832451498</v>
      </c>
      <c r="S25" s="26">
        <f t="shared" si="10"/>
        <v>2.1641217813051146</v>
      </c>
      <c r="T25" s="26">
        <f t="shared" si="10"/>
        <v>5.0507409531990342E-3</v>
      </c>
      <c r="U25" s="26">
        <f t="shared" si="10"/>
        <v>0.11574250440917107</v>
      </c>
      <c r="V25" s="26">
        <f t="shared" si="10"/>
        <v>0.10301082892416225</v>
      </c>
      <c r="W25" s="26">
        <f t="shared" si="10"/>
        <v>448.88626326895564</v>
      </c>
      <c r="X25" s="26">
        <f t="shared" si="10"/>
        <v>3.7956268008204362E-2</v>
      </c>
      <c r="Y25" s="26">
        <f t="shared" si="10"/>
        <v>0.20559156922398589</v>
      </c>
    </row>
    <row r="26" spans="1:25">
      <c r="A26" s="17" t="s">
        <v>28</v>
      </c>
      <c r="B26" s="571"/>
      <c r="C26" s="18"/>
      <c r="D26" s="22"/>
      <c r="E26" s="19"/>
      <c r="F26" s="19"/>
      <c r="G26" s="19"/>
      <c r="H26" s="19"/>
      <c r="I26" s="19"/>
      <c r="J26" s="19"/>
      <c r="K26" s="19"/>
      <c r="L26" s="19"/>
      <c r="M26" s="89"/>
      <c r="N26" s="105"/>
      <c r="O26" s="11"/>
      <c r="P26" s="11"/>
      <c r="Q26" s="27">
        <f t="shared" ref="Q26:Y26" si="11">SUM(Q23:Q25)</f>
        <v>1.9502507760034611</v>
      </c>
      <c r="R26" s="101">
        <f t="shared" si="11"/>
        <v>6.9681359619993621</v>
      </c>
      <c r="S26" s="101">
        <f t="shared" si="11"/>
        <v>11.787151886849401</v>
      </c>
      <c r="T26" s="101">
        <f t="shared" si="11"/>
        <v>2.5570799843686438E-2</v>
      </c>
      <c r="U26" s="101">
        <f t="shared" si="11"/>
        <v>0.51839366309135038</v>
      </c>
      <c r="V26" s="101">
        <f t="shared" si="11"/>
        <v>0.46137036015130178</v>
      </c>
      <c r="W26" s="101">
        <f t="shared" si="11"/>
        <v>2252.5576291588595</v>
      </c>
      <c r="X26" s="101">
        <f t="shared" si="11"/>
        <v>0.18335153334161489</v>
      </c>
      <c r="Y26" s="101">
        <f t="shared" si="11"/>
        <v>1.1197794292506928</v>
      </c>
    </row>
    <row r="27" spans="1:25">
      <c r="A27" s="17"/>
      <c r="B27" s="29"/>
      <c r="C27" s="22"/>
      <c r="D27" s="22"/>
      <c r="E27" s="23"/>
      <c r="F27" s="23"/>
      <c r="G27" s="23"/>
      <c r="H27" s="23"/>
      <c r="I27" s="23"/>
      <c r="J27" s="100"/>
      <c r="K27" s="365"/>
      <c r="L27" s="23"/>
      <c r="M27" s="102"/>
      <c r="N27" s="30"/>
      <c r="O27" s="98"/>
      <c r="P27" s="363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>
      <c r="A28" s="17" t="s">
        <v>365</v>
      </c>
      <c r="B28" s="31"/>
      <c r="C28" s="18"/>
      <c r="D28" s="22"/>
      <c r="E28" s="19"/>
      <c r="F28" s="19"/>
      <c r="G28" s="19"/>
      <c r="H28" s="19"/>
      <c r="I28" s="19"/>
      <c r="J28" s="19"/>
      <c r="K28" s="19"/>
      <c r="L28" s="19"/>
      <c r="M28" s="19"/>
      <c r="N28" s="17"/>
      <c r="O28" s="17"/>
      <c r="P28" s="533"/>
      <c r="Q28" s="20">
        <f>Q11+Q20+Q26</f>
        <v>10.157710048425708</v>
      </c>
      <c r="R28" s="20">
        <f t="shared" ref="R28:Y28" si="12">R11+R20+R26</f>
        <v>36.673345141460871</v>
      </c>
      <c r="S28" s="20">
        <f t="shared" si="12"/>
        <v>59.971526310673084</v>
      </c>
      <c r="T28" s="20">
        <f t="shared" si="12"/>
        <v>0.1244714811321678</v>
      </c>
      <c r="U28" s="20">
        <f t="shared" si="12"/>
        <v>2.6848434576605413</v>
      </c>
      <c r="V28" s="20">
        <f t="shared" si="12"/>
        <v>2.3895106773178818</v>
      </c>
      <c r="W28" s="20">
        <f t="shared" si="12"/>
        <v>11209.154266011938</v>
      </c>
      <c r="X28" s="20">
        <f t="shared" si="12"/>
        <v>0.95825108520757551</v>
      </c>
      <c r="Y28" s="20">
        <f t="shared" si="12"/>
        <v>5.6972949995139421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348"/>
  <sheetViews>
    <sheetView zoomScale="75" workbookViewId="0">
      <selection activeCell="B27" sqref="B27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31" width="12.28515625" style="38" customWidth="1"/>
    <col min="32" max="33" width="9.28515625" style="36" bestFit="1" customWidth="1"/>
    <col min="34" max="34" width="11.42578125" style="36" customWidth="1"/>
    <col min="35" max="35" width="10.5703125" style="36" customWidth="1"/>
    <col min="36" max="39" width="9.5703125" style="36" customWidth="1"/>
    <col min="40" max="40" width="9.28515625" style="38" bestFit="1" customWidth="1"/>
    <col min="41" max="41" width="9.85546875" style="36" customWidth="1"/>
    <col min="42" max="42" width="9.28515625" style="36" bestFit="1" customWidth="1"/>
    <col min="43" max="16384" width="9.140625" style="36"/>
  </cols>
  <sheetData>
    <row r="1" spans="1:42">
      <c r="A1" s="3" t="s">
        <v>766</v>
      </c>
    </row>
    <row r="2" spans="1:42">
      <c r="A2"/>
    </row>
    <row r="6" spans="1:42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  <c r="AE6" s="36"/>
      <c r="AN6" s="36"/>
    </row>
    <row r="7" spans="1:42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  <c r="AE7" s="36"/>
      <c r="AN7" s="36"/>
    </row>
    <row r="8" spans="1:42">
      <c r="A8" s="17" t="s">
        <v>410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  <c r="AE8" s="36"/>
      <c r="AN8" s="36"/>
    </row>
    <row r="9" spans="1:42">
      <c r="A9" s="78" t="s">
        <v>327</v>
      </c>
      <c r="B9" s="76" t="s">
        <v>105</v>
      </c>
      <c r="C9" s="374">
        <v>3</v>
      </c>
      <c r="D9" s="77"/>
      <c r="E9" s="77">
        <v>35</v>
      </c>
      <c r="F9" s="77">
        <v>80</v>
      </c>
      <c r="G9" s="106">
        <v>1.08263976628415</v>
      </c>
      <c r="H9" s="106">
        <v>4.9712718909585103</v>
      </c>
      <c r="I9" s="106">
        <v>0.26248012575016899</v>
      </c>
      <c r="J9" s="106">
        <v>1.0711818E-2</v>
      </c>
      <c r="K9" s="106">
        <v>7.1679901072141505E-2</v>
      </c>
      <c r="L9" s="556">
        <v>3.59998119015979E-2</v>
      </c>
      <c r="M9" s="556">
        <v>6.1739677411240299E-2</v>
      </c>
      <c r="N9" s="106">
        <v>6.5945508986370194E-2</v>
      </c>
      <c r="O9" s="556">
        <v>2.9999843251331498E-3</v>
      </c>
      <c r="P9" s="556">
        <v>5.5859708133979398E-2</v>
      </c>
      <c r="Q9" s="106">
        <v>1710.7260798814</v>
      </c>
      <c r="R9" s="47">
        <v>1.5235246282551899E-2</v>
      </c>
      <c r="S9" s="80">
        <f>0.000025616*Q9</f>
        <v>4.3821959262241944E-2</v>
      </c>
      <c r="T9" s="50">
        <f>C9*($F9*$G9)/453.59</f>
        <v>0.57283790186775729</v>
      </c>
      <c r="U9" s="50">
        <f>C9*($F9*$H9)/453.59</f>
        <v>2.6303605763575972</v>
      </c>
      <c r="V9" s="50">
        <f>C9*(($F9*$I9))/453.59</f>
        <v>0.1388814351728225</v>
      </c>
      <c r="W9" s="50">
        <f>C9*($F9*$J9)/453.59</f>
        <v>5.6677535219030401E-3</v>
      </c>
      <c r="X9" s="50">
        <f>C9*(($F9*($K9+$L9+$M9)))/453.59</f>
        <v>8.9641865324180711E-2</v>
      </c>
      <c r="Y9" s="50">
        <f>C9*(($F9*($N9+$O9+$P9)))/453.59</f>
        <v>6.6035953938393399E-2</v>
      </c>
      <c r="Z9" s="50">
        <f>C9*(F9)*$B$339</f>
        <v>0</v>
      </c>
      <c r="AA9" s="50">
        <f>Z9*0.21</f>
        <v>0</v>
      </c>
      <c r="AB9" s="50">
        <f>C9*(($F9*($Q9)))/453.59</f>
        <v>905.16602917069611</v>
      </c>
      <c r="AC9" s="50">
        <f>C9*(($F9*($R9)))/453.59</f>
        <v>8.0611545841232316E-3</v>
      </c>
      <c r="AD9" s="50">
        <f>C9*(($F9*($S9)))/453.59</f>
        <v>2.3186733003236551E-2</v>
      </c>
      <c r="AE9" s="36"/>
      <c r="AN9" s="36"/>
    </row>
    <row r="10" spans="1:42">
      <c r="A10" s="75" t="s">
        <v>28</v>
      </c>
      <c r="B10" s="74"/>
      <c r="C10" s="112"/>
      <c r="D10" s="112"/>
      <c r="E10" s="74"/>
      <c r="F10" s="74"/>
      <c r="G10" s="437"/>
      <c r="H10" s="41"/>
      <c r="I10" s="41"/>
      <c r="J10" s="41"/>
      <c r="K10" s="434"/>
      <c r="L10" s="434"/>
      <c r="M10" s="434"/>
      <c r="N10" s="434"/>
      <c r="O10" s="434"/>
      <c r="P10" s="434"/>
      <c r="Q10" s="41"/>
      <c r="R10" s="434"/>
      <c r="S10" s="434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36"/>
      <c r="AN10" s="36"/>
    </row>
    <row r="11" spans="1:42">
      <c r="A11" s="432"/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61"/>
      <c r="U11" s="61"/>
      <c r="V11" s="61"/>
      <c r="W11" s="61"/>
      <c r="X11" s="61"/>
      <c r="Y11" s="61"/>
      <c r="Z11" s="62"/>
      <c r="AA11" s="62"/>
      <c r="AB11" s="62"/>
      <c r="AC11" s="62"/>
      <c r="AD11" s="62"/>
      <c r="AE11" s="36"/>
      <c r="AN11" s="36"/>
    </row>
    <row r="12" spans="1:42">
      <c r="A12" s="432"/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81">
        <f>T9</f>
        <v>0.57283790186775729</v>
      </c>
      <c r="U12" s="81">
        <f t="shared" ref="U12:AD12" si="0">U9</f>
        <v>2.6303605763575972</v>
      </c>
      <c r="V12" s="81">
        <f t="shared" si="0"/>
        <v>0.1388814351728225</v>
      </c>
      <c r="W12" s="81">
        <f t="shared" si="0"/>
        <v>5.6677535219030401E-3</v>
      </c>
      <c r="X12" s="81">
        <f t="shared" si="0"/>
        <v>8.9641865324180711E-2</v>
      </c>
      <c r="Y12" s="81">
        <f t="shared" si="0"/>
        <v>6.6035953938393399E-2</v>
      </c>
      <c r="Z12" s="81">
        <f t="shared" si="0"/>
        <v>0</v>
      </c>
      <c r="AA12" s="81">
        <f t="shared" si="0"/>
        <v>0</v>
      </c>
      <c r="AB12" s="81">
        <f t="shared" si="0"/>
        <v>905.16602917069611</v>
      </c>
      <c r="AC12" s="81">
        <f t="shared" si="0"/>
        <v>8.0611545841232316E-3</v>
      </c>
      <c r="AD12" s="81">
        <f t="shared" si="0"/>
        <v>2.3186733003236551E-2</v>
      </c>
      <c r="AE12" s="36"/>
      <c r="AN12" s="36"/>
    </row>
    <row r="13" spans="1:42">
      <c r="A13" s="370"/>
      <c r="B13" s="371"/>
      <c r="C13" s="372"/>
      <c r="D13" s="372"/>
      <c r="E13" s="371"/>
      <c r="F13" s="371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84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</row>
    <row r="14" spans="1:42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84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</row>
    <row r="15" spans="1:42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84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</row>
    <row r="16" spans="1:42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84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</row>
    <row r="336" spans="1:1" ht="25.5">
      <c r="A336" s="82" t="s">
        <v>109</v>
      </c>
    </row>
    <row r="338" spans="1:2">
      <c r="A338" s="36" t="s">
        <v>81</v>
      </c>
    </row>
    <row r="339" spans="1:2">
      <c r="A339" s="36" t="s">
        <v>82</v>
      </c>
    </row>
    <row r="340" spans="1:2">
      <c r="A340" s="36" t="s">
        <v>83</v>
      </c>
    </row>
    <row r="341" spans="1:2">
      <c r="A341" s="37" t="s">
        <v>96</v>
      </c>
    </row>
    <row r="342" spans="1:2">
      <c r="A342" s="36" t="s">
        <v>85</v>
      </c>
    </row>
    <row r="343" spans="1:2">
      <c r="A343" s="36" t="s">
        <v>86</v>
      </c>
    </row>
    <row r="344" spans="1:2">
      <c r="A344" s="36" t="s">
        <v>87</v>
      </c>
    </row>
    <row r="345" spans="1:2">
      <c r="A345" s="36" t="s">
        <v>0</v>
      </c>
    </row>
    <row r="346" spans="1:2">
      <c r="A346" s="37" t="s">
        <v>97</v>
      </c>
      <c r="B346" s="36">
        <f>(0.016*(0.03/2)^0.65*(2/3)^1.5)-0.00047</f>
        <v>9.8123053326417428E-5</v>
      </c>
    </row>
    <row r="347" spans="1:2">
      <c r="A347" s="37" t="s">
        <v>98</v>
      </c>
      <c r="B347" s="36">
        <f>(0.016*(0.03/2)^0.65*(13/3)^1.5)-0.00047</f>
        <v>8.9448292388582783E-3</v>
      </c>
    </row>
    <row r="348" spans="1:2">
      <c r="A348" s="37" t="s">
        <v>99</v>
      </c>
      <c r="B348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B-5
Construction Truck Trip Emissions
TL 6965 Construction</oddHeader>
    <oddFooter>&amp;CB-5</oddFooter>
  </headerFooter>
</worksheet>
</file>

<file path=xl/worksheets/sheet25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A89" sqref="A89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767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340</v>
      </c>
      <c r="B4" s="45" t="s">
        <v>102</v>
      </c>
      <c r="C4" s="46">
        <v>24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43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435" t="s">
        <v>55</v>
      </c>
      <c r="G87" s="435" t="s">
        <v>73</v>
      </c>
      <c r="H87" s="435" t="s">
        <v>74</v>
      </c>
      <c r="I87" s="435" t="s">
        <v>58</v>
      </c>
      <c r="J87" s="435" t="s">
        <v>59</v>
      </c>
      <c r="K87" s="435" t="s">
        <v>60</v>
      </c>
      <c r="L87" s="434" t="s">
        <v>75</v>
      </c>
      <c r="M87" s="434" t="s">
        <v>76</v>
      </c>
      <c r="N87" s="434" t="s">
        <v>61</v>
      </c>
      <c r="O87" s="434" t="s">
        <v>62</v>
      </c>
      <c r="P87" s="434" t="s">
        <v>63</v>
      </c>
      <c r="AN87" s="38"/>
      <c r="AZ87" s="36"/>
    </row>
    <row r="88" spans="1:52" ht="25.5">
      <c r="A88" s="44" t="str">
        <f>A4</f>
        <v>OH Conductor Pulling and Tensioning</v>
      </c>
      <c r="B88" s="45" t="str">
        <f>B4</f>
        <v>Light-Duty Truck, catalyst</v>
      </c>
      <c r="C88" s="46">
        <f>C4</f>
        <v>24</v>
      </c>
      <c r="D88" s="46">
        <v>35</v>
      </c>
      <c r="E88" s="46">
        <v>80</v>
      </c>
      <c r="F88" s="50">
        <f>C4*($E4*$F4+($G4))/453.59</f>
        <v>11.657265261142081</v>
      </c>
      <c r="G88" s="50">
        <f>C4*($E4*$H4+($I4))/453.59</f>
        <v>1.0480957750650721</v>
      </c>
      <c r="H88" s="50">
        <f>C4*(($E4*$J4)+($K4)+($L4)+($E4*$N4)+(($M4+$O4)))/453.59</f>
        <v>1.2119995277748798</v>
      </c>
      <c r="I88" s="50">
        <f>C4*($E4*$P4+($Q4))/453.59</f>
        <v>1.7443128651854781E-2</v>
      </c>
      <c r="J88" s="50">
        <f>C4*(($E4*($R4+$T4+$U4))+($S4))/453.59</f>
        <v>0.20457817092498951</v>
      </c>
      <c r="K88" s="50">
        <f>$C4*(($E4*($V4+$X4+$Y4))+($W4))/453.59</f>
        <v>8.9088127782075408E-2</v>
      </c>
      <c r="L88" s="50">
        <f>$B$21*C4*(E4+6)</f>
        <v>0.20252598206572558</v>
      </c>
      <c r="M88" s="50">
        <f t="shared" ref="M88" si="52">0.41*L88</f>
        <v>8.3035652646947483E-2</v>
      </c>
      <c r="N88" s="50">
        <f>C4*($E4*$Z4+($AA4))/453.59</f>
        <v>1330.1658414249337</v>
      </c>
      <c r="O88" s="50">
        <f>C4*($E4*$AB4+($AC4))/453.59</f>
        <v>7.6091409336725979E-2</v>
      </c>
      <c r="P88" s="50">
        <f>C4*($E4*$AD4+($AE4))/453.59</f>
        <v>0.13850687793224065</v>
      </c>
      <c r="AN88" s="38"/>
      <c r="AZ88" s="36"/>
    </row>
    <row r="89" spans="1:52">
      <c r="A89" s="36" t="s">
        <v>103</v>
      </c>
      <c r="F89" s="443">
        <f t="shared" ref="F89:P89" si="53">SUM(F88:F88)</f>
        <v>11.657265261142081</v>
      </c>
      <c r="G89" s="443">
        <f t="shared" si="53"/>
        <v>1.0480957750650721</v>
      </c>
      <c r="H89" s="443">
        <f t="shared" si="53"/>
        <v>1.2119995277748798</v>
      </c>
      <c r="I89" s="443">
        <f t="shared" si="53"/>
        <v>1.7443128651854781E-2</v>
      </c>
      <c r="J89" s="443">
        <f t="shared" si="53"/>
        <v>0.20457817092498951</v>
      </c>
      <c r="K89" s="443">
        <f t="shared" si="53"/>
        <v>8.9088127782075408E-2</v>
      </c>
      <c r="L89" s="443">
        <f t="shared" si="53"/>
        <v>0.20252598206572558</v>
      </c>
      <c r="M89" s="443">
        <f t="shared" si="53"/>
        <v>8.3035652646947483E-2</v>
      </c>
      <c r="N89" s="443">
        <f t="shared" si="53"/>
        <v>1330.1658414249337</v>
      </c>
      <c r="O89" s="443">
        <f t="shared" si="53"/>
        <v>7.6091409336725979E-2</v>
      </c>
      <c r="P89" s="443">
        <f t="shared" si="53"/>
        <v>0.13850687793224065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B-6
Construction Worker Commute Emission Calculations
TL 6965 Construction</oddHeader>
    <oddFooter>&amp;CB-6</oddFooter>
  </headerFooter>
</worksheet>
</file>

<file path=xl/worksheets/sheet25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4"/>
  <sheetViews>
    <sheetView zoomScale="75" zoomScaleNormal="75" workbookViewId="0">
      <selection activeCell="A2" sqref="A2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768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410</v>
      </c>
      <c r="B7" s="29"/>
      <c r="C7" s="97"/>
      <c r="D7" s="12"/>
      <c r="E7" s="102"/>
      <c r="F7" s="102"/>
      <c r="G7" s="102"/>
      <c r="H7" s="102"/>
      <c r="I7" s="102"/>
      <c r="J7" s="100"/>
      <c r="K7" s="103"/>
      <c r="L7" s="102"/>
      <c r="M7" s="104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 t="s">
        <v>114</v>
      </c>
      <c r="B8" s="90" t="s">
        <v>27</v>
      </c>
      <c r="C8" s="97">
        <v>34</v>
      </c>
      <c r="D8" s="97">
        <v>0.31</v>
      </c>
      <c r="E8" s="102">
        <v>4.2958246826547246E-2</v>
      </c>
      <c r="F8" s="397">
        <v>9.5268959435626091E-2</v>
      </c>
      <c r="G8" s="397">
        <v>0.12361728395061726</v>
      </c>
      <c r="H8" s="102">
        <v>2.5354407605791113E-4</v>
      </c>
      <c r="I8" s="397">
        <v>1.0456349206349205E-2</v>
      </c>
      <c r="J8" s="100">
        <f t="shared" ref="J8:J13" si="0">0.89*I8</f>
        <v>9.3061507936507935E-3</v>
      </c>
      <c r="K8" s="103">
        <v>19.61276416423032</v>
      </c>
      <c r="L8" s="102">
        <v>4.8141782348593348E-3</v>
      </c>
      <c r="M8" s="104">
        <f t="shared" ref="M8:M13" si="1">0.095*G8</f>
        <v>1.174364197530864E-2</v>
      </c>
      <c r="N8" s="87">
        <v>2</v>
      </c>
      <c r="O8" s="87">
        <v>8</v>
      </c>
      <c r="P8" s="88">
        <v>4</v>
      </c>
      <c r="Q8" s="34">
        <f t="shared" ref="Q8:Y13" si="2">(E8*$N8*$O8)</f>
        <v>0.68733194922475593</v>
      </c>
      <c r="R8" s="26">
        <f t="shared" si="2"/>
        <v>1.5243033509700175</v>
      </c>
      <c r="S8" s="26">
        <f t="shared" si="2"/>
        <v>1.9778765432098762</v>
      </c>
      <c r="T8" s="26">
        <f t="shared" si="2"/>
        <v>4.0567052169265781E-3</v>
      </c>
      <c r="U8" s="26">
        <f t="shared" si="2"/>
        <v>0.16730158730158728</v>
      </c>
      <c r="V8" s="26">
        <f t="shared" si="2"/>
        <v>0.1488984126984127</v>
      </c>
      <c r="W8" s="26">
        <f t="shared" si="2"/>
        <v>313.80422662768513</v>
      </c>
      <c r="X8" s="26">
        <f t="shared" si="2"/>
        <v>7.7026851757749357E-2</v>
      </c>
      <c r="Y8" s="26">
        <f t="shared" si="2"/>
        <v>0.18789827160493824</v>
      </c>
    </row>
    <row r="9" spans="1:25" s="3" customFormat="1">
      <c r="A9" s="24" t="s">
        <v>298</v>
      </c>
      <c r="B9" s="29" t="s">
        <v>27</v>
      </c>
      <c r="C9" s="97">
        <v>300</v>
      </c>
      <c r="D9" s="97"/>
      <c r="E9" s="102">
        <v>0.12431762378554365</v>
      </c>
      <c r="F9" s="102">
        <v>0.4868439847761532</v>
      </c>
      <c r="G9" s="102">
        <v>1.0415214118246066</v>
      </c>
      <c r="H9" s="102">
        <v>2.4954334272364047E-3</v>
      </c>
      <c r="I9" s="102">
        <v>3.5011591348186828E-2</v>
      </c>
      <c r="J9" s="100">
        <f t="shared" si="0"/>
        <v>3.1160316299886276E-2</v>
      </c>
      <c r="K9" s="103">
        <v>254.23851177178003</v>
      </c>
      <c r="L9" s="102">
        <v>1.1216977037398481E-2</v>
      </c>
      <c r="M9" s="104">
        <f t="shared" si="1"/>
        <v>9.8944534123337619E-2</v>
      </c>
      <c r="N9" s="98">
        <v>1</v>
      </c>
      <c r="O9" s="87">
        <v>8</v>
      </c>
      <c r="P9" s="88">
        <v>4</v>
      </c>
      <c r="Q9" s="34">
        <f t="shared" si="2"/>
        <v>0.99454099028434917</v>
      </c>
      <c r="R9" s="26">
        <f t="shared" si="2"/>
        <v>3.8947518782092256</v>
      </c>
      <c r="S9" s="26">
        <f t="shared" si="2"/>
        <v>8.3321712945968525</v>
      </c>
      <c r="T9" s="26">
        <f t="shared" si="2"/>
        <v>1.9963467417891238E-2</v>
      </c>
      <c r="U9" s="26">
        <f t="shared" si="2"/>
        <v>0.28009273078549463</v>
      </c>
      <c r="V9" s="26">
        <f t="shared" si="2"/>
        <v>0.24928253039909021</v>
      </c>
      <c r="W9" s="26">
        <f t="shared" si="2"/>
        <v>2033.9080941742402</v>
      </c>
      <c r="X9" s="26">
        <f t="shared" si="2"/>
        <v>8.9735816299187851E-2</v>
      </c>
      <c r="Y9" s="26">
        <f t="shared" si="2"/>
        <v>0.79155627298670095</v>
      </c>
    </row>
    <row r="10" spans="1:25" s="3" customFormat="1">
      <c r="A10" s="24" t="s">
        <v>411</v>
      </c>
      <c r="B10" s="29" t="s">
        <v>27</v>
      </c>
      <c r="C10" s="97">
        <v>300</v>
      </c>
      <c r="D10" s="97"/>
      <c r="E10" s="102">
        <v>0.12431762378554365</v>
      </c>
      <c r="F10" s="102">
        <v>0.4868439847761532</v>
      </c>
      <c r="G10" s="102">
        <v>1.0415214118246066</v>
      </c>
      <c r="H10" s="102">
        <v>2.4954334272364047E-3</v>
      </c>
      <c r="I10" s="102">
        <v>3.5011591348186828E-2</v>
      </c>
      <c r="J10" s="100">
        <f t="shared" si="0"/>
        <v>3.1160316299886276E-2</v>
      </c>
      <c r="K10" s="103">
        <v>254.23851177178003</v>
      </c>
      <c r="L10" s="102">
        <v>1.1216977037398481E-2</v>
      </c>
      <c r="M10" s="104">
        <f t="shared" si="1"/>
        <v>9.8944534123337619E-2</v>
      </c>
      <c r="N10" s="98">
        <v>1</v>
      </c>
      <c r="O10" s="87">
        <v>8</v>
      </c>
      <c r="P10" s="88">
        <v>4</v>
      </c>
      <c r="Q10" s="34">
        <f t="shared" si="2"/>
        <v>0.99454099028434917</v>
      </c>
      <c r="R10" s="26">
        <f t="shared" si="2"/>
        <v>3.8947518782092256</v>
      </c>
      <c r="S10" s="26">
        <f t="shared" si="2"/>
        <v>8.3321712945968525</v>
      </c>
      <c r="T10" s="26">
        <f t="shared" si="2"/>
        <v>1.9963467417891238E-2</v>
      </c>
      <c r="U10" s="26">
        <f t="shared" si="2"/>
        <v>0.28009273078549463</v>
      </c>
      <c r="V10" s="26">
        <f t="shared" si="2"/>
        <v>0.24928253039909021</v>
      </c>
      <c r="W10" s="26">
        <f t="shared" si="2"/>
        <v>2033.9080941742402</v>
      </c>
      <c r="X10" s="26">
        <f t="shared" si="2"/>
        <v>8.9735816299187851E-2</v>
      </c>
      <c r="Y10" s="26">
        <f t="shared" si="2"/>
        <v>0.79155627298670095</v>
      </c>
    </row>
    <row r="11" spans="1:25" s="3" customFormat="1">
      <c r="A11" s="24" t="s">
        <v>132</v>
      </c>
      <c r="B11" s="29" t="s">
        <v>27</v>
      </c>
      <c r="C11" s="97">
        <v>300</v>
      </c>
      <c r="D11" s="97"/>
      <c r="E11" s="102">
        <v>0.12431762378554365</v>
      </c>
      <c r="F11" s="102">
        <v>0.4868439847761532</v>
      </c>
      <c r="G11" s="102">
        <v>1.0415214118246066</v>
      </c>
      <c r="H11" s="102">
        <v>2.4954334272364047E-3</v>
      </c>
      <c r="I11" s="102">
        <v>3.5011591348186828E-2</v>
      </c>
      <c r="J11" s="100">
        <f t="shared" si="0"/>
        <v>3.1160316299886276E-2</v>
      </c>
      <c r="K11" s="103">
        <v>254.23851177178003</v>
      </c>
      <c r="L11" s="102">
        <v>1.1216977037398481E-2</v>
      </c>
      <c r="M11" s="104">
        <f t="shared" si="1"/>
        <v>9.8944534123337619E-2</v>
      </c>
      <c r="N11" s="98">
        <v>1</v>
      </c>
      <c r="O11" s="87">
        <v>8</v>
      </c>
      <c r="P11" s="88">
        <v>4</v>
      </c>
      <c r="Q11" s="34">
        <f t="shared" si="2"/>
        <v>0.99454099028434917</v>
      </c>
      <c r="R11" s="26">
        <f t="shared" si="2"/>
        <v>3.8947518782092256</v>
      </c>
      <c r="S11" s="26">
        <f t="shared" si="2"/>
        <v>8.3321712945968525</v>
      </c>
      <c r="T11" s="26">
        <f t="shared" si="2"/>
        <v>1.9963467417891238E-2</v>
      </c>
      <c r="U11" s="26">
        <f t="shared" si="2"/>
        <v>0.28009273078549463</v>
      </c>
      <c r="V11" s="26">
        <f t="shared" si="2"/>
        <v>0.24928253039909021</v>
      </c>
      <c r="W11" s="26">
        <f t="shared" si="2"/>
        <v>2033.9080941742402</v>
      </c>
      <c r="X11" s="26">
        <f t="shared" si="2"/>
        <v>8.9735816299187851E-2</v>
      </c>
      <c r="Y11" s="26">
        <f t="shared" si="2"/>
        <v>0.79155627298670095</v>
      </c>
    </row>
    <row r="12" spans="1:25" s="3" customFormat="1">
      <c r="A12" s="24" t="s">
        <v>297</v>
      </c>
      <c r="B12" s="29" t="s">
        <v>27</v>
      </c>
      <c r="C12" s="97">
        <v>235</v>
      </c>
      <c r="D12" s="97"/>
      <c r="E12" s="102">
        <v>0.11792220738547983</v>
      </c>
      <c r="F12" s="102">
        <v>0.36512193352152528</v>
      </c>
      <c r="G12" s="102">
        <v>0.86781464282266541</v>
      </c>
      <c r="H12" s="102">
        <v>1.8739217498104396E-3</v>
      </c>
      <c r="I12" s="102">
        <v>2.9041712295589866E-2</v>
      </c>
      <c r="J12" s="100">
        <f t="shared" si="0"/>
        <v>2.5847123943074982E-2</v>
      </c>
      <c r="K12" s="103">
        <v>166.54541562452522</v>
      </c>
      <c r="L12" s="102">
        <v>1.063993297769634E-2</v>
      </c>
      <c r="M12" s="104">
        <f t="shared" si="1"/>
        <v>8.2442391068153209E-2</v>
      </c>
      <c r="N12" s="98">
        <v>1</v>
      </c>
      <c r="O12" s="87">
        <v>8</v>
      </c>
      <c r="P12" s="88">
        <v>4</v>
      </c>
      <c r="Q12" s="34">
        <f t="shared" si="2"/>
        <v>0.94337765908383864</v>
      </c>
      <c r="R12" s="26">
        <f t="shared" si="2"/>
        <v>2.9209754681722022</v>
      </c>
      <c r="S12" s="26">
        <f t="shared" si="2"/>
        <v>6.9425171425813232</v>
      </c>
      <c r="T12" s="26">
        <f t="shared" si="2"/>
        <v>1.4991373998483517E-2</v>
      </c>
      <c r="U12" s="26">
        <f t="shared" si="2"/>
        <v>0.23233369836471893</v>
      </c>
      <c r="V12" s="26">
        <f t="shared" si="2"/>
        <v>0.20677699154459986</v>
      </c>
      <c r="W12" s="26">
        <f t="shared" si="2"/>
        <v>1332.3633249962018</v>
      </c>
      <c r="X12" s="26">
        <f t="shared" si="2"/>
        <v>8.5119463821570721E-2</v>
      </c>
      <c r="Y12" s="26">
        <f t="shared" si="2"/>
        <v>0.65953912854522567</v>
      </c>
    </row>
    <row r="13" spans="1:25" s="3" customFormat="1">
      <c r="A13" s="24" t="s">
        <v>129</v>
      </c>
      <c r="B13" s="29" t="s">
        <v>27</v>
      </c>
      <c r="C13" s="97">
        <v>399</v>
      </c>
      <c r="D13" s="97">
        <v>0.28999999999999998</v>
      </c>
      <c r="E13" s="418">
        <v>0.13249726882716423</v>
      </c>
      <c r="F13" s="397">
        <v>0.66324074074074058</v>
      </c>
      <c r="G13" s="397">
        <v>1.1632222222222219</v>
      </c>
      <c r="H13" s="418">
        <v>1.7677529729271738E-3</v>
      </c>
      <c r="I13" s="397">
        <v>3.8263888888888889E-2</v>
      </c>
      <c r="J13" s="100">
        <f t="shared" si="0"/>
        <v>3.4054861111111112E-2</v>
      </c>
      <c r="K13" s="103">
        <v>180.10131655574588</v>
      </c>
      <c r="L13" s="102">
        <v>1.3243614024502522E-2</v>
      </c>
      <c r="M13" s="104">
        <f t="shared" si="1"/>
        <v>0.11050611111111108</v>
      </c>
      <c r="N13" s="87">
        <v>1</v>
      </c>
      <c r="O13" s="87">
        <v>8</v>
      </c>
      <c r="P13" s="88">
        <v>4</v>
      </c>
      <c r="Q13" s="34">
        <f t="shared" si="2"/>
        <v>1.0599781506173138</v>
      </c>
      <c r="R13" s="26">
        <f t="shared" si="2"/>
        <v>5.3059259259259246</v>
      </c>
      <c r="S13" s="26">
        <f t="shared" si="2"/>
        <v>9.3057777777777755</v>
      </c>
      <c r="T13" s="26">
        <f t="shared" si="2"/>
        <v>1.414202378341739E-2</v>
      </c>
      <c r="U13" s="26">
        <f t="shared" si="2"/>
        <v>0.30611111111111111</v>
      </c>
      <c r="V13" s="26">
        <f t="shared" si="2"/>
        <v>0.2724388888888889</v>
      </c>
      <c r="W13" s="26">
        <f t="shared" si="2"/>
        <v>1440.8105324459671</v>
      </c>
      <c r="X13" s="26">
        <f t="shared" si="2"/>
        <v>0.10594891219602018</v>
      </c>
      <c r="Y13" s="26">
        <f t="shared" si="2"/>
        <v>0.88404888888888866</v>
      </c>
    </row>
    <row r="14" spans="1:25" s="3" customFormat="1">
      <c r="A14" s="17" t="s">
        <v>28</v>
      </c>
      <c r="B14" s="29"/>
      <c r="C14" s="97"/>
      <c r="D14" s="12"/>
      <c r="E14" s="102"/>
      <c r="F14" s="102"/>
      <c r="G14" s="102"/>
      <c r="H14" s="102"/>
      <c r="I14" s="102"/>
      <c r="J14" s="100"/>
      <c r="K14" s="103"/>
      <c r="L14" s="102"/>
      <c r="M14" s="104"/>
      <c r="N14" s="98"/>
      <c r="O14" s="98"/>
      <c r="P14" s="99"/>
      <c r="Q14" s="101">
        <f>SUM(Q8:Q13)</f>
        <v>5.6743107297789557</v>
      </c>
      <c r="R14" s="101">
        <f t="shared" ref="R14:Y14" si="3">SUM(R8:R13)</f>
        <v>21.435460379695819</v>
      </c>
      <c r="S14" s="101">
        <f t="shared" si="3"/>
        <v>43.222685347359537</v>
      </c>
      <c r="T14" s="101">
        <f t="shared" si="3"/>
        <v>9.3080505252501194E-2</v>
      </c>
      <c r="U14" s="101">
        <f t="shared" si="3"/>
        <v>1.5460245891339013</v>
      </c>
      <c r="V14" s="101">
        <f t="shared" si="3"/>
        <v>1.3759618843291721</v>
      </c>
      <c r="W14" s="101">
        <f t="shared" si="3"/>
        <v>9188.7023665925735</v>
      </c>
      <c r="X14" s="101">
        <f t="shared" si="3"/>
        <v>0.53730267667290377</v>
      </c>
      <c r="Y14" s="101">
        <f t="shared" si="3"/>
        <v>4.1061551079991556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B-4
Construction Heavy Equipment Emissions
TL 6965 Construction
</oddHeader>
    <oddFooter>&amp;CB-4</oddFooter>
  </headerFooter>
</worksheet>
</file>

<file path=xl/worksheets/sheet25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348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31" width="12.28515625" style="38" customWidth="1"/>
    <col min="32" max="33" width="9.28515625" style="36" bestFit="1" customWidth="1"/>
    <col min="34" max="34" width="11.42578125" style="36" customWidth="1"/>
    <col min="35" max="35" width="10.5703125" style="36" customWidth="1"/>
    <col min="36" max="39" width="9.5703125" style="36" customWidth="1"/>
    <col min="40" max="40" width="9.28515625" style="38" bestFit="1" customWidth="1"/>
    <col min="41" max="41" width="9.85546875" style="36" customWidth="1"/>
    <col min="42" max="42" width="9.28515625" style="36" bestFit="1" customWidth="1"/>
    <col min="43" max="16384" width="9.140625" style="36"/>
  </cols>
  <sheetData>
    <row r="1" spans="1:42">
      <c r="A1" s="3" t="s">
        <v>769</v>
      </c>
    </row>
    <row r="2" spans="1:42">
      <c r="A2"/>
    </row>
    <row r="6" spans="1:42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  <c r="AE6" s="36"/>
      <c r="AN6" s="36"/>
    </row>
    <row r="7" spans="1:42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  <c r="AE7" s="36"/>
      <c r="AN7" s="36"/>
    </row>
    <row r="8" spans="1:42">
      <c r="A8" s="17" t="s">
        <v>410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  <c r="AE8" s="36"/>
      <c r="AN8" s="36"/>
    </row>
    <row r="9" spans="1:42">
      <c r="A9" s="78" t="s">
        <v>327</v>
      </c>
      <c r="B9" s="76" t="s">
        <v>105</v>
      </c>
      <c r="C9" s="374">
        <v>3</v>
      </c>
      <c r="D9" s="77"/>
      <c r="E9" s="77">
        <v>35</v>
      </c>
      <c r="F9" s="77">
        <v>80</v>
      </c>
      <c r="G9" s="106">
        <v>1.08263976628415</v>
      </c>
      <c r="H9" s="106">
        <v>4.9712718909585103</v>
      </c>
      <c r="I9" s="106">
        <v>0.26248012575016899</v>
      </c>
      <c r="J9" s="106">
        <v>1.0711818E-2</v>
      </c>
      <c r="K9" s="106">
        <v>7.1679901072141505E-2</v>
      </c>
      <c r="L9" s="556">
        <v>3.59998119015979E-2</v>
      </c>
      <c r="M9" s="556">
        <v>6.1739677411240299E-2</v>
      </c>
      <c r="N9" s="106">
        <v>6.5945508986370194E-2</v>
      </c>
      <c r="O9" s="556">
        <v>2.9999843251331498E-3</v>
      </c>
      <c r="P9" s="556">
        <v>5.5859708133979398E-2</v>
      </c>
      <c r="Q9" s="106">
        <v>1710.7260798814</v>
      </c>
      <c r="R9" s="47">
        <v>1.5235246282551899E-2</v>
      </c>
      <c r="S9" s="80">
        <f>0.000025616*Q9</f>
        <v>4.3821959262241944E-2</v>
      </c>
      <c r="T9" s="50">
        <f>C9*($F9*$G9)/453.59</f>
        <v>0.57283790186775729</v>
      </c>
      <c r="U9" s="50">
        <f>C9*($F9*$H9)/453.59</f>
        <v>2.6303605763575972</v>
      </c>
      <c r="V9" s="50">
        <f>C9*(($F9*$I9))/453.59</f>
        <v>0.1388814351728225</v>
      </c>
      <c r="W9" s="50">
        <f>C9*($F9*$J9)/453.59</f>
        <v>5.6677535219030401E-3</v>
      </c>
      <c r="X9" s="50">
        <f>C9*(($F9*($K9+$L9+$M9)))/453.59</f>
        <v>8.9641865324180711E-2</v>
      </c>
      <c r="Y9" s="50">
        <f>C9*(($F9*($N9+$O9+$P9)))/453.59</f>
        <v>6.6035953938393399E-2</v>
      </c>
      <c r="Z9" s="50">
        <f>C9*(F9)*$B$339</f>
        <v>0</v>
      </c>
      <c r="AA9" s="50">
        <f>Z9*0.21</f>
        <v>0</v>
      </c>
      <c r="AB9" s="50">
        <f>C9*(($F9*($Q9)))/453.59</f>
        <v>905.16602917069611</v>
      </c>
      <c r="AC9" s="50">
        <f>C9*(($F9*($R9)))/453.59</f>
        <v>8.0611545841232316E-3</v>
      </c>
      <c r="AD9" s="50">
        <f>C9*(($F9*($S9)))/453.59</f>
        <v>2.3186733003236551E-2</v>
      </c>
      <c r="AE9" s="36"/>
      <c r="AN9" s="36"/>
    </row>
    <row r="10" spans="1:42">
      <c r="A10" s="75" t="s">
        <v>28</v>
      </c>
      <c r="B10" s="74"/>
      <c r="C10" s="112"/>
      <c r="D10" s="112"/>
      <c r="E10" s="74"/>
      <c r="F10" s="74"/>
      <c r="G10" s="437"/>
      <c r="H10" s="41"/>
      <c r="I10" s="41"/>
      <c r="J10" s="41"/>
      <c r="K10" s="434"/>
      <c r="L10" s="434"/>
      <c r="M10" s="434"/>
      <c r="N10" s="434"/>
      <c r="O10" s="434"/>
      <c r="P10" s="434"/>
      <c r="Q10" s="41"/>
      <c r="R10" s="434"/>
      <c r="S10" s="434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36"/>
      <c r="AN10" s="36"/>
    </row>
    <row r="11" spans="1:42">
      <c r="A11" s="432"/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61"/>
      <c r="U11" s="61"/>
      <c r="V11" s="61"/>
      <c r="W11" s="61"/>
      <c r="X11" s="61"/>
      <c r="Y11" s="61"/>
      <c r="Z11" s="62"/>
      <c r="AA11" s="62"/>
      <c r="AB11" s="62"/>
      <c r="AC11" s="62"/>
      <c r="AD11" s="62"/>
      <c r="AE11" s="36"/>
      <c r="AN11" s="36"/>
    </row>
    <row r="12" spans="1:42">
      <c r="A12" s="432"/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81">
        <f>T9</f>
        <v>0.57283790186775729</v>
      </c>
      <c r="U12" s="81">
        <f t="shared" ref="U12:AD12" si="0">U9</f>
        <v>2.6303605763575972</v>
      </c>
      <c r="V12" s="81">
        <f t="shared" si="0"/>
        <v>0.1388814351728225</v>
      </c>
      <c r="W12" s="81">
        <f t="shared" si="0"/>
        <v>5.6677535219030401E-3</v>
      </c>
      <c r="X12" s="81">
        <f t="shared" si="0"/>
        <v>8.9641865324180711E-2</v>
      </c>
      <c r="Y12" s="81">
        <f t="shared" si="0"/>
        <v>6.6035953938393399E-2</v>
      </c>
      <c r="Z12" s="81">
        <f t="shared" si="0"/>
        <v>0</v>
      </c>
      <c r="AA12" s="81">
        <f t="shared" si="0"/>
        <v>0</v>
      </c>
      <c r="AB12" s="81">
        <f t="shared" si="0"/>
        <v>905.16602917069611</v>
      </c>
      <c r="AC12" s="81">
        <f t="shared" si="0"/>
        <v>8.0611545841232316E-3</v>
      </c>
      <c r="AD12" s="81">
        <f t="shared" si="0"/>
        <v>2.3186733003236551E-2</v>
      </c>
      <c r="AE12" s="36"/>
      <c r="AN12" s="36"/>
    </row>
    <row r="13" spans="1:42">
      <c r="A13" s="370"/>
      <c r="B13" s="371"/>
      <c r="C13" s="372"/>
      <c r="D13" s="372"/>
      <c r="E13" s="371"/>
      <c r="F13" s="371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84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</row>
    <row r="14" spans="1:42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84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</row>
    <row r="15" spans="1:42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84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</row>
    <row r="16" spans="1:42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84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</row>
    <row r="336" spans="1:1" ht="25.5">
      <c r="A336" s="82" t="s">
        <v>109</v>
      </c>
    </row>
    <row r="338" spans="1:2">
      <c r="A338" s="36" t="s">
        <v>81</v>
      </c>
    </row>
    <row r="339" spans="1:2">
      <c r="A339" s="36" t="s">
        <v>82</v>
      </c>
    </row>
    <row r="340" spans="1:2">
      <c r="A340" s="36" t="s">
        <v>83</v>
      </c>
    </row>
    <row r="341" spans="1:2">
      <c r="A341" s="37" t="s">
        <v>96</v>
      </c>
    </row>
    <row r="342" spans="1:2">
      <c r="A342" s="36" t="s">
        <v>85</v>
      </c>
    </row>
    <row r="343" spans="1:2">
      <c r="A343" s="36" t="s">
        <v>86</v>
      </c>
    </row>
    <row r="344" spans="1:2">
      <c r="A344" s="36" t="s">
        <v>87</v>
      </c>
    </row>
    <row r="345" spans="1:2">
      <c r="A345" s="36" t="s">
        <v>0</v>
      </c>
    </row>
    <row r="346" spans="1:2">
      <c r="A346" s="37" t="s">
        <v>97</v>
      </c>
      <c r="B346" s="36">
        <f>(0.016*(0.03/2)^0.65*(2/3)^1.5)-0.00047</f>
        <v>9.8123053326417428E-5</v>
      </c>
    </row>
    <row r="347" spans="1:2">
      <c r="A347" s="37" t="s">
        <v>98</v>
      </c>
      <c r="B347" s="36">
        <f>(0.016*(0.03/2)^0.65*(13/3)^1.5)-0.00047</f>
        <v>8.9448292388582783E-3</v>
      </c>
    </row>
    <row r="348" spans="1:2">
      <c r="A348" s="37" t="s">
        <v>99</v>
      </c>
      <c r="B348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B-5
Construction Truck Trip Emissions
TL 6965 Construction</oddHeader>
    <oddFooter>&amp;CB-5</oddFooter>
  </headerFooter>
</worksheet>
</file>

<file path=xl/worksheets/sheet25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770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340</v>
      </c>
      <c r="B4" s="45" t="s">
        <v>102</v>
      </c>
      <c r="C4" s="46">
        <v>24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43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435" t="s">
        <v>55</v>
      </c>
      <c r="G87" s="435" t="s">
        <v>73</v>
      </c>
      <c r="H87" s="435" t="s">
        <v>74</v>
      </c>
      <c r="I87" s="435" t="s">
        <v>58</v>
      </c>
      <c r="J87" s="435" t="s">
        <v>59</v>
      </c>
      <c r="K87" s="435" t="s">
        <v>60</v>
      </c>
      <c r="L87" s="434" t="s">
        <v>75</v>
      </c>
      <c r="M87" s="434" t="s">
        <v>76</v>
      </c>
      <c r="N87" s="434" t="s">
        <v>61</v>
      </c>
      <c r="O87" s="434" t="s">
        <v>62</v>
      </c>
      <c r="P87" s="434" t="s">
        <v>63</v>
      </c>
      <c r="AN87" s="38"/>
      <c r="AZ87" s="36"/>
    </row>
    <row r="88" spans="1:52" ht="25.5">
      <c r="A88" s="44" t="str">
        <f>A4</f>
        <v>OH Conductor Pulling and Tensioning</v>
      </c>
      <c r="B88" s="45" t="str">
        <f>B4</f>
        <v>Light-Duty Truck, catalyst</v>
      </c>
      <c r="C88" s="46">
        <f>C4</f>
        <v>24</v>
      </c>
      <c r="D88" s="46">
        <v>35</v>
      </c>
      <c r="E88" s="46">
        <v>80</v>
      </c>
      <c r="F88" s="50">
        <f>C4*($E4*$F4+($G4))/453.59</f>
        <v>11.657265261142081</v>
      </c>
      <c r="G88" s="50">
        <f>C4*($E4*$H4+($I4))/453.59</f>
        <v>1.0480957750650721</v>
      </c>
      <c r="H88" s="50">
        <f>C4*(($E4*$J4)+($K4)+($L4)+($E4*$N4)+(($M4+$O4)))/453.59</f>
        <v>1.2119995277748798</v>
      </c>
      <c r="I88" s="50">
        <f>C4*($E4*$P4+($Q4))/453.59</f>
        <v>1.7443128651854781E-2</v>
      </c>
      <c r="J88" s="50">
        <f>C4*(($E4*($R4+$T4+$U4))+($S4))/453.59</f>
        <v>0.20457817092498951</v>
      </c>
      <c r="K88" s="50">
        <f>$C4*(($E4*($V4+$X4+$Y4))+($W4))/453.59</f>
        <v>8.9088127782075408E-2</v>
      </c>
      <c r="L88" s="50">
        <f>$B$21*C4*(E4+6)</f>
        <v>0.20252598206572558</v>
      </c>
      <c r="M88" s="50">
        <f t="shared" ref="M88" si="52">0.41*L88</f>
        <v>8.3035652646947483E-2</v>
      </c>
      <c r="N88" s="50">
        <f>C4*($E4*$Z4+($AA4))/453.59</f>
        <v>1330.1658414249337</v>
      </c>
      <c r="O88" s="50">
        <f>C4*($E4*$AB4+($AC4))/453.59</f>
        <v>7.6091409336725979E-2</v>
      </c>
      <c r="P88" s="50">
        <f>C4*($E4*$AD4+($AE4))/453.59</f>
        <v>0.13850687793224065</v>
      </c>
      <c r="AN88" s="38"/>
      <c r="AZ88" s="36"/>
    </row>
    <row r="89" spans="1:52">
      <c r="A89" s="36" t="s">
        <v>103</v>
      </c>
      <c r="F89" s="443">
        <f t="shared" ref="F89:P89" si="53">SUM(F88:F88)</f>
        <v>11.657265261142081</v>
      </c>
      <c r="G89" s="443">
        <f t="shared" si="53"/>
        <v>1.0480957750650721</v>
      </c>
      <c r="H89" s="443">
        <f t="shared" si="53"/>
        <v>1.2119995277748798</v>
      </c>
      <c r="I89" s="443">
        <f t="shared" si="53"/>
        <v>1.7443128651854781E-2</v>
      </c>
      <c r="J89" s="443">
        <f t="shared" si="53"/>
        <v>0.20457817092498951</v>
      </c>
      <c r="K89" s="443">
        <f t="shared" si="53"/>
        <v>8.9088127782075408E-2</v>
      </c>
      <c r="L89" s="443">
        <f t="shared" si="53"/>
        <v>0.20252598206572558</v>
      </c>
      <c r="M89" s="443">
        <f t="shared" si="53"/>
        <v>8.3035652646947483E-2</v>
      </c>
      <c r="N89" s="443">
        <f t="shared" si="53"/>
        <v>1330.1658414249337</v>
      </c>
      <c r="O89" s="443">
        <f t="shared" si="53"/>
        <v>7.6091409336725979E-2</v>
      </c>
      <c r="P89" s="443">
        <f t="shared" si="53"/>
        <v>0.13850687793224065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B-6
Construction Worker Commute Emission Calculations
TL 6965 Construction</oddHeader>
    <oddFooter>&amp;CB-6</oddFooter>
  </headerFooter>
</worksheet>
</file>

<file path=xl/worksheets/sheet25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2"/>
  <sheetViews>
    <sheetView zoomScale="75" zoomScaleNormal="75" workbookViewId="0">
      <selection activeCell="A2" sqref="A2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771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412</v>
      </c>
      <c r="B7" s="29"/>
      <c r="C7" s="97"/>
      <c r="D7" s="12"/>
      <c r="E7" s="102"/>
      <c r="F7" s="102"/>
      <c r="G7" s="102"/>
      <c r="H7" s="102"/>
      <c r="I7" s="102"/>
      <c r="J7" s="100"/>
      <c r="K7" s="103"/>
      <c r="L7" s="102"/>
      <c r="M7" s="104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32" t="s">
        <v>51</v>
      </c>
      <c r="B8" s="29" t="s">
        <v>27</v>
      </c>
      <c r="C8" s="97">
        <v>381</v>
      </c>
      <c r="D8" s="97"/>
      <c r="E8" s="102">
        <v>0.18553470911077993</v>
      </c>
      <c r="F8" s="102">
        <v>0.57956772121140698</v>
      </c>
      <c r="G8" s="102">
        <v>1.2523979210769924</v>
      </c>
      <c r="H8" s="102">
        <v>2.6730457491231348E-3</v>
      </c>
      <c r="I8" s="102">
        <v>4.4827947982520766E-2</v>
      </c>
      <c r="J8" s="100">
        <f t="shared" ref="J8" si="0">0.89*I8</f>
        <v>3.9896873704443482E-2</v>
      </c>
      <c r="K8" s="103">
        <v>272.33380251586107</v>
      </c>
      <c r="L8" s="102">
        <v>1.6740496842659349E-2</v>
      </c>
      <c r="M8" s="102">
        <f t="shared" ref="M8" si="1">0.095*G8</f>
        <v>0.11897780250231428</v>
      </c>
      <c r="N8" s="87">
        <v>3</v>
      </c>
      <c r="O8" s="87">
        <v>8</v>
      </c>
      <c r="P8" s="88">
        <v>15</v>
      </c>
      <c r="Q8" s="34">
        <f t="shared" ref="Q8:Y10" si="2">(E8*$N8*$O8)</f>
        <v>4.4528330186587182</v>
      </c>
      <c r="R8" s="26">
        <f t="shared" si="2"/>
        <v>13.909625309073768</v>
      </c>
      <c r="S8" s="26">
        <f t="shared" si="2"/>
        <v>30.057550105847817</v>
      </c>
      <c r="T8" s="26">
        <f t="shared" si="2"/>
        <v>6.4153097978955242E-2</v>
      </c>
      <c r="U8" s="26">
        <f t="shared" si="2"/>
        <v>1.0758707515804984</v>
      </c>
      <c r="V8" s="26">
        <f t="shared" si="2"/>
        <v>0.95752496890664363</v>
      </c>
      <c r="W8" s="26">
        <f t="shared" si="2"/>
        <v>6536.0112603806656</v>
      </c>
      <c r="X8" s="26">
        <f t="shared" si="2"/>
        <v>0.40177192422382435</v>
      </c>
      <c r="Y8" s="26">
        <f t="shared" si="2"/>
        <v>2.8554672600555429</v>
      </c>
    </row>
    <row r="9" spans="1:25" s="3" customFormat="1">
      <c r="A9" s="32" t="s">
        <v>125</v>
      </c>
      <c r="B9" s="29" t="s">
        <v>27</v>
      </c>
      <c r="C9" s="97">
        <v>87</v>
      </c>
      <c r="D9" s="22">
        <v>0.37</v>
      </c>
      <c r="E9" s="413">
        <v>5.2437519504869065E-2</v>
      </c>
      <c r="F9" s="397">
        <v>0.26257275132275132</v>
      </c>
      <c r="G9" s="397">
        <v>0.33506412037037031</v>
      </c>
      <c r="H9" s="413">
        <v>6.0679618797898508E-4</v>
      </c>
      <c r="I9" s="397">
        <v>2.1289682539682539E-2</v>
      </c>
      <c r="J9" s="100">
        <f t="shared" ref="J9:J10" si="3">0.89*I9</f>
        <v>1.894781746031746E-2</v>
      </c>
      <c r="K9" s="413">
        <v>51.728016924248784</v>
      </c>
      <c r="L9" s="413">
        <v>5.7223017989158831E-3</v>
      </c>
      <c r="M9" s="102">
        <f t="shared" ref="M9:M10" si="4">0.095*G9</f>
        <v>3.1831091435185178E-2</v>
      </c>
      <c r="N9" s="87">
        <v>2</v>
      </c>
      <c r="O9" s="87">
        <v>8</v>
      </c>
      <c r="P9" s="88">
        <v>15</v>
      </c>
      <c r="Q9" s="34">
        <f t="shared" si="2"/>
        <v>0.83900031207790504</v>
      </c>
      <c r="R9" s="26">
        <f t="shared" si="2"/>
        <v>4.2011640211640211</v>
      </c>
      <c r="S9" s="26">
        <f t="shared" si="2"/>
        <v>5.361025925925925</v>
      </c>
      <c r="T9" s="26">
        <f t="shared" si="2"/>
        <v>9.7087390076637612E-3</v>
      </c>
      <c r="U9" s="26">
        <f t="shared" si="2"/>
        <v>0.34063492063492062</v>
      </c>
      <c r="V9" s="26">
        <f t="shared" si="2"/>
        <v>0.30316507936507936</v>
      </c>
      <c r="W9" s="26">
        <f t="shared" si="2"/>
        <v>827.64827078798055</v>
      </c>
      <c r="X9" s="26">
        <f t="shared" si="2"/>
        <v>9.1556828782654129E-2</v>
      </c>
      <c r="Y9" s="26">
        <f t="shared" si="2"/>
        <v>0.50929746296296285</v>
      </c>
    </row>
    <row r="10" spans="1:25" s="3" customFormat="1">
      <c r="A10" s="24" t="s">
        <v>128</v>
      </c>
      <c r="B10" s="29" t="s">
        <v>27</v>
      </c>
      <c r="C10" s="97">
        <v>157</v>
      </c>
      <c r="D10" s="22">
        <v>0.38</v>
      </c>
      <c r="E10" s="416">
        <v>9.7211873502789536E-2</v>
      </c>
      <c r="F10" s="397">
        <v>0.48664462081128745</v>
      </c>
      <c r="G10" s="397">
        <v>0.54103044532627864</v>
      </c>
      <c r="H10" s="416">
        <v>2.2941884589860436E-3</v>
      </c>
      <c r="I10" s="397">
        <v>2.8935626102292767E-2</v>
      </c>
      <c r="J10" s="368">
        <f t="shared" si="3"/>
        <v>2.5752707231040561E-2</v>
      </c>
      <c r="K10" s="417">
        <v>233.73537145870978</v>
      </c>
      <c r="L10" s="369">
        <v>1.4946984027451463E-2</v>
      </c>
      <c r="M10" s="369">
        <f t="shared" si="4"/>
        <v>5.1397892305996472E-2</v>
      </c>
      <c r="N10" s="98">
        <v>1</v>
      </c>
      <c r="O10" s="98">
        <v>8</v>
      </c>
      <c r="P10" s="88">
        <v>10</v>
      </c>
      <c r="Q10" s="34">
        <f t="shared" si="2"/>
        <v>0.77769498802231629</v>
      </c>
      <c r="R10" s="26">
        <f t="shared" si="2"/>
        <v>3.8931569664902996</v>
      </c>
      <c r="S10" s="26">
        <f t="shared" si="2"/>
        <v>4.3282435626102291</v>
      </c>
      <c r="T10" s="26">
        <f t="shared" si="2"/>
        <v>1.8353507671888349E-2</v>
      </c>
      <c r="U10" s="26">
        <f t="shared" si="2"/>
        <v>0.23148500881834214</v>
      </c>
      <c r="V10" s="26">
        <f t="shared" si="2"/>
        <v>0.20602165784832449</v>
      </c>
      <c r="W10" s="26">
        <f t="shared" si="2"/>
        <v>1869.8829716696782</v>
      </c>
      <c r="X10" s="26">
        <f t="shared" si="2"/>
        <v>0.1195758722196117</v>
      </c>
      <c r="Y10" s="26">
        <f t="shared" si="2"/>
        <v>0.41118313844797177</v>
      </c>
    </row>
    <row r="11" spans="1:25" s="3" customFormat="1">
      <c r="A11" s="17" t="s">
        <v>28</v>
      </c>
      <c r="B11" s="29"/>
      <c r="C11" s="97"/>
      <c r="D11" s="12"/>
      <c r="E11" s="102"/>
      <c r="F11" s="102"/>
      <c r="G11" s="102"/>
      <c r="H11" s="102"/>
      <c r="I11" s="102"/>
      <c r="J11" s="100"/>
      <c r="K11" s="103"/>
      <c r="L11" s="102"/>
      <c r="M11" s="102"/>
      <c r="N11" s="88"/>
      <c r="O11" s="88"/>
      <c r="P11" s="88"/>
      <c r="Q11" s="101">
        <f t="shared" ref="Q11:Y11" si="5">SUM(Q8:Q10)</f>
        <v>6.0695283187589393</v>
      </c>
      <c r="R11" s="101">
        <f t="shared" si="5"/>
        <v>22.003946296728088</v>
      </c>
      <c r="S11" s="101">
        <f t="shared" si="5"/>
        <v>39.746819594383965</v>
      </c>
      <c r="T11" s="101">
        <f t="shared" si="5"/>
        <v>9.2215344658507364E-2</v>
      </c>
      <c r="U11" s="101">
        <f t="shared" si="5"/>
        <v>1.6479906810337612</v>
      </c>
      <c r="V11" s="101">
        <f t="shared" si="5"/>
        <v>1.4667117061200474</v>
      </c>
      <c r="W11" s="101">
        <f t="shared" si="5"/>
        <v>9233.5425028383252</v>
      </c>
      <c r="X11" s="101">
        <f t="shared" si="5"/>
        <v>0.61290462522609024</v>
      </c>
      <c r="Y11" s="101">
        <f t="shared" si="5"/>
        <v>3.7759478614664772</v>
      </c>
    </row>
    <row r="12" spans="1:25">
      <c r="A12" s="444" t="s">
        <v>103</v>
      </c>
      <c r="Q12" s="86">
        <f>Q11</f>
        <v>6.0695283187589393</v>
      </c>
      <c r="R12" s="86">
        <f t="shared" ref="R12:Y12" si="6">R11</f>
        <v>22.003946296728088</v>
      </c>
      <c r="S12" s="86">
        <f t="shared" si="6"/>
        <v>39.746819594383965</v>
      </c>
      <c r="T12" s="86">
        <f t="shared" si="6"/>
        <v>9.2215344658507364E-2</v>
      </c>
      <c r="U12" s="86">
        <f t="shared" si="6"/>
        <v>1.6479906810337612</v>
      </c>
      <c r="V12" s="86">
        <f t="shared" si="6"/>
        <v>1.4667117061200474</v>
      </c>
      <c r="W12" s="86">
        <f t="shared" si="6"/>
        <v>9233.5425028383252</v>
      </c>
      <c r="X12" s="86">
        <f t="shared" si="6"/>
        <v>0.61290462522609024</v>
      </c>
      <c r="Y12" s="86">
        <f t="shared" si="6"/>
        <v>3.7759478614664772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B-4
Construction Heavy Equipment Emissions
TL 6965 Construction
</oddHeader>
    <oddFooter>&amp;CB-4</oddFooter>
  </headerFooter>
</worksheet>
</file>

<file path=xl/worksheets/sheet25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348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31" width="12.28515625" style="38" customWidth="1"/>
    <col min="32" max="33" width="9.28515625" style="36" bestFit="1" customWidth="1"/>
    <col min="34" max="34" width="11.42578125" style="36" customWidth="1"/>
    <col min="35" max="35" width="10.5703125" style="36" customWidth="1"/>
    <col min="36" max="39" width="9.5703125" style="36" customWidth="1"/>
    <col min="40" max="40" width="9.28515625" style="38" bestFit="1" customWidth="1"/>
    <col min="41" max="41" width="9.85546875" style="36" customWidth="1"/>
    <col min="42" max="42" width="9.28515625" style="36" bestFit="1" customWidth="1"/>
    <col min="43" max="16384" width="9.140625" style="36"/>
  </cols>
  <sheetData>
    <row r="1" spans="1:42">
      <c r="A1" s="3" t="s">
        <v>772</v>
      </c>
    </row>
    <row r="2" spans="1:42">
      <c r="A2"/>
    </row>
    <row r="6" spans="1:42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  <c r="AE6" s="36"/>
      <c r="AN6" s="36"/>
    </row>
    <row r="7" spans="1:42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  <c r="AE7" s="36"/>
      <c r="AN7" s="36"/>
    </row>
    <row r="8" spans="1:42">
      <c r="A8" s="17" t="s">
        <v>412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  <c r="AE8" s="36"/>
      <c r="AN8" s="36"/>
    </row>
    <row r="9" spans="1:42">
      <c r="A9" s="78" t="s">
        <v>327</v>
      </c>
      <c r="B9" s="76" t="s">
        <v>105</v>
      </c>
      <c r="C9" s="374">
        <v>2</v>
      </c>
      <c r="D9" s="77"/>
      <c r="E9" s="77">
        <v>35</v>
      </c>
      <c r="F9" s="77">
        <v>80</v>
      </c>
      <c r="G9" s="106">
        <v>1.08263976628415</v>
      </c>
      <c r="H9" s="106">
        <v>4.9712718909585103</v>
      </c>
      <c r="I9" s="106">
        <v>0.26248012575016899</v>
      </c>
      <c r="J9" s="106">
        <v>1.0711818E-2</v>
      </c>
      <c r="K9" s="106">
        <v>7.1679901072141505E-2</v>
      </c>
      <c r="L9" s="556">
        <v>3.59998119015979E-2</v>
      </c>
      <c r="M9" s="556">
        <v>6.1739677411240299E-2</v>
      </c>
      <c r="N9" s="106">
        <v>6.5945508986370194E-2</v>
      </c>
      <c r="O9" s="556">
        <v>2.9999843251331498E-3</v>
      </c>
      <c r="P9" s="556">
        <v>5.5859708133979398E-2</v>
      </c>
      <c r="Q9" s="106">
        <v>1710.7260798814</v>
      </c>
      <c r="R9" s="47">
        <v>1.5235246282551899E-2</v>
      </c>
      <c r="S9" s="80">
        <f>0.000025616*Q9</f>
        <v>4.3821959262241944E-2</v>
      </c>
      <c r="T9" s="50">
        <f>C9*($F9*$G9)/453.59</f>
        <v>0.38189193457850484</v>
      </c>
      <c r="U9" s="50">
        <f>C9*($F9*$H9)/453.59</f>
        <v>1.7535737175717316</v>
      </c>
      <c r="V9" s="50">
        <f>C9*(($F9*$I9))/453.59</f>
        <v>9.2587623448548345E-2</v>
      </c>
      <c r="W9" s="50">
        <f>C9*($F9*$J9)/453.59</f>
        <v>3.7785023479353602E-3</v>
      </c>
      <c r="X9" s="50">
        <f>C9*(($F9*($K9+$L9+$M9)))/453.59</f>
        <v>5.9761243549453814E-2</v>
      </c>
      <c r="Y9" s="50">
        <f>C9*(($F9*($N9+$O9+$P9)))/453.59</f>
        <v>4.4023969292262266E-2</v>
      </c>
      <c r="Z9" s="50">
        <f>C9*(F9)*$B$339</f>
        <v>0</v>
      </c>
      <c r="AA9" s="50">
        <f>Z9*0.21</f>
        <v>0</v>
      </c>
      <c r="AB9" s="50">
        <f>C9*(($F9*($Q9)))/453.59</f>
        <v>603.4440194471307</v>
      </c>
      <c r="AC9" s="50">
        <f>C9*(($F9*($R9)))/453.59</f>
        <v>5.3741030560821544E-3</v>
      </c>
      <c r="AD9" s="50">
        <f>C9*(($F9*($S9)))/453.59</f>
        <v>1.5457822002157701E-2</v>
      </c>
      <c r="AE9" s="36"/>
      <c r="AN9" s="36"/>
    </row>
    <row r="10" spans="1:42">
      <c r="A10" s="75" t="s">
        <v>28</v>
      </c>
      <c r="B10" s="74"/>
      <c r="C10" s="112"/>
      <c r="D10" s="112"/>
      <c r="E10" s="74"/>
      <c r="F10" s="74"/>
      <c r="G10" s="437"/>
      <c r="H10" s="41"/>
      <c r="I10" s="41"/>
      <c r="J10" s="41"/>
      <c r="K10" s="434"/>
      <c r="L10" s="434"/>
      <c r="M10" s="434"/>
      <c r="N10" s="434"/>
      <c r="O10" s="434"/>
      <c r="P10" s="434"/>
      <c r="Q10" s="41"/>
      <c r="R10" s="434"/>
      <c r="S10" s="434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36"/>
      <c r="AN10" s="36"/>
    </row>
    <row r="11" spans="1:42">
      <c r="A11" s="432"/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61"/>
      <c r="U11" s="61"/>
      <c r="V11" s="61"/>
      <c r="W11" s="61"/>
      <c r="X11" s="61"/>
      <c r="Y11" s="61"/>
      <c r="Z11" s="62"/>
      <c r="AA11" s="62"/>
      <c r="AB11" s="62"/>
      <c r="AC11" s="62"/>
      <c r="AD11" s="62"/>
      <c r="AE11" s="36"/>
      <c r="AN11" s="36"/>
    </row>
    <row r="12" spans="1:42">
      <c r="A12" s="432"/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81">
        <f>T9</f>
        <v>0.38189193457850484</v>
      </c>
      <c r="U12" s="81">
        <f t="shared" ref="U12:AD12" si="0">U9</f>
        <v>1.7535737175717316</v>
      </c>
      <c r="V12" s="81">
        <f t="shared" si="0"/>
        <v>9.2587623448548345E-2</v>
      </c>
      <c r="W12" s="81">
        <f t="shared" si="0"/>
        <v>3.7785023479353602E-3</v>
      </c>
      <c r="X12" s="81">
        <f t="shared" si="0"/>
        <v>5.9761243549453814E-2</v>
      </c>
      <c r="Y12" s="81">
        <f t="shared" si="0"/>
        <v>4.4023969292262266E-2</v>
      </c>
      <c r="Z12" s="81">
        <f t="shared" si="0"/>
        <v>0</v>
      </c>
      <c r="AA12" s="81">
        <f t="shared" si="0"/>
        <v>0</v>
      </c>
      <c r="AB12" s="81">
        <f t="shared" si="0"/>
        <v>603.4440194471307</v>
      </c>
      <c r="AC12" s="81">
        <f t="shared" si="0"/>
        <v>5.3741030560821544E-3</v>
      </c>
      <c r="AD12" s="81">
        <f t="shared" si="0"/>
        <v>1.5457822002157701E-2</v>
      </c>
      <c r="AE12" s="36"/>
      <c r="AN12" s="36"/>
    </row>
    <row r="13" spans="1:42">
      <c r="A13" s="370"/>
      <c r="B13" s="371"/>
      <c r="C13" s="372"/>
      <c r="D13" s="372"/>
      <c r="E13" s="371"/>
      <c r="F13" s="371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84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</row>
    <row r="14" spans="1:42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84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</row>
    <row r="15" spans="1:42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84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</row>
    <row r="16" spans="1:42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84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</row>
    <row r="336" spans="1:1" ht="25.5">
      <c r="A336" s="82" t="s">
        <v>109</v>
      </c>
    </row>
    <row r="338" spans="1:2">
      <c r="A338" s="36" t="s">
        <v>81</v>
      </c>
    </row>
    <row r="339" spans="1:2">
      <c r="A339" s="36" t="s">
        <v>82</v>
      </c>
    </row>
    <row r="340" spans="1:2">
      <c r="A340" s="36" t="s">
        <v>83</v>
      </c>
    </row>
    <row r="341" spans="1:2">
      <c r="A341" s="37" t="s">
        <v>96</v>
      </c>
    </row>
    <row r="342" spans="1:2">
      <c r="A342" s="36" t="s">
        <v>85</v>
      </c>
    </row>
    <row r="343" spans="1:2">
      <c r="A343" s="36" t="s">
        <v>86</v>
      </c>
    </row>
    <row r="344" spans="1:2">
      <c r="A344" s="36" t="s">
        <v>87</v>
      </c>
    </row>
    <row r="345" spans="1:2">
      <c r="A345" s="36" t="s">
        <v>0</v>
      </c>
    </row>
    <row r="346" spans="1:2">
      <c r="A346" s="37" t="s">
        <v>97</v>
      </c>
      <c r="B346" s="36">
        <f>(0.016*(0.03/2)^0.65*(2/3)^1.5)-0.00047</f>
        <v>9.8123053326417428E-5</v>
      </c>
    </row>
    <row r="347" spans="1:2">
      <c r="A347" s="37" t="s">
        <v>98</v>
      </c>
      <c r="B347" s="36">
        <f>(0.016*(0.03/2)^0.65*(13/3)^1.5)-0.00047</f>
        <v>8.9448292388582783E-3</v>
      </c>
    </row>
    <row r="348" spans="1:2">
      <c r="A348" s="37" t="s">
        <v>99</v>
      </c>
      <c r="B348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B-5
Construction Truck Trip Emissions
TL 6965 Construction</oddHeader>
    <oddFooter>&amp;CB-5</oddFooter>
  </headerFooter>
</worksheet>
</file>

<file path=xl/worksheets/sheet25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773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413</v>
      </c>
      <c r="B4" s="45" t="s">
        <v>102</v>
      </c>
      <c r="C4" s="46">
        <v>13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43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435" t="s">
        <v>55</v>
      </c>
      <c r="G87" s="435" t="s">
        <v>73</v>
      </c>
      <c r="H87" s="435" t="s">
        <v>74</v>
      </c>
      <c r="I87" s="435" t="s">
        <v>58</v>
      </c>
      <c r="J87" s="435" t="s">
        <v>59</v>
      </c>
      <c r="K87" s="435" t="s">
        <v>60</v>
      </c>
      <c r="L87" s="434" t="s">
        <v>75</v>
      </c>
      <c r="M87" s="434" t="s">
        <v>76</v>
      </c>
      <c r="N87" s="434" t="s">
        <v>61</v>
      </c>
      <c r="O87" s="434" t="s">
        <v>62</v>
      </c>
      <c r="P87" s="434" t="s">
        <v>63</v>
      </c>
      <c r="AN87" s="38"/>
      <c r="AZ87" s="36"/>
    </row>
    <row r="88" spans="1:52" ht="25.5">
      <c r="A88" s="44" t="str">
        <f t="shared" ref="A88:C88" si="52">A4</f>
        <v>UG Trench Conduit Substructure</v>
      </c>
      <c r="B88" s="45" t="str">
        <f t="shared" si="52"/>
        <v>Light-Duty Truck, catalyst</v>
      </c>
      <c r="C88" s="46">
        <f t="shared" si="52"/>
        <v>13</v>
      </c>
      <c r="D88" s="46">
        <v>35</v>
      </c>
      <c r="E88" s="46">
        <v>80</v>
      </c>
      <c r="F88" s="50">
        <f>C4*($E4*$F4+($G4))/453.59</f>
        <v>6.3143520164519611</v>
      </c>
      <c r="G88" s="50">
        <f>C4*($E4*$H4+($I4))/453.59</f>
        <v>0.56771854482691408</v>
      </c>
      <c r="H88" s="50">
        <f>C4*(($E4*$J4)+($K4)+($L4)+($E4*$N4)+(($M4+$O4)))/453.59</f>
        <v>0.65649974421139334</v>
      </c>
      <c r="I88" s="50">
        <f>C4*($E4*$P4+($Q4))/453.59</f>
        <v>9.4483613530880074E-3</v>
      </c>
      <c r="J88" s="50">
        <f>C4*(($E4*($R4+$T4+$U4))+($S4))/453.59</f>
        <v>0.11081317591770266</v>
      </c>
      <c r="K88" s="50">
        <f>$C4*(($E4*($V4+$X4+$Y4))+($W4))/453.59</f>
        <v>4.8256069215290839E-2</v>
      </c>
      <c r="L88" s="50">
        <f>$B$21*C4*(E4+6)</f>
        <v>0.10970157361893468</v>
      </c>
      <c r="M88" s="50">
        <f t="shared" ref="M88" si="53">0.41*L88</f>
        <v>4.4977645183763217E-2</v>
      </c>
      <c r="N88" s="50">
        <f>C4*($E4*$Z4+($AA4))/453.59</f>
        <v>720.50649743850568</v>
      </c>
      <c r="O88" s="50">
        <f>C4*($E4*$AB4+($AC4))/453.59</f>
        <v>4.1216180057393241E-2</v>
      </c>
      <c r="P88" s="50">
        <f>C4*($E4*$AD4+($AE4))/453.59</f>
        <v>7.5024558879963676E-2</v>
      </c>
      <c r="AN88" s="38"/>
      <c r="AZ88" s="36"/>
    </row>
    <row r="89" spans="1:52">
      <c r="A89" s="40" t="s">
        <v>103</v>
      </c>
      <c r="B89" s="40"/>
      <c r="C89" s="40"/>
      <c r="D89" s="40"/>
      <c r="E89" s="40"/>
      <c r="F89" s="81">
        <f t="shared" ref="F89:P89" si="54">SUM(F88:F88)</f>
        <v>6.3143520164519611</v>
      </c>
      <c r="G89" s="81">
        <f t="shared" si="54"/>
        <v>0.56771854482691408</v>
      </c>
      <c r="H89" s="81">
        <f t="shared" si="54"/>
        <v>0.65649974421139334</v>
      </c>
      <c r="I89" s="81">
        <f t="shared" si="54"/>
        <v>9.4483613530880074E-3</v>
      </c>
      <c r="J89" s="81">
        <f t="shared" si="54"/>
        <v>0.11081317591770266</v>
      </c>
      <c r="K89" s="81">
        <f t="shared" si="54"/>
        <v>4.8256069215290839E-2</v>
      </c>
      <c r="L89" s="81">
        <f t="shared" si="54"/>
        <v>0.10970157361893468</v>
      </c>
      <c r="M89" s="81">
        <f t="shared" si="54"/>
        <v>4.4977645183763217E-2</v>
      </c>
      <c r="N89" s="81">
        <f t="shared" si="54"/>
        <v>720.50649743850568</v>
      </c>
      <c r="O89" s="81">
        <f t="shared" si="54"/>
        <v>4.1216180057393241E-2</v>
      </c>
      <c r="P89" s="81">
        <f t="shared" si="54"/>
        <v>7.5024558879963676E-2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B-6
Construction Worker Commute Emission Calculations
TL 6965 Construction</oddHeader>
    <oddFooter>&amp;CB-6</oddFooter>
  </headerFooter>
</worksheet>
</file>

<file path=xl/worksheets/sheet25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2"/>
  <sheetViews>
    <sheetView zoomScale="75" zoomScaleNormal="75" workbookViewId="0">
      <selection activeCell="A2" sqref="A2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774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412</v>
      </c>
      <c r="B7" s="29"/>
      <c r="C7" s="97"/>
      <c r="D7" s="12"/>
      <c r="E7" s="102"/>
      <c r="F7" s="102"/>
      <c r="G7" s="102"/>
      <c r="H7" s="102"/>
      <c r="I7" s="102"/>
      <c r="J7" s="100"/>
      <c r="K7" s="103"/>
      <c r="L7" s="102"/>
      <c r="M7" s="104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32" t="s">
        <v>51</v>
      </c>
      <c r="B8" s="29" t="s">
        <v>27</v>
      </c>
      <c r="C8" s="97">
        <v>381</v>
      </c>
      <c r="D8" s="97"/>
      <c r="E8" s="102">
        <v>0.18553470911077993</v>
      </c>
      <c r="F8" s="102">
        <v>0.57956772121140698</v>
      </c>
      <c r="G8" s="102">
        <v>1.2523979210769924</v>
      </c>
      <c r="H8" s="102">
        <v>2.6730457491231348E-3</v>
      </c>
      <c r="I8" s="102">
        <v>4.4827947982520766E-2</v>
      </c>
      <c r="J8" s="100">
        <f t="shared" ref="J8" si="0">0.89*I8</f>
        <v>3.9896873704443482E-2</v>
      </c>
      <c r="K8" s="103">
        <v>272.33380251586107</v>
      </c>
      <c r="L8" s="102">
        <v>1.6740496842659349E-2</v>
      </c>
      <c r="M8" s="102">
        <f t="shared" ref="M8" si="1">0.095*G8</f>
        <v>0.11897780250231428</v>
      </c>
      <c r="N8" s="87">
        <v>3</v>
      </c>
      <c r="O8" s="87">
        <v>8</v>
      </c>
      <c r="P8" s="88">
        <v>15</v>
      </c>
      <c r="Q8" s="34">
        <f t="shared" ref="Q8:Y10" si="2">(E8*$N8*$O8)</f>
        <v>4.4528330186587182</v>
      </c>
      <c r="R8" s="26">
        <f t="shared" si="2"/>
        <v>13.909625309073768</v>
      </c>
      <c r="S8" s="26">
        <f t="shared" si="2"/>
        <v>30.057550105847817</v>
      </c>
      <c r="T8" s="26">
        <f t="shared" si="2"/>
        <v>6.4153097978955242E-2</v>
      </c>
      <c r="U8" s="26">
        <f t="shared" si="2"/>
        <v>1.0758707515804984</v>
      </c>
      <c r="V8" s="26">
        <f t="shared" si="2"/>
        <v>0.95752496890664363</v>
      </c>
      <c r="W8" s="26">
        <f t="shared" si="2"/>
        <v>6536.0112603806656</v>
      </c>
      <c r="X8" s="26">
        <f t="shared" si="2"/>
        <v>0.40177192422382435</v>
      </c>
      <c r="Y8" s="26">
        <f t="shared" si="2"/>
        <v>2.8554672600555429</v>
      </c>
    </row>
    <row r="9" spans="1:25" s="3" customFormat="1">
      <c r="A9" s="32" t="s">
        <v>125</v>
      </c>
      <c r="B9" s="29" t="s">
        <v>27</v>
      </c>
      <c r="C9" s="97">
        <v>87</v>
      </c>
      <c r="D9" s="22">
        <v>0.37</v>
      </c>
      <c r="E9" s="413">
        <v>5.2437519504869065E-2</v>
      </c>
      <c r="F9" s="397">
        <v>0.26257275132275132</v>
      </c>
      <c r="G9" s="397">
        <v>0.33506412037037031</v>
      </c>
      <c r="H9" s="413">
        <v>6.0679618797898508E-4</v>
      </c>
      <c r="I9" s="397">
        <v>2.1289682539682539E-2</v>
      </c>
      <c r="J9" s="100">
        <f t="shared" ref="J9:J10" si="3">0.89*I9</f>
        <v>1.894781746031746E-2</v>
      </c>
      <c r="K9" s="413">
        <v>51.728016924248784</v>
      </c>
      <c r="L9" s="413">
        <v>5.7223017989158831E-3</v>
      </c>
      <c r="M9" s="102">
        <f t="shared" ref="M9:M10" si="4">0.095*G9</f>
        <v>3.1831091435185178E-2</v>
      </c>
      <c r="N9" s="87">
        <v>2</v>
      </c>
      <c r="O9" s="87">
        <v>8</v>
      </c>
      <c r="P9" s="88">
        <v>15</v>
      </c>
      <c r="Q9" s="34">
        <f t="shared" si="2"/>
        <v>0.83900031207790504</v>
      </c>
      <c r="R9" s="26">
        <f t="shared" si="2"/>
        <v>4.2011640211640211</v>
      </c>
      <c r="S9" s="26">
        <f t="shared" si="2"/>
        <v>5.361025925925925</v>
      </c>
      <c r="T9" s="26">
        <f t="shared" si="2"/>
        <v>9.7087390076637612E-3</v>
      </c>
      <c r="U9" s="26">
        <f t="shared" si="2"/>
        <v>0.34063492063492062</v>
      </c>
      <c r="V9" s="26">
        <f t="shared" si="2"/>
        <v>0.30316507936507936</v>
      </c>
      <c r="W9" s="26">
        <f t="shared" si="2"/>
        <v>827.64827078798055</v>
      </c>
      <c r="X9" s="26">
        <f t="shared" si="2"/>
        <v>9.1556828782654129E-2</v>
      </c>
      <c r="Y9" s="26">
        <f t="shared" si="2"/>
        <v>0.50929746296296285</v>
      </c>
    </row>
    <row r="10" spans="1:25" s="3" customFormat="1">
      <c r="A10" s="24" t="s">
        <v>128</v>
      </c>
      <c r="B10" s="29" t="s">
        <v>27</v>
      </c>
      <c r="C10" s="97">
        <v>157</v>
      </c>
      <c r="D10" s="22">
        <v>0.38</v>
      </c>
      <c r="E10" s="416">
        <v>9.7211873502789536E-2</v>
      </c>
      <c r="F10" s="397">
        <v>0.48664462081128745</v>
      </c>
      <c r="G10" s="397">
        <v>0.54103044532627864</v>
      </c>
      <c r="H10" s="416">
        <v>2.2941884589860436E-3</v>
      </c>
      <c r="I10" s="397">
        <v>2.8935626102292767E-2</v>
      </c>
      <c r="J10" s="368">
        <f t="shared" si="3"/>
        <v>2.5752707231040561E-2</v>
      </c>
      <c r="K10" s="417">
        <v>233.73537145870978</v>
      </c>
      <c r="L10" s="369">
        <v>1.4946984027451463E-2</v>
      </c>
      <c r="M10" s="369">
        <f t="shared" si="4"/>
        <v>5.1397892305996472E-2</v>
      </c>
      <c r="N10" s="98">
        <v>1</v>
      </c>
      <c r="O10" s="98">
        <v>8</v>
      </c>
      <c r="P10" s="88">
        <v>10</v>
      </c>
      <c r="Q10" s="34">
        <f t="shared" si="2"/>
        <v>0.77769498802231629</v>
      </c>
      <c r="R10" s="26">
        <f t="shared" si="2"/>
        <v>3.8931569664902996</v>
      </c>
      <c r="S10" s="26">
        <f t="shared" si="2"/>
        <v>4.3282435626102291</v>
      </c>
      <c r="T10" s="26">
        <f t="shared" si="2"/>
        <v>1.8353507671888349E-2</v>
      </c>
      <c r="U10" s="26">
        <f t="shared" si="2"/>
        <v>0.23148500881834214</v>
      </c>
      <c r="V10" s="26">
        <f t="shared" si="2"/>
        <v>0.20602165784832449</v>
      </c>
      <c r="W10" s="26">
        <f t="shared" si="2"/>
        <v>1869.8829716696782</v>
      </c>
      <c r="X10" s="26">
        <f t="shared" si="2"/>
        <v>0.1195758722196117</v>
      </c>
      <c r="Y10" s="26">
        <f t="shared" si="2"/>
        <v>0.41118313844797177</v>
      </c>
    </row>
    <row r="11" spans="1:25" s="3" customFormat="1">
      <c r="A11" s="17" t="s">
        <v>28</v>
      </c>
      <c r="B11" s="29"/>
      <c r="C11" s="97"/>
      <c r="D11" s="12"/>
      <c r="E11" s="102"/>
      <c r="F11" s="102"/>
      <c r="G11" s="102"/>
      <c r="H11" s="102"/>
      <c r="I11" s="102"/>
      <c r="J11" s="100"/>
      <c r="K11" s="103"/>
      <c r="L11" s="102"/>
      <c r="M11" s="102"/>
      <c r="N11" s="88"/>
      <c r="O11" s="88"/>
      <c r="P11" s="88"/>
      <c r="Q11" s="101">
        <f t="shared" ref="Q11:Y11" si="5">SUM(Q8:Q10)</f>
        <v>6.0695283187589393</v>
      </c>
      <c r="R11" s="101">
        <f t="shared" si="5"/>
        <v>22.003946296728088</v>
      </c>
      <c r="S11" s="101">
        <f t="shared" si="5"/>
        <v>39.746819594383965</v>
      </c>
      <c r="T11" s="101">
        <f t="shared" si="5"/>
        <v>9.2215344658507364E-2</v>
      </c>
      <c r="U11" s="101">
        <f t="shared" si="5"/>
        <v>1.6479906810337612</v>
      </c>
      <c r="V11" s="101">
        <f t="shared" si="5"/>
        <v>1.4667117061200474</v>
      </c>
      <c r="W11" s="101">
        <f t="shared" si="5"/>
        <v>9233.5425028383252</v>
      </c>
      <c r="X11" s="101">
        <f t="shared" si="5"/>
        <v>0.61290462522609024</v>
      </c>
      <c r="Y11" s="101">
        <f t="shared" si="5"/>
        <v>3.7759478614664772</v>
      </c>
    </row>
    <row r="12" spans="1:25">
      <c r="A12" s="444" t="s">
        <v>103</v>
      </c>
      <c r="Q12" s="86">
        <f>Q11</f>
        <v>6.0695283187589393</v>
      </c>
      <c r="R12" s="86">
        <f t="shared" ref="R12:Y12" si="6">R11</f>
        <v>22.003946296728088</v>
      </c>
      <c r="S12" s="86">
        <f t="shared" si="6"/>
        <v>39.746819594383965</v>
      </c>
      <c r="T12" s="86">
        <f t="shared" si="6"/>
        <v>9.2215344658507364E-2</v>
      </c>
      <c r="U12" s="86">
        <f t="shared" si="6"/>
        <v>1.6479906810337612</v>
      </c>
      <c r="V12" s="86">
        <f t="shared" si="6"/>
        <v>1.4667117061200474</v>
      </c>
      <c r="W12" s="86">
        <f t="shared" si="6"/>
        <v>9233.5425028383252</v>
      </c>
      <c r="X12" s="86">
        <f t="shared" si="6"/>
        <v>0.61290462522609024</v>
      </c>
      <c r="Y12" s="86">
        <f t="shared" si="6"/>
        <v>3.7759478614664772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B-4
Construction Heavy Equipment Emissions
TL 6965 Construction
</oddHeader>
    <oddFooter>&amp;CB-4</oddFooter>
  </headerFooter>
</worksheet>
</file>

<file path=xl/worksheets/sheet25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348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31" width="12.28515625" style="38" customWidth="1"/>
    <col min="32" max="33" width="9.28515625" style="36" bestFit="1" customWidth="1"/>
    <col min="34" max="34" width="11.42578125" style="36" customWidth="1"/>
    <col min="35" max="35" width="10.5703125" style="36" customWidth="1"/>
    <col min="36" max="39" width="9.5703125" style="36" customWidth="1"/>
    <col min="40" max="40" width="9.28515625" style="38" bestFit="1" customWidth="1"/>
    <col min="41" max="41" width="9.85546875" style="36" customWidth="1"/>
    <col min="42" max="42" width="9.28515625" style="36" bestFit="1" customWidth="1"/>
    <col min="43" max="16384" width="9.140625" style="36"/>
  </cols>
  <sheetData>
    <row r="1" spans="1:42">
      <c r="A1" s="3" t="s">
        <v>775</v>
      </c>
    </row>
    <row r="2" spans="1:42">
      <c r="A2"/>
    </row>
    <row r="6" spans="1:42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  <c r="AE6" s="36"/>
      <c r="AN6" s="36"/>
    </row>
    <row r="7" spans="1:42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  <c r="AE7" s="36"/>
      <c r="AN7" s="36"/>
    </row>
    <row r="8" spans="1:42">
      <c r="A8" s="17" t="s">
        <v>412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  <c r="AE8" s="36"/>
      <c r="AN8" s="36"/>
    </row>
    <row r="9" spans="1:42">
      <c r="A9" s="78" t="s">
        <v>327</v>
      </c>
      <c r="B9" s="76" t="s">
        <v>105</v>
      </c>
      <c r="C9" s="374">
        <v>2</v>
      </c>
      <c r="D9" s="77"/>
      <c r="E9" s="77">
        <v>35</v>
      </c>
      <c r="F9" s="77">
        <v>80</v>
      </c>
      <c r="G9" s="106">
        <v>1.08263976628415</v>
      </c>
      <c r="H9" s="106">
        <v>4.9712718909585103</v>
      </c>
      <c r="I9" s="106">
        <v>0.26248012575016899</v>
      </c>
      <c r="J9" s="106">
        <v>1.0711818E-2</v>
      </c>
      <c r="K9" s="106">
        <v>7.1679901072141505E-2</v>
      </c>
      <c r="L9" s="556">
        <v>3.59998119015979E-2</v>
      </c>
      <c r="M9" s="556">
        <v>6.1739677411240299E-2</v>
      </c>
      <c r="N9" s="106">
        <v>6.5945508986370194E-2</v>
      </c>
      <c r="O9" s="556">
        <v>2.9999843251331498E-3</v>
      </c>
      <c r="P9" s="556">
        <v>5.5859708133979398E-2</v>
      </c>
      <c r="Q9" s="106">
        <v>1710.7260798814</v>
      </c>
      <c r="R9" s="47">
        <v>1.5235246282551899E-2</v>
      </c>
      <c r="S9" s="80">
        <f>0.000025616*Q9</f>
        <v>4.3821959262241944E-2</v>
      </c>
      <c r="T9" s="50">
        <f>C9*($F9*$G9)/453.59</f>
        <v>0.38189193457850484</v>
      </c>
      <c r="U9" s="50">
        <f>C9*($F9*$H9)/453.59</f>
        <v>1.7535737175717316</v>
      </c>
      <c r="V9" s="50">
        <f>C9*(($F9*$I9))/453.59</f>
        <v>9.2587623448548345E-2</v>
      </c>
      <c r="W9" s="50">
        <f>C9*($F9*$J9)/453.59</f>
        <v>3.7785023479353602E-3</v>
      </c>
      <c r="X9" s="50">
        <f>C9*(($F9*($K9+$L9+$M9)))/453.59</f>
        <v>5.9761243549453814E-2</v>
      </c>
      <c r="Y9" s="50">
        <f>C9*(($F9*($N9+$O9+$P9)))/453.59</f>
        <v>4.4023969292262266E-2</v>
      </c>
      <c r="Z9" s="50">
        <f>C9*(F9)*$B$339</f>
        <v>0</v>
      </c>
      <c r="AA9" s="50">
        <f>Z9*0.21</f>
        <v>0</v>
      </c>
      <c r="AB9" s="50">
        <f>C9*(($F9*($Q9)))/453.59</f>
        <v>603.4440194471307</v>
      </c>
      <c r="AC9" s="50">
        <f>C9*(($F9*($R9)))/453.59</f>
        <v>5.3741030560821544E-3</v>
      </c>
      <c r="AD9" s="50">
        <f>C9*(($F9*($S9)))/453.59</f>
        <v>1.5457822002157701E-2</v>
      </c>
      <c r="AE9" s="36"/>
      <c r="AN9" s="36"/>
    </row>
    <row r="10" spans="1:42">
      <c r="A10" s="75" t="s">
        <v>28</v>
      </c>
      <c r="B10" s="74"/>
      <c r="C10" s="112"/>
      <c r="D10" s="112"/>
      <c r="E10" s="74"/>
      <c r="F10" s="74"/>
      <c r="G10" s="437"/>
      <c r="H10" s="41"/>
      <c r="I10" s="41"/>
      <c r="J10" s="41"/>
      <c r="K10" s="434"/>
      <c r="L10" s="434"/>
      <c r="M10" s="434"/>
      <c r="N10" s="434"/>
      <c r="O10" s="434"/>
      <c r="P10" s="434"/>
      <c r="Q10" s="41"/>
      <c r="R10" s="434"/>
      <c r="S10" s="434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36"/>
      <c r="AN10" s="36"/>
    </row>
    <row r="11" spans="1:42">
      <c r="A11" s="432"/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61"/>
      <c r="U11" s="61"/>
      <c r="V11" s="61"/>
      <c r="W11" s="61"/>
      <c r="X11" s="61"/>
      <c r="Y11" s="61"/>
      <c r="Z11" s="62"/>
      <c r="AA11" s="62"/>
      <c r="AB11" s="62"/>
      <c r="AC11" s="62"/>
      <c r="AD11" s="62"/>
      <c r="AE11" s="36"/>
      <c r="AN11" s="36"/>
    </row>
    <row r="12" spans="1:42">
      <c r="A12" s="432"/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81">
        <f>T9</f>
        <v>0.38189193457850484</v>
      </c>
      <c r="U12" s="81">
        <f t="shared" ref="U12:AD12" si="0">U9</f>
        <v>1.7535737175717316</v>
      </c>
      <c r="V12" s="81">
        <f t="shared" si="0"/>
        <v>9.2587623448548345E-2</v>
      </c>
      <c r="W12" s="81">
        <f t="shared" si="0"/>
        <v>3.7785023479353602E-3</v>
      </c>
      <c r="X12" s="81">
        <f t="shared" si="0"/>
        <v>5.9761243549453814E-2</v>
      </c>
      <c r="Y12" s="81">
        <f t="shared" si="0"/>
        <v>4.4023969292262266E-2</v>
      </c>
      <c r="Z12" s="81">
        <f t="shared" si="0"/>
        <v>0</v>
      </c>
      <c r="AA12" s="81">
        <f t="shared" si="0"/>
        <v>0</v>
      </c>
      <c r="AB12" s="81">
        <f t="shared" si="0"/>
        <v>603.4440194471307</v>
      </c>
      <c r="AC12" s="81">
        <f t="shared" si="0"/>
        <v>5.3741030560821544E-3</v>
      </c>
      <c r="AD12" s="81">
        <f t="shared" si="0"/>
        <v>1.5457822002157701E-2</v>
      </c>
      <c r="AE12" s="36"/>
      <c r="AN12" s="36"/>
    </row>
    <row r="13" spans="1:42">
      <c r="A13" s="370"/>
      <c r="B13" s="371"/>
      <c r="C13" s="372"/>
      <c r="D13" s="372"/>
      <c r="E13" s="371"/>
      <c r="F13" s="371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84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</row>
    <row r="14" spans="1:42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84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</row>
    <row r="15" spans="1:42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84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</row>
    <row r="16" spans="1:42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84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</row>
    <row r="336" spans="1:1" ht="25.5">
      <c r="A336" s="82" t="s">
        <v>109</v>
      </c>
    </row>
    <row r="338" spans="1:2">
      <c r="A338" s="36" t="s">
        <v>81</v>
      </c>
    </row>
    <row r="339" spans="1:2">
      <c r="A339" s="36" t="s">
        <v>82</v>
      </c>
    </row>
    <row r="340" spans="1:2">
      <c r="A340" s="36" t="s">
        <v>83</v>
      </c>
    </row>
    <row r="341" spans="1:2">
      <c r="A341" s="37" t="s">
        <v>96</v>
      </c>
    </row>
    <row r="342" spans="1:2">
      <c r="A342" s="36" t="s">
        <v>85</v>
      </c>
    </row>
    <row r="343" spans="1:2">
      <c r="A343" s="36" t="s">
        <v>86</v>
      </c>
    </row>
    <row r="344" spans="1:2">
      <c r="A344" s="36" t="s">
        <v>87</v>
      </c>
    </row>
    <row r="345" spans="1:2">
      <c r="A345" s="36" t="s">
        <v>0</v>
      </c>
    </row>
    <row r="346" spans="1:2">
      <c r="A346" s="37" t="s">
        <v>97</v>
      </c>
      <c r="B346" s="36">
        <f>(0.016*(0.03/2)^0.65*(2/3)^1.5)-0.00047</f>
        <v>9.8123053326417428E-5</v>
      </c>
    </row>
    <row r="347" spans="1:2">
      <c r="A347" s="37" t="s">
        <v>98</v>
      </c>
      <c r="B347" s="36">
        <f>(0.016*(0.03/2)^0.65*(13/3)^1.5)-0.00047</f>
        <v>8.9448292388582783E-3</v>
      </c>
    </row>
    <row r="348" spans="1:2">
      <c r="A348" s="37" t="s">
        <v>99</v>
      </c>
      <c r="B348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B-5
Construction Truck Trip Emissions
TL 6965 Construction</oddHeader>
    <oddFooter>&amp;CB-5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6"/>
  <sheetViews>
    <sheetView zoomScale="75" workbookViewId="0">
      <selection activeCell="E36" sqref="E36:E37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544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25" t="s">
        <v>55</v>
      </c>
      <c r="H6" s="425" t="s">
        <v>56</v>
      </c>
      <c r="I6" s="421" t="s">
        <v>57</v>
      </c>
      <c r="J6" s="425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25" t="s">
        <v>61</v>
      </c>
      <c r="R6" s="421" t="s">
        <v>62</v>
      </c>
      <c r="S6" s="421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424" t="s">
        <v>69</v>
      </c>
      <c r="H7" s="41" t="s">
        <v>69</v>
      </c>
      <c r="I7" s="41" t="s">
        <v>69</v>
      </c>
      <c r="J7" s="41" t="s">
        <v>69</v>
      </c>
      <c r="K7" s="421" t="s">
        <v>69</v>
      </c>
      <c r="L7" s="421" t="s">
        <v>71</v>
      </c>
      <c r="M7" s="421" t="s">
        <v>72</v>
      </c>
      <c r="N7" s="421" t="s">
        <v>69</v>
      </c>
      <c r="O7" s="421" t="s">
        <v>71</v>
      </c>
      <c r="P7" s="421" t="s">
        <v>72</v>
      </c>
      <c r="Q7" s="41" t="s">
        <v>69</v>
      </c>
      <c r="R7" s="421" t="s">
        <v>69</v>
      </c>
      <c r="S7" s="421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69"/>
      <c r="H8" s="41"/>
      <c r="I8" s="41"/>
      <c r="J8" s="41"/>
      <c r="K8" s="566"/>
      <c r="L8" s="566"/>
      <c r="M8" s="566"/>
      <c r="N8" s="566"/>
      <c r="O8" s="566"/>
      <c r="P8" s="566"/>
      <c r="Q8" s="41"/>
      <c r="R8" s="566"/>
      <c r="S8" s="566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C9*(F9)*$B$381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68">
        <v>3.59998119015979E-2</v>
      </c>
      <c r="M10" s="568">
        <v>6.1739677411240299E-2</v>
      </c>
      <c r="N10" s="106">
        <v>6.5945508986370194E-2</v>
      </c>
      <c r="O10" s="568">
        <v>2.9999843251331498E-3</v>
      </c>
      <c r="P10" s="568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C10*(F10)*$B$381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69"/>
      <c r="H11" s="41"/>
      <c r="I11" s="41"/>
      <c r="J11" s="41"/>
      <c r="K11" s="566"/>
      <c r="L11" s="566"/>
      <c r="M11" s="566"/>
      <c r="N11" s="566"/>
      <c r="O11" s="566"/>
      <c r="P11" s="566"/>
      <c r="Q11" s="41"/>
      <c r="R11" s="566"/>
      <c r="S11" s="566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69"/>
      <c r="H12" s="41"/>
      <c r="I12" s="41"/>
      <c r="J12" s="41"/>
      <c r="K12" s="566"/>
      <c r="L12" s="566"/>
      <c r="M12" s="566"/>
      <c r="N12" s="566"/>
      <c r="O12" s="566"/>
      <c r="P12" s="566"/>
      <c r="Q12" s="41"/>
      <c r="R12" s="566"/>
      <c r="S12" s="566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330</v>
      </c>
      <c r="B13" s="74"/>
      <c r="C13" s="112"/>
      <c r="D13" s="112"/>
      <c r="E13" s="74"/>
      <c r="F13" s="74"/>
      <c r="G13" s="569"/>
      <c r="H13" s="41"/>
      <c r="I13" s="41"/>
      <c r="J13" s="41"/>
      <c r="K13" s="566"/>
      <c r="L13" s="566"/>
      <c r="M13" s="566"/>
      <c r="N13" s="566"/>
      <c r="O13" s="566"/>
      <c r="P13" s="566"/>
      <c r="Q13" s="41"/>
      <c r="R13" s="566"/>
      <c r="S13" s="566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12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0.39956510213458007</v>
      </c>
      <c r="U14" s="50">
        <f>C14*($F14*$H14)/453.59</f>
        <v>0.73763751131887467</v>
      </c>
      <c r="V14" s="50">
        <f>C14*(($F14*$I14))/453.59</f>
        <v>9.01226910517854E-2</v>
      </c>
      <c r="W14" s="50">
        <f>C14*($F14*$J14)/453.59</f>
        <v>5.5594453624299087E-3</v>
      </c>
      <c r="X14" s="50">
        <f>C14*(($F14*($K14+$L14+$M14)))/453.59</f>
        <v>0.14547785948060449</v>
      </c>
      <c r="Y14" s="50">
        <f>C14*(($F14*($N14+$O14+$P14)))/453.59</f>
        <v>9.6664395931909605E-2</v>
      </c>
      <c r="Z14" s="50">
        <f>C14*(F14)*$B$381</f>
        <v>0</v>
      </c>
      <c r="AA14" s="50">
        <f>Z14*0.21</f>
        <v>0</v>
      </c>
      <c r="AB14" s="50">
        <f>C14*(($F14*($Q14)))/453.59</f>
        <v>387.25642236102652</v>
      </c>
      <c r="AC14" s="50">
        <f>C14*(($F14*($R14)))/453.59</f>
        <v>2.2128993742976135E-2</v>
      </c>
      <c r="AD14" s="50">
        <f>C14*(($F14*($S14)))/453.59</f>
        <v>9.9199605152000547E-3</v>
      </c>
    </row>
    <row r="15" spans="1:30">
      <c r="A15" s="78" t="s">
        <v>331</v>
      </c>
      <c r="B15" s="76" t="s">
        <v>105</v>
      </c>
      <c r="C15" s="374">
        <v>80</v>
      </c>
      <c r="D15" s="77"/>
      <c r="E15" s="77">
        <v>35</v>
      </c>
      <c r="F15" s="77">
        <v>80</v>
      </c>
      <c r="G15" s="106">
        <v>1.08263976628415</v>
      </c>
      <c r="H15" s="106">
        <v>4.9712718909585103</v>
      </c>
      <c r="I15" s="106">
        <v>0.26248012575016899</v>
      </c>
      <c r="J15" s="106">
        <v>1.0711818E-2</v>
      </c>
      <c r="K15" s="106">
        <v>7.1679901072141505E-2</v>
      </c>
      <c r="L15" s="568">
        <v>3.59998119015979E-2</v>
      </c>
      <c r="M15" s="568">
        <v>6.1739677411240299E-2</v>
      </c>
      <c r="N15" s="106">
        <v>6.5945508986370194E-2</v>
      </c>
      <c r="O15" s="568">
        <v>2.9999843251331498E-3</v>
      </c>
      <c r="P15" s="568">
        <v>5.5859708133979398E-2</v>
      </c>
      <c r="Q15" s="106">
        <v>1710.7260798814</v>
      </c>
      <c r="R15" s="47">
        <v>1.5235246282551899E-2</v>
      </c>
      <c r="S15" s="80">
        <f>0.000025616*Q15</f>
        <v>4.3821959262241944E-2</v>
      </c>
      <c r="T15" s="50">
        <f>C15*($F15*$G15)/453.59</f>
        <v>15.275677383140195</v>
      </c>
      <c r="U15" s="50">
        <f>C15*($F15*$H15)/453.59</f>
        <v>70.142948702869262</v>
      </c>
      <c r="V15" s="50">
        <f>C15*(($F15*$I15))/453.59</f>
        <v>3.7035049379419336</v>
      </c>
      <c r="W15" s="50">
        <f>C15*($F15*$J15)/453.59</f>
        <v>0.1511400939174144</v>
      </c>
      <c r="X15" s="50">
        <f>C15*(($F15*($K15+$L15+$M15)))/453.59</f>
        <v>2.3904497419781525</v>
      </c>
      <c r="Y15" s="50">
        <f>C15*(($F15*($N15+$O15+$P15)))/453.59</f>
        <v>1.7609587716904906</v>
      </c>
      <c r="Z15" s="50">
        <f>C15*(F15)*$B$381</f>
        <v>0</v>
      </c>
      <c r="AA15" s="50">
        <f>Z15*0.21</f>
        <v>0</v>
      </c>
      <c r="AB15" s="50">
        <f>C15*(($F15*($Q15)))/453.59</f>
        <v>24137.760777885233</v>
      </c>
      <c r="AC15" s="50">
        <f>C15*(($F15*($R15)))/453.59</f>
        <v>0.21496412224328618</v>
      </c>
      <c r="AD15" s="50">
        <f>C15*(($F15*($S15)))/453.59</f>
        <v>0.61831288008630803</v>
      </c>
    </row>
    <row r="16" spans="1:30">
      <c r="A16" s="75" t="s">
        <v>28</v>
      </c>
      <c r="B16" s="74"/>
      <c r="C16" s="112"/>
      <c r="D16" s="112"/>
      <c r="E16" s="74"/>
      <c r="F16" s="74"/>
      <c r="G16" s="569"/>
      <c r="H16" s="41"/>
      <c r="I16" s="41"/>
      <c r="J16" s="41"/>
      <c r="K16" s="566"/>
      <c r="L16" s="566"/>
      <c r="M16" s="566"/>
      <c r="N16" s="566"/>
      <c r="O16" s="566"/>
      <c r="P16" s="566"/>
      <c r="Q16" s="41"/>
      <c r="R16" s="566"/>
      <c r="S16" s="566"/>
      <c r="T16" s="81">
        <f>SUM(T14:T15)</f>
        <v>15.675242485274776</v>
      </c>
      <c r="U16" s="81">
        <f t="shared" ref="U16:AD16" si="1">SUM(U14:U15)</f>
        <v>70.880586214188142</v>
      </c>
      <c r="V16" s="81">
        <f t="shared" si="1"/>
        <v>3.7936276289937192</v>
      </c>
      <c r="W16" s="81">
        <f t="shared" si="1"/>
        <v>0.15669953927984431</v>
      </c>
      <c r="X16" s="81">
        <f t="shared" si="1"/>
        <v>2.5359276014587571</v>
      </c>
      <c r="Y16" s="81">
        <f t="shared" si="1"/>
        <v>1.8576231676224002</v>
      </c>
      <c r="Z16" s="81">
        <f t="shared" si="1"/>
        <v>0</v>
      </c>
      <c r="AA16" s="81">
        <f t="shared" si="1"/>
        <v>0</v>
      </c>
      <c r="AB16" s="81">
        <f t="shared" si="1"/>
        <v>24525.01720024626</v>
      </c>
      <c r="AC16" s="81">
        <f t="shared" si="1"/>
        <v>0.23709311598626231</v>
      </c>
      <c r="AD16" s="81">
        <f t="shared" si="1"/>
        <v>0.62823284060150808</v>
      </c>
    </row>
    <row r="17" spans="1:30">
      <c r="A17" s="565"/>
      <c r="B17" s="74"/>
      <c r="C17" s="112"/>
      <c r="D17" s="112"/>
      <c r="E17" s="74"/>
      <c r="F17" s="74"/>
      <c r="G17" s="569"/>
      <c r="H17" s="41"/>
      <c r="I17" s="41"/>
      <c r="J17" s="41"/>
      <c r="K17" s="566"/>
      <c r="L17" s="566"/>
      <c r="M17" s="566"/>
      <c r="N17" s="566"/>
      <c r="O17" s="566"/>
      <c r="P17" s="566"/>
      <c r="Q17" s="41"/>
      <c r="R17" s="566"/>
      <c r="S17" s="566"/>
      <c r="T17" s="61"/>
      <c r="U17" s="61"/>
      <c r="V17" s="61"/>
      <c r="W17" s="61"/>
      <c r="X17" s="61"/>
      <c r="Y17" s="61"/>
      <c r="Z17" s="62"/>
      <c r="AA17" s="62"/>
      <c r="AB17" s="62"/>
      <c r="AC17" s="62"/>
      <c r="AD17" s="62"/>
    </row>
    <row r="18" spans="1:30">
      <c r="A18" s="114" t="s">
        <v>426</v>
      </c>
      <c r="B18" s="74"/>
      <c r="C18" s="112"/>
      <c r="D18" s="112"/>
      <c r="E18" s="74"/>
      <c r="F18" s="74"/>
      <c r="G18" s="569"/>
      <c r="H18" s="41"/>
      <c r="I18" s="41"/>
      <c r="J18" s="41"/>
      <c r="K18" s="566"/>
      <c r="L18" s="566"/>
      <c r="M18" s="566"/>
      <c r="N18" s="566"/>
      <c r="O18" s="566"/>
      <c r="P18" s="566"/>
      <c r="Q18" s="41"/>
      <c r="R18" s="566"/>
      <c r="S18" s="566"/>
      <c r="T18" s="61"/>
      <c r="U18" s="61"/>
      <c r="V18" s="61"/>
      <c r="W18" s="61"/>
      <c r="X18" s="61"/>
      <c r="Y18" s="61"/>
      <c r="Z18" s="62"/>
      <c r="AA18" s="62"/>
      <c r="AB18" s="62"/>
      <c r="AC18" s="62"/>
      <c r="AD18" s="62"/>
    </row>
    <row r="19" spans="1:30">
      <c r="A19" s="78" t="s">
        <v>320</v>
      </c>
      <c r="B19" s="76" t="s">
        <v>95</v>
      </c>
      <c r="C19" s="79">
        <v>10</v>
      </c>
      <c r="D19" s="77"/>
      <c r="E19" s="77">
        <v>35</v>
      </c>
      <c r="F19" s="77">
        <v>60</v>
      </c>
      <c r="G19" s="106">
        <v>0.25172046482947802</v>
      </c>
      <c r="H19" s="106">
        <v>0.464701387165456</v>
      </c>
      <c r="I19" s="106">
        <v>5.6776043658582402E-2</v>
      </c>
      <c r="J19" s="106">
        <v>3.5023733638119199E-3</v>
      </c>
      <c r="K19" s="106">
        <v>4.6899256897933901E-2</v>
      </c>
      <c r="L19" s="47">
        <v>7.99995847163921E-3</v>
      </c>
      <c r="M19" s="47">
        <v>3.6749815577381599E-2</v>
      </c>
      <c r="N19" s="106">
        <v>4.3147317248333997E-2</v>
      </c>
      <c r="O19" s="47">
        <v>1.9999896145790402E-3</v>
      </c>
      <c r="P19" s="47">
        <v>1.57499200131354E-2</v>
      </c>
      <c r="Q19" s="106">
        <v>243.966167526025</v>
      </c>
      <c r="R19" s="47">
        <f>0.000057143*Q19</f>
        <v>1.3940958710939646E-2</v>
      </c>
      <c r="S19" s="80">
        <f>0.000025616*Q19</f>
        <v>6.2494373473466567E-3</v>
      </c>
      <c r="T19" s="50">
        <f>C19*($F19*$G19)/453.59</f>
        <v>0.33297091844548338</v>
      </c>
      <c r="U19" s="50">
        <f>C19*($F19*$H19)/453.59</f>
        <v>0.61469792609906215</v>
      </c>
      <c r="V19" s="50">
        <f>C19*(($F19*$I19))/453.59</f>
        <v>7.5102242543154479E-2</v>
      </c>
      <c r="W19" s="50">
        <f>C19*($F19*$J19)/453.59</f>
        <v>4.6328711353582578E-3</v>
      </c>
      <c r="X19" s="50">
        <f>C19*(($F19*($K19+$L19+$M19)))/453.59</f>
        <v>0.12123154956717042</v>
      </c>
      <c r="Y19" s="50">
        <f>C19*(($F19*($N19+$O19+$P19)))/453.59</f>
        <v>8.0553663276591345E-2</v>
      </c>
      <c r="Z19" s="50">
        <f>C19*(F19)*$B$381</f>
        <v>0</v>
      </c>
      <c r="AA19" s="50">
        <f>Z19*0.21</f>
        <v>0</v>
      </c>
      <c r="AB19" s="50">
        <f>C19*(($F19*($Q19)))/453.59</f>
        <v>322.71368530085539</v>
      </c>
      <c r="AC19" s="50">
        <f>C19*(($F19*($R19)))/453.59</f>
        <v>1.8440828119146779E-2</v>
      </c>
      <c r="AD19" s="50">
        <f>C19*(($F19*($S19)))/453.59</f>
        <v>8.2666337626667117E-3</v>
      </c>
    </row>
    <row r="20" spans="1:30">
      <c r="A20" s="75" t="s">
        <v>28</v>
      </c>
      <c r="B20" s="74"/>
      <c r="C20" s="112"/>
      <c r="D20" s="112"/>
      <c r="E20" s="74"/>
      <c r="F20" s="74"/>
      <c r="G20" s="569"/>
      <c r="H20" s="41"/>
      <c r="I20" s="41"/>
      <c r="J20" s="41"/>
      <c r="K20" s="566"/>
      <c r="L20" s="566"/>
      <c r="M20" s="566"/>
      <c r="N20" s="566"/>
      <c r="O20" s="566"/>
      <c r="P20" s="566"/>
      <c r="Q20" s="41"/>
      <c r="R20" s="566"/>
      <c r="S20" s="566"/>
      <c r="T20" s="81">
        <f t="shared" ref="T20:AD20" si="2">SUM(T19:T19)</f>
        <v>0.33297091844548338</v>
      </c>
      <c r="U20" s="81">
        <f t="shared" si="2"/>
        <v>0.61469792609906215</v>
      </c>
      <c r="V20" s="81">
        <f t="shared" si="2"/>
        <v>7.5102242543154479E-2</v>
      </c>
      <c r="W20" s="81">
        <f t="shared" si="2"/>
        <v>4.6328711353582578E-3</v>
      </c>
      <c r="X20" s="81">
        <f t="shared" si="2"/>
        <v>0.12123154956717042</v>
      </c>
      <c r="Y20" s="81">
        <f t="shared" si="2"/>
        <v>8.0553663276591345E-2</v>
      </c>
      <c r="Z20" s="81">
        <f t="shared" si="2"/>
        <v>0</v>
      </c>
      <c r="AA20" s="81">
        <f t="shared" si="2"/>
        <v>0</v>
      </c>
      <c r="AB20" s="81">
        <f t="shared" si="2"/>
        <v>322.71368530085539</v>
      </c>
      <c r="AC20" s="81">
        <f t="shared" si="2"/>
        <v>1.8440828119146779E-2</v>
      </c>
      <c r="AD20" s="81">
        <f t="shared" si="2"/>
        <v>8.2666337626667117E-3</v>
      </c>
    </row>
    <row r="21" spans="1:30">
      <c r="A21" s="75"/>
      <c r="B21" s="74"/>
      <c r="C21" s="112"/>
      <c r="D21" s="112"/>
      <c r="E21" s="74"/>
      <c r="F21" s="74"/>
      <c r="G21" s="569"/>
      <c r="H21" s="41"/>
      <c r="I21" s="41"/>
      <c r="J21" s="41"/>
      <c r="K21" s="566"/>
      <c r="L21" s="566"/>
      <c r="M21" s="566"/>
      <c r="N21" s="566"/>
      <c r="O21" s="566"/>
      <c r="P21" s="566"/>
      <c r="Q21" s="41"/>
      <c r="R21" s="566"/>
      <c r="S21" s="566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</row>
    <row r="22" spans="1:30">
      <c r="A22" s="75" t="s">
        <v>388</v>
      </c>
      <c r="B22" s="74"/>
      <c r="C22" s="112"/>
      <c r="D22" s="112"/>
      <c r="E22" s="74"/>
      <c r="F22" s="74"/>
      <c r="G22" s="424"/>
      <c r="H22" s="41"/>
      <c r="I22" s="41"/>
      <c r="J22" s="41"/>
      <c r="K22" s="421"/>
      <c r="L22" s="421"/>
      <c r="M22" s="421"/>
      <c r="N22" s="421"/>
      <c r="O22" s="421"/>
      <c r="P22" s="421"/>
      <c r="Q22" s="41"/>
      <c r="R22" s="421"/>
      <c r="S22" s="421"/>
      <c r="T22" s="81">
        <f>T11+T16+T20</f>
        <v>16.299050646543158</v>
      </c>
      <c r="U22" s="81">
        <f t="shared" ref="U22:AD22" si="3">U11+U16+U20</f>
        <v>72.556480376902798</v>
      </c>
      <c r="V22" s="81">
        <f t="shared" si="3"/>
        <v>3.9375543560240942</v>
      </c>
      <c r="W22" s="81">
        <f t="shared" si="3"/>
        <v>0.16461152292977774</v>
      </c>
      <c r="X22" s="81">
        <f t="shared" si="3"/>
        <v>2.7234092376708054</v>
      </c>
      <c r="Y22" s="81">
        <f t="shared" si="3"/>
        <v>1.9843549145281001</v>
      </c>
      <c r="Z22" s="81">
        <f t="shared" si="3"/>
        <v>0</v>
      </c>
      <c r="AA22" s="81">
        <f t="shared" si="3"/>
        <v>0</v>
      </c>
      <c r="AB22" s="81">
        <f t="shared" si="3"/>
        <v>25246.267000860938</v>
      </c>
      <c r="AC22" s="81">
        <f t="shared" si="3"/>
        <v>0.2637532440691942</v>
      </c>
      <c r="AD22" s="81">
        <f t="shared" si="3"/>
        <v>0.64670837549405358</v>
      </c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25" spans="1:30">
      <c r="A25" s="370"/>
      <c r="B25" s="371"/>
      <c r="C25" s="372"/>
      <c r="D25" s="372"/>
      <c r="E25" s="371"/>
      <c r="F25" s="371"/>
      <c r="G25" s="373"/>
      <c r="H25" s="373"/>
      <c r="I25" s="373"/>
      <c r="J25" s="373"/>
      <c r="K25" s="373"/>
      <c r="L25" s="373"/>
      <c r="M25" s="373"/>
      <c r="N25" s="373"/>
      <c r="O25" s="373"/>
      <c r="P25" s="373"/>
      <c r="Q25" s="373"/>
      <c r="R25" s="373"/>
      <c r="S25" s="373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</row>
    <row r="26" spans="1:30">
      <c r="A26" s="370"/>
      <c r="B26" s="371"/>
      <c r="C26" s="372"/>
      <c r="D26" s="372"/>
      <c r="E26" s="371"/>
      <c r="F26" s="371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</row>
    <row r="374" spans="1:2" ht="25.5">
      <c r="A374" s="82" t="s">
        <v>109</v>
      </c>
    </row>
    <row r="376" spans="1:2">
      <c r="A376" s="36" t="s">
        <v>81</v>
      </c>
    </row>
    <row r="377" spans="1:2">
      <c r="A377" s="36" t="s">
        <v>82</v>
      </c>
    </row>
    <row r="378" spans="1:2">
      <c r="A378" s="36" t="s">
        <v>83</v>
      </c>
    </row>
    <row r="379" spans="1:2">
      <c r="A379" s="37" t="s">
        <v>96</v>
      </c>
    </row>
    <row r="380" spans="1:2">
      <c r="A380" s="36" t="s">
        <v>85</v>
      </c>
    </row>
    <row r="381" spans="1:2">
      <c r="A381" s="36" t="s">
        <v>86</v>
      </c>
    </row>
    <row r="382" spans="1:2">
      <c r="A382" s="36" t="s">
        <v>87</v>
      </c>
    </row>
    <row r="383" spans="1:2">
      <c r="A383" s="36" t="s">
        <v>0</v>
      </c>
    </row>
    <row r="384" spans="1:2">
      <c r="A384" s="37" t="s">
        <v>97</v>
      </c>
      <c r="B384" s="36">
        <f>(0.016*(0.03/2)^0.65*(2/3)^1.5)-0.00047</f>
        <v>9.8123053326417428E-5</v>
      </c>
    </row>
    <row r="385" spans="1:2">
      <c r="A385" s="37" t="s">
        <v>98</v>
      </c>
      <c r="B385" s="36">
        <f>(0.016*(0.03/2)^0.65*(13/3)^1.5)-0.00047</f>
        <v>8.9448292388582783E-3</v>
      </c>
    </row>
    <row r="386" spans="1:2">
      <c r="A386" s="37" t="s">
        <v>99</v>
      </c>
      <c r="B386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26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B94" sqref="B94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776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413</v>
      </c>
      <c r="B4" s="45" t="s">
        <v>102</v>
      </c>
      <c r="C4" s="46">
        <v>13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43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435" t="s">
        <v>55</v>
      </c>
      <c r="G87" s="435" t="s">
        <v>73</v>
      </c>
      <c r="H87" s="435" t="s">
        <v>74</v>
      </c>
      <c r="I87" s="435" t="s">
        <v>58</v>
      </c>
      <c r="J87" s="435" t="s">
        <v>59</v>
      </c>
      <c r="K87" s="435" t="s">
        <v>60</v>
      </c>
      <c r="L87" s="434" t="s">
        <v>75</v>
      </c>
      <c r="M87" s="434" t="s">
        <v>76</v>
      </c>
      <c r="N87" s="434" t="s">
        <v>61</v>
      </c>
      <c r="O87" s="434" t="s">
        <v>62</v>
      </c>
      <c r="P87" s="434" t="s">
        <v>63</v>
      </c>
      <c r="AN87" s="38"/>
      <c r="AZ87" s="36"/>
    </row>
    <row r="88" spans="1:52" ht="25.5">
      <c r="A88" s="44" t="str">
        <f t="shared" ref="A88:C88" si="52">A4</f>
        <v>UG Trench Conduit Substructure</v>
      </c>
      <c r="B88" s="45" t="str">
        <f t="shared" si="52"/>
        <v>Light-Duty Truck, catalyst</v>
      </c>
      <c r="C88" s="46">
        <f t="shared" si="52"/>
        <v>13</v>
      </c>
      <c r="D88" s="46">
        <v>35</v>
      </c>
      <c r="E88" s="46">
        <v>80</v>
      </c>
      <c r="F88" s="50">
        <f>C4*($E4*$F4+($G4))/453.59</f>
        <v>6.3143520164519611</v>
      </c>
      <c r="G88" s="50">
        <f>C4*($E4*$H4+($I4))/453.59</f>
        <v>0.56771854482691408</v>
      </c>
      <c r="H88" s="50">
        <f>C4*(($E4*$J4)+($K4)+($L4)+($E4*$N4)+(($M4+$O4)))/453.59</f>
        <v>0.65649974421139334</v>
      </c>
      <c r="I88" s="50">
        <f>C4*($E4*$P4+($Q4))/453.59</f>
        <v>9.4483613530880074E-3</v>
      </c>
      <c r="J88" s="50">
        <f>C4*(($E4*($R4+$T4+$U4))+($S4))/453.59</f>
        <v>0.11081317591770266</v>
      </c>
      <c r="K88" s="50">
        <f>$C4*(($E4*($V4+$X4+$Y4))+($W4))/453.59</f>
        <v>4.8256069215290839E-2</v>
      </c>
      <c r="L88" s="50">
        <f>$B$21*C4*(E4+6)</f>
        <v>0.10970157361893468</v>
      </c>
      <c r="M88" s="50">
        <f t="shared" ref="M88" si="53">0.41*L88</f>
        <v>4.4977645183763217E-2</v>
      </c>
      <c r="N88" s="50">
        <f>C4*($E4*$Z4+($AA4))/453.59</f>
        <v>720.50649743850568</v>
      </c>
      <c r="O88" s="50">
        <f>C4*($E4*$AB4+($AC4))/453.59</f>
        <v>4.1216180057393241E-2</v>
      </c>
      <c r="P88" s="50">
        <f>C4*($E4*$AD4+($AE4))/453.59</f>
        <v>7.5024558879963676E-2</v>
      </c>
      <c r="AN88" s="38"/>
      <c r="AZ88" s="36"/>
    </row>
    <row r="89" spans="1:52">
      <c r="A89" s="40" t="s">
        <v>103</v>
      </c>
      <c r="B89" s="40"/>
      <c r="C89" s="40"/>
      <c r="D89" s="40"/>
      <c r="E89" s="40"/>
      <c r="F89" s="81">
        <f t="shared" ref="F89:P89" si="54">SUM(F88:F88)</f>
        <v>6.3143520164519611</v>
      </c>
      <c r="G89" s="81">
        <f t="shared" si="54"/>
        <v>0.56771854482691408</v>
      </c>
      <c r="H89" s="81">
        <f t="shared" si="54"/>
        <v>0.65649974421139334</v>
      </c>
      <c r="I89" s="81">
        <f t="shared" si="54"/>
        <v>9.4483613530880074E-3</v>
      </c>
      <c r="J89" s="81">
        <f t="shared" si="54"/>
        <v>0.11081317591770266</v>
      </c>
      <c r="K89" s="81">
        <f t="shared" si="54"/>
        <v>4.8256069215290839E-2</v>
      </c>
      <c r="L89" s="81">
        <f t="shared" si="54"/>
        <v>0.10970157361893468</v>
      </c>
      <c r="M89" s="81">
        <f t="shared" si="54"/>
        <v>4.4977645183763217E-2</v>
      </c>
      <c r="N89" s="81">
        <f t="shared" si="54"/>
        <v>720.50649743850568</v>
      </c>
      <c r="O89" s="81">
        <f t="shared" si="54"/>
        <v>4.1216180057393241E-2</v>
      </c>
      <c r="P89" s="81">
        <f t="shared" si="54"/>
        <v>7.5024558879963676E-2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B-6
Construction Worker Commute Emission Calculations
TL 6965 Construction</oddHeader>
    <oddFooter>&amp;CB-6</oddFooter>
  </headerFooter>
</worksheet>
</file>

<file path=xl/worksheets/sheet26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0"/>
  <sheetViews>
    <sheetView zoomScale="75" zoomScaleNormal="75" workbookViewId="0">
      <selection activeCell="C35" sqref="C35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777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412</v>
      </c>
      <c r="B7" s="29"/>
      <c r="C7" s="97"/>
      <c r="D7" s="12"/>
      <c r="E7" s="102"/>
      <c r="F7" s="102"/>
      <c r="G7" s="102"/>
      <c r="H7" s="102"/>
      <c r="I7" s="102"/>
      <c r="J7" s="100"/>
      <c r="K7" s="103"/>
      <c r="L7" s="102"/>
      <c r="M7" s="104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32" t="s">
        <v>51</v>
      </c>
      <c r="B8" s="29" t="s">
        <v>27</v>
      </c>
      <c r="C8" s="97">
        <v>381</v>
      </c>
      <c r="D8" s="97"/>
      <c r="E8" s="102">
        <v>0.18553470911077993</v>
      </c>
      <c r="F8" s="102">
        <v>0.57956772121140698</v>
      </c>
      <c r="G8" s="102">
        <v>1.2523979210769924</v>
      </c>
      <c r="H8" s="102">
        <v>2.6730457491231348E-3</v>
      </c>
      <c r="I8" s="102">
        <v>4.4827947982520766E-2</v>
      </c>
      <c r="J8" s="100">
        <f t="shared" ref="J8" si="0">0.89*I8</f>
        <v>3.9896873704443482E-2</v>
      </c>
      <c r="K8" s="103">
        <v>272.33380251586107</v>
      </c>
      <c r="L8" s="102">
        <v>1.6740496842659349E-2</v>
      </c>
      <c r="M8" s="102">
        <f t="shared" ref="M8" si="1">0.095*G8</f>
        <v>0.11897780250231428</v>
      </c>
      <c r="N8" s="87">
        <v>3</v>
      </c>
      <c r="O8" s="87">
        <v>8</v>
      </c>
      <c r="P8" s="88">
        <v>15</v>
      </c>
      <c r="Q8" s="34">
        <f t="shared" ref="Q8:Y9" si="2">(E8*$N8*$O8)</f>
        <v>4.4528330186587182</v>
      </c>
      <c r="R8" s="26">
        <f t="shared" si="2"/>
        <v>13.909625309073768</v>
      </c>
      <c r="S8" s="26">
        <f t="shared" si="2"/>
        <v>30.057550105847817</v>
      </c>
      <c r="T8" s="26">
        <f t="shared" si="2"/>
        <v>6.4153097978955242E-2</v>
      </c>
      <c r="U8" s="26">
        <f t="shared" si="2"/>
        <v>1.0758707515804984</v>
      </c>
      <c r="V8" s="26">
        <f t="shared" si="2"/>
        <v>0.95752496890664363</v>
      </c>
      <c r="W8" s="26">
        <f t="shared" si="2"/>
        <v>6536.0112603806656</v>
      </c>
      <c r="X8" s="26">
        <f t="shared" si="2"/>
        <v>0.40177192422382435</v>
      </c>
      <c r="Y8" s="26">
        <f t="shared" si="2"/>
        <v>2.8554672600555429</v>
      </c>
    </row>
    <row r="9" spans="1:25" s="3" customFormat="1">
      <c r="A9" s="32" t="s">
        <v>125</v>
      </c>
      <c r="B9" s="29" t="s">
        <v>27</v>
      </c>
      <c r="C9" s="97">
        <v>87</v>
      </c>
      <c r="D9" s="22">
        <v>0.37</v>
      </c>
      <c r="E9" s="413">
        <v>5.2437519504869065E-2</v>
      </c>
      <c r="F9" s="397">
        <v>0.26257275132275132</v>
      </c>
      <c r="G9" s="397">
        <v>0.33506412037037031</v>
      </c>
      <c r="H9" s="413">
        <v>6.0679618797898508E-4</v>
      </c>
      <c r="I9" s="397">
        <v>2.1289682539682539E-2</v>
      </c>
      <c r="J9" s="100">
        <f t="shared" ref="J9" si="3">0.89*I9</f>
        <v>1.894781746031746E-2</v>
      </c>
      <c r="K9" s="413">
        <v>51.728016924248784</v>
      </c>
      <c r="L9" s="413">
        <v>5.7223017989158831E-3</v>
      </c>
      <c r="M9" s="102">
        <f t="shared" ref="M9" si="4">0.095*G9</f>
        <v>3.1831091435185178E-2</v>
      </c>
      <c r="N9" s="87">
        <v>2</v>
      </c>
      <c r="O9" s="87">
        <v>8</v>
      </c>
      <c r="P9" s="88">
        <v>15</v>
      </c>
      <c r="Q9" s="34">
        <f t="shared" si="2"/>
        <v>0.83900031207790504</v>
      </c>
      <c r="R9" s="26">
        <f t="shared" si="2"/>
        <v>4.2011640211640211</v>
      </c>
      <c r="S9" s="26">
        <f t="shared" si="2"/>
        <v>5.361025925925925</v>
      </c>
      <c r="T9" s="26">
        <f t="shared" si="2"/>
        <v>9.7087390076637612E-3</v>
      </c>
      <c r="U9" s="26">
        <f t="shared" si="2"/>
        <v>0.34063492063492062</v>
      </c>
      <c r="V9" s="26">
        <f t="shared" si="2"/>
        <v>0.30316507936507936</v>
      </c>
      <c r="W9" s="26">
        <f t="shared" si="2"/>
        <v>827.64827078798055</v>
      </c>
      <c r="X9" s="26">
        <f t="shared" si="2"/>
        <v>9.1556828782654129E-2</v>
      </c>
      <c r="Y9" s="26">
        <f t="shared" si="2"/>
        <v>0.50929746296296285</v>
      </c>
    </row>
    <row r="10" spans="1:25" s="3" customFormat="1">
      <c r="A10" s="17" t="s">
        <v>28</v>
      </c>
      <c r="B10" s="29"/>
      <c r="C10" s="97"/>
      <c r="D10" s="12"/>
      <c r="E10" s="102"/>
      <c r="F10" s="102"/>
      <c r="G10" s="102"/>
      <c r="H10" s="102"/>
      <c r="I10" s="102"/>
      <c r="J10" s="100"/>
      <c r="K10" s="103"/>
      <c r="L10" s="102"/>
      <c r="M10" s="102"/>
      <c r="N10" s="88"/>
      <c r="O10" s="88"/>
      <c r="P10" s="88"/>
      <c r="Q10" s="101">
        <f t="shared" ref="Q10:Y10" si="5">SUM(Q8:Q9)</f>
        <v>5.2918333307366234</v>
      </c>
      <c r="R10" s="101">
        <f t="shared" si="5"/>
        <v>18.11078933023779</v>
      </c>
      <c r="S10" s="101">
        <f t="shared" si="5"/>
        <v>35.418576031773739</v>
      </c>
      <c r="T10" s="101">
        <f t="shared" si="5"/>
        <v>7.3861836986619009E-2</v>
      </c>
      <c r="U10" s="101">
        <f t="shared" si="5"/>
        <v>1.416505672215419</v>
      </c>
      <c r="V10" s="101">
        <f t="shared" si="5"/>
        <v>1.2606900482717229</v>
      </c>
      <c r="W10" s="101">
        <f t="shared" si="5"/>
        <v>7363.659531168646</v>
      </c>
      <c r="X10" s="101">
        <f t="shared" si="5"/>
        <v>0.49332875300647849</v>
      </c>
      <c r="Y10" s="101">
        <f t="shared" si="5"/>
        <v>3.3647647230185056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B-4
Construction Heavy Equipment Emissions
TL 6965 Construction
</oddHeader>
    <oddFooter>&amp;CB-4</oddFooter>
  </headerFooter>
</worksheet>
</file>

<file path=xl/worksheets/sheet26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348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31" width="12.28515625" style="38" customWidth="1"/>
    <col min="32" max="33" width="9.28515625" style="36" bestFit="1" customWidth="1"/>
    <col min="34" max="34" width="11.42578125" style="36" customWidth="1"/>
    <col min="35" max="35" width="10.5703125" style="36" customWidth="1"/>
    <col min="36" max="39" width="9.5703125" style="36" customWidth="1"/>
    <col min="40" max="40" width="9.28515625" style="38" bestFit="1" customWidth="1"/>
    <col min="41" max="41" width="9.85546875" style="36" customWidth="1"/>
    <col min="42" max="42" width="9.28515625" style="36" bestFit="1" customWidth="1"/>
    <col min="43" max="16384" width="9.140625" style="36"/>
  </cols>
  <sheetData>
    <row r="1" spans="1:42">
      <c r="A1" s="3" t="s">
        <v>778</v>
      </c>
    </row>
    <row r="2" spans="1:42">
      <c r="A2"/>
    </row>
    <row r="6" spans="1:42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  <c r="AE6" s="36"/>
      <c r="AN6" s="36"/>
    </row>
    <row r="7" spans="1:42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  <c r="AE7" s="36"/>
      <c r="AN7" s="36"/>
    </row>
    <row r="8" spans="1:42">
      <c r="A8" s="17" t="s">
        <v>412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  <c r="AE8" s="36"/>
      <c r="AN8" s="36"/>
    </row>
    <row r="9" spans="1:42">
      <c r="A9" s="78" t="s">
        <v>327</v>
      </c>
      <c r="B9" s="76" t="s">
        <v>105</v>
      </c>
      <c r="C9" s="374">
        <v>2</v>
      </c>
      <c r="D9" s="77"/>
      <c r="E9" s="77">
        <v>35</v>
      </c>
      <c r="F9" s="77">
        <v>80</v>
      </c>
      <c r="G9" s="106">
        <v>1.08263976628415</v>
      </c>
      <c r="H9" s="106">
        <v>4.9712718909585103</v>
      </c>
      <c r="I9" s="106">
        <v>0.26248012575016899</v>
      </c>
      <c r="J9" s="106">
        <v>1.0711818E-2</v>
      </c>
      <c r="K9" s="106">
        <v>7.1679901072141505E-2</v>
      </c>
      <c r="L9" s="556">
        <v>3.59998119015979E-2</v>
      </c>
      <c r="M9" s="556">
        <v>6.1739677411240299E-2</v>
      </c>
      <c r="N9" s="106">
        <v>6.5945508986370194E-2</v>
      </c>
      <c r="O9" s="556">
        <v>2.9999843251331498E-3</v>
      </c>
      <c r="P9" s="556">
        <v>5.5859708133979398E-2</v>
      </c>
      <c r="Q9" s="106">
        <v>1710.7260798814</v>
      </c>
      <c r="R9" s="47">
        <v>1.5235246282551899E-2</v>
      </c>
      <c r="S9" s="80">
        <f>0.000025616*Q9</f>
        <v>4.3821959262241944E-2</v>
      </c>
      <c r="T9" s="50">
        <f>C9*($F9*$G9)/453.59</f>
        <v>0.38189193457850484</v>
      </c>
      <c r="U9" s="50">
        <f>C9*($F9*$H9)/453.59</f>
        <v>1.7535737175717316</v>
      </c>
      <c r="V9" s="50">
        <f>C9*(($F9*$I9))/453.59</f>
        <v>9.2587623448548345E-2</v>
      </c>
      <c r="W9" s="50">
        <f>C9*($F9*$J9)/453.59</f>
        <v>3.7785023479353602E-3</v>
      </c>
      <c r="X9" s="50">
        <f>C9*(($F9*($K9+$L9+$M9)))/453.59</f>
        <v>5.9761243549453814E-2</v>
      </c>
      <c r="Y9" s="50">
        <f>C9*(($F9*($N9+$O9+$P9)))/453.59</f>
        <v>4.4023969292262266E-2</v>
      </c>
      <c r="Z9" s="50">
        <f>C9*(F9)*$B$339</f>
        <v>0</v>
      </c>
      <c r="AA9" s="50">
        <f>Z9*0.21</f>
        <v>0</v>
      </c>
      <c r="AB9" s="50">
        <f>C9*(($F9*($Q9)))/453.59</f>
        <v>603.4440194471307</v>
      </c>
      <c r="AC9" s="50">
        <f>C9*(($F9*($R9)))/453.59</f>
        <v>5.3741030560821544E-3</v>
      </c>
      <c r="AD9" s="50">
        <f>C9*(($F9*($S9)))/453.59</f>
        <v>1.5457822002157701E-2</v>
      </c>
      <c r="AE9" s="36"/>
      <c r="AN9" s="36"/>
    </row>
    <row r="10" spans="1:42">
      <c r="A10" s="75" t="s">
        <v>28</v>
      </c>
      <c r="B10" s="74"/>
      <c r="C10" s="112"/>
      <c r="D10" s="112"/>
      <c r="E10" s="74"/>
      <c r="F10" s="74"/>
      <c r="G10" s="437"/>
      <c r="H10" s="41"/>
      <c r="I10" s="41"/>
      <c r="J10" s="41"/>
      <c r="K10" s="434"/>
      <c r="L10" s="434"/>
      <c r="M10" s="434"/>
      <c r="N10" s="434"/>
      <c r="O10" s="434"/>
      <c r="P10" s="434"/>
      <c r="Q10" s="41"/>
      <c r="R10" s="434"/>
      <c r="S10" s="434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36"/>
      <c r="AN10" s="36"/>
    </row>
    <row r="11" spans="1:42">
      <c r="A11" s="432"/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61"/>
      <c r="U11" s="61"/>
      <c r="V11" s="61"/>
      <c r="W11" s="61"/>
      <c r="X11" s="61"/>
      <c r="Y11" s="61"/>
      <c r="Z11" s="62"/>
      <c r="AA11" s="62"/>
      <c r="AB11" s="62"/>
      <c r="AC11" s="62"/>
      <c r="AD11" s="62"/>
      <c r="AE11" s="36"/>
      <c r="AN11" s="36"/>
    </row>
    <row r="12" spans="1:42">
      <c r="A12" s="432"/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36"/>
      <c r="AN12" s="36"/>
    </row>
    <row r="13" spans="1:42">
      <c r="A13" s="370"/>
      <c r="B13" s="371"/>
      <c r="C13" s="372"/>
      <c r="D13" s="372"/>
      <c r="E13" s="371"/>
      <c r="F13" s="371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84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</row>
    <row r="14" spans="1:42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84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</row>
    <row r="15" spans="1:42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84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</row>
    <row r="16" spans="1:42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84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</row>
    <row r="336" spans="1:1" ht="25.5">
      <c r="A336" s="82" t="s">
        <v>109</v>
      </c>
    </row>
    <row r="338" spans="1:2">
      <c r="A338" s="36" t="s">
        <v>81</v>
      </c>
    </row>
    <row r="339" spans="1:2">
      <c r="A339" s="36" t="s">
        <v>82</v>
      </c>
    </row>
    <row r="340" spans="1:2">
      <c r="A340" s="36" t="s">
        <v>83</v>
      </c>
    </row>
    <row r="341" spans="1:2">
      <c r="A341" s="37" t="s">
        <v>96</v>
      </c>
    </row>
    <row r="342" spans="1:2">
      <c r="A342" s="36" t="s">
        <v>85</v>
      </c>
    </row>
    <row r="343" spans="1:2">
      <c r="A343" s="36" t="s">
        <v>86</v>
      </c>
    </row>
    <row r="344" spans="1:2">
      <c r="A344" s="36" t="s">
        <v>87</v>
      </c>
    </row>
    <row r="345" spans="1:2">
      <c r="A345" s="36" t="s">
        <v>0</v>
      </c>
    </row>
    <row r="346" spans="1:2">
      <c r="A346" s="37" t="s">
        <v>97</v>
      </c>
      <c r="B346" s="36">
        <f>(0.016*(0.03/2)^0.65*(2/3)^1.5)-0.00047</f>
        <v>9.8123053326417428E-5</v>
      </c>
    </row>
    <row r="347" spans="1:2">
      <c r="A347" s="37" t="s">
        <v>98</v>
      </c>
      <c r="B347" s="36">
        <f>(0.016*(0.03/2)^0.65*(13/3)^1.5)-0.00047</f>
        <v>8.9448292388582783E-3</v>
      </c>
    </row>
    <row r="348" spans="1:2">
      <c r="A348" s="37" t="s">
        <v>99</v>
      </c>
      <c r="B348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B-5
Construction Truck Trip Emissions
TL 6965 Construction</oddHeader>
    <oddFooter>&amp;CB-5</oddFooter>
  </headerFooter>
</worksheet>
</file>

<file path=xl/worksheets/sheet26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B86" sqref="B86:B87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779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413</v>
      </c>
      <c r="B4" s="45" t="s">
        <v>102</v>
      </c>
      <c r="C4" s="46">
        <v>13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43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435" t="s">
        <v>55</v>
      </c>
      <c r="G87" s="435" t="s">
        <v>73</v>
      </c>
      <c r="H87" s="435" t="s">
        <v>74</v>
      </c>
      <c r="I87" s="435" t="s">
        <v>58</v>
      </c>
      <c r="J87" s="435" t="s">
        <v>59</v>
      </c>
      <c r="K87" s="435" t="s">
        <v>60</v>
      </c>
      <c r="L87" s="434" t="s">
        <v>75</v>
      </c>
      <c r="M87" s="434" t="s">
        <v>76</v>
      </c>
      <c r="N87" s="434" t="s">
        <v>61</v>
      </c>
      <c r="O87" s="434" t="s">
        <v>62</v>
      </c>
      <c r="P87" s="434" t="s">
        <v>63</v>
      </c>
      <c r="AN87" s="38"/>
      <c r="AZ87" s="36"/>
    </row>
    <row r="88" spans="1:52" ht="25.5">
      <c r="A88" s="44" t="str">
        <f>A4</f>
        <v>UG Trench Conduit Substructure</v>
      </c>
      <c r="B88" s="45" t="str">
        <f>B4</f>
        <v>Light-Duty Truck, catalyst</v>
      </c>
      <c r="C88" s="46">
        <f>C4</f>
        <v>13</v>
      </c>
      <c r="D88" s="46">
        <v>35</v>
      </c>
      <c r="E88" s="46">
        <v>80</v>
      </c>
      <c r="F88" s="50">
        <f>C4*($E4*$F4+($G4))/453.59</f>
        <v>6.3143520164519611</v>
      </c>
      <c r="G88" s="50">
        <f>C4*($E4*$H4+($I4))/453.59</f>
        <v>0.56771854482691408</v>
      </c>
      <c r="H88" s="50">
        <f>C4*(($E4*$J4)+($K4)+($L4)+($E4*$N4)+(($M4+$O4)))/453.59</f>
        <v>0.65649974421139334</v>
      </c>
      <c r="I88" s="50">
        <f>C4*($E4*$P4+($Q4))/453.59</f>
        <v>9.4483613530880074E-3</v>
      </c>
      <c r="J88" s="50">
        <f>C4*(($E4*($R4+$T4+$U4))+($S4))/453.59</f>
        <v>0.11081317591770266</v>
      </c>
      <c r="K88" s="50">
        <f>$C4*(($E4*($V4+$X4+$Y4))+($W4))/453.59</f>
        <v>4.8256069215290839E-2</v>
      </c>
      <c r="L88" s="50">
        <f>$B$21*C4*(E4+6)</f>
        <v>0.10970157361893468</v>
      </c>
      <c r="M88" s="50">
        <f t="shared" ref="M88" si="52">0.41*L88</f>
        <v>4.4977645183763217E-2</v>
      </c>
      <c r="N88" s="50">
        <f>C4*($E4*$Z4+($AA4))/453.59</f>
        <v>720.50649743850568</v>
      </c>
      <c r="O88" s="50">
        <f>C4*($E4*$AB4+($AC4))/453.59</f>
        <v>4.1216180057393241E-2</v>
      </c>
      <c r="P88" s="50">
        <f>C4*($E4*$AD4+($AE4))/453.59</f>
        <v>7.5024558879963676E-2</v>
      </c>
      <c r="AN88" s="38"/>
      <c r="AZ88" s="36"/>
    </row>
    <row r="89" spans="1:52">
      <c r="A89" s="40" t="s">
        <v>103</v>
      </c>
      <c r="B89" s="40"/>
      <c r="C89" s="40"/>
      <c r="D89" s="40"/>
      <c r="E89" s="40"/>
      <c r="F89" s="81">
        <f>F88</f>
        <v>6.3143520164519611</v>
      </c>
      <c r="G89" s="81">
        <f t="shared" ref="G89:P89" si="53">G88</f>
        <v>0.56771854482691408</v>
      </c>
      <c r="H89" s="81">
        <f t="shared" si="53"/>
        <v>0.65649974421139334</v>
      </c>
      <c r="I89" s="81">
        <f t="shared" si="53"/>
        <v>9.4483613530880074E-3</v>
      </c>
      <c r="J89" s="81">
        <f t="shared" si="53"/>
        <v>0.11081317591770266</v>
      </c>
      <c r="K89" s="81">
        <f t="shared" si="53"/>
        <v>4.8256069215290839E-2</v>
      </c>
      <c r="L89" s="81">
        <f t="shared" si="53"/>
        <v>0.10970157361893468</v>
      </c>
      <c r="M89" s="81">
        <f t="shared" si="53"/>
        <v>4.4977645183763217E-2</v>
      </c>
      <c r="N89" s="81">
        <f t="shared" si="53"/>
        <v>720.50649743850568</v>
      </c>
      <c r="O89" s="81">
        <f t="shared" si="53"/>
        <v>4.1216180057393241E-2</v>
      </c>
      <c r="P89" s="81">
        <f t="shared" si="53"/>
        <v>7.5024558879963676E-2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B-6
Construction Worker Commute Emission Calculations
TL 6965 Construction</oddHeader>
    <oddFooter>&amp;CB-6</oddFooter>
  </headerFooter>
</worksheet>
</file>

<file path=xl/worksheets/sheet26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0"/>
  <sheetViews>
    <sheetView zoomScale="75" zoomScaleNormal="75" workbookViewId="0">
      <selection activeCell="A2" sqref="A2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780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412</v>
      </c>
      <c r="B7" s="29"/>
      <c r="C7" s="97"/>
      <c r="D7" s="12"/>
      <c r="E7" s="102"/>
      <c r="F7" s="102"/>
      <c r="G7" s="102"/>
      <c r="H7" s="102"/>
      <c r="I7" s="102"/>
      <c r="J7" s="100"/>
      <c r="K7" s="103"/>
      <c r="L7" s="102"/>
      <c r="M7" s="104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32" t="s">
        <v>51</v>
      </c>
      <c r="B8" s="29" t="s">
        <v>27</v>
      </c>
      <c r="C8" s="97">
        <v>381</v>
      </c>
      <c r="D8" s="97"/>
      <c r="E8" s="102">
        <v>0.18553470911077993</v>
      </c>
      <c r="F8" s="102">
        <v>0.57956772121140698</v>
      </c>
      <c r="G8" s="102">
        <v>1.2523979210769924</v>
      </c>
      <c r="H8" s="102">
        <v>2.6730457491231348E-3</v>
      </c>
      <c r="I8" s="102">
        <v>4.4827947982520766E-2</v>
      </c>
      <c r="J8" s="100">
        <f t="shared" ref="J8" si="0">0.89*I8</f>
        <v>3.9896873704443482E-2</v>
      </c>
      <c r="K8" s="103">
        <v>272.33380251586107</v>
      </c>
      <c r="L8" s="102">
        <v>1.6740496842659349E-2</v>
      </c>
      <c r="M8" s="102">
        <f t="shared" ref="M8" si="1">0.095*G8</f>
        <v>0.11897780250231428</v>
      </c>
      <c r="N8" s="87">
        <v>3</v>
      </c>
      <c r="O8" s="87">
        <v>8</v>
      </c>
      <c r="P8" s="88">
        <v>15</v>
      </c>
      <c r="Q8" s="34">
        <f t="shared" ref="Q8:Y9" si="2">(E8*$N8*$O8)</f>
        <v>4.4528330186587182</v>
      </c>
      <c r="R8" s="26">
        <f t="shared" si="2"/>
        <v>13.909625309073768</v>
      </c>
      <c r="S8" s="26">
        <f t="shared" si="2"/>
        <v>30.057550105847817</v>
      </c>
      <c r="T8" s="26">
        <f t="shared" si="2"/>
        <v>6.4153097978955242E-2</v>
      </c>
      <c r="U8" s="26">
        <f t="shared" si="2"/>
        <v>1.0758707515804984</v>
      </c>
      <c r="V8" s="26">
        <f t="shared" si="2"/>
        <v>0.95752496890664363</v>
      </c>
      <c r="W8" s="26">
        <f t="shared" si="2"/>
        <v>6536.0112603806656</v>
      </c>
      <c r="X8" s="26">
        <f t="shared" si="2"/>
        <v>0.40177192422382435</v>
      </c>
      <c r="Y8" s="26">
        <f t="shared" si="2"/>
        <v>2.8554672600555429</v>
      </c>
    </row>
    <row r="9" spans="1:25" s="3" customFormat="1">
      <c r="A9" s="32" t="s">
        <v>125</v>
      </c>
      <c r="B9" s="29" t="s">
        <v>27</v>
      </c>
      <c r="C9" s="97">
        <v>87</v>
      </c>
      <c r="D9" s="22">
        <v>0.37</v>
      </c>
      <c r="E9" s="413">
        <v>5.2437519504869065E-2</v>
      </c>
      <c r="F9" s="397">
        <v>0.26257275132275132</v>
      </c>
      <c r="G9" s="397">
        <v>0.33506412037037031</v>
      </c>
      <c r="H9" s="413">
        <v>6.0679618797898508E-4</v>
      </c>
      <c r="I9" s="397">
        <v>2.1289682539682539E-2</v>
      </c>
      <c r="J9" s="100">
        <f t="shared" ref="J9" si="3">0.89*I9</f>
        <v>1.894781746031746E-2</v>
      </c>
      <c r="K9" s="413">
        <v>51.728016924248784</v>
      </c>
      <c r="L9" s="413">
        <v>5.7223017989158831E-3</v>
      </c>
      <c r="M9" s="102">
        <f t="shared" ref="M9" si="4">0.095*G9</f>
        <v>3.1831091435185178E-2</v>
      </c>
      <c r="N9" s="87">
        <v>2</v>
      </c>
      <c r="O9" s="87">
        <v>8</v>
      </c>
      <c r="P9" s="88">
        <v>15</v>
      </c>
      <c r="Q9" s="34">
        <f t="shared" si="2"/>
        <v>0.83900031207790504</v>
      </c>
      <c r="R9" s="26">
        <f t="shared" si="2"/>
        <v>4.2011640211640211</v>
      </c>
      <c r="S9" s="26">
        <f t="shared" si="2"/>
        <v>5.361025925925925</v>
      </c>
      <c r="T9" s="26">
        <f t="shared" si="2"/>
        <v>9.7087390076637612E-3</v>
      </c>
      <c r="U9" s="26">
        <f t="shared" si="2"/>
        <v>0.34063492063492062</v>
      </c>
      <c r="V9" s="26">
        <f t="shared" si="2"/>
        <v>0.30316507936507936</v>
      </c>
      <c r="W9" s="26">
        <f t="shared" si="2"/>
        <v>827.64827078798055</v>
      </c>
      <c r="X9" s="26">
        <f t="shared" si="2"/>
        <v>9.1556828782654129E-2</v>
      </c>
      <c r="Y9" s="26">
        <f t="shared" si="2"/>
        <v>0.50929746296296285</v>
      </c>
    </row>
    <row r="10" spans="1:25" s="3" customFormat="1">
      <c r="A10" s="17" t="s">
        <v>28</v>
      </c>
      <c r="B10" s="29"/>
      <c r="C10" s="97"/>
      <c r="D10" s="12"/>
      <c r="E10" s="102"/>
      <c r="F10" s="102"/>
      <c r="G10" s="102"/>
      <c r="H10" s="102"/>
      <c r="I10" s="102"/>
      <c r="J10" s="100"/>
      <c r="K10" s="103"/>
      <c r="L10" s="102"/>
      <c r="M10" s="102"/>
      <c r="N10" s="88"/>
      <c r="O10" s="88"/>
      <c r="P10" s="88"/>
      <c r="Q10" s="101">
        <f t="shared" ref="Q10:Y10" si="5">SUM(Q8:Q9)</f>
        <v>5.2918333307366234</v>
      </c>
      <c r="R10" s="101">
        <f t="shared" si="5"/>
        <v>18.11078933023779</v>
      </c>
      <c r="S10" s="101">
        <f t="shared" si="5"/>
        <v>35.418576031773739</v>
      </c>
      <c r="T10" s="101">
        <f t="shared" si="5"/>
        <v>7.3861836986619009E-2</v>
      </c>
      <c r="U10" s="101">
        <f t="shared" si="5"/>
        <v>1.416505672215419</v>
      </c>
      <c r="V10" s="101">
        <f t="shared" si="5"/>
        <v>1.2606900482717229</v>
      </c>
      <c r="W10" s="101">
        <f t="shared" si="5"/>
        <v>7363.659531168646</v>
      </c>
      <c r="X10" s="101">
        <f t="shared" si="5"/>
        <v>0.49332875300647849</v>
      </c>
      <c r="Y10" s="101">
        <f t="shared" si="5"/>
        <v>3.3647647230185056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B-4
Construction Heavy Equipment Emissions
TL 6965 Construction
</oddHeader>
    <oddFooter>&amp;CB-4</oddFooter>
  </headerFooter>
</worksheet>
</file>

<file path=xl/worksheets/sheet26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348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31" width="12.28515625" style="38" customWidth="1"/>
    <col min="32" max="33" width="9.28515625" style="36" bestFit="1" customWidth="1"/>
    <col min="34" max="34" width="11.42578125" style="36" customWidth="1"/>
    <col min="35" max="35" width="10.5703125" style="36" customWidth="1"/>
    <col min="36" max="39" width="9.5703125" style="36" customWidth="1"/>
    <col min="40" max="40" width="9.28515625" style="38" bestFit="1" customWidth="1"/>
    <col min="41" max="41" width="9.85546875" style="36" customWidth="1"/>
    <col min="42" max="42" width="9.28515625" style="36" bestFit="1" customWidth="1"/>
    <col min="43" max="16384" width="9.140625" style="36"/>
  </cols>
  <sheetData>
    <row r="1" spans="1:42">
      <c r="A1" s="3" t="s">
        <v>781</v>
      </c>
    </row>
    <row r="2" spans="1:42">
      <c r="A2"/>
    </row>
    <row r="6" spans="1:42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  <c r="AE6" s="36"/>
      <c r="AN6" s="36"/>
    </row>
    <row r="7" spans="1:42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  <c r="AE7" s="36"/>
      <c r="AN7" s="36"/>
    </row>
    <row r="8" spans="1:42">
      <c r="A8" s="17" t="s">
        <v>412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  <c r="AE8" s="36"/>
      <c r="AN8" s="36"/>
    </row>
    <row r="9" spans="1:42">
      <c r="A9" s="78" t="s">
        <v>327</v>
      </c>
      <c r="B9" s="76" t="s">
        <v>105</v>
      </c>
      <c r="C9" s="374">
        <v>2</v>
      </c>
      <c r="D9" s="77"/>
      <c r="E9" s="77">
        <v>35</v>
      </c>
      <c r="F9" s="77">
        <v>80</v>
      </c>
      <c r="G9" s="106">
        <v>1.08263976628415</v>
      </c>
      <c r="H9" s="106">
        <v>4.9712718909585103</v>
      </c>
      <c r="I9" s="106">
        <v>0.26248012575016899</v>
      </c>
      <c r="J9" s="106">
        <v>1.0711818E-2</v>
      </c>
      <c r="K9" s="106">
        <v>7.1679901072141505E-2</v>
      </c>
      <c r="L9" s="556">
        <v>3.59998119015979E-2</v>
      </c>
      <c r="M9" s="556">
        <v>6.1739677411240299E-2</v>
      </c>
      <c r="N9" s="106">
        <v>6.5945508986370194E-2</v>
      </c>
      <c r="O9" s="556">
        <v>2.9999843251331498E-3</v>
      </c>
      <c r="P9" s="556">
        <v>5.5859708133979398E-2</v>
      </c>
      <c r="Q9" s="106">
        <v>1710.7260798814</v>
      </c>
      <c r="R9" s="47">
        <v>1.5235246282551899E-2</v>
      </c>
      <c r="S9" s="80">
        <f>0.000025616*Q9</f>
        <v>4.3821959262241944E-2</v>
      </c>
      <c r="T9" s="50">
        <f>C9*($F9*$G9)/453.59</f>
        <v>0.38189193457850484</v>
      </c>
      <c r="U9" s="50">
        <f>C9*($F9*$H9)/453.59</f>
        <v>1.7535737175717316</v>
      </c>
      <c r="V9" s="50">
        <f>C9*(($F9*$I9))/453.59</f>
        <v>9.2587623448548345E-2</v>
      </c>
      <c r="W9" s="50">
        <f>C9*($F9*$J9)/453.59</f>
        <v>3.7785023479353602E-3</v>
      </c>
      <c r="X9" s="50">
        <f>C9*(($F9*($K9+$L9+$M9)))/453.59</f>
        <v>5.9761243549453814E-2</v>
      </c>
      <c r="Y9" s="50">
        <f>C9*(($F9*($N9+$O9+$P9)))/453.59</f>
        <v>4.4023969292262266E-2</v>
      </c>
      <c r="Z9" s="50">
        <f>C9*(F9)*$B$339</f>
        <v>0</v>
      </c>
      <c r="AA9" s="50">
        <f>Z9*0.21</f>
        <v>0</v>
      </c>
      <c r="AB9" s="50">
        <f>C9*(($F9*($Q9)))/453.59</f>
        <v>603.4440194471307</v>
      </c>
      <c r="AC9" s="50">
        <f>C9*(($F9*($R9)))/453.59</f>
        <v>5.3741030560821544E-3</v>
      </c>
      <c r="AD9" s="50">
        <f>C9*(($F9*($S9)))/453.59</f>
        <v>1.5457822002157701E-2</v>
      </c>
      <c r="AE9" s="36"/>
      <c r="AN9" s="36"/>
    </row>
    <row r="10" spans="1:42">
      <c r="A10" s="75" t="s">
        <v>28</v>
      </c>
      <c r="B10" s="74"/>
      <c r="C10" s="112"/>
      <c r="D10" s="112"/>
      <c r="E10" s="74"/>
      <c r="F10" s="74"/>
      <c r="G10" s="437"/>
      <c r="H10" s="41"/>
      <c r="I10" s="41"/>
      <c r="J10" s="41"/>
      <c r="K10" s="434"/>
      <c r="L10" s="434"/>
      <c r="M10" s="434"/>
      <c r="N10" s="434"/>
      <c r="O10" s="434"/>
      <c r="P10" s="434"/>
      <c r="Q10" s="41"/>
      <c r="R10" s="434"/>
      <c r="S10" s="434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36"/>
      <c r="AN10" s="36"/>
    </row>
    <row r="11" spans="1:42">
      <c r="A11" s="432"/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61"/>
      <c r="U11" s="61"/>
      <c r="V11" s="61"/>
      <c r="W11" s="61"/>
      <c r="X11" s="61"/>
      <c r="Y11" s="61"/>
      <c r="Z11" s="62"/>
      <c r="AA11" s="62"/>
      <c r="AB11" s="62"/>
      <c r="AC11" s="62"/>
      <c r="AD11" s="62"/>
      <c r="AE11" s="36"/>
      <c r="AN11" s="36"/>
    </row>
    <row r="12" spans="1:42">
      <c r="A12" s="432"/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36"/>
      <c r="AN12" s="36"/>
    </row>
    <row r="13" spans="1:42">
      <c r="A13" s="370"/>
      <c r="B13" s="371"/>
      <c r="C13" s="372"/>
      <c r="D13" s="372"/>
      <c r="E13" s="371"/>
      <c r="F13" s="371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84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</row>
    <row r="14" spans="1:42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84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</row>
    <row r="15" spans="1:42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84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</row>
    <row r="16" spans="1:42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84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</row>
    <row r="336" spans="1:1" ht="25.5">
      <c r="A336" s="82" t="s">
        <v>109</v>
      </c>
    </row>
    <row r="338" spans="1:2">
      <c r="A338" s="36" t="s">
        <v>81</v>
      </c>
    </row>
    <row r="339" spans="1:2">
      <c r="A339" s="36" t="s">
        <v>82</v>
      </c>
    </row>
    <row r="340" spans="1:2">
      <c r="A340" s="36" t="s">
        <v>83</v>
      </c>
    </row>
    <row r="341" spans="1:2">
      <c r="A341" s="37" t="s">
        <v>96</v>
      </c>
    </row>
    <row r="342" spans="1:2">
      <c r="A342" s="36" t="s">
        <v>85</v>
      </c>
    </row>
    <row r="343" spans="1:2">
      <c r="A343" s="36" t="s">
        <v>86</v>
      </c>
    </row>
    <row r="344" spans="1:2">
      <c r="A344" s="36" t="s">
        <v>87</v>
      </c>
    </row>
    <row r="345" spans="1:2">
      <c r="A345" s="36" t="s">
        <v>0</v>
      </c>
    </row>
    <row r="346" spans="1:2">
      <c r="A346" s="37" t="s">
        <v>97</v>
      </c>
      <c r="B346" s="36">
        <f>(0.016*(0.03/2)^0.65*(2/3)^1.5)-0.00047</f>
        <v>9.8123053326417428E-5</v>
      </c>
    </row>
    <row r="347" spans="1:2">
      <c r="A347" s="37" t="s">
        <v>98</v>
      </c>
      <c r="B347" s="36">
        <f>(0.016*(0.03/2)^0.65*(13/3)^1.5)-0.00047</f>
        <v>8.9448292388582783E-3</v>
      </c>
    </row>
    <row r="348" spans="1:2">
      <c r="A348" s="37" t="s">
        <v>99</v>
      </c>
      <c r="B348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B-5
Construction Truck Trip Emissions
TL 6965 Construction</oddHeader>
    <oddFooter>&amp;CB-5</oddFooter>
  </headerFooter>
</worksheet>
</file>

<file path=xl/worksheets/sheet26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782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413</v>
      </c>
      <c r="B4" s="45" t="s">
        <v>102</v>
      </c>
      <c r="C4" s="46">
        <v>13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43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435" t="s">
        <v>55</v>
      </c>
      <c r="G87" s="435" t="s">
        <v>73</v>
      </c>
      <c r="H87" s="435" t="s">
        <v>74</v>
      </c>
      <c r="I87" s="435" t="s">
        <v>58</v>
      </c>
      <c r="J87" s="435" t="s">
        <v>59</v>
      </c>
      <c r="K87" s="435" t="s">
        <v>60</v>
      </c>
      <c r="L87" s="434" t="s">
        <v>75</v>
      </c>
      <c r="M87" s="434" t="s">
        <v>76</v>
      </c>
      <c r="N87" s="434" t="s">
        <v>61</v>
      </c>
      <c r="O87" s="434" t="s">
        <v>62</v>
      </c>
      <c r="P87" s="434" t="s">
        <v>63</v>
      </c>
      <c r="AN87" s="38"/>
      <c r="AZ87" s="36"/>
    </row>
    <row r="88" spans="1:52" ht="25.5">
      <c r="A88" s="44" t="str">
        <f>A4</f>
        <v>UG Trench Conduit Substructure</v>
      </c>
      <c r="B88" s="45" t="str">
        <f>B4</f>
        <v>Light-Duty Truck, catalyst</v>
      </c>
      <c r="C88" s="46">
        <f>C4</f>
        <v>13</v>
      </c>
      <c r="D88" s="46">
        <v>35</v>
      </c>
      <c r="E88" s="46">
        <v>80</v>
      </c>
      <c r="F88" s="50">
        <f>C4*($E4*$F4+($G4))/453.59</f>
        <v>6.3143520164519611</v>
      </c>
      <c r="G88" s="50">
        <f>C4*($E4*$H4+($I4))/453.59</f>
        <v>0.56771854482691408</v>
      </c>
      <c r="H88" s="50">
        <f>C4*(($E4*$J4)+($K4)+($L4)+($E4*$N4)+(($M4+$O4)))/453.59</f>
        <v>0.65649974421139334</v>
      </c>
      <c r="I88" s="50">
        <f>C4*($E4*$P4+($Q4))/453.59</f>
        <v>9.4483613530880074E-3</v>
      </c>
      <c r="J88" s="50">
        <f>C4*(($E4*($R4+$T4+$U4))+($S4))/453.59</f>
        <v>0.11081317591770266</v>
      </c>
      <c r="K88" s="50">
        <f>$C4*(($E4*($V4+$X4+$Y4))+($W4))/453.59</f>
        <v>4.8256069215290839E-2</v>
      </c>
      <c r="L88" s="50">
        <f>$B$21*C4*(E4+6)</f>
        <v>0.10970157361893468</v>
      </c>
      <c r="M88" s="50">
        <f t="shared" ref="M88" si="52">0.41*L88</f>
        <v>4.4977645183763217E-2</v>
      </c>
      <c r="N88" s="50">
        <f>C4*($E4*$Z4+($AA4))/453.59</f>
        <v>720.50649743850568</v>
      </c>
      <c r="O88" s="50">
        <f>C4*($E4*$AB4+($AC4))/453.59</f>
        <v>4.1216180057393241E-2</v>
      </c>
      <c r="P88" s="50">
        <f>C4*($E4*$AD4+($AE4))/453.59</f>
        <v>7.5024558879963676E-2</v>
      </c>
      <c r="AN88" s="38"/>
      <c r="AZ88" s="36"/>
    </row>
    <row r="89" spans="1:52">
      <c r="A89" s="40" t="s">
        <v>103</v>
      </c>
      <c r="B89" s="40"/>
      <c r="C89" s="40"/>
      <c r="D89" s="40"/>
      <c r="E89" s="40"/>
      <c r="F89" s="81">
        <f>F88</f>
        <v>6.3143520164519611</v>
      </c>
      <c r="G89" s="81">
        <f t="shared" ref="G89:P89" si="53">G88</f>
        <v>0.56771854482691408</v>
      </c>
      <c r="H89" s="81">
        <f t="shared" si="53"/>
        <v>0.65649974421139334</v>
      </c>
      <c r="I89" s="81">
        <f t="shared" si="53"/>
        <v>9.4483613530880074E-3</v>
      </c>
      <c r="J89" s="81">
        <f t="shared" si="53"/>
        <v>0.11081317591770266</v>
      </c>
      <c r="K89" s="81">
        <f t="shared" si="53"/>
        <v>4.8256069215290839E-2</v>
      </c>
      <c r="L89" s="81">
        <f t="shared" si="53"/>
        <v>0.10970157361893468</v>
      </c>
      <c r="M89" s="81">
        <f t="shared" si="53"/>
        <v>4.4977645183763217E-2</v>
      </c>
      <c r="N89" s="81">
        <f t="shared" si="53"/>
        <v>720.50649743850568</v>
      </c>
      <c r="O89" s="81">
        <f t="shared" si="53"/>
        <v>4.1216180057393241E-2</v>
      </c>
      <c r="P89" s="81">
        <f t="shared" si="53"/>
        <v>7.5024558879963676E-2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B-6
Construction Worker Commute Emission Calculations
TL 6965 Construction</oddHeader>
    <oddFooter>&amp;CB-6</oddFooter>
  </headerFooter>
</worksheet>
</file>

<file path=xl/worksheets/sheet26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9"/>
  <sheetViews>
    <sheetView topLeftCell="A4" zoomScale="75" zoomScaleNormal="75" workbookViewId="0">
      <selection activeCell="S50" sqref="S50:S51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783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20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412</v>
      </c>
      <c r="B7" s="29"/>
      <c r="C7" s="97"/>
      <c r="D7" s="12"/>
      <c r="E7" s="102"/>
      <c r="F7" s="102"/>
      <c r="G7" s="102"/>
      <c r="H7" s="102"/>
      <c r="I7" s="102"/>
      <c r="J7" s="100"/>
      <c r="K7" s="103"/>
      <c r="L7" s="102"/>
      <c r="M7" s="104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32" t="s">
        <v>112</v>
      </c>
      <c r="B8" s="29" t="s">
        <v>27</v>
      </c>
      <c r="C8" s="97">
        <v>235</v>
      </c>
      <c r="D8" s="97"/>
      <c r="E8" s="102">
        <v>0.11792220738547983</v>
      </c>
      <c r="F8" s="102">
        <v>0.36512193352152528</v>
      </c>
      <c r="G8" s="102">
        <v>0.86781464282266541</v>
      </c>
      <c r="H8" s="102">
        <v>1.8739217498104396E-3</v>
      </c>
      <c r="I8" s="102">
        <v>2.9041712295589866E-2</v>
      </c>
      <c r="J8" s="100">
        <f t="shared" ref="J8" si="0">0.89*I8</f>
        <v>2.5847123943074982E-2</v>
      </c>
      <c r="K8" s="103">
        <v>166.54541562452522</v>
      </c>
      <c r="L8" s="102">
        <v>1.063993297769634E-2</v>
      </c>
      <c r="M8" s="104">
        <f t="shared" ref="M8" si="1">0.095*G8</f>
        <v>8.2442391068153209E-2</v>
      </c>
      <c r="N8" s="87">
        <v>5</v>
      </c>
      <c r="O8" s="87">
        <v>4</v>
      </c>
      <c r="P8" s="88">
        <v>15</v>
      </c>
      <c r="Q8" s="34">
        <f t="shared" ref="Q8:Y8" si="2">(E8*$N8*$O8)</f>
        <v>2.3584441477095965</v>
      </c>
      <c r="R8" s="26">
        <f t="shared" si="2"/>
        <v>7.3024386704305053</v>
      </c>
      <c r="S8" s="26">
        <f t="shared" si="2"/>
        <v>17.356292856453308</v>
      </c>
      <c r="T8" s="26">
        <f t="shared" si="2"/>
        <v>3.7478434996208794E-2</v>
      </c>
      <c r="U8" s="26">
        <f t="shared" si="2"/>
        <v>0.58083424591179733</v>
      </c>
      <c r="V8" s="26">
        <f t="shared" si="2"/>
        <v>0.51694247886149969</v>
      </c>
      <c r="W8" s="26">
        <f t="shared" si="2"/>
        <v>3330.9083124905046</v>
      </c>
      <c r="X8" s="26">
        <f t="shared" si="2"/>
        <v>0.21279865955392679</v>
      </c>
      <c r="Y8" s="26">
        <f t="shared" si="2"/>
        <v>1.6488478213630642</v>
      </c>
    </row>
    <row r="9" spans="1:25" s="3" customFormat="1">
      <c r="A9" s="17" t="s">
        <v>28</v>
      </c>
      <c r="B9" s="29"/>
      <c r="C9" s="97"/>
      <c r="D9" s="12"/>
      <c r="E9" s="102"/>
      <c r="F9" s="102"/>
      <c r="G9" s="102"/>
      <c r="H9" s="102"/>
      <c r="I9" s="102"/>
      <c r="J9" s="100"/>
      <c r="K9" s="103"/>
      <c r="L9" s="102"/>
      <c r="M9" s="102"/>
      <c r="N9" s="88"/>
      <c r="O9" s="88"/>
      <c r="P9" s="88"/>
      <c r="Q9" s="101">
        <f t="shared" ref="Q9:Y9" si="3">SUM(Q8:Q8)</f>
        <v>2.3584441477095965</v>
      </c>
      <c r="R9" s="101">
        <f t="shared" si="3"/>
        <v>7.3024386704305053</v>
      </c>
      <c r="S9" s="101">
        <f t="shared" si="3"/>
        <v>17.356292856453308</v>
      </c>
      <c r="T9" s="101">
        <f t="shared" si="3"/>
        <v>3.7478434996208794E-2</v>
      </c>
      <c r="U9" s="101">
        <f t="shared" si="3"/>
        <v>0.58083424591179733</v>
      </c>
      <c r="V9" s="101">
        <f t="shared" si="3"/>
        <v>0.51694247886149969</v>
      </c>
      <c r="W9" s="101">
        <f t="shared" si="3"/>
        <v>3330.9083124905046</v>
      </c>
      <c r="X9" s="101">
        <f t="shared" si="3"/>
        <v>0.21279865955392679</v>
      </c>
      <c r="Y9" s="101">
        <f t="shared" si="3"/>
        <v>1.6488478213630642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B-4
Construction Heavy Equipment Emissions
TL 6965 Construction
</oddHeader>
    <oddFooter>&amp;CB-4</oddFooter>
  </headerFooter>
</worksheet>
</file>

<file path=xl/worksheets/sheet26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348"/>
  <sheetViews>
    <sheetView zoomScale="75" workbookViewId="0">
      <selection activeCell="B26" sqref="B26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31" width="12.28515625" style="38" customWidth="1"/>
    <col min="32" max="33" width="9.28515625" style="36" bestFit="1" customWidth="1"/>
    <col min="34" max="34" width="11.42578125" style="36" customWidth="1"/>
    <col min="35" max="35" width="10.5703125" style="36" customWidth="1"/>
    <col min="36" max="39" width="9.5703125" style="36" customWidth="1"/>
    <col min="40" max="40" width="9.28515625" style="38" bestFit="1" customWidth="1"/>
    <col min="41" max="41" width="9.85546875" style="36" customWidth="1"/>
    <col min="42" max="42" width="9.28515625" style="36" bestFit="1" customWidth="1"/>
    <col min="43" max="16384" width="9.140625" style="36"/>
  </cols>
  <sheetData>
    <row r="1" spans="1:42">
      <c r="A1" s="3" t="s">
        <v>784</v>
      </c>
    </row>
    <row r="2" spans="1:42">
      <c r="A2"/>
    </row>
    <row r="6" spans="1:42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26" t="s">
        <v>55</v>
      </c>
      <c r="H6" s="526" t="s">
        <v>56</v>
      </c>
      <c r="I6" s="522" t="s">
        <v>57</v>
      </c>
      <c r="J6" s="526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26" t="s">
        <v>61</v>
      </c>
      <c r="R6" s="522" t="s">
        <v>62</v>
      </c>
      <c r="S6" s="522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  <c r="AE6" s="36"/>
      <c r="AN6" s="36"/>
    </row>
    <row r="7" spans="1:42" ht="63.75">
      <c r="A7" s="592"/>
      <c r="B7" s="592"/>
      <c r="C7" s="593"/>
      <c r="D7" s="593"/>
      <c r="E7" s="74" t="s">
        <v>67</v>
      </c>
      <c r="F7" s="74" t="s">
        <v>68</v>
      </c>
      <c r="G7" s="525" t="s">
        <v>69</v>
      </c>
      <c r="H7" s="41" t="s">
        <v>69</v>
      </c>
      <c r="I7" s="41" t="s">
        <v>69</v>
      </c>
      <c r="J7" s="41" t="s">
        <v>69</v>
      </c>
      <c r="K7" s="522" t="s">
        <v>69</v>
      </c>
      <c r="L7" s="522" t="s">
        <v>71</v>
      </c>
      <c r="M7" s="522" t="s">
        <v>72</v>
      </c>
      <c r="N7" s="522" t="s">
        <v>69</v>
      </c>
      <c r="O7" s="522" t="s">
        <v>71</v>
      </c>
      <c r="P7" s="522" t="s">
        <v>72</v>
      </c>
      <c r="Q7" s="41" t="s">
        <v>69</v>
      </c>
      <c r="R7" s="522" t="s">
        <v>69</v>
      </c>
      <c r="S7" s="522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  <c r="AE7" s="36"/>
      <c r="AN7" s="36"/>
    </row>
    <row r="8" spans="1:42">
      <c r="A8" s="17" t="s">
        <v>412</v>
      </c>
      <c r="B8" s="74"/>
      <c r="C8" s="112"/>
      <c r="D8" s="112"/>
      <c r="E8" s="74"/>
      <c r="F8" s="74"/>
      <c r="G8" s="525"/>
      <c r="H8" s="41"/>
      <c r="I8" s="41"/>
      <c r="J8" s="41"/>
      <c r="K8" s="522"/>
      <c r="L8" s="522"/>
      <c r="M8" s="522"/>
      <c r="N8" s="522"/>
      <c r="O8" s="522"/>
      <c r="P8" s="522"/>
      <c r="Q8" s="41"/>
      <c r="R8" s="522"/>
      <c r="S8" s="522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  <c r="AE8" s="36"/>
      <c r="AN8" s="36"/>
    </row>
    <row r="9" spans="1:42">
      <c r="A9" s="78" t="s">
        <v>112</v>
      </c>
      <c r="B9" s="76" t="s">
        <v>105</v>
      </c>
      <c r="C9" s="374">
        <v>5</v>
      </c>
      <c r="D9" s="77"/>
      <c r="E9" s="77">
        <v>35</v>
      </c>
      <c r="F9" s="77">
        <v>80</v>
      </c>
      <c r="G9" s="106">
        <v>1.08263976628415</v>
      </c>
      <c r="H9" s="106">
        <v>4.9712718909585103</v>
      </c>
      <c r="I9" s="106">
        <v>0.26248012575016899</v>
      </c>
      <c r="J9" s="106">
        <v>1.0711818E-2</v>
      </c>
      <c r="K9" s="106">
        <v>7.1679901072141505E-2</v>
      </c>
      <c r="L9" s="556">
        <v>3.59998119015979E-2</v>
      </c>
      <c r="M9" s="556">
        <v>6.1739677411240299E-2</v>
      </c>
      <c r="N9" s="106">
        <v>6.5945508986370194E-2</v>
      </c>
      <c r="O9" s="556">
        <v>2.9999843251331498E-3</v>
      </c>
      <c r="P9" s="556">
        <v>5.5859708133979398E-2</v>
      </c>
      <c r="Q9" s="106">
        <v>1710.7260798814</v>
      </c>
      <c r="R9" s="47">
        <v>1.5235246282551899E-2</v>
      </c>
      <c r="S9" s="80">
        <f>0.000025616*Q9</f>
        <v>4.3821959262241944E-2</v>
      </c>
      <c r="T9" s="50">
        <f>C9*($F9*$G9)/453.59</f>
        <v>0.95472983644626219</v>
      </c>
      <c r="U9" s="50">
        <f>C9*($F9*$H9)/453.59</f>
        <v>4.3839342939293289</v>
      </c>
      <c r="V9" s="50">
        <f>C9*(($F9*$I9))/453.59</f>
        <v>0.23146905862137085</v>
      </c>
      <c r="W9" s="50">
        <f>C9*($F9*$J9)/453.59</f>
        <v>9.4462558698383998E-3</v>
      </c>
      <c r="X9" s="50">
        <f>C9*(($F9*($K9+$L9+$M9)))/453.59</f>
        <v>0.14940310887363453</v>
      </c>
      <c r="Y9" s="50">
        <f>C9*(($F9*($N9+$O9+$P9)))/453.59</f>
        <v>0.11005992323065567</v>
      </c>
      <c r="Z9" s="50">
        <f>C9*(F9)*$B$339</f>
        <v>0</v>
      </c>
      <c r="AA9" s="50">
        <f>Z9*0.21</f>
        <v>0</v>
      </c>
      <c r="AB9" s="50">
        <f>C9*(($F9*($Q9)))/453.59</f>
        <v>1508.610048617827</v>
      </c>
      <c r="AC9" s="50">
        <f>C9*(($F9*($R9)))/453.59</f>
        <v>1.3435257640205386E-2</v>
      </c>
      <c r="AD9" s="50">
        <f>C9*(($F9*($S9)))/453.59</f>
        <v>3.8644555005394252E-2</v>
      </c>
      <c r="AE9" s="36"/>
      <c r="AN9" s="36"/>
    </row>
    <row r="10" spans="1:42">
      <c r="A10" s="75" t="s">
        <v>28</v>
      </c>
      <c r="B10" s="74"/>
      <c r="C10" s="112"/>
      <c r="D10" s="112"/>
      <c r="E10" s="74"/>
      <c r="F10" s="74"/>
      <c r="G10" s="525"/>
      <c r="H10" s="41"/>
      <c r="I10" s="41"/>
      <c r="J10" s="41"/>
      <c r="K10" s="522"/>
      <c r="L10" s="522"/>
      <c r="M10" s="522"/>
      <c r="N10" s="522"/>
      <c r="O10" s="522"/>
      <c r="P10" s="522"/>
      <c r="Q10" s="41"/>
      <c r="R10" s="522"/>
      <c r="S10" s="522"/>
      <c r="T10" s="81">
        <f>T9</f>
        <v>0.95472983644626219</v>
      </c>
      <c r="U10" s="81">
        <f t="shared" ref="U10:AD10" si="0">U9</f>
        <v>4.3839342939293289</v>
      </c>
      <c r="V10" s="81">
        <f t="shared" si="0"/>
        <v>0.23146905862137085</v>
      </c>
      <c r="W10" s="81">
        <f t="shared" si="0"/>
        <v>9.4462558698383998E-3</v>
      </c>
      <c r="X10" s="81">
        <f t="shared" si="0"/>
        <v>0.14940310887363453</v>
      </c>
      <c r="Y10" s="81">
        <f t="shared" si="0"/>
        <v>0.11005992323065567</v>
      </c>
      <c r="Z10" s="81">
        <f t="shared" si="0"/>
        <v>0</v>
      </c>
      <c r="AA10" s="81">
        <f t="shared" si="0"/>
        <v>0</v>
      </c>
      <c r="AB10" s="81">
        <f t="shared" si="0"/>
        <v>1508.610048617827</v>
      </c>
      <c r="AC10" s="81">
        <f t="shared" si="0"/>
        <v>1.3435257640205386E-2</v>
      </c>
      <c r="AD10" s="81">
        <f t="shared" si="0"/>
        <v>3.8644555005394252E-2</v>
      </c>
      <c r="AE10" s="36"/>
      <c r="AN10" s="36"/>
    </row>
    <row r="11" spans="1:42">
      <c r="A11" s="521"/>
      <c r="B11" s="74"/>
      <c r="C11" s="112"/>
      <c r="D11" s="112"/>
      <c r="E11" s="74"/>
      <c r="F11" s="74"/>
      <c r="G11" s="525"/>
      <c r="H11" s="41"/>
      <c r="I11" s="41"/>
      <c r="J11" s="41"/>
      <c r="K11" s="522"/>
      <c r="L11" s="522"/>
      <c r="M11" s="522"/>
      <c r="N11" s="522"/>
      <c r="O11" s="522"/>
      <c r="P11" s="522"/>
      <c r="Q11" s="41"/>
      <c r="R11" s="522"/>
      <c r="S11" s="522"/>
      <c r="T11" s="61"/>
      <c r="U11" s="61"/>
      <c r="V11" s="61"/>
      <c r="W11" s="61"/>
      <c r="X11" s="61"/>
      <c r="Y11" s="61"/>
      <c r="Z11" s="62"/>
      <c r="AA11" s="62"/>
      <c r="AB11" s="62"/>
      <c r="AC11" s="62"/>
      <c r="AD11" s="62"/>
      <c r="AE11" s="36"/>
      <c r="AN11" s="36"/>
    </row>
    <row r="12" spans="1:42">
      <c r="A12" s="521"/>
      <c r="B12" s="74"/>
      <c r="C12" s="112"/>
      <c r="D12" s="112"/>
      <c r="E12" s="74"/>
      <c r="F12" s="74"/>
      <c r="G12" s="525"/>
      <c r="H12" s="41"/>
      <c r="I12" s="41"/>
      <c r="J12" s="41"/>
      <c r="K12" s="522"/>
      <c r="L12" s="522"/>
      <c r="M12" s="522"/>
      <c r="N12" s="522"/>
      <c r="O12" s="522"/>
      <c r="P12" s="522"/>
      <c r="Q12" s="41"/>
      <c r="R12" s="522"/>
      <c r="S12" s="522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36"/>
      <c r="AN12" s="36"/>
    </row>
    <row r="13" spans="1:42">
      <c r="A13" s="370"/>
      <c r="B13" s="371"/>
      <c r="C13" s="372"/>
      <c r="D13" s="372"/>
      <c r="E13" s="371"/>
      <c r="F13" s="371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84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</row>
    <row r="14" spans="1:42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84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</row>
    <row r="15" spans="1:42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84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</row>
    <row r="16" spans="1:42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84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</row>
    <row r="336" spans="1:1" ht="25.5">
      <c r="A336" s="82" t="s">
        <v>109</v>
      </c>
    </row>
    <row r="338" spans="1:2">
      <c r="A338" s="36" t="s">
        <v>81</v>
      </c>
    </row>
    <row r="339" spans="1:2">
      <c r="A339" s="36" t="s">
        <v>82</v>
      </c>
    </row>
    <row r="340" spans="1:2">
      <c r="A340" s="36" t="s">
        <v>83</v>
      </c>
    </row>
    <row r="341" spans="1:2">
      <c r="A341" s="37" t="s">
        <v>96</v>
      </c>
    </row>
    <row r="342" spans="1:2">
      <c r="A342" s="36" t="s">
        <v>85</v>
      </c>
    </row>
    <row r="343" spans="1:2">
      <c r="A343" s="36" t="s">
        <v>86</v>
      </c>
    </row>
    <row r="344" spans="1:2">
      <c r="A344" s="36" t="s">
        <v>87</v>
      </c>
    </row>
    <row r="345" spans="1:2">
      <c r="A345" s="36" t="s">
        <v>0</v>
      </c>
    </row>
    <row r="346" spans="1:2">
      <c r="A346" s="37" t="s">
        <v>97</v>
      </c>
      <c r="B346" s="36">
        <f>(0.016*(0.03/2)^0.65*(2/3)^1.5)-0.00047</f>
        <v>9.8123053326417428E-5</v>
      </c>
    </row>
    <row r="347" spans="1:2">
      <c r="A347" s="37" t="s">
        <v>98</v>
      </c>
      <c r="B347" s="36">
        <f>(0.016*(0.03/2)^0.65*(13/3)^1.5)-0.00047</f>
        <v>8.9448292388582783E-3</v>
      </c>
    </row>
    <row r="348" spans="1:2">
      <c r="A348" s="37" t="s">
        <v>99</v>
      </c>
      <c r="B348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B-5
Construction Truck Trip Emissions
TL 6965 Construction</oddHeader>
    <oddFooter>&amp;CB-5</oddFooter>
  </headerFooter>
</worksheet>
</file>

<file path=xl/worksheets/sheet26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C101" sqref="C101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785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25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22" t="s">
        <v>69</v>
      </c>
      <c r="S3" s="42" t="s">
        <v>118</v>
      </c>
      <c r="T3" s="522" t="s">
        <v>71</v>
      </c>
      <c r="U3" s="522" t="s">
        <v>72</v>
      </c>
      <c r="V3" s="522" t="s">
        <v>69</v>
      </c>
      <c r="W3" s="42" t="s">
        <v>118</v>
      </c>
      <c r="X3" s="522" t="s">
        <v>71</v>
      </c>
      <c r="Y3" s="522" t="s">
        <v>72</v>
      </c>
      <c r="Z3" s="41" t="s">
        <v>69</v>
      </c>
      <c r="AA3" s="42" t="s">
        <v>118</v>
      </c>
      <c r="AB3" s="522" t="s">
        <v>69</v>
      </c>
      <c r="AC3" s="42" t="s">
        <v>118</v>
      </c>
      <c r="AD3" s="522" t="s">
        <v>69</v>
      </c>
      <c r="AE3" s="42" t="s">
        <v>118</v>
      </c>
    </row>
    <row r="4" spans="1:67" ht="25.5">
      <c r="A4" s="44" t="s">
        <v>413</v>
      </c>
      <c r="B4" s="45" t="s">
        <v>102</v>
      </c>
      <c r="C4" s="46">
        <v>5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524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523" t="s">
        <v>55</v>
      </c>
      <c r="G87" s="523" t="s">
        <v>73</v>
      </c>
      <c r="H87" s="523" t="s">
        <v>74</v>
      </c>
      <c r="I87" s="523" t="s">
        <v>58</v>
      </c>
      <c r="J87" s="523" t="s">
        <v>59</v>
      </c>
      <c r="K87" s="523" t="s">
        <v>60</v>
      </c>
      <c r="L87" s="522" t="s">
        <v>75</v>
      </c>
      <c r="M87" s="522" t="s">
        <v>76</v>
      </c>
      <c r="N87" s="522" t="s">
        <v>61</v>
      </c>
      <c r="O87" s="522" t="s">
        <v>62</v>
      </c>
      <c r="P87" s="522" t="s">
        <v>63</v>
      </c>
      <c r="AN87" s="38"/>
      <c r="AZ87" s="36"/>
    </row>
    <row r="88" spans="1:52" ht="25.5">
      <c r="A88" s="44" t="str">
        <f>A4</f>
        <v>UG Trench Conduit Substructure</v>
      </c>
      <c r="B88" s="45" t="str">
        <f>B4</f>
        <v>Light-Duty Truck, catalyst</v>
      </c>
      <c r="C88" s="46">
        <f>C4</f>
        <v>5</v>
      </c>
      <c r="D88" s="46">
        <v>35</v>
      </c>
      <c r="E88" s="46">
        <v>80</v>
      </c>
      <c r="F88" s="50">
        <f>C4*($E4*$F4+($G4))/453.59</f>
        <v>2.4285969294046006</v>
      </c>
      <c r="G88" s="50">
        <f>C4*($E4*$H4+($I4))/453.59</f>
        <v>0.21835328647189006</v>
      </c>
      <c r="H88" s="50">
        <f>C4*(($E4*$J4)+($K4)+($L4)+($E4*$N4)+(($M4+$O4)))/453.59</f>
        <v>0.25249990161976665</v>
      </c>
      <c r="I88" s="50">
        <f>C4*($E4*$P4+($Q4))/453.59</f>
        <v>3.6339851358030799E-3</v>
      </c>
      <c r="J88" s="50">
        <f>C4*(($E4*($R4+$T4+$U4))+($S4))/453.59</f>
        <v>4.2620452276039479E-2</v>
      </c>
      <c r="K88" s="50">
        <f>$C4*(($E4*($V4+$X4+$Y4))+($W4))/453.59</f>
        <v>1.8560026621265706E-2</v>
      </c>
      <c r="L88" s="50">
        <f>$B$21*C4*(E4+6)</f>
        <v>4.219291293035949E-2</v>
      </c>
      <c r="M88" s="50">
        <f t="shared" ref="M88" si="52">0.41*L88</f>
        <v>1.7299094301447389E-2</v>
      </c>
      <c r="N88" s="50">
        <f>C4*($E4*$Z4+($AA4))/453.59</f>
        <v>277.11788363019446</v>
      </c>
      <c r="O88" s="50">
        <f>C4*($E4*$AB4+($AC4))/453.59</f>
        <v>1.5852376945151247E-2</v>
      </c>
      <c r="P88" s="50">
        <f>C4*($E4*$AD4+($AE4))/453.59</f>
        <v>2.8855599569216798E-2</v>
      </c>
      <c r="AN88" s="38"/>
      <c r="AZ88" s="36"/>
    </row>
    <row r="89" spans="1:52">
      <c r="A89" s="40" t="s">
        <v>103</v>
      </c>
      <c r="B89" s="40"/>
      <c r="C89" s="40"/>
      <c r="D89" s="40"/>
      <c r="E89" s="40"/>
      <c r="F89" s="81">
        <f>F88</f>
        <v>2.4285969294046006</v>
      </c>
      <c r="G89" s="81">
        <f t="shared" ref="G89:P89" si="53">G88</f>
        <v>0.21835328647189006</v>
      </c>
      <c r="H89" s="81">
        <f t="shared" si="53"/>
        <v>0.25249990161976665</v>
      </c>
      <c r="I89" s="81">
        <f t="shared" si="53"/>
        <v>3.6339851358030799E-3</v>
      </c>
      <c r="J89" s="81">
        <f t="shared" si="53"/>
        <v>4.2620452276039479E-2</v>
      </c>
      <c r="K89" s="81">
        <f t="shared" si="53"/>
        <v>1.8560026621265706E-2</v>
      </c>
      <c r="L89" s="81">
        <f t="shared" si="53"/>
        <v>4.219291293035949E-2</v>
      </c>
      <c r="M89" s="81">
        <f t="shared" si="53"/>
        <v>1.7299094301447389E-2</v>
      </c>
      <c r="N89" s="81">
        <f t="shared" si="53"/>
        <v>277.11788363019446</v>
      </c>
      <c r="O89" s="81">
        <f t="shared" si="53"/>
        <v>1.5852376945151247E-2</v>
      </c>
      <c r="P89" s="81">
        <f t="shared" si="53"/>
        <v>2.8855599569216798E-2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B-6
Construction Worker Commute Emission Calculations
TL 6965 Construction</oddHeader>
    <oddFooter>&amp;CB-6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A93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53">
      <c r="A1" s="3" t="s">
        <v>545</v>
      </c>
      <c r="D1" s="37"/>
      <c r="E1" s="37"/>
    </row>
    <row r="2" spans="1:53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53" ht="63.75">
      <c r="A3" s="599"/>
      <c r="B3" s="599"/>
      <c r="C3" s="41" t="s">
        <v>66</v>
      </c>
      <c r="D3" s="41" t="s">
        <v>67</v>
      </c>
      <c r="E3" s="41" t="s">
        <v>68</v>
      </c>
      <c r="F3" s="424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21" t="s">
        <v>69</v>
      </c>
      <c r="S3" s="42" t="s">
        <v>118</v>
      </c>
      <c r="T3" s="421" t="s">
        <v>71</v>
      </c>
      <c r="U3" s="421" t="s">
        <v>72</v>
      </c>
      <c r="V3" s="421" t="s">
        <v>69</v>
      </c>
      <c r="W3" s="42" t="s">
        <v>118</v>
      </c>
      <c r="X3" s="421" t="s">
        <v>71</v>
      </c>
      <c r="Y3" s="421" t="s">
        <v>72</v>
      </c>
      <c r="Z3" s="41" t="s">
        <v>69</v>
      </c>
      <c r="AA3" s="42" t="s">
        <v>118</v>
      </c>
      <c r="AB3" s="421" t="s">
        <v>69</v>
      </c>
      <c r="AC3" s="42" t="s">
        <v>118</v>
      </c>
      <c r="AD3" s="421" t="s">
        <v>69</v>
      </c>
      <c r="AE3" s="42" t="s">
        <v>118</v>
      </c>
    </row>
    <row r="4" spans="1:53" ht="25.5">
      <c r="A4" s="44" t="s">
        <v>346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53" ht="25.5">
      <c r="A5" s="44" t="s">
        <v>330</v>
      </c>
      <c r="B5" s="45" t="s">
        <v>102</v>
      </c>
      <c r="C5" s="46">
        <v>20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53" ht="25.5">
      <c r="A6" s="44" t="s">
        <v>426</v>
      </c>
      <c r="B6" s="45" t="s">
        <v>102</v>
      </c>
      <c r="C6" s="46">
        <v>13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53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9"/>
      <c r="AS7" s="59"/>
      <c r="AT7" s="59"/>
      <c r="AU7" s="59"/>
      <c r="AV7" s="59"/>
      <c r="AW7" s="59"/>
      <c r="AX7" s="59"/>
      <c r="AY7" s="59"/>
      <c r="AZ7" s="60"/>
      <c r="BA7" s="59"/>
    </row>
    <row r="8" spans="1:53" ht="25.5" hidden="1">
      <c r="A8" s="55" t="s">
        <v>504</v>
      </c>
      <c r="B8" s="37"/>
      <c r="C8" s="37"/>
      <c r="AF8" s="57" t="e">
        <f>#REF!/60</f>
        <v>#REF!</v>
      </c>
      <c r="AG8" s="57" t="e">
        <f>#REF!/60</f>
        <v>#REF!</v>
      </c>
      <c r="AH8" s="57" t="e">
        <f>#REF!/60</f>
        <v>#REF!</v>
      </c>
      <c r="AI8" s="57" t="e">
        <f>#REF!/60</f>
        <v>#REF!</v>
      </c>
      <c r="AJ8" s="57" t="e">
        <f>#REF!/60</f>
        <v>#REF!</v>
      </c>
      <c r="AK8" s="57" t="e">
        <f>#REF!/60</f>
        <v>#REF!</v>
      </c>
      <c r="AL8" s="57" t="e">
        <f>#REF!/60</f>
        <v>#REF!</v>
      </c>
      <c r="AM8" s="57" t="e">
        <f>#REF!/60</f>
        <v>#REF!</v>
      </c>
      <c r="AN8" s="57" t="e">
        <f>#REF!/60</f>
        <v>#REF!</v>
      </c>
      <c r="AO8" s="57" t="e">
        <f>#REF!/60</f>
        <v>#REF!</v>
      </c>
      <c r="AP8" s="57"/>
      <c r="AQ8" s="57"/>
      <c r="AR8" s="57" t="e">
        <f>#REF!/60</f>
        <v>#REF!</v>
      </c>
      <c r="AS8" s="57" t="e">
        <f>#REF!/60</f>
        <v>#REF!</v>
      </c>
      <c r="AT8" s="57" t="e">
        <f>#REF!/60</f>
        <v>#REF!</v>
      </c>
      <c r="AU8" s="57" t="e">
        <f>#REF!/60</f>
        <v>#REF!</v>
      </c>
      <c r="AV8" s="57" t="e">
        <f>#REF!/60</f>
        <v>#REF!</v>
      </c>
      <c r="AW8" s="57" t="e">
        <f>#REF!/60</f>
        <v>#REF!</v>
      </c>
      <c r="AX8" s="57" t="e">
        <f>#REF!/60</f>
        <v>#REF!</v>
      </c>
      <c r="AY8" s="57" t="e">
        <f>#REF!/60</f>
        <v>#REF!</v>
      </c>
      <c r="AZ8" s="57" t="e">
        <f>#REF!/60</f>
        <v>#REF!</v>
      </c>
      <c r="BA8" s="57" t="e">
        <f>#REF!/60</f>
        <v>#REF!</v>
      </c>
    </row>
    <row r="9" spans="1:53" hidden="1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53" hidden="1">
      <c r="A10" s="55" t="s">
        <v>78</v>
      </c>
      <c r="B10" s="37"/>
      <c r="C10" s="37"/>
      <c r="AA10" s="57"/>
      <c r="AB10" s="57"/>
      <c r="AC10" s="57"/>
      <c r="AD10" s="57"/>
      <c r="AE10" s="57"/>
      <c r="AF10" s="596" t="s">
        <v>64</v>
      </c>
      <c r="AG10" s="596"/>
      <c r="AH10" s="596"/>
      <c r="AI10" s="596"/>
      <c r="AJ10" s="596"/>
      <c r="AK10" s="597"/>
      <c r="AL10" s="597"/>
      <c r="AM10" s="597"/>
      <c r="AN10" s="597"/>
      <c r="AO10" s="597"/>
      <c r="AP10" s="423"/>
      <c r="AQ10" s="56"/>
      <c r="AR10" s="596" t="s">
        <v>65</v>
      </c>
      <c r="AS10" s="596"/>
      <c r="AT10" s="596"/>
      <c r="AU10" s="596"/>
      <c r="AV10" s="596"/>
      <c r="AW10" s="597"/>
      <c r="AX10" s="597"/>
      <c r="AY10" s="597"/>
      <c r="AZ10" s="597"/>
      <c r="BA10" s="597"/>
    </row>
    <row r="11" spans="1:53" ht="63.7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61" t="s">
        <v>55</v>
      </c>
      <c r="AG11" s="61" t="s">
        <v>73</v>
      </c>
      <c r="AH11" s="61" t="s">
        <v>74</v>
      </c>
      <c r="AI11" s="61" t="s">
        <v>58</v>
      </c>
      <c r="AJ11" s="61" t="s">
        <v>59</v>
      </c>
      <c r="AK11" s="61" t="s">
        <v>60</v>
      </c>
      <c r="AL11" s="62" t="s">
        <v>75</v>
      </c>
      <c r="AM11" s="62" t="s">
        <v>76</v>
      </c>
      <c r="AN11" s="62" t="s">
        <v>61</v>
      </c>
      <c r="AO11" s="62" t="s">
        <v>62</v>
      </c>
      <c r="AP11" s="62"/>
      <c r="AQ11" s="43"/>
      <c r="AR11" s="61" t="s">
        <v>55</v>
      </c>
      <c r="AS11" s="61" t="s">
        <v>73</v>
      </c>
      <c r="AT11" s="61" t="s">
        <v>74</v>
      </c>
      <c r="AU11" s="61" t="s">
        <v>58</v>
      </c>
      <c r="AV11" s="61" t="s">
        <v>59</v>
      </c>
      <c r="AW11" s="61" t="s">
        <v>60</v>
      </c>
      <c r="AX11" s="62" t="s">
        <v>75</v>
      </c>
      <c r="AY11" s="62" t="s">
        <v>76</v>
      </c>
      <c r="AZ11" s="63" t="s">
        <v>61</v>
      </c>
      <c r="BA11" s="61" t="s">
        <v>62</v>
      </c>
    </row>
    <row r="12" spans="1:53" hidden="1">
      <c r="A12" s="55"/>
      <c r="B12" s="37"/>
      <c r="C12" s="37"/>
      <c r="AA12" s="57"/>
      <c r="AB12" s="57"/>
      <c r="AC12" s="57"/>
      <c r="AD12" s="57"/>
      <c r="AE12" s="57"/>
      <c r="AQ12" s="38"/>
    </row>
    <row r="13" spans="1:53" hidden="1">
      <c r="A13" s="37"/>
      <c r="B13" s="37"/>
      <c r="C13" s="37"/>
      <c r="AF13" s="36" t="e">
        <f t="shared" ref="AF13:AO13" si="2">AF$8*$AC16</f>
        <v>#REF!</v>
      </c>
      <c r="AG13" s="36" t="e">
        <f t="shared" si="2"/>
        <v>#REF!</v>
      </c>
      <c r="AH13" s="36" t="e">
        <f t="shared" si="2"/>
        <v>#REF!</v>
      </c>
      <c r="AI13" s="36" t="e">
        <f t="shared" si="2"/>
        <v>#REF!</v>
      </c>
      <c r="AJ13" s="36" t="e">
        <f t="shared" si="2"/>
        <v>#REF!</v>
      </c>
      <c r="AK13" s="36" t="e">
        <f t="shared" si="2"/>
        <v>#REF!</v>
      </c>
      <c r="AL13" s="36" t="e">
        <f t="shared" si="2"/>
        <v>#REF!</v>
      </c>
      <c r="AM13" s="36" t="e">
        <f t="shared" si="2"/>
        <v>#REF!</v>
      </c>
      <c r="AN13" s="36" t="e">
        <f t="shared" si="2"/>
        <v>#REF!</v>
      </c>
      <c r="AO13" s="36" t="e">
        <f t="shared" si="2"/>
        <v>#REF!</v>
      </c>
      <c r="AQ13" s="38"/>
      <c r="AR13" s="36" t="e">
        <f t="shared" ref="AR13:BA13" si="3">AR$8*$AC16</f>
        <v>#REF!</v>
      </c>
      <c r="AS13" s="36" t="e">
        <f t="shared" si="3"/>
        <v>#REF!</v>
      </c>
      <c r="AT13" s="36" t="e">
        <f t="shared" si="3"/>
        <v>#REF!</v>
      </c>
      <c r="AU13" s="36" t="e">
        <f t="shared" si="3"/>
        <v>#REF!</v>
      </c>
      <c r="AV13" s="36" t="e">
        <f t="shared" si="3"/>
        <v>#REF!</v>
      </c>
      <c r="AW13" s="36" t="e">
        <f t="shared" si="3"/>
        <v>#REF!</v>
      </c>
      <c r="AX13" s="36" t="e">
        <f t="shared" si="3"/>
        <v>#REF!</v>
      </c>
      <c r="AY13" s="36" t="e">
        <f t="shared" si="3"/>
        <v>#REF!</v>
      </c>
      <c r="AZ13" s="36" t="e">
        <f t="shared" si="3"/>
        <v>#REF!</v>
      </c>
      <c r="BA13" s="36" t="e">
        <f t="shared" si="3"/>
        <v>#REF!</v>
      </c>
    </row>
    <row r="14" spans="1:53" hidden="1">
      <c r="A14" s="37"/>
      <c r="B14" s="37"/>
      <c r="C14" s="37"/>
      <c r="AF14" s="36" t="e">
        <f t="shared" ref="AF14:AO14" si="4">AF$8*$AC17</f>
        <v>#REF!</v>
      </c>
      <c r="AG14" s="36" t="e">
        <f t="shared" si="4"/>
        <v>#REF!</v>
      </c>
      <c r="AH14" s="36" t="e">
        <f t="shared" si="4"/>
        <v>#REF!</v>
      </c>
      <c r="AI14" s="36" t="e">
        <f t="shared" si="4"/>
        <v>#REF!</v>
      </c>
      <c r="AJ14" s="36" t="e">
        <f t="shared" si="4"/>
        <v>#REF!</v>
      </c>
      <c r="AK14" s="36" t="e">
        <f t="shared" si="4"/>
        <v>#REF!</v>
      </c>
      <c r="AL14" s="36" t="e">
        <f t="shared" si="4"/>
        <v>#REF!</v>
      </c>
      <c r="AM14" s="36" t="e">
        <f t="shared" si="4"/>
        <v>#REF!</v>
      </c>
      <c r="AN14" s="36" t="e">
        <f t="shared" si="4"/>
        <v>#REF!</v>
      </c>
      <c r="AO14" s="36" t="e">
        <f t="shared" si="4"/>
        <v>#REF!</v>
      </c>
      <c r="AQ14" s="38"/>
      <c r="AR14" s="36" t="e">
        <f t="shared" ref="AR14:BA14" si="5">AR$8*$AC17</f>
        <v>#REF!</v>
      </c>
      <c r="AS14" s="36" t="e">
        <f t="shared" si="5"/>
        <v>#REF!</v>
      </c>
      <c r="AT14" s="36" t="e">
        <f t="shared" si="5"/>
        <v>#REF!</v>
      </c>
      <c r="AU14" s="36" t="e">
        <f t="shared" si="5"/>
        <v>#REF!</v>
      </c>
      <c r="AV14" s="36" t="e">
        <f t="shared" si="5"/>
        <v>#REF!</v>
      </c>
      <c r="AW14" s="36" t="e">
        <f t="shared" si="5"/>
        <v>#REF!</v>
      </c>
      <c r="AX14" s="36" t="e">
        <f t="shared" si="5"/>
        <v>#REF!</v>
      </c>
      <c r="AY14" s="36" t="e">
        <f t="shared" si="5"/>
        <v>#REF!</v>
      </c>
      <c r="AZ14" s="36" t="e">
        <f t="shared" si="5"/>
        <v>#REF!</v>
      </c>
      <c r="BA14" s="36" t="e">
        <f t="shared" si="5"/>
        <v>#REF!</v>
      </c>
    </row>
    <row r="15" spans="1:53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F15" s="36" t="e">
        <f t="shared" ref="AF15:AO15" si="6">AF$8*$AC18</f>
        <v>#REF!</v>
      </c>
      <c r="AG15" s="36" t="e">
        <f t="shared" si="6"/>
        <v>#REF!</v>
      </c>
      <c r="AH15" s="36" t="e">
        <f t="shared" si="6"/>
        <v>#REF!</v>
      </c>
      <c r="AI15" s="36" t="e">
        <f t="shared" si="6"/>
        <v>#REF!</v>
      </c>
      <c r="AJ15" s="36" t="e">
        <f t="shared" si="6"/>
        <v>#REF!</v>
      </c>
      <c r="AK15" s="36" t="e">
        <f t="shared" si="6"/>
        <v>#REF!</v>
      </c>
      <c r="AL15" s="36" t="e">
        <f t="shared" si="6"/>
        <v>#REF!</v>
      </c>
      <c r="AM15" s="36" t="e">
        <f t="shared" si="6"/>
        <v>#REF!</v>
      </c>
      <c r="AN15" s="36" t="e">
        <f t="shared" si="6"/>
        <v>#REF!</v>
      </c>
      <c r="AO15" s="36" t="e">
        <f t="shared" si="6"/>
        <v>#REF!</v>
      </c>
      <c r="AQ15" s="38"/>
      <c r="AR15" s="36" t="e">
        <f t="shared" ref="AR15:BA15" si="7">AR$8*$AC18</f>
        <v>#REF!</v>
      </c>
      <c r="AS15" s="36" t="e">
        <f t="shared" si="7"/>
        <v>#REF!</v>
      </c>
      <c r="AT15" s="36" t="e">
        <f t="shared" si="7"/>
        <v>#REF!</v>
      </c>
      <c r="AU15" s="36" t="e">
        <f t="shared" si="7"/>
        <v>#REF!</v>
      </c>
      <c r="AV15" s="36" t="e">
        <f t="shared" si="7"/>
        <v>#REF!</v>
      </c>
      <c r="AW15" s="36" t="e">
        <f t="shared" si="7"/>
        <v>#REF!</v>
      </c>
      <c r="AX15" s="36" t="e">
        <f t="shared" si="7"/>
        <v>#REF!</v>
      </c>
      <c r="AY15" s="36" t="e">
        <f t="shared" si="7"/>
        <v>#REF!</v>
      </c>
      <c r="AZ15" s="36" t="e">
        <f t="shared" si="7"/>
        <v>#REF!</v>
      </c>
      <c r="BA15" s="36" t="e">
        <f t="shared" si="7"/>
        <v>#REF!</v>
      </c>
    </row>
    <row r="16" spans="1:53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 t="shared" ref="AF16:AO16" si="8">AF$8*$AC19</f>
        <v>#REF!</v>
      </c>
      <c r="AG16" s="36" t="e">
        <f t="shared" si="8"/>
        <v>#REF!</v>
      </c>
      <c r="AH16" s="36" t="e">
        <f t="shared" si="8"/>
        <v>#REF!</v>
      </c>
      <c r="AI16" s="36" t="e">
        <f t="shared" si="8"/>
        <v>#REF!</v>
      </c>
      <c r="AJ16" s="36" t="e">
        <f t="shared" si="8"/>
        <v>#REF!</v>
      </c>
      <c r="AK16" s="36" t="e">
        <f t="shared" si="8"/>
        <v>#REF!</v>
      </c>
      <c r="AL16" s="36" t="e">
        <f t="shared" si="8"/>
        <v>#REF!</v>
      </c>
      <c r="AM16" s="36" t="e">
        <f t="shared" si="8"/>
        <v>#REF!</v>
      </c>
      <c r="AN16" s="36" t="e">
        <f t="shared" si="8"/>
        <v>#REF!</v>
      </c>
      <c r="AO16" s="36" t="e">
        <f t="shared" si="8"/>
        <v>#REF!</v>
      </c>
      <c r="AQ16" s="38"/>
      <c r="AR16" s="36" t="e">
        <f t="shared" ref="AR16:BA16" si="9">AR$8*$AC19</f>
        <v>#REF!</v>
      </c>
      <c r="AS16" s="36" t="e">
        <f t="shared" si="9"/>
        <v>#REF!</v>
      </c>
      <c r="AT16" s="36" t="e">
        <f t="shared" si="9"/>
        <v>#REF!</v>
      </c>
      <c r="AU16" s="36" t="e">
        <f t="shared" si="9"/>
        <v>#REF!</v>
      </c>
      <c r="AV16" s="36" t="e">
        <f t="shared" si="9"/>
        <v>#REF!</v>
      </c>
      <c r="AW16" s="36" t="e">
        <f t="shared" si="9"/>
        <v>#REF!</v>
      </c>
      <c r="AX16" s="36" t="e">
        <f t="shared" si="9"/>
        <v>#REF!</v>
      </c>
      <c r="AY16" s="36" t="e">
        <f t="shared" si="9"/>
        <v>#REF!</v>
      </c>
      <c r="AZ16" s="36" t="e">
        <f t="shared" si="9"/>
        <v>#REF!</v>
      </c>
      <c r="BA16" s="36" t="e">
        <f t="shared" si="9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O17" si="10">AF$8*$AC20</f>
        <v>#REF!</v>
      </c>
      <c r="AG17" s="36" t="e">
        <f t="shared" si="10"/>
        <v>#REF!</v>
      </c>
      <c r="AH17" s="36" t="e">
        <f t="shared" si="10"/>
        <v>#REF!</v>
      </c>
      <c r="AI17" s="36" t="e">
        <f t="shared" si="10"/>
        <v>#REF!</v>
      </c>
      <c r="AJ17" s="36" t="e">
        <f t="shared" si="10"/>
        <v>#REF!</v>
      </c>
      <c r="AK17" s="36" t="e">
        <f t="shared" si="10"/>
        <v>#REF!</v>
      </c>
      <c r="AL17" s="36" t="e">
        <f t="shared" si="10"/>
        <v>#REF!</v>
      </c>
      <c r="AM17" s="36" t="e">
        <f t="shared" si="10"/>
        <v>#REF!</v>
      </c>
      <c r="AN17" s="36" t="e">
        <f t="shared" si="10"/>
        <v>#REF!</v>
      </c>
      <c r="AO17" s="36" t="e">
        <f t="shared" si="10"/>
        <v>#REF!</v>
      </c>
      <c r="AQ17" s="38"/>
      <c r="AR17" s="36" t="e">
        <f t="shared" ref="AR17:BA17" si="11">AR$8*$AC20</f>
        <v>#REF!</v>
      </c>
      <c r="AS17" s="36" t="e">
        <f t="shared" si="11"/>
        <v>#REF!</v>
      </c>
      <c r="AT17" s="36" t="e">
        <f t="shared" si="11"/>
        <v>#REF!</v>
      </c>
      <c r="AU17" s="36" t="e">
        <f t="shared" si="11"/>
        <v>#REF!</v>
      </c>
      <c r="AV17" s="36" t="e">
        <f t="shared" si="11"/>
        <v>#REF!</v>
      </c>
      <c r="AW17" s="36" t="e">
        <f t="shared" si="11"/>
        <v>#REF!</v>
      </c>
      <c r="AX17" s="36" t="e">
        <f t="shared" si="11"/>
        <v>#REF!</v>
      </c>
      <c r="AY17" s="36" t="e">
        <f t="shared" si="11"/>
        <v>#REF!</v>
      </c>
      <c r="AZ17" s="36" t="e">
        <f t="shared" si="11"/>
        <v>#REF!</v>
      </c>
      <c r="BA17" s="36" t="e">
        <f t="shared" si="11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ref="AF18:AO18" si="12">AF$8*$AC21</f>
        <v>#REF!</v>
      </c>
      <c r="AG18" s="36" t="e">
        <f t="shared" si="12"/>
        <v>#REF!</v>
      </c>
      <c r="AH18" s="36" t="e">
        <f t="shared" si="12"/>
        <v>#REF!</v>
      </c>
      <c r="AI18" s="36" t="e">
        <f t="shared" si="12"/>
        <v>#REF!</v>
      </c>
      <c r="AJ18" s="36" t="e">
        <f t="shared" si="12"/>
        <v>#REF!</v>
      </c>
      <c r="AK18" s="36" t="e">
        <f t="shared" si="12"/>
        <v>#REF!</v>
      </c>
      <c r="AL18" s="36" t="e">
        <f t="shared" si="12"/>
        <v>#REF!</v>
      </c>
      <c r="AM18" s="36" t="e">
        <f t="shared" si="12"/>
        <v>#REF!</v>
      </c>
      <c r="AN18" s="36" t="e">
        <f t="shared" si="12"/>
        <v>#REF!</v>
      </c>
      <c r="AO18" s="36" t="e">
        <f t="shared" si="12"/>
        <v>#REF!</v>
      </c>
      <c r="AQ18" s="38"/>
      <c r="AR18" s="36" t="e">
        <f t="shared" ref="AR18:BA18" si="13">AR$8*$AC21</f>
        <v>#REF!</v>
      </c>
      <c r="AS18" s="36" t="e">
        <f t="shared" si="13"/>
        <v>#REF!</v>
      </c>
      <c r="AT18" s="36" t="e">
        <f t="shared" si="13"/>
        <v>#REF!</v>
      </c>
      <c r="AU18" s="36" t="e">
        <f t="shared" si="13"/>
        <v>#REF!</v>
      </c>
      <c r="AV18" s="36" t="e">
        <f t="shared" si="13"/>
        <v>#REF!</v>
      </c>
      <c r="AW18" s="36" t="e">
        <f t="shared" si="13"/>
        <v>#REF!</v>
      </c>
      <c r="AX18" s="36" t="e">
        <f t="shared" si="13"/>
        <v>#REF!</v>
      </c>
      <c r="AY18" s="36" t="e">
        <f t="shared" si="13"/>
        <v>#REF!</v>
      </c>
      <c r="AZ18" s="36" t="e">
        <f t="shared" si="13"/>
        <v>#REF!</v>
      </c>
      <c r="BA18" s="36" t="e">
        <f t="shared" si="13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ref="AF19:AO19" si="14">AF$8*$AC22</f>
        <v>#REF!</v>
      </c>
      <c r="AG19" s="36" t="e">
        <f t="shared" si="14"/>
        <v>#REF!</v>
      </c>
      <c r="AH19" s="36" t="e">
        <f t="shared" si="14"/>
        <v>#REF!</v>
      </c>
      <c r="AI19" s="36" t="e">
        <f t="shared" si="14"/>
        <v>#REF!</v>
      </c>
      <c r="AJ19" s="36" t="e">
        <f t="shared" si="14"/>
        <v>#REF!</v>
      </c>
      <c r="AK19" s="36" t="e">
        <f t="shared" si="14"/>
        <v>#REF!</v>
      </c>
      <c r="AL19" s="36" t="e">
        <f t="shared" si="14"/>
        <v>#REF!</v>
      </c>
      <c r="AM19" s="36" t="e">
        <f t="shared" si="14"/>
        <v>#REF!</v>
      </c>
      <c r="AN19" s="36" t="e">
        <f t="shared" si="14"/>
        <v>#REF!</v>
      </c>
      <c r="AO19" s="36" t="e">
        <f t="shared" si="14"/>
        <v>#REF!</v>
      </c>
      <c r="AQ19" s="38"/>
      <c r="AR19" s="36" t="e">
        <f t="shared" ref="AR19:BA19" si="15">AR$8*$AC22</f>
        <v>#REF!</v>
      </c>
      <c r="AS19" s="36" t="e">
        <f t="shared" si="15"/>
        <v>#REF!</v>
      </c>
      <c r="AT19" s="36" t="e">
        <f t="shared" si="15"/>
        <v>#REF!</v>
      </c>
      <c r="AU19" s="36" t="e">
        <f t="shared" si="15"/>
        <v>#REF!</v>
      </c>
      <c r="AV19" s="36" t="e">
        <f t="shared" si="15"/>
        <v>#REF!</v>
      </c>
      <c r="AW19" s="36" t="e">
        <f t="shared" si="15"/>
        <v>#REF!</v>
      </c>
      <c r="AX19" s="36" t="e">
        <f t="shared" si="15"/>
        <v>#REF!</v>
      </c>
      <c r="AY19" s="36" t="e">
        <f t="shared" si="15"/>
        <v>#REF!</v>
      </c>
      <c r="AZ19" s="36" t="e">
        <f t="shared" si="15"/>
        <v>#REF!</v>
      </c>
      <c r="BA19" s="36" t="e">
        <f t="shared" si="15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ref="AF20:AO20" si="16">AF$8*$AC23</f>
        <v>#REF!</v>
      </c>
      <c r="AG20" s="36" t="e">
        <f t="shared" si="16"/>
        <v>#REF!</v>
      </c>
      <c r="AH20" s="36" t="e">
        <f t="shared" si="16"/>
        <v>#REF!</v>
      </c>
      <c r="AI20" s="36" t="e">
        <f t="shared" si="16"/>
        <v>#REF!</v>
      </c>
      <c r="AJ20" s="36" t="e">
        <f t="shared" si="16"/>
        <v>#REF!</v>
      </c>
      <c r="AK20" s="36" t="e">
        <f t="shared" si="16"/>
        <v>#REF!</v>
      </c>
      <c r="AL20" s="36" t="e">
        <f t="shared" si="16"/>
        <v>#REF!</v>
      </c>
      <c r="AM20" s="36" t="e">
        <f t="shared" si="16"/>
        <v>#REF!</v>
      </c>
      <c r="AN20" s="36" t="e">
        <f t="shared" si="16"/>
        <v>#REF!</v>
      </c>
      <c r="AO20" s="36" t="e">
        <f t="shared" si="16"/>
        <v>#REF!</v>
      </c>
      <c r="AQ20" s="38"/>
      <c r="AR20" s="36" t="e">
        <f t="shared" ref="AR20:BA20" si="17">AR$8*$AC23</f>
        <v>#REF!</v>
      </c>
      <c r="AS20" s="36" t="e">
        <f t="shared" si="17"/>
        <v>#REF!</v>
      </c>
      <c r="AT20" s="36" t="e">
        <f t="shared" si="17"/>
        <v>#REF!</v>
      </c>
      <c r="AU20" s="36" t="e">
        <f t="shared" si="17"/>
        <v>#REF!</v>
      </c>
      <c r="AV20" s="36" t="e">
        <f t="shared" si="17"/>
        <v>#REF!</v>
      </c>
      <c r="AW20" s="36" t="e">
        <f t="shared" si="17"/>
        <v>#REF!</v>
      </c>
      <c r="AX20" s="36" t="e">
        <f t="shared" si="17"/>
        <v>#REF!</v>
      </c>
      <c r="AY20" s="36" t="e">
        <f t="shared" si="17"/>
        <v>#REF!</v>
      </c>
      <c r="AZ20" s="36" t="e">
        <f t="shared" si="17"/>
        <v>#REF!</v>
      </c>
      <c r="BA20" s="36" t="e">
        <f t="shared" si="17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ref="AF21:AO21" si="18">AF$8*$AC24</f>
        <v>#REF!</v>
      </c>
      <c r="AG21" s="36" t="e">
        <f t="shared" si="18"/>
        <v>#REF!</v>
      </c>
      <c r="AH21" s="36" t="e">
        <f t="shared" si="18"/>
        <v>#REF!</v>
      </c>
      <c r="AI21" s="36" t="e">
        <f t="shared" si="18"/>
        <v>#REF!</v>
      </c>
      <c r="AJ21" s="36" t="e">
        <f t="shared" si="18"/>
        <v>#REF!</v>
      </c>
      <c r="AK21" s="36" t="e">
        <f t="shared" si="18"/>
        <v>#REF!</v>
      </c>
      <c r="AL21" s="36" t="e">
        <f t="shared" si="18"/>
        <v>#REF!</v>
      </c>
      <c r="AM21" s="36" t="e">
        <f t="shared" si="18"/>
        <v>#REF!</v>
      </c>
      <c r="AN21" s="36" t="e">
        <f t="shared" si="18"/>
        <v>#REF!</v>
      </c>
      <c r="AO21" s="36" t="e">
        <f t="shared" si="18"/>
        <v>#REF!</v>
      </c>
      <c r="AQ21" s="38"/>
      <c r="AR21" s="36" t="e">
        <f t="shared" ref="AR21:BA21" si="19">AR$8*$AC24</f>
        <v>#REF!</v>
      </c>
      <c r="AS21" s="36" t="e">
        <f t="shared" si="19"/>
        <v>#REF!</v>
      </c>
      <c r="AT21" s="36" t="e">
        <f t="shared" si="19"/>
        <v>#REF!</v>
      </c>
      <c r="AU21" s="36" t="e">
        <f t="shared" si="19"/>
        <v>#REF!</v>
      </c>
      <c r="AV21" s="36" t="e">
        <f t="shared" si="19"/>
        <v>#REF!</v>
      </c>
      <c r="AW21" s="36" t="e">
        <f t="shared" si="19"/>
        <v>#REF!</v>
      </c>
      <c r="AX21" s="36" t="e">
        <f t="shared" si="19"/>
        <v>#REF!</v>
      </c>
      <c r="AY21" s="36" t="e">
        <f t="shared" si="19"/>
        <v>#REF!</v>
      </c>
      <c r="AZ21" s="36" t="e">
        <f t="shared" si="19"/>
        <v>#REF!</v>
      </c>
      <c r="BA21" s="36" t="e">
        <f t="shared" si="19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Q22" s="38"/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Q23" s="38"/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ref="AF24:AO24" si="20">AF$8*$AC27</f>
        <v>#REF!</v>
      </c>
      <c r="AG24" s="36" t="e">
        <f t="shared" si="20"/>
        <v>#REF!</v>
      </c>
      <c r="AH24" s="36" t="e">
        <f t="shared" si="20"/>
        <v>#REF!</v>
      </c>
      <c r="AI24" s="36" t="e">
        <f t="shared" si="20"/>
        <v>#REF!</v>
      </c>
      <c r="AJ24" s="36" t="e">
        <f t="shared" si="20"/>
        <v>#REF!</v>
      </c>
      <c r="AK24" s="36" t="e">
        <f t="shared" si="20"/>
        <v>#REF!</v>
      </c>
      <c r="AL24" s="36" t="e">
        <f t="shared" si="20"/>
        <v>#REF!</v>
      </c>
      <c r="AM24" s="36" t="e">
        <f t="shared" si="20"/>
        <v>#REF!</v>
      </c>
      <c r="AN24" s="36" t="e">
        <f t="shared" si="20"/>
        <v>#REF!</v>
      </c>
      <c r="AO24" s="36" t="e">
        <f t="shared" si="20"/>
        <v>#REF!</v>
      </c>
      <c r="AQ24" s="38"/>
      <c r="AR24" s="36" t="e">
        <f t="shared" ref="AR24:BA24" si="21">AR$8*$AC27</f>
        <v>#REF!</v>
      </c>
      <c r="AS24" s="36" t="e">
        <f t="shared" si="21"/>
        <v>#REF!</v>
      </c>
      <c r="AT24" s="36" t="e">
        <f t="shared" si="21"/>
        <v>#REF!</v>
      </c>
      <c r="AU24" s="36" t="e">
        <f t="shared" si="21"/>
        <v>#REF!</v>
      </c>
      <c r="AV24" s="36" t="e">
        <f t="shared" si="21"/>
        <v>#REF!</v>
      </c>
      <c r="AW24" s="36" t="e">
        <f t="shared" si="21"/>
        <v>#REF!</v>
      </c>
      <c r="AX24" s="36" t="e">
        <f t="shared" si="21"/>
        <v>#REF!</v>
      </c>
      <c r="AY24" s="36" t="e">
        <f t="shared" si="21"/>
        <v>#REF!</v>
      </c>
      <c r="AZ24" s="36" t="e">
        <f t="shared" si="21"/>
        <v>#REF!</v>
      </c>
      <c r="BA24" s="36" t="e">
        <f t="shared" si="21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F25" s="36" t="e">
        <f t="shared" ref="AF25:AO25" si="22">AF$8*$AC28</f>
        <v>#REF!</v>
      </c>
      <c r="AG25" s="36" t="e">
        <f t="shared" si="22"/>
        <v>#REF!</v>
      </c>
      <c r="AH25" s="36" t="e">
        <f t="shared" si="22"/>
        <v>#REF!</v>
      </c>
      <c r="AI25" s="36" t="e">
        <f t="shared" si="22"/>
        <v>#REF!</v>
      </c>
      <c r="AJ25" s="36" t="e">
        <f t="shared" si="22"/>
        <v>#REF!</v>
      </c>
      <c r="AK25" s="36" t="e">
        <f t="shared" si="22"/>
        <v>#REF!</v>
      </c>
      <c r="AL25" s="36" t="e">
        <f t="shared" si="22"/>
        <v>#REF!</v>
      </c>
      <c r="AM25" s="36" t="e">
        <f t="shared" si="22"/>
        <v>#REF!</v>
      </c>
      <c r="AN25" s="36" t="e">
        <f t="shared" si="22"/>
        <v>#REF!</v>
      </c>
      <c r="AO25" s="36" t="e">
        <f t="shared" si="22"/>
        <v>#REF!</v>
      </c>
      <c r="AQ25" s="38"/>
      <c r="AR25" s="36" t="e">
        <f t="shared" ref="AR25:BA25" si="23">AR$8*$AC28</f>
        <v>#REF!</v>
      </c>
      <c r="AS25" s="36" t="e">
        <f t="shared" si="23"/>
        <v>#REF!</v>
      </c>
      <c r="AT25" s="36" t="e">
        <f t="shared" si="23"/>
        <v>#REF!</v>
      </c>
      <c r="AU25" s="36" t="e">
        <f t="shared" si="23"/>
        <v>#REF!</v>
      </c>
      <c r="AV25" s="36" t="e">
        <f t="shared" si="23"/>
        <v>#REF!</v>
      </c>
      <c r="AW25" s="36" t="e">
        <f t="shared" si="23"/>
        <v>#REF!</v>
      </c>
      <c r="AX25" s="36" t="e">
        <f t="shared" si="23"/>
        <v>#REF!</v>
      </c>
      <c r="AY25" s="36" t="e">
        <f t="shared" si="23"/>
        <v>#REF!</v>
      </c>
      <c r="AZ25" s="36" t="e">
        <f t="shared" si="23"/>
        <v>#REF!</v>
      </c>
      <c r="BA25" s="36" t="e">
        <f t="shared" si="23"/>
        <v>#REF!</v>
      </c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F26" s="36" t="e">
        <f t="shared" ref="AF26:AO26" si="24">AF$8*$AC29</f>
        <v>#REF!</v>
      </c>
      <c r="AG26" s="36" t="e">
        <f t="shared" si="24"/>
        <v>#REF!</v>
      </c>
      <c r="AH26" s="36" t="e">
        <f t="shared" si="24"/>
        <v>#REF!</v>
      </c>
      <c r="AI26" s="36" t="e">
        <f t="shared" si="24"/>
        <v>#REF!</v>
      </c>
      <c r="AJ26" s="36" t="e">
        <f t="shared" si="24"/>
        <v>#REF!</v>
      </c>
      <c r="AK26" s="36" t="e">
        <f t="shared" si="24"/>
        <v>#REF!</v>
      </c>
      <c r="AL26" s="36" t="e">
        <f t="shared" si="24"/>
        <v>#REF!</v>
      </c>
      <c r="AM26" s="36" t="e">
        <f t="shared" si="24"/>
        <v>#REF!</v>
      </c>
      <c r="AN26" s="36" t="e">
        <f t="shared" si="24"/>
        <v>#REF!</v>
      </c>
      <c r="AO26" s="36" t="e">
        <f t="shared" si="24"/>
        <v>#REF!</v>
      </c>
      <c r="AQ26" s="38"/>
      <c r="AR26" s="36" t="e">
        <f t="shared" ref="AR26:BA26" si="25">AR$8*$AC29</f>
        <v>#REF!</v>
      </c>
      <c r="AS26" s="36" t="e">
        <f t="shared" si="25"/>
        <v>#REF!</v>
      </c>
      <c r="AT26" s="36" t="e">
        <f t="shared" si="25"/>
        <v>#REF!</v>
      </c>
      <c r="AU26" s="36" t="e">
        <f t="shared" si="25"/>
        <v>#REF!</v>
      </c>
      <c r="AV26" s="36" t="e">
        <f t="shared" si="25"/>
        <v>#REF!</v>
      </c>
      <c r="AW26" s="36" t="e">
        <f t="shared" si="25"/>
        <v>#REF!</v>
      </c>
      <c r="AX26" s="36" t="e">
        <f t="shared" si="25"/>
        <v>#REF!</v>
      </c>
      <c r="AY26" s="36" t="e">
        <f t="shared" si="25"/>
        <v>#REF!</v>
      </c>
      <c r="AZ26" s="36" t="e">
        <f t="shared" si="25"/>
        <v>#REF!</v>
      </c>
      <c r="BA26" s="36" t="e">
        <f t="shared" si="25"/>
        <v>#REF!</v>
      </c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27" si="26">AF$8*$AC30</f>
        <v>#REF!</v>
      </c>
      <c r="AG27" s="36" t="e">
        <f t="shared" si="26"/>
        <v>#REF!</v>
      </c>
      <c r="AH27" s="36" t="e">
        <f t="shared" si="26"/>
        <v>#REF!</v>
      </c>
      <c r="AI27" s="36" t="e">
        <f t="shared" si="26"/>
        <v>#REF!</v>
      </c>
      <c r="AJ27" s="36" t="e">
        <f t="shared" si="26"/>
        <v>#REF!</v>
      </c>
      <c r="AK27" s="36" t="e">
        <f t="shared" si="26"/>
        <v>#REF!</v>
      </c>
      <c r="AL27" s="36" t="e">
        <f t="shared" si="26"/>
        <v>#REF!</v>
      </c>
      <c r="AM27" s="36" t="e">
        <f t="shared" si="26"/>
        <v>#REF!</v>
      </c>
      <c r="AN27" s="36" t="e">
        <f t="shared" si="26"/>
        <v>#REF!</v>
      </c>
      <c r="AO27" s="36" t="e">
        <f t="shared" si="26"/>
        <v>#REF!</v>
      </c>
      <c r="AQ27" s="38"/>
      <c r="AR27" s="36" t="e">
        <f t="shared" ref="AR27:BA27" si="27">AR$8*$AC30</f>
        <v>#REF!</v>
      </c>
      <c r="AS27" s="36" t="e">
        <f t="shared" si="27"/>
        <v>#REF!</v>
      </c>
      <c r="AT27" s="36" t="e">
        <f t="shared" si="27"/>
        <v>#REF!</v>
      </c>
      <c r="AU27" s="36" t="e">
        <f t="shared" si="27"/>
        <v>#REF!</v>
      </c>
      <c r="AV27" s="36" t="e">
        <f t="shared" si="27"/>
        <v>#REF!</v>
      </c>
      <c r="AW27" s="36" t="e">
        <f t="shared" si="27"/>
        <v>#REF!</v>
      </c>
      <c r="AX27" s="36" t="e">
        <f t="shared" si="27"/>
        <v>#REF!</v>
      </c>
      <c r="AY27" s="36" t="e">
        <f t="shared" si="27"/>
        <v>#REF!</v>
      </c>
      <c r="AZ27" s="36" t="e">
        <f t="shared" si="27"/>
        <v>#REF!</v>
      </c>
      <c r="BA27" s="36" t="e">
        <f t="shared" si="27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ref="AF28:AO28" si="28">AF$8*$AC31</f>
        <v>#REF!</v>
      </c>
      <c r="AG28" s="36" t="e">
        <f t="shared" si="28"/>
        <v>#REF!</v>
      </c>
      <c r="AH28" s="36" t="e">
        <f t="shared" si="28"/>
        <v>#REF!</v>
      </c>
      <c r="AI28" s="36" t="e">
        <f t="shared" si="28"/>
        <v>#REF!</v>
      </c>
      <c r="AJ28" s="36" t="e">
        <f t="shared" si="28"/>
        <v>#REF!</v>
      </c>
      <c r="AK28" s="36" t="e">
        <f t="shared" si="28"/>
        <v>#REF!</v>
      </c>
      <c r="AL28" s="36" t="e">
        <f t="shared" si="28"/>
        <v>#REF!</v>
      </c>
      <c r="AM28" s="36" t="e">
        <f t="shared" si="28"/>
        <v>#REF!</v>
      </c>
      <c r="AN28" s="36" t="e">
        <f t="shared" si="28"/>
        <v>#REF!</v>
      </c>
      <c r="AO28" s="36" t="e">
        <f t="shared" si="28"/>
        <v>#REF!</v>
      </c>
      <c r="AQ28" s="38"/>
      <c r="AR28" s="36" t="e">
        <f t="shared" ref="AR28:BA28" si="29">AR$8*$AC31</f>
        <v>#REF!</v>
      </c>
      <c r="AS28" s="36" t="e">
        <f t="shared" si="29"/>
        <v>#REF!</v>
      </c>
      <c r="AT28" s="36" t="e">
        <f t="shared" si="29"/>
        <v>#REF!</v>
      </c>
      <c r="AU28" s="36" t="e">
        <f t="shared" si="29"/>
        <v>#REF!</v>
      </c>
      <c r="AV28" s="36" t="e">
        <f t="shared" si="29"/>
        <v>#REF!</v>
      </c>
      <c r="AW28" s="36" t="e">
        <f t="shared" si="29"/>
        <v>#REF!</v>
      </c>
      <c r="AX28" s="36" t="e">
        <f t="shared" si="29"/>
        <v>#REF!</v>
      </c>
      <c r="AY28" s="36" t="e">
        <f t="shared" si="29"/>
        <v>#REF!</v>
      </c>
      <c r="AZ28" s="36" t="e">
        <f t="shared" si="29"/>
        <v>#REF!</v>
      </c>
      <c r="BA28" s="36" t="e">
        <f t="shared" si="29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ref="AF29:AO29" si="30">AF$8*$AC32</f>
        <v>#REF!</v>
      </c>
      <c r="AG29" s="36" t="e">
        <f t="shared" si="30"/>
        <v>#REF!</v>
      </c>
      <c r="AH29" s="36" t="e">
        <f t="shared" si="30"/>
        <v>#REF!</v>
      </c>
      <c r="AI29" s="36" t="e">
        <f t="shared" si="30"/>
        <v>#REF!</v>
      </c>
      <c r="AJ29" s="36" t="e">
        <f t="shared" si="30"/>
        <v>#REF!</v>
      </c>
      <c r="AK29" s="36" t="e">
        <f t="shared" si="30"/>
        <v>#REF!</v>
      </c>
      <c r="AL29" s="36" t="e">
        <f t="shared" si="30"/>
        <v>#REF!</v>
      </c>
      <c r="AM29" s="36" t="e">
        <f t="shared" si="30"/>
        <v>#REF!</v>
      </c>
      <c r="AN29" s="36" t="e">
        <f t="shared" si="30"/>
        <v>#REF!</v>
      </c>
      <c r="AO29" s="36" t="e">
        <f t="shared" si="30"/>
        <v>#REF!</v>
      </c>
      <c r="AQ29" s="38"/>
      <c r="AR29" s="36" t="e">
        <f t="shared" ref="AR29:BA29" si="31">AR$8*$AC32</f>
        <v>#REF!</v>
      </c>
      <c r="AS29" s="36" t="e">
        <f t="shared" si="31"/>
        <v>#REF!</v>
      </c>
      <c r="AT29" s="36" t="e">
        <f t="shared" si="31"/>
        <v>#REF!</v>
      </c>
      <c r="AU29" s="36" t="e">
        <f t="shared" si="31"/>
        <v>#REF!</v>
      </c>
      <c r="AV29" s="36" t="e">
        <f t="shared" si="31"/>
        <v>#REF!</v>
      </c>
      <c r="AW29" s="36" t="e">
        <f t="shared" si="31"/>
        <v>#REF!</v>
      </c>
      <c r="AX29" s="36" t="e">
        <f t="shared" si="31"/>
        <v>#REF!</v>
      </c>
      <c r="AY29" s="36" t="e">
        <f t="shared" si="31"/>
        <v>#REF!</v>
      </c>
      <c r="AZ29" s="36" t="e">
        <f t="shared" si="31"/>
        <v>#REF!</v>
      </c>
      <c r="BA29" s="36" t="e">
        <f t="shared" si="31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ref="AF30:AO30" si="32">AF$8*$AC33</f>
        <v>#REF!</v>
      </c>
      <c r="AG30" s="36" t="e">
        <f t="shared" si="32"/>
        <v>#REF!</v>
      </c>
      <c r="AH30" s="36" t="e">
        <f t="shared" si="32"/>
        <v>#REF!</v>
      </c>
      <c r="AI30" s="36" t="e">
        <f t="shared" si="32"/>
        <v>#REF!</v>
      </c>
      <c r="AJ30" s="36" t="e">
        <f t="shared" si="32"/>
        <v>#REF!</v>
      </c>
      <c r="AK30" s="36" t="e">
        <f t="shared" si="32"/>
        <v>#REF!</v>
      </c>
      <c r="AL30" s="36" t="e">
        <f t="shared" si="32"/>
        <v>#REF!</v>
      </c>
      <c r="AM30" s="36" t="e">
        <f t="shared" si="32"/>
        <v>#REF!</v>
      </c>
      <c r="AN30" s="36" t="e">
        <f t="shared" si="32"/>
        <v>#REF!</v>
      </c>
      <c r="AO30" s="36" t="e">
        <f t="shared" si="32"/>
        <v>#REF!</v>
      </c>
      <c r="AQ30" s="38"/>
      <c r="AR30" s="36" t="e">
        <f t="shared" ref="AR30:BA30" si="33">AR$8*$AC33</f>
        <v>#REF!</v>
      </c>
      <c r="AS30" s="36" t="e">
        <f t="shared" si="33"/>
        <v>#REF!</v>
      </c>
      <c r="AT30" s="36" t="e">
        <f t="shared" si="33"/>
        <v>#REF!</v>
      </c>
      <c r="AU30" s="36" t="e">
        <f t="shared" si="33"/>
        <v>#REF!</v>
      </c>
      <c r="AV30" s="36" t="e">
        <f t="shared" si="33"/>
        <v>#REF!</v>
      </c>
      <c r="AW30" s="36" t="e">
        <f t="shared" si="33"/>
        <v>#REF!</v>
      </c>
      <c r="AX30" s="36" t="e">
        <f t="shared" si="33"/>
        <v>#REF!</v>
      </c>
      <c r="AY30" s="36" t="e">
        <f t="shared" si="33"/>
        <v>#REF!</v>
      </c>
      <c r="AZ30" s="36" t="e">
        <f t="shared" si="33"/>
        <v>#REF!</v>
      </c>
      <c r="BA30" s="36" t="e">
        <f t="shared" si="33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ref="AF31:AO31" si="34">AF$8*$AC34</f>
        <v>#REF!</v>
      </c>
      <c r="AG31" s="36" t="e">
        <f t="shared" si="34"/>
        <v>#REF!</v>
      </c>
      <c r="AH31" s="36" t="e">
        <f t="shared" si="34"/>
        <v>#REF!</v>
      </c>
      <c r="AI31" s="36" t="e">
        <f t="shared" si="34"/>
        <v>#REF!</v>
      </c>
      <c r="AJ31" s="36" t="e">
        <f t="shared" si="34"/>
        <v>#REF!</v>
      </c>
      <c r="AK31" s="36" t="e">
        <f t="shared" si="34"/>
        <v>#REF!</v>
      </c>
      <c r="AL31" s="36" t="e">
        <f t="shared" si="34"/>
        <v>#REF!</v>
      </c>
      <c r="AM31" s="36" t="e">
        <f t="shared" si="34"/>
        <v>#REF!</v>
      </c>
      <c r="AN31" s="36" t="e">
        <f t="shared" si="34"/>
        <v>#REF!</v>
      </c>
      <c r="AO31" s="36" t="e">
        <f t="shared" si="34"/>
        <v>#REF!</v>
      </c>
      <c r="AQ31" s="38"/>
      <c r="AR31" s="36" t="e">
        <f t="shared" ref="AR31:BA31" si="35">AR$8*$AC34</f>
        <v>#REF!</v>
      </c>
      <c r="AS31" s="36" t="e">
        <f t="shared" si="35"/>
        <v>#REF!</v>
      </c>
      <c r="AT31" s="36" t="e">
        <f t="shared" si="35"/>
        <v>#REF!</v>
      </c>
      <c r="AU31" s="36" t="e">
        <f t="shared" si="35"/>
        <v>#REF!</v>
      </c>
      <c r="AV31" s="36" t="e">
        <f t="shared" si="35"/>
        <v>#REF!</v>
      </c>
      <c r="AW31" s="36" t="e">
        <f t="shared" si="35"/>
        <v>#REF!</v>
      </c>
      <c r="AX31" s="36" t="e">
        <f t="shared" si="35"/>
        <v>#REF!</v>
      </c>
      <c r="AY31" s="36" t="e">
        <f t="shared" si="35"/>
        <v>#REF!</v>
      </c>
      <c r="AZ31" s="36" t="e">
        <f t="shared" si="35"/>
        <v>#REF!</v>
      </c>
      <c r="BA31" s="36" t="e">
        <f t="shared" si="35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ref="AF32:AO32" si="36">AF$8*$AC35</f>
        <v>#REF!</v>
      </c>
      <c r="AG32" s="36" t="e">
        <f t="shared" si="36"/>
        <v>#REF!</v>
      </c>
      <c r="AH32" s="36" t="e">
        <f t="shared" si="36"/>
        <v>#REF!</v>
      </c>
      <c r="AI32" s="36" t="e">
        <f t="shared" si="36"/>
        <v>#REF!</v>
      </c>
      <c r="AJ32" s="36" t="e">
        <f t="shared" si="36"/>
        <v>#REF!</v>
      </c>
      <c r="AK32" s="36" t="e">
        <f t="shared" si="36"/>
        <v>#REF!</v>
      </c>
      <c r="AL32" s="36" t="e">
        <f t="shared" si="36"/>
        <v>#REF!</v>
      </c>
      <c r="AM32" s="36" t="e">
        <f t="shared" si="36"/>
        <v>#REF!</v>
      </c>
      <c r="AN32" s="36" t="e">
        <f t="shared" si="36"/>
        <v>#REF!</v>
      </c>
      <c r="AO32" s="36" t="e">
        <f t="shared" si="36"/>
        <v>#REF!</v>
      </c>
      <c r="AQ32" s="38"/>
      <c r="AR32" s="36" t="e">
        <f t="shared" ref="AR32:BA32" si="37">AR$8*$AC35</f>
        <v>#REF!</v>
      </c>
      <c r="AS32" s="36" t="e">
        <f t="shared" si="37"/>
        <v>#REF!</v>
      </c>
      <c r="AT32" s="36" t="e">
        <f t="shared" si="37"/>
        <v>#REF!</v>
      </c>
      <c r="AU32" s="36" t="e">
        <f t="shared" si="37"/>
        <v>#REF!</v>
      </c>
      <c r="AV32" s="36" t="e">
        <f t="shared" si="37"/>
        <v>#REF!</v>
      </c>
      <c r="AW32" s="36" t="e">
        <f t="shared" si="37"/>
        <v>#REF!</v>
      </c>
      <c r="AX32" s="36" t="e">
        <f t="shared" si="37"/>
        <v>#REF!</v>
      </c>
      <c r="AY32" s="36" t="e">
        <f t="shared" si="37"/>
        <v>#REF!</v>
      </c>
      <c r="AZ32" s="36" t="e">
        <f t="shared" si="37"/>
        <v>#REF!</v>
      </c>
      <c r="BA32" s="36" t="e">
        <f t="shared" si="37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Q33" s="38"/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Q34" s="38"/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ref="AF35:AO35" si="38">AF$8*$AC38</f>
        <v>#REF!</v>
      </c>
      <c r="AG35" s="36" t="e">
        <f t="shared" si="38"/>
        <v>#REF!</v>
      </c>
      <c r="AH35" s="36" t="e">
        <f t="shared" si="38"/>
        <v>#REF!</v>
      </c>
      <c r="AI35" s="36" t="e">
        <f t="shared" si="38"/>
        <v>#REF!</v>
      </c>
      <c r="AJ35" s="36" t="e">
        <f t="shared" si="38"/>
        <v>#REF!</v>
      </c>
      <c r="AK35" s="36" t="e">
        <f t="shared" si="38"/>
        <v>#REF!</v>
      </c>
      <c r="AL35" s="36" t="e">
        <f t="shared" si="38"/>
        <v>#REF!</v>
      </c>
      <c r="AM35" s="36" t="e">
        <f t="shared" si="38"/>
        <v>#REF!</v>
      </c>
      <c r="AN35" s="36" t="e">
        <f t="shared" si="38"/>
        <v>#REF!</v>
      </c>
      <c r="AO35" s="36" t="e">
        <f t="shared" si="38"/>
        <v>#REF!</v>
      </c>
      <c r="AQ35" s="38"/>
      <c r="AR35" s="36" t="e">
        <f t="shared" ref="AR35:BA35" si="39">AR$8*$AC38</f>
        <v>#REF!</v>
      </c>
      <c r="AS35" s="36" t="e">
        <f t="shared" si="39"/>
        <v>#REF!</v>
      </c>
      <c r="AT35" s="36" t="e">
        <f t="shared" si="39"/>
        <v>#REF!</v>
      </c>
      <c r="AU35" s="36" t="e">
        <f t="shared" si="39"/>
        <v>#REF!</v>
      </c>
      <c r="AV35" s="36" t="e">
        <f t="shared" si="39"/>
        <v>#REF!</v>
      </c>
      <c r="AW35" s="36" t="e">
        <f t="shared" si="39"/>
        <v>#REF!</v>
      </c>
      <c r="AX35" s="36" t="e">
        <f t="shared" si="39"/>
        <v>#REF!</v>
      </c>
      <c r="AY35" s="36" t="e">
        <f t="shared" si="39"/>
        <v>#REF!</v>
      </c>
      <c r="AZ35" s="36" t="e">
        <f t="shared" si="39"/>
        <v>#REF!</v>
      </c>
      <c r="BA35" s="36" t="e">
        <f t="shared" si="39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F36" s="36" t="e">
        <f t="shared" ref="AF36:AO36" si="40">AF$8*$AC39</f>
        <v>#REF!</v>
      </c>
      <c r="AG36" s="36" t="e">
        <f t="shared" si="40"/>
        <v>#REF!</v>
      </c>
      <c r="AH36" s="36" t="e">
        <f t="shared" si="40"/>
        <v>#REF!</v>
      </c>
      <c r="AI36" s="36" t="e">
        <f t="shared" si="40"/>
        <v>#REF!</v>
      </c>
      <c r="AJ36" s="36" t="e">
        <f t="shared" si="40"/>
        <v>#REF!</v>
      </c>
      <c r="AK36" s="36" t="e">
        <f t="shared" si="40"/>
        <v>#REF!</v>
      </c>
      <c r="AL36" s="36" t="e">
        <f t="shared" si="40"/>
        <v>#REF!</v>
      </c>
      <c r="AM36" s="36" t="e">
        <f t="shared" si="40"/>
        <v>#REF!</v>
      </c>
      <c r="AN36" s="36" t="e">
        <f t="shared" si="40"/>
        <v>#REF!</v>
      </c>
      <c r="AO36" s="36" t="e">
        <f t="shared" si="40"/>
        <v>#REF!</v>
      </c>
      <c r="AQ36" s="38"/>
      <c r="AR36" s="36" t="e">
        <f t="shared" ref="AR36:BA36" si="41">AR$8*$AC39</f>
        <v>#REF!</v>
      </c>
      <c r="AS36" s="36" t="e">
        <f t="shared" si="41"/>
        <v>#REF!</v>
      </c>
      <c r="AT36" s="36" t="e">
        <f t="shared" si="41"/>
        <v>#REF!</v>
      </c>
      <c r="AU36" s="36" t="e">
        <f t="shared" si="41"/>
        <v>#REF!</v>
      </c>
      <c r="AV36" s="36" t="e">
        <f t="shared" si="41"/>
        <v>#REF!</v>
      </c>
      <c r="AW36" s="36" t="e">
        <f t="shared" si="41"/>
        <v>#REF!</v>
      </c>
      <c r="AX36" s="36" t="e">
        <f t="shared" si="41"/>
        <v>#REF!</v>
      </c>
      <c r="AY36" s="36" t="e">
        <f t="shared" si="41"/>
        <v>#REF!</v>
      </c>
      <c r="AZ36" s="36" t="e">
        <f t="shared" si="41"/>
        <v>#REF!</v>
      </c>
      <c r="BA36" s="36" t="e">
        <f t="shared" si="41"/>
        <v>#REF!</v>
      </c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F37" s="36" t="e">
        <f t="shared" ref="AF37:AO37" si="42">AF$8*$AC40</f>
        <v>#REF!</v>
      </c>
      <c r="AG37" s="36" t="e">
        <f t="shared" si="42"/>
        <v>#REF!</v>
      </c>
      <c r="AH37" s="36" t="e">
        <f t="shared" si="42"/>
        <v>#REF!</v>
      </c>
      <c r="AI37" s="36" t="e">
        <f t="shared" si="42"/>
        <v>#REF!</v>
      </c>
      <c r="AJ37" s="36" t="e">
        <f t="shared" si="42"/>
        <v>#REF!</v>
      </c>
      <c r="AK37" s="36" t="e">
        <f t="shared" si="42"/>
        <v>#REF!</v>
      </c>
      <c r="AL37" s="36" t="e">
        <f t="shared" si="42"/>
        <v>#REF!</v>
      </c>
      <c r="AM37" s="36" t="e">
        <f t="shared" si="42"/>
        <v>#REF!</v>
      </c>
      <c r="AN37" s="36" t="e">
        <f t="shared" si="42"/>
        <v>#REF!</v>
      </c>
      <c r="AO37" s="36" t="e">
        <f t="shared" si="42"/>
        <v>#REF!</v>
      </c>
      <c r="AQ37" s="38"/>
      <c r="AR37" s="36" t="e">
        <f t="shared" ref="AR37:BA37" si="43">AR$8*$AC40</f>
        <v>#REF!</v>
      </c>
      <c r="AS37" s="36" t="e">
        <f t="shared" si="43"/>
        <v>#REF!</v>
      </c>
      <c r="AT37" s="36" t="e">
        <f t="shared" si="43"/>
        <v>#REF!</v>
      </c>
      <c r="AU37" s="36" t="e">
        <f t="shared" si="43"/>
        <v>#REF!</v>
      </c>
      <c r="AV37" s="36" t="e">
        <f t="shared" si="43"/>
        <v>#REF!</v>
      </c>
      <c r="AW37" s="36" t="e">
        <f t="shared" si="43"/>
        <v>#REF!</v>
      </c>
      <c r="AX37" s="36" t="e">
        <f t="shared" si="43"/>
        <v>#REF!</v>
      </c>
      <c r="AY37" s="36" t="e">
        <f t="shared" si="43"/>
        <v>#REF!</v>
      </c>
      <c r="AZ37" s="36" t="e">
        <f t="shared" si="43"/>
        <v>#REF!</v>
      </c>
      <c r="BA37" s="36" t="e">
        <f t="shared" si="43"/>
        <v>#REF!</v>
      </c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38" si="44">AF$8*$AC41</f>
        <v>#REF!</v>
      </c>
      <c r="AG38" s="36" t="e">
        <f t="shared" si="44"/>
        <v>#REF!</v>
      </c>
      <c r="AH38" s="36" t="e">
        <f t="shared" si="44"/>
        <v>#REF!</v>
      </c>
      <c r="AI38" s="36" t="e">
        <f t="shared" si="44"/>
        <v>#REF!</v>
      </c>
      <c r="AJ38" s="36" t="e">
        <f t="shared" si="44"/>
        <v>#REF!</v>
      </c>
      <c r="AK38" s="36" t="e">
        <f t="shared" si="44"/>
        <v>#REF!</v>
      </c>
      <c r="AL38" s="36" t="e">
        <f t="shared" si="44"/>
        <v>#REF!</v>
      </c>
      <c r="AM38" s="36" t="e">
        <f t="shared" si="44"/>
        <v>#REF!</v>
      </c>
      <c r="AN38" s="36" t="e">
        <f t="shared" si="44"/>
        <v>#REF!</v>
      </c>
      <c r="AO38" s="36" t="e">
        <f t="shared" si="44"/>
        <v>#REF!</v>
      </c>
      <c r="AQ38" s="38"/>
      <c r="AR38" s="36" t="e">
        <f t="shared" ref="AR38:BA38" si="45">AR$8*$AC41</f>
        <v>#REF!</v>
      </c>
      <c r="AS38" s="36" t="e">
        <f t="shared" si="45"/>
        <v>#REF!</v>
      </c>
      <c r="AT38" s="36" t="e">
        <f t="shared" si="45"/>
        <v>#REF!</v>
      </c>
      <c r="AU38" s="36" t="e">
        <f t="shared" si="45"/>
        <v>#REF!</v>
      </c>
      <c r="AV38" s="36" t="e">
        <f t="shared" si="45"/>
        <v>#REF!</v>
      </c>
      <c r="AW38" s="36" t="e">
        <f t="shared" si="45"/>
        <v>#REF!</v>
      </c>
      <c r="AX38" s="36" t="e">
        <f t="shared" si="45"/>
        <v>#REF!</v>
      </c>
      <c r="AY38" s="36" t="e">
        <f t="shared" si="45"/>
        <v>#REF!</v>
      </c>
      <c r="AZ38" s="36" t="e">
        <f t="shared" si="45"/>
        <v>#REF!</v>
      </c>
      <c r="BA38" s="36" t="e">
        <f t="shared" si="45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ref="AF39:AO39" si="46">AF$8*$AC42</f>
        <v>#REF!</v>
      </c>
      <c r="AG39" s="36" t="e">
        <f t="shared" si="46"/>
        <v>#REF!</v>
      </c>
      <c r="AH39" s="36" t="e">
        <f t="shared" si="46"/>
        <v>#REF!</v>
      </c>
      <c r="AI39" s="36" t="e">
        <f t="shared" si="46"/>
        <v>#REF!</v>
      </c>
      <c r="AJ39" s="36" t="e">
        <f t="shared" si="46"/>
        <v>#REF!</v>
      </c>
      <c r="AK39" s="36" t="e">
        <f t="shared" si="46"/>
        <v>#REF!</v>
      </c>
      <c r="AL39" s="36" t="e">
        <f t="shared" si="46"/>
        <v>#REF!</v>
      </c>
      <c r="AM39" s="36" t="e">
        <f t="shared" si="46"/>
        <v>#REF!</v>
      </c>
      <c r="AN39" s="36" t="e">
        <f t="shared" si="46"/>
        <v>#REF!</v>
      </c>
      <c r="AO39" s="36" t="e">
        <f t="shared" si="46"/>
        <v>#REF!</v>
      </c>
      <c r="AQ39" s="38"/>
      <c r="AR39" s="36" t="e">
        <f t="shared" ref="AR39:BA39" si="47">AR$8*$AC42</f>
        <v>#REF!</v>
      </c>
      <c r="AS39" s="36" t="e">
        <f t="shared" si="47"/>
        <v>#REF!</v>
      </c>
      <c r="AT39" s="36" t="e">
        <f t="shared" si="47"/>
        <v>#REF!</v>
      </c>
      <c r="AU39" s="36" t="e">
        <f t="shared" si="47"/>
        <v>#REF!</v>
      </c>
      <c r="AV39" s="36" t="e">
        <f t="shared" si="47"/>
        <v>#REF!</v>
      </c>
      <c r="AW39" s="36" t="e">
        <f t="shared" si="47"/>
        <v>#REF!</v>
      </c>
      <c r="AX39" s="36" t="e">
        <f t="shared" si="47"/>
        <v>#REF!</v>
      </c>
      <c r="AY39" s="36" t="e">
        <f t="shared" si="47"/>
        <v>#REF!</v>
      </c>
      <c r="AZ39" s="36" t="e">
        <f t="shared" si="47"/>
        <v>#REF!</v>
      </c>
      <c r="BA39" s="36" t="e">
        <f t="shared" si="47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ref="AF40:AO40" si="48">AF$8*$AC43</f>
        <v>#REF!</v>
      </c>
      <c r="AG40" s="36" t="e">
        <f t="shared" si="48"/>
        <v>#REF!</v>
      </c>
      <c r="AH40" s="36" t="e">
        <f t="shared" si="48"/>
        <v>#REF!</v>
      </c>
      <c r="AI40" s="36" t="e">
        <f t="shared" si="48"/>
        <v>#REF!</v>
      </c>
      <c r="AJ40" s="36" t="e">
        <f t="shared" si="48"/>
        <v>#REF!</v>
      </c>
      <c r="AK40" s="36" t="e">
        <f t="shared" si="48"/>
        <v>#REF!</v>
      </c>
      <c r="AL40" s="36" t="e">
        <f t="shared" si="48"/>
        <v>#REF!</v>
      </c>
      <c r="AM40" s="36" t="e">
        <f t="shared" si="48"/>
        <v>#REF!</v>
      </c>
      <c r="AN40" s="36" t="e">
        <f t="shared" si="48"/>
        <v>#REF!</v>
      </c>
      <c r="AO40" s="36" t="e">
        <f t="shared" si="48"/>
        <v>#REF!</v>
      </c>
      <c r="AQ40" s="38"/>
      <c r="AR40" s="36" t="e">
        <f t="shared" ref="AR40:BA40" si="49">AR$8*$AC43</f>
        <v>#REF!</v>
      </c>
      <c r="AS40" s="36" t="e">
        <f t="shared" si="49"/>
        <v>#REF!</v>
      </c>
      <c r="AT40" s="36" t="e">
        <f t="shared" si="49"/>
        <v>#REF!</v>
      </c>
      <c r="AU40" s="36" t="e">
        <f t="shared" si="49"/>
        <v>#REF!</v>
      </c>
      <c r="AV40" s="36" t="e">
        <f t="shared" si="49"/>
        <v>#REF!</v>
      </c>
      <c r="AW40" s="36" t="e">
        <f t="shared" si="49"/>
        <v>#REF!</v>
      </c>
      <c r="AX40" s="36" t="e">
        <f t="shared" si="49"/>
        <v>#REF!</v>
      </c>
      <c r="AY40" s="36" t="e">
        <f t="shared" si="49"/>
        <v>#REF!</v>
      </c>
      <c r="AZ40" s="36" t="e">
        <f t="shared" si="49"/>
        <v>#REF!</v>
      </c>
      <c r="BA40" s="36" t="e">
        <f t="shared" si="49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ref="AF41:AO41" si="50">AF$8*$AC44</f>
        <v>#REF!</v>
      </c>
      <c r="AG41" s="36" t="e">
        <f t="shared" si="50"/>
        <v>#REF!</v>
      </c>
      <c r="AH41" s="36" t="e">
        <f t="shared" si="50"/>
        <v>#REF!</v>
      </c>
      <c r="AI41" s="36" t="e">
        <f t="shared" si="50"/>
        <v>#REF!</v>
      </c>
      <c r="AJ41" s="36" t="e">
        <f t="shared" si="50"/>
        <v>#REF!</v>
      </c>
      <c r="AK41" s="36" t="e">
        <f t="shared" si="50"/>
        <v>#REF!</v>
      </c>
      <c r="AL41" s="36" t="e">
        <f t="shared" si="50"/>
        <v>#REF!</v>
      </c>
      <c r="AM41" s="36" t="e">
        <f t="shared" si="50"/>
        <v>#REF!</v>
      </c>
      <c r="AN41" s="36" t="e">
        <f t="shared" si="50"/>
        <v>#REF!</v>
      </c>
      <c r="AO41" s="36" t="e">
        <f t="shared" si="50"/>
        <v>#REF!</v>
      </c>
      <c r="AQ41" s="38"/>
      <c r="AR41" s="36" t="e">
        <f t="shared" ref="AR41:BA41" si="51">AR$8*$AC44</f>
        <v>#REF!</v>
      </c>
      <c r="AS41" s="36" t="e">
        <f t="shared" si="51"/>
        <v>#REF!</v>
      </c>
      <c r="AT41" s="36" t="e">
        <f t="shared" si="51"/>
        <v>#REF!</v>
      </c>
      <c r="AU41" s="36" t="e">
        <f t="shared" si="51"/>
        <v>#REF!</v>
      </c>
      <c r="AV41" s="36" t="e">
        <f t="shared" si="51"/>
        <v>#REF!</v>
      </c>
      <c r="AW41" s="36" t="e">
        <f t="shared" si="51"/>
        <v>#REF!</v>
      </c>
      <c r="AX41" s="36" t="e">
        <f t="shared" si="51"/>
        <v>#REF!</v>
      </c>
      <c r="AY41" s="36" t="e">
        <f t="shared" si="51"/>
        <v>#REF!</v>
      </c>
      <c r="AZ41" s="36" t="e">
        <f t="shared" si="51"/>
        <v>#REF!</v>
      </c>
      <c r="BA41" s="36" t="e">
        <f t="shared" si="51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ref="AF42:AO42" si="52">AF$8*$AC45</f>
        <v>#REF!</v>
      </c>
      <c r="AG42" s="36" t="e">
        <f t="shared" si="52"/>
        <v>#REF!</v>
      </c>
      <c r="AH42" s="36" t="e">
        <f t="shared" si="52"/>
        <v>#REF!</v>
      </c>
      <c r="AI42" s="36" t="e">
        <f t="shared" si="52"/>
        <v>#REF!</v>
      </c>
      <c r="AJ42" s="36" t="e">
        <f t="shared" si="52"/>
        <v>#REF!</v>
      </c>
      <c r="AK42" s="36" t="e">
        <f t="shared" si="52"/>
        <v>#REF!</v>
      </c>
      <c r="AL42" s="36" t="e">
        <f t="shared" si="52"/>
        <v>#REF!</v>
      </c>
      <c r="AM42" s="36" t="e">
        <f t="shared" si="52"/>
        <v>#REF!</v>
      </c>
      <c r="AN42" s="36" t="e">
        <f t="shared" si="52"/>
        <v>#REF!</v>
      </c>
      <c r="AO42" s="36" t="e">
        <f t="shared" si="52"/>
        <v>#REF!</v>
      </c>
      <c r="AQ42" s="38"/>
      <c r="AR42" s="36" t="e">
        <f t="shared" ref="AR42:BA42" si="53">AR$8*$AC45</f>
        <v>#REF!</v>
      </c>
      <c r="AS42" s="36" t="e">
        <f t="shared" si="53"/>
        <v>#REF!</v>
      </c>
      <c r="AT42" s="36" t="e">
        <f t="shared" si="53"/>
        <v>#REF!</v>
      </c>
      <c r="AU42" s="36" t="e">
        <f t="shared" si="53"/>
        <v>#REF!</v>
      </c>
      <c r="AV42" s="36" t="e">
        <f t="shared" si="53"/>
        <v>#REF!</v>
      </c>
      <c r="AW42" s="36" t="e">
        <f t="shared" si="53"/>
        <v>#REF!</v>
      </c>
      <c r="AX42" s="36" t="e">
        <f t="shared" si="53"/>
        <v>#REF!</v>
      </c>
      <c r="AY42" s="36" t="e">
        <f t="shared" si="53"/>
        <v>#REF!</v>
      </c>
      <c r="AZ42" s="36" t="e">
        <f t="shared" si="53"/>
        <v>#REF!</v>
      </c>
      <c r="BA42" s="36" t="e">
        <f t="shared" si="53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ref="AF43:AO43" si="54">AF$8*$AC46</f>
        <v>#REF!</v>
      </c>
      <c r="AG43" s="36" t="e">
        <f t="shared" si="54"/>
        <v>#REF!</v>
      </c>
      <c r="AH43" s="36" t="e">
        <f t="shared" si="54"/>
        <v>#REF!</v>
      </c>
      <c r="AI43" s="36" t="e">
        <f t="shared" si="54"/>
        <v>#REF!</v>
      </c>
      <c r="AJ43" s="36" t="e">
        <f t="shared" si="54"/>
        <v>#REF!</v>
      </c>
      <c r="AK43" s="36" t="e">
        <f t="shared" si="54"/>
        <v>#REF!</v>
      </c>
      <c r="AL43" s="36" t="e">
        <f t="shared" si="54"/>
        <v>#REF!</v>
      </c>
      <c r="AM43" s="36" t="e">
        <f t="shared" si="54"/>
        <v>#REF!</v>
      </c>
      <c r="AN43" s="36" t="e">
        <f t="shared" si="54"/>
        <v>#REF!</v>
      </c>
      <c r="AO43" s="36" t="e">
        <f t="shared" si="54"/>
        <v>#REF!</v>
      </c>
      <c r="AQ43" s="38"/>
      <c r="AR43" s="36" t="e">
        <f t="shared" ref="AR43:BA43" si="55">AR$8*$AC46</f>
        <v>#REF!</v>
      </c>
      <c r="AS43" s="36" t="e">
        <f t="shared" si="55"/>
        <v>#REF!</v>
      </c>
      <c r="AT43" s="36" t="e">
        <f t="shared" si="55"/>
        <v>#REF!</v>
      </c>
      <c r="AU43" s="36" t="e">
        <f t="shared" si="55"/>
        <v>#REF!</v>
      </c>
      <c r="AV43" s="36" t="e">
        <f t="shared" si="55"/>
        <v>#REF!</v>
      </c>
      <c r="AW43" s="36" t="e">
        <f t="shared" si="55"/>
        <v>#REF!</v>
      </c>
      <c r="AX43" s="36" t="e">
        <f t="shared" si="55"/>
        <v>#REF!</v>
      </c>
      <c r="AY43" s="36" t="e">
        <f t="shared" si="55"/>
        <v>#REF!</v>
      </c>
      <c r="AZ43" s="36" t="e">
        <f t="shared" si="55"/>
        <v>#REF!</v>
      </c>
      <c r="BA43" s="36" t="e">
        <f t="shared" si="55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Q44" s="38"/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Q45" s="38"/>
    </row>
    <row r="46" spans="1:53" ht="63.75" hidden="1">
      <c r="AA46" s="64"/>
      <c r="AB46" s="65" t="s">
        <v>40</v>
      </c>
      <c r="AC46" s="65">
        <v>14.14584</v>
      </c>
      <c r="AD46" s="65"/>
      <c r="AE46" s="65"/>
      <c r="AF46" s="61" t="s">
        <v>55</v>
      </c>
      <c r="AG46" s="61" t="s">
        <v>73</v>
      </c>
      <c r="AH46" s="61" t="s">
        <v>57</v>
      </c>
      <c r="AI46" s="61" t="s">
        <v>58</v>
      </c>
      <c r="AJ46" s="61" t="s">
        <v>59</v>
      </c>
      <c r="AK46" s="61" t="s">
        <v>60</v>
      </c>
      <c r="AL46" s="62" t="s">
        <v>75</v>
      </c>
      <c r="AM46" s="62" t="s">
        <v>76</v>
      </c>
      <c r="AN46" s="62" t="s">
        <v>61</v>
      </c>
      <c r="AO46" s="62" t="s">
        <v>62</v>
      </c>
      <c r="AP46" s="62"/>
      <c r="AQ46" s="43"/>
      <c r="AR46" s="61" t="s">
        <v>55</v>
      </c>
      <c r="AS46" s="61" t="s">
        <v>73</v>
      </c>
      <c r="AT46" s="61" t="s">
        <v>74</v>
      </c>
      <c r="AU46" s="61" t="s">
        <v>58</v>
      </c>
      <c r="AV46" s="61" t="s">
        <v>59</v>
      </c>
      <c r="AW46" s="61" t="s">
        <v>60</v>
      </c>
      <c r="AX46" s="62" t="s">
        <v>75</v>
      </c>
      <c r="AY46" s="62" t="s">
        <v>76</v>
      </c>
      <c r="AZ46" s="63" t="s">
        <v>61</v>
      </c>
      <c r="BA46" s="61" t="s">
        <v>62</v>
      </c>
    </row>
    <row r="47" spans="1:53" hidden="1">
      <c r="AG47" s="70"/>
      <c r="AQ47" s="38"/>
    </row>
    <row r="48" spans="1:53" hidden="1">
      <c r="AF48" s="70" t="e">
        <f t="shared" ref="AF48:AO48" si="56">AF13+AF15+AF16</f>
        <v>#REF!</v>
      </c>
      <c r="AG48" s="70" t="e">
        <f t="shared" si="56"/>
        <v>#REF!</v>
      </c>
      <c r="AH48" s="70" t="e">
        <f t="shared" si="56"/>
        <v>#REF!</v>
      </c>
      <c r="AI48" s="70" t="e">
        <f t="shared" si="56"/>
        <v>#REF!</v>
      </c>
      <c r="AJ48" s="70" t="e">
        <f t="shared" si="56"/>
        <v>#REF!</v>
      </c>
      <c r="AK48" s="70" t="e">
        <f t="shared" si="56"/>
        <v>#REF!</v>
      </c>
      <c r="AL48" s="70" t="e">
        <f t="shared" si="56"/>
        <v>#REF!</v>
      </c>
      <c r="AM48" s="70" t="e">
        <f t="shared" si="56"/>
        <v>#REF!</v>
      </c>
      <c r="AN48" s="70" t="e">
        <f t="shared" si="56"/>
        <v>#REF!</v>
      </c>
      <c r="AO48" s="70" t="e">
        <f t="shared" si="56"/>
        <v>#REF!</v>
      </c>
      <c r="AP48" s="70"/>
      <c r="AQ48" s="70"/>
      <c r="AR48" s="70" t="e">
        <f t="shared" ref="AR48:BA48" si="57">AR13+AR15+AR16</f>
        <v>#REF!</v>
      </c>
      <c r="AS48" s="70" t="e">
        <f t="shared" si="57"/>
        <v>#REF!</v>
      </c>
      <c r="AT48" s="70" t="e">
        <f t="shared" si="57"/>
        <v>#REF!</v>
      </c>
      <c r="AU48" s="70" t="e">
        <f t="shared" si="57"/>
        <v>#REF!</v>
      </c>
      <c r="AV48" s="70" t="e">
        <f t="shared" si="57"/>
        <v>#REF!</v>
      </c>
      <c r="AW48" s="70" t="e">
        <f t="shared" si="57"/>
        <v>#REF!</v>
      </c>
      <c r="AX48" s="70" t="e">
        <f t="shared" si="57"/>
        <v>#REF!</v>
      </c>
      <c r="AY48" s="70" t="e">
        <f t="shared" si="57"/>
        <v>#REF!</v>
      </c>
      <c r="AZ48" s="70" t="e">
        <f t="shared" si="57"/>
        <v>#REF!</v>
      </c>
      <c r="BA48" s="70" t="e">
        <f t="shared" si="57"/>
        <v>#REF!</v>
      </c>
    </row>
    <row r="49" spans="27:53" hidden="1">
      <c r="AA49" s="66" t="s">
        <v>43</v>
      </c>
      <c r="AB49" s="67"/>
      <c r="AC49" s="68"/>
      <c r="AD49" s="68"/>
      <c r="AE49" s="68"/>
      <c r="AF49" s="70" t="e">
        <f t="shared" ref="AF49:AO49" si="58">AF24+AF26+AF27</f>
        <v>#REF!</v>
      </c>
      <c r="AG49" s="70" t="e">
        <f t="shared" si="58"/>
        <v>#REF!</v>
      </c>
      <c r="AH49" s="70" t="e">
        <f t="shared" si="58"/>
        <v>#REF!</v>
      </c>
      <c r="AI49" s="70" t="e">
        <f t="shared" si="58"/>
        <v>#REF!</v>
      </c>
      <c r="AJ49" s="70" t="e">
        <f t="shared" si="58"/>
        <v>#REF!</v>
      </c>
      <c r="AK49" s="70" t="e">
        <f t="shared" si="58"/>
        <v>#REF!</v>
      </c>
      <c r="AL49" s="70" t="e">
        <f t="shared" si="58"/>
        <v>#REF!</v>
      </c>
      <c r="AM49" s="70" t="e">
        <f t="shared" si="58"/>
        <v>#REF!</v>
      </c>
      <c r="AN49" s="70" t="e">
        <f t="shared" si="58"/>
        <v>#REF!</v>
      </c>
      <c r="AO49" s="70" t="e">
        <f t="shared" si="58"/>
        <v>#REF!</v>
      </c>
      <c r="AP49" s="70"/>
      <c r="AQ49" s="70"/>
      <c r="AR49" s="70" t="e">
        <f t="shared" ref="AR49:BA49" si="59">AR24+AR26+AR27</f>
        <v>#REF!</v>
      </c>
      <c r="AS49" s="70" t="e">
        <f t="shared" si="59"/>
        <v>#REF!</v>
      </c>
      <c r="AT49" s="70" t="e">
        <f t="shared" si="59"/>
        <v>#REF!</v>
      </c>
      <c r="AU49" s="70" t="e">
        <f t="shared" si="59"/>
        <v>#REF!</v>
      </c>
      <c r="AV49" s="70" t="e">
        <f t="shared" si="59"/>
        <v>#REF!</v>
      </c>
      <c r="AW49" s="70" t="e">
        <f t="shared" si="59"/>
        <v>#REF!</v>
      </c>
      <c r="AX49" s="70" t="e">
        <f t="shared" si="59"/>
        <v>#REF!</v>
      </c>
      <c r="AY49" s="70" t="e">
        <f t="shared" si="59"/>
        <v>#REF!</v>
      </c>
      <c r="AZ49" s="70" t="e">
        <f t="shared" si="59"/>
        <v>#REF!</v>
      </c>
      <c r="BA49" s="70" t="e">
        <f t="shared" si="59"/>
        <v>#REF!</v>
      </c>
    </row>
    <row r="50" spans="27:53" hidden="1">
      <c r="AA50" s="69" t="s">
        <v>44</v>
      </c>
      <c r="AB50" s="35"/>
      <c r="AF50" s="70" t="e">
        <f t="shared" ref="AF50:AO50" si="60">AF35+AF37+AF38</f>
        <v>#REF!</v>
      </c>
      <c r="AG50" s="70" t="e">
        <f t="shared" si="60"/>
        <v>#REF!</v>
      </c>
      <c r="AH50" s="70" t="e">
        <f t="shared" si="60"/>
        <v>#REF!</v>
      </c>
      <c r="AI50" s="70" t="e">
        <f t="shared" si="60"/>
        <v>#REF!</v>
      </c>
      <c r="AJ50" s="70" t="e">
        <f t="shared" si="60"/>
        <v>#REF!</v>
      </c>
      <c r="AK50" s="70" t="e">
        <f t="shared" si="60"/>
        <v>#REF!</v>
      </c>
      <c r="AL50" s="70" t="e">
        <f t="shared" si="60"/>
        <v>#REF!</v>
      </c>
      <c r="AM50" s="70" t="e">
        <f t="shared" si="60"/>
        <v>#REF!</v>
      </c>
      <c r="AN50" s="70" t="e">
        <f t="shared" si="60"/>
        <v>#REF!</v>
      </c>
      <c r="AO50" s="70" t="e">
        <f t="shared" si="60"/>
        <v>#REF!</v>
      </c>
      <c r="AP50" s="70"/>
      <c r="AQ50" s="70"/>
      <c r="AR50" s="70" t="e">
        <f t="shared" ref="AR50:BA50" si="61">AR35+AR37+AR38</f>
        <v>#REF!</v>
      </c>
      <c r="AS50" s="70" t="e">
        <f t="shared" si="61"/>
        <v>#REF!</v>
      </c>
      <c r="AT50" s="70" t="e">
        <f t="shared" si="61"/>
        <v>#REF!</v>
      </c>
      <c r="AU50" s="70" t="e">
        <f t="shared" si="61"/>
        <v>#REF!</v>
      </c>
      <c r="AV50" s="70" t="e">
        <f t="shared" si="61"/>
        <v>#REF!</v>
      </c>
      <c r="AW50" s="70" t="e">
        <f t="shared" si="61"/>
        <v>#REF!</v>
      </c>
      <c r="AX50" s="70" t="e">
        <f t="shared" si="61"/>
        <v>#REF!</v>
      </c>
      <c r="AY50" s="70" t="e">
        <f t="shared" si="61"/>
        <v>#REF!</v>
      </c>
      <c r="AZ50" s="70" t="e">
        <f t="shared" si="61"/>
        <v>#REF!</v>
      </c>
      <c r="BA50" s="70" t="e">
        <f t="shared" si="61"/>
        <v>#REF!</v>
      </c>
    </row>
    <row r="51" spans="27:53" hidden="1">
      <c r="AA51" s="71" t="s">
        <v>29</v>
      </c>
      <c r="AB51" s="35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</row>
    <row r="52" spans="27:53" hidden="1">
      <c r="AA52" s="71" t="s">
        <v>41</v>
      </c>
      <c r="AB52" s="35"/>
      <c r="AF52" s="70" t="e">
        <f t="shared" ref="AF52:AO52" si="62">AF13+AF15+AF17+AF19</f>
        <v>#REF!</v>
      </c>
      <c r="AG52" s="70" t="e">
        <f t="shared" si="62"/>
        <v>#REF!</v>
      </c>
      <c r="AH52" s="70" t="e">
        <f t="shared" si="62"/>
        <v>#REF!</v>
      </c>
      <c r="AI52" s="70" t="e">
        <f t="shared" si="62"/>
        <v>#REF!</v>
      </c>
      <c r="AJ52" s="70" t="e">
        <f t="shared" si="62"/>
        <v>#REF!</v>
      </c>
      <c r="AK52" s="70" t="e">
        <f t="shared" si="62"/>
        <v>#REF!</v>
      </c>
      <c r="AL52" s="70" t="e">
        <f t="shared" si="62"/>
        <v>#REF!</v>
      </c>
      <c r="AM52" s="70" t="e">
        <f t="shared" si="62"/>
        <v>#REF!</v>
      </c>
      <c r="AN52" s="70" t="e">
        <f t="shared" si="62"/>
        <v>#REF!</v>
      </c>
      <c r="AO52" s="70" t="e">
        <f t="shared" si="62"/>
        <v>#REF!</v>
      </c>
      <c r="AP52" s="70"/>
      <c r="AQ52" s="70"/>
      <c r="AR52" s="70" t="e">
        <f t="shared" ref="AR52:BA52" si="63">AR13+AR15+AR17+AR19</f>
        <v>#REF!</v>
      </c>
      <c r="AS52" s="70" t="e">
        <f t="shared" si="63"/>
        <v>#REF!</v>
      </c>
      <c r="AT52" s="70" t="e">
        <f t="shared" si="63"/>
        <v>#REF!</v>
      </c>
      <c r="AU52" s="70" t="e">
        <f t="shared" si="63"/>
        <v>#REF!</v>
      </c>
      <c r="AV52" s="70" t="e">
        <f t="shared" si="63"/>
        <v>#REF!</v>
      </c>
      <c r="AW52" s="70" t="e">
        <f t="shared" si="63"/>
        <v>#REF!</v>
      </c>
      <c r="AX52" s="70" t="e">
        <f t="shared" si="63"/>
        <v>#REF!</v>
      </c>
      <c r="AY52" s="70" t="e">
        <f t="shared" si="63"/>
        <v>#REF!</v>
      </c>
      <c r="AZ52" s="70" t="e">
        <f t="shared" si="63"/>
        <v>#REF!</v>
      </c>
      <c r="BA52" s="70" t="e">
        <f t="shared" si="63"/>
        <v>#REF!</v>
      </c>
    </row>
    <row r="53" spans="27:53" hidden="1">
      <c r="AA53" s="71" t="s">
        <v>42</v>
      </c>
      <c r="AB53" s="35"/>
      <c r="AF53" s="70" t="e">
        <f t="shared" ref="AF53:AO53" si="64">AF24+AF26+AF28+AF30</f>
        <v>#REF!</v>
      </c>
      <c r="AG53" s="70" t="e">
        <f t="shared" si="64"/>
        <v>#REF!</v>
      </c>
      <c r="AH53" s="70" t="e">
        <f t="shared" si="64"/>
        <v>#REF!</v>
      </c>
      <c r="AI53" s="70" t="e">
        <f t="shared" si="64"/>
        <v>#REF!</v>
      </c>
      <c r="AJ53" s="70" t="e">
        <f t="shared" si="64"/>
        <v>#REF!</v>
      </c>
      <c r="AK53" s="70" t="e">
        <f t="shared" si="64"/>
        <v>#REF!</v>
      </c>
      <c r="AL53" s="70" t="e">
        <f t="shared" si="64"/>
        <v>#REF!</v>
      </c>
      <c r="AM53" s="70" t="e">
        <f t="shared" si="64"/>
        <v>#REF!</v>
      </c>
      <c r="AN53" s="70" t="e">
        <f t="shared" si="64"/>
        <v>#REF!</v>
      </c>
      <c r="AO53" s="70" t="e">
        <f t="shared" si="64"/>
        <v>#REF!</v>
      </c>
      <c r="AP53" s="70"/>
      <c r="AQ53" s="70"/>
      <c r="AR53" s="70" t="e">
        <f t="shared" ref="AR53:BA53" si="65">AR24+AR26+AR28+AR30</f>
        <v>#REF!</v>
      </c>
      <c r="AS53" s="70" t="e">
        <f t="shared" si="65"/>
        <v>#REF!</v>
      </c>
      <c r="AT53" s="70" t="e">
        <f t="shared" si="65"/>
        <v>#REF!</v>
      </c>
      <c r="AU53" s="70" t="e">
        <f t="shared" si="65"/>
        <v>#REF!</v>
      </c>
      <c r="AV53" s="70" t="e">
        <f t="shared" si="65"/>
        <v>#REF!</v>
      </c>
      <c r="AW53" s="70" t="e">
        <f t="shared" si="65"/>
        <v>#REF!</v>
      </c>
      <c r="AX53" s="70" t="e">
        <f t="shared" si="65"/>
        <v>#REF!</v>
      </c>
      <c r="AY53" s="70" t="e">
        <f t="shared" si="65"/>
        <v>#REF!</v>
      </c>
      <c r="AZ53" s="70" t="e">
        <f t="shared" si="65"/>
        <v>#REF!</v>
      </c>
      <c r="BA53" s="70" t="e">
        <f t="shared" si="65"/>
        <v>#REF!</v>
      </c>
    </row>
    <row r="54" spans="27:53" hidden="1">
      <c r="AA54" s="69" t="s">
        <v>45</v>
      </c>
      <c r="AB54" s="35"/>
      <c r="AF54" s="70" t="e">
        <f t="shared" ref="AF54:AO54" si="66">AF35+AF37+AF39+AF41</f>
        <v>#REF!</v>
      </c>
      <c r="AG54" s="70" t="e">
        <f t="shared" si="66"/>
        <v>#REF!</v>
      </c>
      <c r="AH54" s="70" t="e">
        <f t="shared" si="66"/>
        <v>#REF!</v>
      </c>
      <c r="AI54" s="70" t="e">
        <f t="shared" si="66"/>
        <v>#REF!</v>
      </c>
      <c r="AJ54" s="70" t="e">
        <f t="shared" si="66"/>
        <v>#REF!</v>
      </c>
      <c r="AK54" s="70" t="e">
        <f t="shared" si="66"/>
        <v>#REF!</v>
      </c>
      <c r="AL54" s="70" t="e">
        <f t="shared" si="66"/>
        <v>#REF!</v>
      </c>
      <c r="AM54" s="70" t="e">
        <f t="shared" si="66"/>
        <v>#REF!</v>
      </c>
      <c r="AN54" s="70" t="e">
        <f t="shared" si="66"/>
        <v>#REF!</v>
      </c>
      <c r="AO54" s="70" t="e">
        <f t="shared" si="66"/>
        <v>#REF!</v>
      </c>
      <c r="AP54" s="70"/>
      <c r="AQ54" s="70"/>
      <c r="AR54" s="70" t="e">
        <f t="shared" ref="AR54:BA54" si="67">AR35+AR37+AR39+AR41</f>
        <v>#REF!</v>
      </c>
      <c r="AS54" s="70" t="e">
        <f t="shared" si="67"/>
        <v>#REF!</v>
      </c>
      <c r="AT54" s="70" t="e">
        <f t="shared" si="67"/>
        <v>#REF!</v>
      </c>
      <c r="AU54" s="70" t="e">
        <f t="shared" si="67"/>
        <v>#REF!</v>
      </c>
      <c r="AV54" s="70" t="e">
        <f t="shared" si="67"/>
        <v>#REF!</v>
      </c>
      <c r="AW54" s="70" t="e">
        <f t="shared" si="67"/>
        <v>#REF!</v>
      </c>
      <c r="AX54" s="70" t="e">
        <f t="shared" si="67"/>
        <v>#REF!</v>
      </c>
      <c r="AY54" s="70" t="e">
        <f t="shared" si="67"/>
        <v>#REF!</v>
      </c>
      <c r="AZ54" s="70" t="e">
        <f t="shared" si="67"/>
        <v>#REF!</v>
      </c>
      <c r="BA54" s="70" t="e">
        <f t="shared" si="67"/>
        <v>#REF!</v>
      </c>
    </row>
    <row r="55" spans="27:53" hidden="1">
      <c r="AA55" s="71" t="s">
        <v>29</v>
      </c>
      <c r="AB55" s="35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</row>
    <row r="56" spans="27:53" hidden="1">
      <c r="AA56" s="71" t="s">
        <v>41</v>
      </c>
      <c r="AB56" s="35"/>
      <c r="AF56" s="70" t="e">
        <f t="shared" ref="AF56:AO56" si="68">AF13+AF15+AF17+AF18+AF20</f>
        <v>#REF!</v>
      </c>
      <c r="AG56" s="70" t="e">
        <f t="shared" si="68"/>
        <v>#REF!</v>
      </c>
      <c r="AH56" s="70" t="e">
        <f t="shared" si="68"/>
        <v>#REF!</v>
      </c>
      <c r="AI56" s="70" t="e">
        <f t="shared" si="68"/>
        <v>#REF!</v>
      </c>
      <c r="AJ56" s="70" t="e">
        <f t="shared" si="68"/>
        <v>#REF!</v>
      </c>
      <c r="AK56" s="70" t="e">
        <f t="shared" si="68"/>
        <v>#REF!</v>
      </c>
      <c r="AL56" s="70" t="e">
        <f t="shared" si="68"/>
        <v>#REF!</v>
      </c>
      <c r="AM56" s="70" t="e">
        <f t="shared" si="68"/>
        <v>#REF!</v>
      </c>
      <c r="AN56" s="70" t="e">
        <f t="shared" si="68"/>
        <v>#REF!</v>
      </c>
      <c r="AO56" s="70" t="e">
        <f t="shared" si="68"/>
        <v>#REF!</v>
      </c>
      <c r="AP56" s="70"/>
      <c r="AQ56" s="70"/>
      <c r="AR56" s="70" t="e">
        <f t="shared" ref="AR56:BA56" si="69">AR13+AR15+AR17+AR18+AR20</f>
        <v>#REF!</v>
      </c>
      <c r="AS56" s="70" t="e">
        <f t="shared" si="69"/>
        <v>#REF!</v>
      </c>
      <c r="AT56" s="70" t="e">
        <f t="shared" si="69"/>
        <v>#REF!</v>
      </c>
      <c r="AU56" s="70" t="e">
        <f t="shared" si="69"/>
        <v>#REF!</v>
      </c>
      <c r="AV56" s="70" t="e">
        <f t="shared" si="69"/>
        <v>#REF!</v>
      </c>
      <c r="AW56" s="70" t="e">
        <f t="shared" si="69"/>
        <v>#REF!</v>
      </c>
      <c r="AX56" s="70" t="e">
        <f t="shared" si="69"/>
        <v>#REF!</v>
      </c>
      <c r="AY56" s="70" t="e">
        <f t="shared" si="69"/>
        <v>#REF!</v>
      </c>
      <c r="AZ56" s="70" t="e">
        <f t="shared" si="69"/>
        <v>#REF!</v>
      </c>
      <c r="BA56" s="70" t="e">
        <f t="shared" si="69"/>
        <v>#REF!</v>
      </c>
    </row>
    <row r="57" spans="27:53" hidden="1">
      <c r="AA57" s="71" t="s">
        <v>42</v>
      </c>
      <c r="AB57" s="35"/>
      <c r="AF57" s="70" t="e">
        <f t="shared" ref="AF57:AO57" si="70">AF24+AF26+AF28+AF29+AF31</f>
        <v>#REF!</v>
      </c>
      <c r="AG57" s="70" t="e">
        <f t="shared" si="70"/>
        <v>#REF!</v>
      </c>
      <c r="AH57" s="70" t="e">
        <f t="shared" si="70"/>
        <v>#REF!</v>
      </c>
      <c r="AI57" s="70" t="e">
        <f t="shared" si="70"/>
        <v>#REF!</v>
      </c>
      <c r="AJ57" s="70" t="e">
        <f t="shared" si="70"/>
        <v>#REF!</v>
      </c>
      <c r="AK57" s="70" t="e">
        <f t="shared" si="70"/>
        <v>#REF!</v>
      </c>
      <c r="AL57" s="70" t="e">
        <f t="shared" si="70"/>
        <v>#REF!</v>
      </c>
      <c r="AM57" s="70" t="e">
        <f t="shared" si="70"/>
        <v>#REF!</v>
      </c>
      <c r="AN57" s="70" t="e">
        <f t="shared" si="70"/>
        <v>#REF!</v>
      </c>
      <c r="AO57" s="70" t="e">
        <f t="shared" si="70"/>
        <v>#REF!</v>
      </c>
      <c r="AP57" s="70"/>
      <c r="AQ57" s="70"/>
      <c r="AR57" s="70" t="e">
        <f t="shared" ref="AR57:BA57" si="71">AR24+AR26+AR28+AR29+AR31</f>
        <v>#REF!</v>
      </c>
      <c r="AS57" s="70" t="e">
        <f t="shared" si="71"/>
        <v>#REF!</v>
      </c>
      <c r="AT57" s="70" t="e">
        <f t="shared" si="71"/>
        <v>#REF!</v>
      </c>
      <c r="AU57" s="70" t="e">
        <f t="shared" si="71"/>
        <v>#REF!</v>
      </c>
      <c r="AV57" s="70" t="e">
        <f t="shared" si="71"/>
        <v>#REF!</v>
      </c>
      <c r="AW57" s="70" t="e">
        <f t="shared" si="71"/>
        <v>#REF!</v>
      </c>
      <c r="AX57" s="70" t="e">
        <f t="shared" si="71"/>
        <v>#REF!</v>
      </c>
      <c r="AY57" s="70" t="e">
        <f t="shared" si="71"/>
        <v>#REF!</v>
      </c>
      <c r="AZ57" s="70" t="e">
        <f t="shared" si="71"/>
        <v>#REF!</v>
      </c>
      <c r="BA57" s="70" t="e">
        <f t="shared" si="71"/>
        <v>#REF!</v>
      </c>
    </row>
    <row r="58" spans="27:53" hidden="1">
      <c r="AA58" s="69" t="s">
        <v>46</v>
      </c>
      <c r="AB58" s="35"/>
      <c r="AF58" s="70" t="e">
        <f t="shared" ref="AF58:AO58" si="72">AF35+AF37+AF39+AF40+AF42</f>
        <v>#REF!</v>
      </c>
      <c r="AG58" s="70" t="e">
        <f t="shared" si="72"/>
        <v>#REF!</v>
      </c>
      <c r="AH58" s="70" t="e">
        <f t="shared" si="72"/>
        <v>#REF!</v>
      </c>
      <c r="AI58" s="70" t="e">
        <f t="shared" si="72"/>
        <v>#REF!</v>
      </c>
      <c r="AJ58" s="70" t="e">
        <f t="shared" si="72"/>
        <v>#REF!</v>
      </c>
      <c r="AK58" s="70" t="e">
        <f t="shared" si="72"/>
        <v>#REF!</v>
      </c>
      <c r="AL58" s="70" t="e">
        <f t="shared" si="72"/>
        <v>#REF!</v>
      </c>
      <c r="AM58" s="70" t="e">
        <f t="shared" si="72"/>
        <v>#REF!</v>
      </c>
      <c r="AN58" s="70" t="e">
        <f t="shared" si="72"/>
        <v>#REF!</v>
      </c>
      <c r="AO58" s="70" t="e">
        <f t="shared" si="72"/>
        <v>#REF!</v>
      </c>
      <c r="AP58" s="70"/>
      <c r="AQ58" s="70"/>
      <c r="AR58" s="70" t="e">
        <f t="shared" ref="AR58:BA58" si="73">AR35+AR37+AR39+AR40+AR42</f>
        <v>#REF!</v>
      </c>
      <c r="AS58" s="70" t="e">
        <f t="shared" si="73"/>
        <v>#REF!</v>
      </c>
      <c r="AT58" s="70" t="e">
        <f t="shared" si="73"/>
        <v>#REF!</v>
      </c>
      <c r="AU58" s="70" t="e">
        <f t="shared" si="73"/>
        <v>#REF!</v>
      </c>
      <c r="AV58" s="70" t="e">
        <f t="shared" si="73"/>
        <v>#REF!</v>
      </c>
      <c r="AW58" s="70" t="e">
        <f t="shared" si="73"/>
        <v>#REF!</v>
      </c>
      <c r="AX58" s="70" t="e">
        <f t="shared" si="73"/>
        <v>#REF!</v>
      </c>
      <c r="AY58" s="70" t="e">
        <f t="shared" si="73"/>
        <v>#REF!</v>
      </c>
      <c r="AZ58" s="70" t="e">
        <f t="shared" si="73"/>
        <v>#REF!</v>
      </c>
      <c r="BA58" s="70" t="e">
        <f t="shared" si="73"/>
        <v>#REF!</v>
      </c>
    </row>
    <row r="59" spans="27:53" hidden="1">
      <c r="AA59" s="71" t="s">
        <v>29</v>
      </c>
      <c r="AB59" s="35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</row>
    <row r="60" spans="27:53" hidden="1">
      <c r="AA60" s="71" t="s">
        <v>41</v>
      </c>
      <c r="AB60" s="35"/>
      <c r="AF60" s="70" t="e">
        <f t="shared" ref="AF60:AO60" si="74">AF13+AF15+AF17+AF18+AF21</f>
        <v>#REF!</v>
      </c>
      <c r="AG60" s="70" t="e">
        <f t="shared" si="74"/>
        <v>#REF!</v>
      </c>
      <c r="AH60" s="70" t="e">
        <f t="shared" si="74"/>
        <v>#REF!</v>
      </c>
      <c r="AI60" s="70" t="e">
        <f t="shared" si="74"/>
        <v>#REF!</v>
      </c>
      <c r="AJ60" s="70" t="e">
        <f t="shared" si="74"/>
        <v>#REF!</v>
      </c>
      <c r="AK60" s="70" t="e">
        <f t="shared" si="74"/>
        <v>#REF!</v>
      </c>
      <c r="AL60" s="70" t="e">
        <f t="shared" si="74"/>
        <v>#REF!</v>
      </c>
      <c r="AM60" s="70" t="e">
        <f t="shared" si="74"/>
        <v>#REF!</v>
      </c>
      <c r="AN60" s="70" t="e">
        <f t="shared" si="74"/>
        <v>#REF!</v>
      </c>
      <c r="AO60" s="70" t="e">
        <f t="shared" si="74"/>
        <v>#REF!</v>
      </c>
      <c r="AP60" s="70"/>
      <c r="AQ60" s="70"/>
      <c r="AR60" s="70" t="e">
        <f t="shared" ref="AR60:BA60" si="75">AR13+AR15+AR17+AR18+AR21</f>
        <v>#REF!</v>
      </c>
      <c r="AS60" s="70" t="e">
        <f t="shared" si="75"/>
        <v>#REF!</v>
      </c>
      <c r="AT60" s="70" t="e">
        <f t="shared" si="75"/>
        <v>#REF!</v>
      </c>
      <c r="AU60" s="70" t="e">
        <f t="shared" si="75"/>
        <v>#REF!</v>
      </c>
      <c r="AV60" s="70" t="e">
        <f t="shared" si="75"/>
        <v>#REF!</v>
      </c>
      <c r="AW60" s="70" t="e">
        <f t="shared" si="75"/>
        <v>#REF!</v>
      </c>
      <c r="AX60" s="70" t="e">
        <f t="shared" si="75"/>
        <v>#REF!</v>
      </c>
      <c r="AY60" s="70" t="e">
        <f t="shared" si="75"/>
        <v>#REF!</v>
      </c>
      <c r="AZ60" s="70" t="e">
        <f t="shared" si="75"/>
        <v>#REF!</v>
      </c>
      <c r="BA60" s="70" t="e">
        <f t="shared" si="75"/>
        <v>#REF!</v>
      </c>
    </row>
    <row r="61" spans="27:53" hidden="1">
      <c r="AA61" s="71" t="s">
        <v>42</v>
      </c>
      <c r="AB61" s="35"/>
      <c r="AF61" s="70" t="e">
        <f t="shared" ref="AF61:AO61" si="76">AF24+AF26+AF28+AF29+AF32</f>
        <v>#REF!</v>
      </c>
      <c r="AG61" s="70" t="e">
        <f t="shared" si="76"/>
        <v>#REF!</v>
      </c>
      <c r="AH61" s="70" t="e">
        <f t="shared" si="76"/>
        <v>#REF!</v>
      </c>
      <c r="AI61" s="70" t="e">
        <f t="shared" si="76"/>
        <v>#REF!</v>
      </c>
      <c r="AJ61" s="70" t="e">
        <f t="shared" si="76"/>
        <v>#REF!</v>
      </c>
      <c r="AK61" s="70" t="e">
        <f t="shared" si="76"/>
        <v>#REF!</v>
      </c>
      <c r="AL61" s="70" t="e">
        <f t="shared" si="76"/>
        <v>#REF!</v>
      </c>
      <c r="AM61" s="70" t="e">
        <f t="shared" si="76"/>
        <v>#REF!</v>
      </c>
      <c r="AN61" s="70" t="e">
        <f t="shared" si="76"/>
        <v>#REF!</v>
      </c>
      <c r="AO61" s="70" t="e">
        <f t="shared" si="76"/>
        <v>#REF!</v>
      </c>
      <c r="AP61" s="70"/>
      <c r="AQ61" s="70"/>
      <c r="AR61" s="70" t="e">
        <f t="shared" ref="AR61:BA61" si="77">AR24+AR26+AR28+AR29+AR32</f>
        <v>#REF!</v>
      </c>
      <c r="AS61" s="70" t="e">
        <f t="shared" si="77"/>
        <v>#REF!</v>
      </c>
      <c r="AT61" s="70" t="e">
        <f t="shared" si="77"/>
        <v>#REF!</v>
      </c>
      <c r="AU61" s="70" t="e">
        <f t="shared" si="77"/>
        <v>#REF!</v>
      </c>
      <c r="AV61" s="70" t="e">
        <f t="shared" si="77"/>
        <v>#REF!</v>
      </c>
      <c r="AW61" s="70" t="e">
        <f t="shared" si="77"/>
        <v>#REF!</v>
      </c>
      <c r="AX61" s="70" t="e">
        <f t="shared" si="77"/>
        <v>#REF!</v>
      </c>
      <c r="AY61" s="70" t="e">
        <f t="shared" si="77"/>
        <v>#REF!</v>
      </c>
      <c r="AZ61" s="70" t="e">
        <f t="shared" si="77"/>
        <v>#REF!</v>
      </c>
      <c r="BA61" s="70" t="e">
        <f t="shared" si="77"/>
        <v>#REF!</v>
      </c>
    </row>
    <row r="62" spans="27:53" hidden="1">
      <c r="AA62" s="69" t="s">
        <v>47</v>
      </c>
      <c r="AB62" s="35"/>
      <c r="AF62" s="70" t="e">
        <f t="shared" ref="AF62:AO62" si="78">AF35+AF37+AF39+AF40+AF43</f>
        <v>#REF!</v>
      </c>
      <c r="AG62" s="70" t="e">
        <f t="shared" si="78"/>
        <v>#REF!</v>
      </c>
      <c r="AH62" s="70" t="e">
        <f t="shared" si="78"/>
        <v>#REF!</v>
      </c>
      <c r="AI62" s="70" t="e">
        <f t="shared" si="78"/>
        <v>#REF!</v>
      </c>
      <c r="AJ62" s="70" t="e">
        <f t="shared" si="78"/>
        <v>#REF!</v>
      </c>
      <c r="AK62" s="70" t="e">
        <f t="shared" si="78"/>
        <v>#REF!</v>
      </c>
      <c r="AL62" s="70" t="e">
        <f t="shared" si="78"/>
        <v>#REF!</v>
      </c>
      <c r="AM62" s="70" t="e">
        <f t="shared" si="78"/>
        <v>#REF!</v>
      </c>
      <c r="AN62" s="70" t="e">
        <f t="shared" si="78"/>
        <v>#REF!</v>
      </c>
      <c r="AO62" s="70" t="e">
        <f t="shared" si="78"/>
        <v>#REF!</v>
      </c>
      <c r="AP62" s="70"/>
      <c r="AQ62" s="70"/>
      <c r="AR62" s="70" t="e">
        <f t="shared" ref="AR62:BA62" si="79">AR35+AR37+AR39+AR40+AR43</f>
        <v>#REF!</v>
      </c>
      <c r="AS62" s="70" t="e">
        <f t="shared" si="79"/>
        <v>#REF!</v>
      </c>
      <c r="AT62" s="70" t="e">
        <f t="shared" si="79"/>
        <v>#REF!</v>
      </c>
      <c r="AU62" s="70" t="e">
        <f t="shared" si="79"/>
        <v>#REF!</v>
      </c>
      <c r="AV62" s="70" t="e">
        <f t="shared" si="79"/>
        <v>#REF!</v>
      </c>
      <c r="AW62" s="70" t="e">
        <f t="shared" si="79"/>
        <v>#REF!</v>
      </c>
      <c r="AX62" s="70" t="e">
        <f t="shared" si="79"/>
        <v>#REF!</v>
      </c>
      <c r="AY62" s="70" t="e">
        <f t="shared" si="79"/>
        <v>#REF!</v>
      </c>
      <c r="AZ62" s="70" t="e">
        <f t="shared" si="79"/>
        <v>#REF!</v>
      </c>
      <c r="BA62" s="70" t="e">
        <f t="shared" si="79"/>
        <v>#REF!</v>
      </c>
    </row>
    <row r="63" spans="27:53" hidden="1">
      <c r="AA63" s="71" t="s">
        <v>29</v>
      </c>
      <c r="AB63" s="35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</row>
    <row r="64" spans="27:53" hidden="1">
      <c r="AA64" s="71" t="s">
        <v>41</v>
      </c>
      <c r="AB64" s="35"/>
      <c r="AF64" s="70" t="e">
        <f t="shared" ref="AF64:AO64" si="80">AF13+AF14+AF19</f>
        <v>#REF!</v>
      </c>
      <c r="AG64" s="70" t="e">
        <f t="shared" si="80"/>
        <v>#REF!</v>
      </c>
      <c r="AH64" s="70" t="e">
        <f t="shared" si="80"/>
        <v>#REF!</v>
      </c>
      <c r="AI64" s="70" t="e">
        <f t="shared" si="80"/>
        <v>#REF!</v>
      </c>
      <c r="AJ64" s="70" t="e">
        <f t="shared" si="80"/>
        <v>#REF!</v>
      </c>
      <c r="AK64" s="70" t="e">
        <f t="shared" si="80"/>
        <v>#REF!</v>
      </c>
      <c r="AL64" s="70" t="e">
        <f t="shared" si="80"/>
        <v>#REF!</v>
      </c>
      <c r="AM64" s="70" t="e">
        <f t="shared" si="80"/>
        <v>#REF!</v>
      </c>
      <c r="AN64" s="70" t="e">
        <f t="shared" si="80"/>
        <v>#REF!</v>
      </c>
      <c r="AO64" s="70" t="e">
        <f t="shared" si="80"/>
        <v>#REF!</v>
      </c>
      <c r="AP64" s="70"/>
      <c r="AQ64" s="70"/>
      <c r="AR64" s="70" t="e">
        <f t="shared" ref="AR64:BA64" si="81">AR13+AR14+AR19</f>
        <v>#REF!</v>
      </c>
      <c r="AS64" s="70" t="e">
        <f t="shared" si="81"/>
        <v>#REF!</v>
      </c>
      <c r="AT64" s="70" t="e">
        <f t="shared" si="81"/>
        <v>#REF!</v>
      </c>
      <c r="AU64" s="70" t="e">
        <f t="shared" si="81"/>
        <v>#REF!</v>
      </c>
      <c r="AV64" s="70" t="e">
        <f t="shared" si="81"/>
        <v>#REF!</v>
      </c>
      <c r="AW64" s="70" t="e">
        <f t="shared" si="81"/>
        <v>#REF!</v>
      </c>
      <c r="AX64" s="70" t="e">
        <f t="shared" si="81"/>
        <v>#REF!</v>
      </c>
      <c r="AY64" s="70" t="e">
        <f t="shared" si="81"/>
        <v>#REF!</v>
      </c>
      <c r="AZ64" s="70" t="e">
        <f t="shared" si="81"/>
        <v>#REF!</v>
      </c>
      <c r="BA64" s="70" t="e">
        <f t="shared" si="81"/>
        <v>#REF!</v>
      </c>
    </row>
    <row r="65" spans="27:53" hidden="1">
      <c r="AA65" s="71" t="s">
        <v>42</v>
      </c>
      <c r="AB65" s="35"/>
      <c r="AF65" s="70" t="e">
        <f t="shared" ref="AF65:AO65" si="82">AF24+AF25+AF30</f>
        <v>#REF!</v>
      </c>
      <c r="AG65" s="70" t="e">
        <f t="shared" si="82"/>
        <v>#REF!</v>
      </c>
      <c r="AH65" s="70" t="e">
        <f t="shared" si="82"/>
        <v>#REF!</v>
      </c>
      <c r="AI65" s="70" t="e">
        <f t="shared" si="82"/>
        <v>#REF!</v>
      </c>
      <c r="AJ65" s="70" t="e">
        <f t="shared" si="82"/>
        <v>#REF!</v>
      </c>
      <c r="AK65" s="70" t="e">
        <f t="shared" si="82"/>
        <v>#REF!</v>
      </c>
      <c r="AL65" s="70" t="e">
        <f t="shared" si="82"/>
        <v>#REF!</v>
      </c>
      <c r="AM65" s="70" t="e">
        <f t="shared" si="82"/>
        <v>#REF!</v>
      </c>
      <c r="AN65" s="70" t="e">
        <f t="shared" si="82"/>
        <v>#REF!</v>
      </c>
      <c r="AO65" s="70" t="e">
        <f t="shared" si="82"/>
        <v>#REF!</v>
      </c>
      <c r="AP65" s="70"/>
      <c r="AQ65" s="70"/>
      <c r="AR65" s="70" t="e">
        <f t="shared" ref="AR65:BA65" si="83">AR24+AR25+AR30</f>
        <v>#REF!</v>
      </c>
      <c r="AS65" s="70" t="e">
        <f t="shared" si="83"/>
        <v>#REF!</v>
      </c>
      <c r="AT65" s="70" t="e">
        <f t="shared" si="83"/>
        <v>#REF!</v>
      </c>
      <c r="AU65" s="70" t="e">
        <f t="shared" si="83"/>
        <v>#REF!</v>
      </c>
      <c r="AV65" s="70" t="e">
        <f t="shared" si="83"/>
        <v>#REF!</v>
      </c>
      <c r="AW65" s="70" t="e">
        <f t="shared" si="83"/>
        <v>#REF!</v>
      </c>
      <c r="AX65" s="70" t="e">
        <f t="shared" si="83"/>
        <v>#REF!</v>
      </c>
      <c r="AY65" s="70" t="e">
        <f t="shared" si="83"/>
        <v>#REF!</v>
      </c>
      <c r="AZ65" s="70" t="e">
        <f t="shared" si="83"/>
        <v>#REF!</v>
      </c>
      <c r="BA65" s="70" t="e">
        <f t="shared" si="83"/>
        <v>#REF!</v>
      </c>
    </row>
    <row r="66" spans="27:53" hidden="1">
      <c r="AA66" s="69" t="s">
        <v>48</v>
      </c>
      <c r="AB66" s="35"/>
      <c r="AF66" s="70" t="e">
        <f t="shared" ref="AF66:AO66" si="84">AF35+AF36+AF41</f>
        <v>#REF!</v>
      </c>
      <c r="AG66" s="70" t="e">
        <f t="shared" si="84"/>
        <v>#REF!</v>
      </c>
      <c r="AH66" s="70" t="e">
        <f t="shared" si="84"/>
        <v>#REF!</v>
      </c>
      <c r="AI66" s="70" t="e">
        <f t="shared" si="84"/>
        <v>#REF!</v>
      </c>
      <c r="AJ66" s="70" t="e">
        <f t="shared" si="84"/>
        <v>#REF!</v>
      </c>
      <c r="AK66" s="70" t="e">
        <f t="shared" si="84"/>
        <v>#REF!</v>
      </c>
      <c r="AL66" s="70" t="e">
        <f t="shared" si="84"/>
        <v>#REF!</v>
      </c>
      <c r="AM66" s="70" t="e">
        <f t="shared" si="84"/>
        <v>#REF!</v>
      </c>
      <c r="AN66" s="70" t="e">
        <f t="shared" si="84"/>
        <v>#REF!</v>
      </c>
      <c r="AO66" s="70" t="e">
        <f t="shared" si="84"/>
        <v>#REF!</v>
      </c>
      <c r="AP66" s="70"/>
      <c r="AQ66" s="70"/>
      <c r="AR66" s="70" t="e">
        <f t="shared" ref="AR66:BA66" si="85">AR35+AR36+AR41</f>
        <v>#REF!</v>
      </c>
      <c r="AS66" s="70" t="e">
        <f t="shared" si="85"/>
        <v>#REF!</v>
      </c>
      <c r="AT66" s="70" t="e">
        <f t="shared" si="85"/>
        <v>#REF!</v>
      </c>
      <c r="AU66" s="70" t="e">
        <f t="shared" si="85"/>
        <v>#REF!</v>
      </c>
      <c r="AV66" s="70" t="e">
        <f t="shared" si="85"/>
        <v>#REF!</v>
      </c>
      <c r="AW66" s="70" t="e">
        <f t="shared" si="85"/>
        <v>#REF!</v>
      </c>
      <c r="AX66" s="70" t="e">
        <f t="shared" si="85"/>
        <v>#REF!</v>
      </c>
      <c r="AY66" s="70" t="e">
        <f t="shared" si="85"/>
        <v>#REF!</v>
      </c>
      <c r="AZ66" s="70" t="e">
        <f t="shared" si="85"/>
        <v>#REF!</v>
      </c>
      <c r="BA66" s="70" t="e">
        <f t="shared" si="85"/>
        <v>#REF!</v>
      </c>
    </row>
    <row r="67" spans="27:53" hidden="1">
      <c r="AA67" s="71" t="s">
        <v>29</v>
      </c>
      <c r="AB67" s="35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</row>
    <row r="68" spans="27:53" hidden="1">
      <c r="AA68" s="71" t="s">
        <v>41</v>
      </c>
      <c r="AB68" s="35"/>
      <c r="AF68" s="70" t="e">
        <f t="shared" ref="AF68:AO68" si="86">AF13+AF14+AF18+AF20</f>
        <v>#REF!</v>
      </c>
      <c r="AG68" s="70" t="e">
        <f t="shared" si="86"/>
        <v>#REF!</v>
      </c>
      <c r="AH68" s="70" t="e">
        <f t="shared" si="86"/>
        <v>#REF!</v>
      </c>
      <c r="AI68" s="70" t="e">
        <f t="shared" si="86"/>
        <v>#REF!</v>
      </c>
      <c r="AJ68" s="70" t="e">
        <f t="shared" si="86"/>
        <v>#REF!</v>
      </c>
      <c r="AK68" s="70" t="e">
        <f t="shared" si="86"/>
        <v>#REF!</v>
      </c>
      <c r="AL68" s="70" t="e">
        <f t="shared" si="86"/>
        <v>#REF!</v>
      </c>
      <c r="AM68" s="70" t="e">
        <f t="shared" si="86"/>
        <v>#REF!</v>
      </c>
      <c r="AN68" s="70" t="e">
        <f t="shared" si="86"/>
        <v>#REF!</v>
      </c>
      <c r="AO68" s="70" t="e">
        <f t="shared" si="86"/>
        <v>#REF!</v>
      </c>
      <c r="AP68" s="70"/>
      <c r="AQ68" s="70"/>
      <c r="AR68" s="70" t="e">
        <f t="shared" ref="AR68:BA68" si="87">AR13+AR14+AR18+AR20</f>
        <v>#REF!</v>
      </c>
      <c r="AS68" s="70" t="e">
        <f t="shared" si="87"/>
        <v>#REF!</v>
      </c>
      <c r="AT68" s="70" t="e">
        <f t="shared" si="87"/>
        <v>#REF!</v>
      </c>
      <c r="AU68" s="70" t="e">
        <f t="shared" si="87"/>
        <v>#REF!</v>
      </c>
      <c r="AV68" s="70" t="e">
        <f t="shared" si="87"/>
        <v>#REF!</v>
      </c>
      <c r="AW68" s="70" t="e">
        <f t="shared" si="87"/>
        <v>#REF!</v>
      </c>
      <c r="AX68" s="70" t="e">
        <f t="shared" si="87"/>
        <v>#REF!</v>
      </c>
      <c r="AY68" s="70" t="e">
        <f t="shared" si="87"/>
        <v>#REF!</v>
      </c>
      <c r="AZ68" s="70" t="e">
        <f t="shared" si="87"/>
        <v>#REF!</v>
      </c>
      <c r="BA68" s="70" t="e">
        <f t="shared" si="87"/>
        <v>#REF!</v>
      </c>
    </row>
    <row r="69" spans="27:53" hidden="1">
      <c r="AA69" s="71" t="s">
        <v>42</v>
      </c>
      <c r="AB69" s="35"/>
      <c r="AF69" s="70" t="e">
        <f t="shared" ref="AF69:AO69" si="88">AF24+AF25+AF29+AF31</f>
        <v>#REF!</v>
      </c>
      <c r="AG69" s="70" t="e">
        <f t="shared" si="88"/>
        <v>#REF!</v>
      </c>
      <c r="AH69" s="70" t="e">
        <f t="shared" si="88"/>
        <v>#REF!</v>
      </c>
      <c r="AI69" s="70" t="e">
        <f t="shared" si="88"/>
        <v>#REF!</v>
      </c>
      <c r="AJ69" s="70" t="e">
        <f t="shared" si="88"/>
        <v>#REF!</v>
      </c>
      <c r="AK69" s="70" t="e">
        <f t="shared" si="88"/>
        <v>#REF!</v>
      </c>
      <c r="AL69" s="70" t="e">
        <f t="shared" si="88"/>
        <v>#REF!</v>
      </c>
      <c r="AM69" s="70" t="e">
        <f t="shared" si="88"/>
        <v>#REF!</v>
      </c>
      <c r="AN69" s="70" t="e">
        <f t="shared" si="88"/>
        <v>#REF!</v>
      </c>
      <c r="AO69" s="70" t="e">
        <f t="shared" si="88"/>
        <v>#REF!</v>
      </c>
      <c r="AP69" s="70"/>
      <c r="AQ69" s="70"/>
      <c r="AR69" s="70" t="e">
        <f t="shared" ref="AR69:BA69" si="89">AR24+AR25+AR29+AR31</f>
        <v>#REF!</v>
      </c>
      <c r="AS69" s="70" t="e">
        <f t="shared" si="89"/>
        <v>#REF!</v>
      </c>
      <c r="AT69" s="70" t="e">
        <f t="shared" si="89"/>
        <v>#REF!</v>
      </c>
      <c r="AU69" s="70" t="e">
        <f t="shared" si="89"/>
        <v>#REF!</v>
      </c>
      <c r="AV69" s="70" t="e">
        <f t="shared" si="89"/>
        <v>#REF!</v>
      </c>
      <c r="AW69" s="70" t="e">
        <f t="shared" si="89"/>
        <v>#REF!</v>
      </c>
      <c r="AX69" s="70" t="e">
        <f t="shared" si="89"/>
        <v>#REF!</v>
      </c>
      <c r="AY69" s="70" t="e">
        <f t="shared" si="89"/>
        <v>#REF!</v>
      </c>
      <c r="AZ69" s="70" t="e">
        <f t="shared" si="89"/>
        <v>#REF!</v>
      </c>
      <c r="BA69" s="70" t="e">
        <f t="shared" si="89"/>
        <v>#REF!</v>
      </c>
    </row>
    <row r="70" spans="27:53" hidden="1">
      <c r="AA70" s="72" t="s">
        <v>49</v>
      </c>
      <c r="AB70" s="35"/>
      <c r="AF70" s="70" t="e">
        <f t="shared" ref="AF70:AO70" si="90">AF35+AF36+AF40+AF42</f>
        <v>#REF!</v>
      </c>
      <c r="AG70" s="70" t="e">
        <f t="shared" si="90"/>
        <v>#REF!</v>
      </c>
      <c r="AH70" s="70" t="e">
        <f t="shared" si="90"/>
        <v>#REF!</v>
      </c>
      <c r="AI70" s="70" t="e">
        <f t="shared" si="90"/>
        <v>#REF!</v>
      </c>
      <c r="AJ70" s="70" t="e">
        <f t="shared" si="90"/>
        <v>#REF!</v>
      </c>
      <c r="AK70" s="70" t="e">
        <f t="shared" si="90"/>
        <v>#REF!</v>
      </c>
      <c r="AL70" s="70" t="e">
        <f t="shared" si="90"/>
        <v>#REF!</v>
      </c>
      <c r="AM70" s="70" t="e">
        <f t="shared" si="90"/>
        <v>#REF!</v>
      </c>
      <c r="AN70" s="70" t="e">
        <f t="shared" si="90"/>
        <v>#REF!</v>
      </c>
      <c r="AO70" s="70" t="e">
        <f t="shared" si="90"/>
        <v>#REF!</v>
      </c>
      <c r="AP70" s="70"/>
      <c r="AQ70" s="70"/>
      <c r="AR70" s="70" t="e">
        <f t="shared" ref="AR70:BA70" si="91">AR35+AR36+AR40+AR42</f>
        <v>#REF!</v>
      </c>
      <c r="AS70" s="70" t="e">
        <f t="shared" si="91"/>
        <v>#REF!</v>
      </c>
      <c r="AT70" s="70" t="e">
        <f t="shared" si="91"/>
        <v>#REF!</v>
      </c>
      <c r="AU70" s="70" t="e">
        <f t="shared" si="91"/>
        <v>#REF!</v>
      </c>
      <c r="AV70" s="70" t="e">
        <f t="shared" si="91"/>
        <v>#REF!</v>
      </c>
      <c r="AW70" s="70" t="e">
        <f t="shared" si="91"/>
        <v>#REF!</v>
      </c>
      <c r="AX70" s="70" t="e">
        <f t="shared" si="91"/>
        <v>#REF!</v>
      </c>
      <c r="AY70" s="70" t="e">
        <f t="shared" si="91"/>
        <v>#REF!</v>
      </c>
      <c r="AZ70" s="70" t="e">
        <f t="shared" si="91"/>
        <v>#REF!</v>
      </c>
      <c r="BA70" s="70" t="e">
        <f t="shared" si="91"/>
        <v>#REF!</v>
      </c>
    </row>
    <row r="71" spans="27:53" hidden="1">
      <c r="AA71" s="71" t="s">
        <v>29</v>
      </c>
      <c r="AB71" s="35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</row>
    <row r="72" spans="27:53" hidden="1">
      <c r="AA72" s="71" t="s">
        <v>41</v>
      </c>
      <c r="AB72" s="35"/>
      <c r="AF72" s="70" t="e">
        <f t="shared" ref="AF72:AO72" si="92">AF13+AF14+AF18+AF21</f>
        <v>#REF!</v>
      </c>
      <c r="AG72" s="70" t="e">
        <f t="shared" si="92"/>
        <v>#REF!</v>
      </c>
      <c r="AH72" s="70" t="e">
        <f t="shared" si="92"/>
        <v>#REF!</v>
      </c>
      <c r="AI72" s="70" t="e">
        <f t="shared" si="92"/>
        <v>#REF!</v>
      </c>
      <c r="AJ72" s="70" t="e">
        <f t="shared" si="92"/>
        <v>#REF!</v>
      </c>
      <c r="AK72" s="70" t="e">
        <f t="shared" si="92"/>
        <v>#REF!</v>
      </c>
      <c r="AL72" s="70" t="e">
        <f t="shared" si="92"/>
        <v>#REF!</v>
      </c>
      <c r="AM72" s="70" t="e">
        <f t="shared" si="92"/>
        <v>#REF!</v>
      </c>
      <c r="AN72" s="70" t="e">
        <f t="shared" si="92"/>
        <v>#REF!</v>
      </c>
      <c r="AO72" s="70" t="e">
        <f t="shared" si="92"/>
        <v>#REF!</v>
      </c>
      <c r="AP72" s="70"/>
      <c r="AQ72" s="70"/>
      <c r="AR72" s="70" t="e">
        <f t="shared" ref="AR72:BA72" si="93">AR13+AR14+AR18+AR21</f>
        <v>#REF!</v>
      </c>
      <c r="AS72" s="70" t="e">
        <f t="shared" si="93"/>
        <v>#REF!</v>
      </c>
      <c r="AT72" s="70" t="e">
        <f t="shared" si="93"/>
        <v>#REF!</v>
      </c>
      <c r="AU72" s="70" t="e">
        <f t="shared" si="93"/>
        <v>#REF!</v>
      </c>
      <c r="AV72" s="70" t="e">
        <f t="shared" si="93"/>
        <v>#REF!</v>
      </c>
      <c r="AW72" s="70" t="e">
        <f t="shared" si="93"/>
        <v>#REF!</v>
      </c>
      <c r="AX72" s="70" t="e">
        <f t="shared" si="93"/>
        <v>#REF!</v>
      </c>
      <c r="AY72" s="70" t="e">
        <f t="shared" si="93"/>
        <v>#REF!</v>
      </c>
      <c r="AZ72" s="70" t="e">
        <f t="shared" si="93"/>
        <v>#REF!</v>
      </c>
      <c r="BA72" s="70" t="e">
        <f t="shared" si="93"/>
        <v>#REF!</v>
      </c>
    </row>
    <row r="73" spans="27:53" hidden="1">
      <c r="AA73" s="71" t="s">
        <v>42</v>
      </c>
      <c r="AB73" s="35"/>
      <c r="AF73" s="70" t="e">
        <f t="shared" ref="AF73:AO73" si="94">AF24+AF25+AF29+AF32</f>
        <v>#REF!</v>
      </c>
      <c r="AG73" s="70" t="e">
        <f t="shared" si="94"/>
        <v>#REF!</v>
      </c>
      <c r="AH73" s="70" t="e">
        <f t="shared" si="94"/>
        <v>#REF!</v>
      </c>
      <c r="AI73" s="70" t="e">
        <f t="shared" si="94"/>
        <v>#REF!</v>
      </c>
      <c r="AJ73" s="70" t="e">
        <f t="shared" si="94"/>
        <v>#REF!</v>
      </c>
      <c r="AK73" s="70" t="e">
        <f t="shared" si="94"/>
        <v>#REF!</v>
      </c>
      <c r="AL73" s="70" t="e">
        <f t="shared" si="94"/>
        <v>#REF!</v>
      </c>
      <c r="AM73" s="70" t="e">
        <f t="shared" si="94"/>
        <v>#REF!</v>
      </c>
      <c r="AN73" s="70" t="e">
        <f t="shared" si="94"/>
        <v>#REF!</v>
      </c>
      <c r="AO73" s="70" t="e">
        <f t="shared" si="94"/>
        <v>#REF!</v>
      </c>
      <c r="AP73" s="70"/>
      <c r="AQ73" s="70"/>
      <c r="AR73" s="70" t="e">
        <f t="shared" ref="AR73:BA73" si="95">AR24+AR25+AR29+AR32</f>
        <v>#REF!</v>
      </c>
      <c r="AS73" s="70" t="e">
        <f t="shared" si="95"/>
        <v>#REF!</v>
      </c>
      <c r="AT73" s="70" t="e">
        <f t="shared" si="95"/>
        <v>#REF!</v>
      </c>
      <c r="AU73" s="70" t="e">
        <f t="shared" si="95"/>
        <v>#REF!</v>
      </c>
      <c r="AV73" s="70" t="e">
        <f t="shared" si="95"/>
        <v>#REF!</v>
      </c>
      <c r="AW73" s="70" t="e">
        <f t="shared" si="95"/>
        <v>#REF!</v>
      </c>
      <c r="AX73" s="70" t="e">
        <f t="shared" si="95"/>
        <v>#REF!</v>
      </c>
      <c r="AY73" s="70" t="e">
        <f t="shared" si="95"/>
        <v>#REF!</v>
      </c>
      <c r="AZ73" s="70" t="e">
        <f t="shared" si="95"/>
        <v>#REF!</v>
      </c>
      <c r="BA73" s="70" t="e">
        <f t="shared" si="95"/>
        <v>#REF!</v>
      </c>
    </row>
    <row r="74" spans="27:53" hidden="1">
      <c r="AA74" s="69" t="s">
        <v>50</v>
      </c>
      <c r="AB74" s="35"/>
      <c r="AF74" s="70" t="e">
        <f t="shared" ref="AF74:AO74" si="96">AF35+AF36+AF40+AF43</f>
        <v>#REF!</v>
      </c>
      <c r="AG74" s="70" t="e">
        <f t="shared" si="96"/>
        <v>#REF!</v>
      </c>
      <c r="AH74" s="70" t="e">
        <f t="shared" si="96"/>
        <v>#REF!</v>
      </c>
      <c r="AI74" s="70" t="e">
        <f t="shared" si="96"/>
        <v>#REF!</v>
      </c>
      <c r="AJ74" s="70" t="e">
        <f t="shared" si="96"/>
        <v>#REF!</v>
      </c>
      <c r="AK74" s="70" t="e">
        <f t="shared" si="96"/>
        <v>#REF!</v>
      </c>
      <c r="AL74" s="70" t="e">
        <f t="shared" si="96"/>
        <v>#REF!</v>
      </c>
      <c r="AM74" s="70" t="e">
        <f t="shared" si="96"/>
        <v>#REF!</v>
      </c>
      <c r="AN74" s="70" t="e">
        <f t="shared" si="96"/>
        <v>#REF!</v>
      </c>
      <c r="AO74" s="70" t="e">
        <f t="shared" si="96"/>
        <v>#REF!</v>
      </c>
      <c r="AP74" s="70"/>
      <c r="AQ74" s="70"/>
      <c r="AR74" s="70" t="e">
        <f t="shared" ref="AR74:BA74" si="97">AR35+AR36+AR40+AR43</f>
        <v>#REF!</v>
      </c>
      <c r="AS74" s="70" t="e">
        <f t="shared" si="97"/>
        <v>#REF!</v>
      </c>
      <c r="AT74" s="70" t="e">
        <f t="shared" si="97"/>
        <v>#REF!</v>
      </c>
      <c r="AU74" s="70" t="e">
        <f t="shared" si="97"/>
        <v>#REF!</v>
      </c>
      <c r="AV74" s="70" t="e">
        <f t="shared" si="97"/>
        <v>#REF!</v>
      </c>
      <c r="AW74" s="70" t="e">
        <f t="shared" si="97"/>
        <v>#REF!</v>
      </c>
      <c r="AX74" s="70" t="e">
        <f t="shared" si="97"/>
        <v>#REF!</v>
      </c>
      <c r="AY74" s="70" t="e">
        <f t="shared" si="97"/>
        <v>#REF!</v>
      </c>
      <c r="AZ74" s="70" t="e">
        <f t="shared" si="97"/>
        <v>#REF!</v>
      </c>
      <c r="BA74" s="70" t="e">
        <f t="shared" si="97"/>
        <v>#REF!</v>
      </c>
    </row>
    <row r="75" spans="27:53" hidden="1">
      <c r="AA75" s="71" t="s">
        <v>29</v>
      </c>
      <c r="AB75" s="35"/>
    </row>
    <row r="76" spans="27:53" hidden="1">
      <c r="AA76" s="71" t="s">
        <v>41</v>
      </c>
      <c r="AB76" s="35"/>
    </row>
    <row r="77" spans="27:53" hidden="1">
      <c r="AA77" s="71" t="s">
        <v>42</v>
      </c>
      <c r="AB77" s="35"/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5" spans="1:52">
      <c r="AN85" s="38"/>
      <c r="AZ85" s="36"/>
    </row>
    <row r="86" spans="1:52">
      <c r="AN86" s="38"/>
      <c r="AZ86" s="36"/>
    </row>
    <row r="87" spans="1:52">
      <c r="AN87" s="38"/>
      <c r="AZ87" s="36"/>
    </row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422" t="s">
        <v>55</v>
      </c>
      <c r="G89" s="422" t="s">
        <v>73</v>
      </c>
      <c r="H89" s="422" t="s">
        <v>74</v>
      </c>
      <c r="I89" s="422" t="s">
        <v>58</v>
      </c>
      <c r="J89" s="422" t="s">
        <v>59</v>
      </c>
      <c r="K89" s="422" t="s">
        <v>60</v>
      </c>
      <c r="L89" s="421" t="s">
        <v>75</v>
      </c>
      <c r="M89" s="421" t="s">
        <v>76</v>
      </c>
      <c r="N89" s="421" t="s">
        <v>61</v>
      </c>
      <c r="O89" s="421" t="s">
        <v>62</v>
      </c>
      <c r="P89" s="421" t="s">
        <v>63</v>
      </c>
    </row>
    <row r="90" spans="1:52" ht="25.5">
      <c r="A90" s="44" t="str">
        <f t="shared" ref="A90:C90" si="98">A4</f>
        <v>General Construction</v>
      </c>
      <c r="B90" s="45" t="str">
        <f t="shared" si="98"/>
        <v>Light-Duty Truck, catalyst</v>
      </c>
      <c r="C90" s="46">
        <f t="shared" si="98"/>
        <v>3</v>
      </c>
      <c r="D90" s="46">
        <v>35</v>
      </c>
      <c r="E90" s="46">
        <v>80</v>
      </c>
      <c r="F90" s="50">
        <f t="shared" ref="F90:F92" si="99">C4*($E4*$F4+($G4))/453.59</f>
        <v>1.4571581576427601</v>
      </c>
      <c r="G90" s="50">
        <f t="shared" ref="G90:G92" si="100">C4*($E4*$H4+($I4))/453.59</f>
        <v>0.13101197188313402</v>
      </c>
      <c r="H90" s="50">
        <f t="shared" ref="H90:H92" si="101">C4*(($E4*$J4)+($K4)+($L4)+($E4*$N4)+(($M4+$O4)))/453.59</f>
        <v>0.15149994097185998</v>
      </c>
      <c r="I90" s="50">
        <f t="shared" ref="I90:I92" si="102">C4*($E4*$P4+($Q4))/453.59</f>
        <v>2.1803910814818476E-3</v>
      </c>
      <c r="J90" s="50">
        <f t="shared" ref="J90:J92" si="103">C4*(($E4*($R4+$T4+$U4))+($S4))/453.59</f>
        <v>2.5572271365623688E-2</v>
      </c>
      <c r="K90" s="50">
        <f t="shared" ref="K90:K92" si="104">$C4*(($E4*($V4+$X4+$Y4))+($W4))/453.59</f>
        <v>1.1136015972759426E-2</v>
      </c>
      <c r="L90" s="50">
        <f t="shared" ref="L90:L92" si="105">$B$23*C4*(E4+6)</f>
        <v>2.5315747758215698E-2</v>
      </c>
      <c r="M90" s="50">
        <f t="shared" ref="M90:M92" si="106">0.41*L90</f>
        <v>1.0379456580868435E-2</v>
      </c>
      <c r="N90" s="50">
        <f t="shared" ref="N90:N92" si="107">C4*($E4*$Z4+($AA4))/453.59</f>
        <v>166.27073017811671</v>
      </c>
      <c r="O90" s="50">
        <f t="shared" ref="O90:O92" si="108">C4*($E4*$AB4+($AC4))/453.59</f>
        <v>9.5114261670907474E-3</v>
      </c>
      <c r="P90" s="50">
        <f t="shared" ref="P90:P92" si="109">C4*($E4*$AD4+($AE4))/453.59</f>
        <v>1.7313359741530081E-2</v>
      </c>
    </row>
    <row r="91" spans="1:52" ht="25.5">
      <c r="A91" s="44" t="str">
        <f t="shared" ref="A91:C91" si="110">A5</f>
        <v>Site and Access Road Grading</v>
      </c>
      <c r="B91" s="45" t="str">
        <f t="shared" si="110"/>
        <v>Light-Duty Truck, catalyst</v>
      </c>
      <c r="C91" s="46">
        <f t="shared" si="110"/>
        <v>20</v>
      </c>
      <c r="D91" s="46">
        <v>35</v>
      </c>
      <c r="E91" s="46">
        <v>80</v>
      </c>
      <c r="F91" s="50">
        <f t="shared" si="99"/>
        <v>9.7143877176184024</v>
      </c>
      <c r="G91" s="50">
        <f t="shared" si="100"/>
        <v>0.87341314588756025</v>
      </c>
      <c r="H91" s="50">
        <f t="shared" si="101"/>
        <v>1.0099996064790666</v>
      </c>
      <c r="I91" s="50">
        <f t="shared" si="102"/>
        <v>1.453594054321232E-2</v>
      </c>
      <c r="J91" s="50">
        <f t="shared" si="103"/>
        <v>0.17048180910415792</v>
      </c>
      <c r="K91" s="50">
        <f t="shared" si="104"/>
        <v>7.4240106485062823E-2</v>
      </c>
      <c r="L91" s="50">
        <f t="shared" si="105"/>
        <v>0.16877165172143796</v>
      </c>
      <c r="M91" s="50">
        <f t="shared" si="106"/>
        <v>6.9196377205789555E-2</v>
      </c>
      <c r="N91" s="50">
        <f t="shared" si="107"/>
        <v>1108.4715345207778</v>
      </c>
      <c r="O91" s="50">
        <f t="shared" si="108"/>
        <v>6.3409507780604987E-2</v>
      </c>
      <c r="P91" s="50">
        <f t="shared" si="109"/>
        <v>0.11542239827686719</v>
      </c>
    </row>
    <row r="92" spans="1:52" ht="25.5">
      <c r="A92" s="44" t="str">
        <f t="shared" ref="A92:C92" si="111">A6</f>
        <v>Storm Drain and Erosion Control</v>
      </c>
      <c r="B92" s="45" t="str">
        <f t="shared" si="111"/>
        <v>Light-Duty Truck, catalyst</v>
      </c>
      <c r="C92" s="46">
        <f t="shared" si="111"/>
        <v>13</v>
      </c>
      <c r="D92" s="46">
        <v>35</v>
      </c>
      <c r="E92" s="46">
        <v>80</v>
      </c>
      <c r="F92" s="50">
        <f t="shared" si="99"/>
        <v>6.3143520164519611</v>
      </c>
      <c r="G92" s="50">
        <f t="shared" si="100"/>
        <v>0.56771854482691408</v>
      </c>
      <c r="H92" s="50">
        <f t="shared" si="101"/>
        <v>0.65649974421139334</v>
      </c>
      <c r="I92" s="50">
        <f t="shared" si="102"/>
        <v>9.4483613530880074E-3</v>
      </c>
      <c r="J92" s="50">
        <f t="shared" si="103"/>
        <v>0.11081317591770266</v>
      </c>
      <c r="K92" s="50">
        <f t="shared" si="104"/>
        <v>4.8256069215290839E-2</v>
      </c>
      <c r="L92" s="50">
        <f t="shared" si="105"/>
        <v>0.10970157361893468</v>
      </c>
      <c r="M92" s="50">
        <f t="shared" si="106"/>
        <v>4.4977645183763217E-2</v>
      </c>
      <c r="N92" s="50">
        <f t="shared" si="107"/>
        <v>720.50649743850568</v>
      </c>
      <c r="O92" s="50">
        <f t="shared" si="108"/>
        <v>4.1216180057393241E-2</v>
      </c>
      <c r="P92" s="50">
        <f t="shared" si="109"/>
        <v>7.5024558879963676E-2</v>
      </c>
    </row>
    <row r="93" spans="1:52">
      <c r="A93" s="61" t="s">
        <v>389</v>
      </c>
      <c r="B93" s="40"/>
      <c r="C93" s="40"/>
      <c r="D93" s="40"/>
      <c r="E93" s="40"/>
      <c r="F93" s="81">
        <f>SUM(F90:F92)</f>
        <v>17.485897891713122</v>
      </c>
      <c r="G93" s="81">
        <f t="shared" ref="G93:P93" si="112">SUM(G90:G92)</f>
        <v>1.5721436625976084</v>
      </c>
      <c r="H93" s="81">
        <f t="shared" si="112"/>
        <v>1.81799929166232</v>
      </c>
      <c r="I93" s="81">
        <f t="shared" si="112"/>
        <v>2.6164692977782171E-2</v>
      </c>
      <c r="J93" s="81">
        <f t="shared" si="112"/>
        <v>0.30686725638748424</v>
      </c>
      <c r="K93" s="81">
        <f t="shared" si="112"/>
        <v>0.13363219167311308</v>
      </c>
      <c r="L93" s="81">
        <f t="shared" si="112"/>
        <v>0.30378897309858832</v>
      </c>
      <c r="M93" s="81">
        <f t="shared" si="112"/>
        <v>0.12455347897042121</v>
      </c>
      <c r="N93" s="81">
        <f t="shared" si="112"/>
        <v>1995.2487621374003</v>
      </c>
      <c r="O93" s="81">
        <f t="shared" si="112"/>
        <v>0.11413711400508897</v>
      </c>
      <c r="P93" s="81">
        <f t="shared" si="112"/>
        <v>0.20776031689836094</v>
      </c>
    </row>
  </sheetData>
  <mergeCells count="16">
    <mergeCell ref="AR10:BA10"/>
    <mergeCell ref="A88:A89"/>
    <mergeCell ref="B88:B89"/>
    <mergeCell ref="F88:P88"/>
    <mergeCell ref="R2:U2"/>
    <mergeCell ref="V2:Y2"/>
    <mergeCell ref="Z2:AA2"/>
    <mergeCell ref="AB2:AC2"/>
    <mergeCell ref="AD2:AE2"/>
    <mergeCell ref="AF10:AO10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27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4"/>
  <sheetViews>
    <sheetView zoomScale="75" zoomScaleNormal="75" workbookViewId="0">
      <selection activeCell="E43" sqref="E43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786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414</v>
      </c>
      <c r="B7" s="29"/>
      <c r="C7" s="97"/>
      <c r="D7" s="12"/>
      <c r="E7" s="102"/>
      <c r="F7" s="102"/>
      <c r="G7" s="102"/>
      <c r="H7" s="102"/>
      <c r="I7" s="102"/>
      <c r="J7" s="100"/>
      <c r="K7" s="103"/>
      <c r="L7" s="102"/>
      <c r="M7" s="104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 t="s">
        <v>114</v>
      </c>
      <c r="B8" s="90" t="s">
        <v>27</v>
      </c>
      <c r="C8" s="97">
        <v>34</v>
      </c>
      <c r="D8" s="97">
        <v>0.31</v>
      </c>
      <c r="E8" s="102">
        <v>4.2958246826547246E-2</v>
      </c>
      <c r="F8" s="397">
        <v>9.5268959435626091E-2</v>
      </c>
      <c r="G8" s="397">
        <v>0.12361728395061726</v>
      </c>
      <c r="H8" s="102">
        <v>2.5354407605791113E-4</v>
      </c>
      <c r="I8" s="397">
        <v>1.0456349206349205E-2</v>
      </c>
      <c r="J8" s="100">
        <f t="shared" ref="J8:J13" si="0">0.89*I8</f>
        <v>9.3061507936507935E-3</v>
      </c>
      <c r="K8" s="103">
        <v>19.61276416423032</v>
      </c>
      <c r="L8" s="102">
        <v>4.8141782348593348E-3</v>
      </c>
      <c r="M8" s="104">
        <f t="shared" ref="M8:M13" si="1">0.095*G8</f>
        <v>1.174364197530864E-2</v>
      </c>
      <c r="N8" s="87">
        <v>2</v>
      </c>
      <c r="O8" s="87">
        <v>8</v>
      </c>
      <c r="P8" s="88">
        <v>10</v>
      </c>
      <c r="Q8" s="34">
        <f t="shared" ref="Q8:Y13" si="2">(E8*$N8*$O8)</f>
        <v>0.68733194922475593</v>
      </c>
      <c r="R8" s="26">
        <f t="shared" si="2"/>
        <v>1.5243033509700175</v>
      </c>
      <c r="S8" s="26">
        <f t="shared" si="2"/>
        <v>1.9778765432098762</v>
      </c>
      <c r="T8" s="26">
        <f t="shared" si="2"/>
        <v>4.0567052169265781E-3</v>
      </c>
      <c r="U8" s="26">
        <f t="shared" si="2"/>
        <v>0.16730158730158728</v>
      </c>
      <c r="V8" s="26">
        <f t="shared" si="2"/>
        <v>0.1488984126984127</v>
      </c>
      <c r="W8" s="26">
        <f t="shared" si="2"/>
        <v>313.80422662768513</v>
      </c>
      <c r="X8" s="26">
        <f t="shared" si="2"/>
        <v>7.7026851757749357E-2</v>
      </c>
      <c r="Y8" s="26">
        <f t="shared" si="2"/>
        <v>0.18789827160493824</v>
      </c>
    </row>
    <row r="9" spans="1:25" s="3" customFormat="1">
      <c r="A9" s="24" t="s">
        <v>298</v>
      </c>
      <c r="B9" s="29" t="s">
        <v>27</v>
      </c>
      <c r="C9" s="97">
        <v>300</v>
      </c>
      <c r="D9" s="97"/>
      <c r="E9" s="102">
        <v>0.12431762378554365</v>
      </c>
      <c r="F9" s="102">
        <v>0.4868439847761532</v>
      </c>
      <c r="G9" s="102">
        <v>1.0415214118246066</v>
      </c>
      <c r="H9" s="102">
        <v>2.4954334272364047E-3</v>
      </c>
      <c r="I9" s="102">
        <v>3.5011591348186828E-2</v>
      </c>
      <c r="J9" s="100">
        <f t="shared" si="0"/>
        <v>3.1160316299886276E-2</v>
      </c>
      <c r="K9" s="103">
        <v>254.23851177178003</v>
      </c>
      <c r="L9" s="102">
        <v>1.1216977037398481E-2</v>
      </c>
      <c r="M9" s="104">
        <f t="shared" si="1"/>
        <v>9.8944534123337619E-2</v>
      </c>
      <c r="N9" s="98">
        <v>1</v>
      </c>
      <c r="O9" s="87">
        <v>8</v>
      </c>
      <c r="P9" s="88">
        <v>4</v>
      </c>
      <c r="Q9" s="34">
        <f t="shared" si="2"/>
        <v>0.99454099028434917</v>
      </c>
      <c r="R9" s="26">
        <f t="shared" si="2"/>
        <v>3.8947518782092256</v>
      </c>
      <c r="S9" s="26">
        <f t="shared" si="2"/>
        <v>8.3321712945968525</v>
      </c>
      <c r="T9" s="26">
        <f t="shared" si="2"/>
        <v>1.9963467417891238E-2</v>
      </c>
      <c r="U9" s="26">
        <f t="shared" si="2"/>
        <v>0.28009273078549463</v>
      </c>
      <c r="V9" s="26">
        <f t="shared" si="2"/>
        <v>0.24928253039909021</v>
      </c>
      <c r="W9" s="26">
        <f t="shared" si="2"/>
        <v>2033.9080941742402</v>
      </c>
      <c r="X9" s="26">
        <f t="shared" si="2"/>
        <v>8.9735816299187851E-2</v>
      </c>
      <c r="Y9" s="26">
        <f t="shared" si="2"/>
        <v>0.79155627298670095</v>
      </c>
    </row>
    <row r="10" spans="1:25" s="3" customFormat="1">
      <c r="A10" s="24" t="s">
        <v>132</v>
      </c>
      <c r="B10" s="29" t="s">
        <v>27</v>
      </c>
      <c r="C10" s="22">
        <v>300</v>
      </c>
      <c r="D10" s="22"/>
      <c r="E10" s="102">
        <v>0.12431762378554365</v>
      </c>
      <c r="F10" s="102">
        <v>0.4868439847761532</v>
      </c>
      <c r="G10" s="102">
        <v>1.0415214118246066</v>
      </c>
      <c r="H10" s="102">
        <v>2.4954334272364047E-3</v>
      </c>
      <c r="I10" s="102">
        <v>3.5011591348186828E-2</v>
      </c>
      <c r="J10" s="100">
        <f t="shared" si="0"/>
        <v>3.1160316299886276E-2</v>
      </c>
      <c r="K10" s="103">
        <v>254.23851177178003</v>
      </c>
      <c r="L10" s="102">
        <v>1.1216977037398481E-2</v>
      </c>
      <c r="M10" s="104">
        <f t="shared" si="1"/>
        <v>9.8944534123337619E-2</v>
      </c>
      <c r="N10" s="98">
        <v>1</v>
      </c>
      <c r="O10" s="87">
        <v>8</v>
      </c>
      <c r="P10" s="88">
        <v>4</v>
      </c>
      <c r="Q10" s="34">
        <f t="shared" si="2"/>
        <v>0.99454099028434917</v>
      </c>
      <c r="R10" s="26">
        <f t="shared" si="2"/>
        <v>3.8947518782092256</v>
      </c>
      <c r="S10" s="26">
        <f t="shared" si="2"/>
        <v>8.3321712945968525</v>
      </c>
      <c r="T10" s="26">
        <f t="shared" si="2"/>
        <v>1.9963467417891238E-2</v>
      </c>
      <c r="U10" s="26">
        <f t="shared" si="2"/>
        <v>0.28009273078549463</v>
      </c>
      <c r="V10" s="26">
        <f t="shared" si="2"/>
        <v>0.24928253039909021</v>
      </c>
      <c r="W10" s="26">
        <f t="shared" si="2"/>
        <v>2033.9080941742402</v>
      </c>
      <c r="X10" s="26">
        <f t="shared" si="2"/>
        <v>8.9735816299187851E-2</v>
      </c>
      <c r="Y10" s="26">
        <f t="shared" si="2"/>
        <v>0.79155627298670095</v>
      </c>
    </row>
    <row r="11" spans="1:25" s="3" customFormat="1">
      <c r="A11" s="24" t="s">
        <v>133</v>
      </c>
      <c r="B11" s="29" t="s">
        <v>27</v>
      </c>
      <c r="C11" s="22">
        <v>300</v>
      </c>
      <c r="D11" s="22"/>
      <c r="E11" s="102">
        <v>0.12431762378554365</v>
      </c>
      <c r="F11" s="102">
        <v>0.4868439847761532</v>
      </c>
      <c r="G11" s="102">
        <v>1.0415214118246066</v>
      </c>
      <c r="H11" s="102">
        <v>2.4954334272364047E-3</v>
      </c>
      <c r="I11" s="102">
        <v>3.5011591348186828E-2</v>
      </c>
      <c r="J11" s="100">
        <f t="shared" si="0"/>
        <v>3.1160316299886276E-2</v>
      </c>
      <c r="K11" s="103">
        <v>254.23851177178003</v>
      </c>
      <c r="L11" s="102">
        <v>1.1216977037398481E-2</v>
      </c>
      <c r="M11" s="104">
        <f t="shared" si="1"/>
        <v>9.8944534123337619E-2</v>
      </c>
      <c r="N11" s="98">
        <v>1</v>
      </c>
      <c r="O11" s="87">
        <v>8</v>
      </c>
      <c r="P11" s="88">
        <v>10</v>
      </c>
      <c r="Q11" s="34">
        <f t="shared" si="2"/>
        <v>0.99454099028434917</v>
      </c>
      <c r="R11" s="26">
        <f t="shared" si="2"/>
        <v>3.8947518782092256</v>
      </c>
      <c r="S11" s="26">
        <f t="shared" si="2"/>
        <v>8.3321712945968525</v>
      </c>
      <c r="T11" s="26">
        <f t="shared" si="2"/>
        <v>1.9963467417891238E-2</v>
      </c>
      <c r="U11" s="26">
        <f t="shared" si="2"/>
        <v>0.28009273078549463</v>
      </c>
      <c r="V11" s="26">
        <f t="shared" si="2"/>
        <v>0.24928253039909021</v>
      </c>
      <c r="W11" s="26">
        <f t="shared" si="2"/>
        <v>2033.9080941742402</v>
      </c>
      <c r="X11" s="26">
        <f t="shared" si="2"/>
        <v>8.9735816299187851E-2</v>
      </c>
      <c r="Y11" s="26">
        <f t="shared" si="2"/>
        <v>0.79155627298670095</v>
      </c>
    </row>
    <row r="12" spans="1:25" s="3" customFormat="1">
      <c r="A12" s="24" t="s">
        <v>297</v>
      </c>
      <c r="B12" s="29" t="s">
        <v>27</v>
      </c>
      <c r="C12" s="22">
        <v>235</v>
      </c>
      <c r="D12" s="22"/>
      <c r="E12" s="102">
        <v>0.11792220738547983</v>
      </c>
      <c r="F12" s="102">
        <v>0.36512193352152528</v>
      </c>
      <c r="G12" s="102">
        <v>0.86781464282266541</v>
      </c>
      <c r="H12" s="102">
        <v>1.8739217498104396E-3</v>
      </c>
      <c r="I12" s="102">
        <v>2.9041712295589866E-2</v>
      </c>
      <c r="J12" s="100">
        <f t="shared" si="0"/>
        <v>2.5847123943074982E-2</v>
      </c>
      <c r="K12" s="103">
        <v>166.54541562452522</v>
      </c>
      <c r="L12" s="102">
        <v>1.063993297769634E-2</v>
      </c>
      <c r="M12" s="104">
        <f t="shared" si="1"/>
        <v>8.2442391068153209E-2</v>
      </c>
      <c r="N12" s="98">
        <v>1</v>
      </c>
      <c r="O12" s="87">
        <v>8</v>
      </c>
      <c r="P12" s="88">
        <v>10</v>
      </c>
      <c r="Q12" s="34">
        <f t="shared" si="2"/>
        <v>0.94337765908383864</v>
      </c>
      <c r="R12" s="26">
        <f t="shared" si="2"/>
        <v>2.9209754681722022</v>
      </c>
      <c r="S12" s="26">
        <f t="shared" si="2"/>
        <v>6.9425171425813232</v>
      </c>
      <c r="T12" s="26">
        <f t="shared" si="2"/>
        <v>1.4991373998483517E-2</v>
      </c>
      <c r="U12" s="26">
        <f t="shared" si="2"/>
        <v>0.23233369836471893</v>
      </c>
      <c r="V12" s="26">
        <f t="shared" si="2"/>
        <v>0.20677699154459986</v>
      </c>
      <c r="W12" s="26">
        <f t="shared" si="2"/>
        <v>1332.3633249962018</v>
      </c>
      <c r="X12" s="26">
        <f t="shared" si="2"/>
        <v>8.5119463821570721E-2</v>
      </c>
      <c r="Y12" s="26">
        <f t="shared" si="2"/>
        <v>0.65953912854522567</v>
      </c>
    </row>
    <row r="13" spans="1:25" s="3" customFormat="1">
      <c r="A13" s="24" t="s">
        <v>129</v>
      </c>
      <c r="B13" s="29" t="s">
        <v>27</v>
      </c>
      <c r="C13" s="22">
        <v>399</v>
      </c>
      <c r="D13" s="22">
        <v>0.28999999999999998</v>
      </c>
      <c r="E13" s="418">
        <v>0.13249726882716423</v>
      </c>
      <c r="F13" s="397">
        <v>0.66324074074074058</v>
      </c>
      <c r="G13" s="397">
        <v>1.1632222222222219</v>
      </c>
      <c r="H13" s="107">
        <v>1.7677529729271738E-3</v>
      </c>
      <c r="I13" s="397">
        <v>3.8263888888888889E-2</v>
      </c>
      <c r="J13" s="100">
        <f t="shared" si="0"/>
        <v>3.4054861111111112E-2</v>
      </c>
      <c r="K13" s="103">
        <v>180.10131655574588</v>
      </c>
      <c r="L13" s="102">
        <v>1.3243614024502522E-2</v>
      </c>
      <c r="M13" s="104">
        <f t="shared" si="1"/>
        <v>0.11050611111111108</v>
      </c>
      <c r="N13" s="87">
        <v>1</v>
      </c>
      <c r="O13" s="87">
        <v>8</v>
      </c>
      <c r="P13" s="88">
        <v>10</v>
      </c>
      <c r="Q13" s="34">
        <f t="shared" si="2"/>
        <v>1.0599781506173138</v>
      </c>
      <c r="R13" s="26">
        <f t="shared" si="2"/>
        <v>5.3059259259259246</v>
      </c>
      <c r="S13" s="26">
        <f t="shared" si="2"/>
        <v>9.3057777777777755</v>
      </c>
      <c r="T13" s="26">
        <f t="shared" si="2"/>
        <v>1.414202378341739E-2</v>
      </c>
      <c r="U13" s="26">
        <f t="shared" si="2"/>
        <v>0.30611111111111111</v>
      </c>
      <c r="V13" s="26">
        <f t="shared" si="2"/>
        <v>0.2724388888888889</v>
      </c>
      <c r="W13" s="26">
        <f t="shared" si="2"/>
        <v>1440.8105324459671</v>
      </c>
      <c r="X13" s="26">
        <f t="shared" si="2"/>
        <v>0.10594891219602018</v>
      </c>
      <c r="Y13" s="26">
        <f t="shared" si="2"/>
        <v>0.88404888888888866</v>
      </c>
    </row>
    <row r="14" spans="1:25" s="3" customFormat="1">
      <c r="A14" s="30" t="s">
        <v>28</v>
      </c>
      <c r="B14" s="116"/>
      <c r="C14" s="117"/>
      <c r="D14" s="115"/>
      <c r="E14" s="118"/>
      <c r="F14" s="118"/>
      <c r="G14" s="118"/>
      <c r="H14" s="118"/>
      <c r="I14" s="118"/>
      <c r="J14" s="109"/>
      <c r="K14" s="119"/>
      <c r="L14" s="118"/>
      <c r="M14" s="120"/>
      <c r="N14" s="98"/>
      <c r="O14" s="98"/>
      <c r="P14" s="99"/>
      <c r="Q14" s="121">
        <f>SUM(Q8:Q13)</f>
        <v>5.6743107297789557</v>
      </c>
      <c r="R14" s="121">
        <f t="shared" ref="R14:Y14" si="3">SUM(R8:R13)</f>
        <v>21.435460379695819</v>
      </c>
      <c r="S14" s="121">
        <f t="shared" si="3"/>
        <v>43.222685347359537</v>
      </c>
      <c r="T14" s="121">
        <f t="shared" si="3"/>
        <v>9.3080505252501194E-2</v>
      </c>
      <c r="U14" s="121">
        <f t="shared" si="3"/>
        <v>1.5460245891339013</v>
      </c>
      <c r="V14" s="121">
        <f t="shared" si="3"/>
        <v>1.3759618843291721</v>
      </c>
      <c r="W14" s="121">
        <f t="shared" si="3"/>
        <v>9188.7023665925735</v>
      </c>
      <c r="X14" s="121">
        <f t="shared" si="3"/>
        <v>0.53730267667290377</v>
      </c>
      <c r="Y14" s="121">
        <f t="shared" si="3"/>
        <v>4.1061551079991556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B-4
Construction Heavy Equipment Emissions
TL 6965 Construction
</oddHeader>
    <oddFooter>&amp;CB-4</oddFooter>
  </headerFooter>
</worksheet>
</file>

<file path=xl/worksheets/sheet27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348"/>
  <sheetViews>
    <sheetView zoomScale="75" workbookViewId="0">
      <selection activeCell="E43" sqref="E43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31" width="12.28515625" style="38" customWidth="1"/>
    <col min="32" max="33" width="9.28515625" style="36" bestFit="1" customWidth="1"/>
    <col min="34" max="34" width="11.42578125" style="36" customWidth="1"/>
    <col min="35" max="35" width="10.5703125" style="36" customWidth="1"/>
    <col min="36" max="39" width="9.5703125" style="36" customWidth="1"/>
    <col min="40" max="40" width="9.28515625" style="38" bestFit="1" customWidth="1"/>
    <col min="41" max="41" width="9.85546875" style="36" customWidth="1"/>
    <col min="42" max="42" width="9.28515625" style="36" bestFit="1" customWidth="1"/>
    <col min="43" max="16384" width="9.140625" style="36"/>
  </cols>
  <sheetData>
    <row r="1" spans="1:42">
      <c r="A1" s="3" t="s">
        <v>787</v>
      </c>
    </row>
    <row r="2" spans="1:42">
      <c r="A2"/>
    </row>
    <row r="6" spans="1:42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  <c r="AE6" s="36"/>
      <c r="AN6" s="36"/>
    </row>
    <row r="7" spans="1:42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  <c r="AE7" s="36"/>
      <c r="AN7" s="36"/>
    </row>
    <row r="8" spans="1:42">
      <c r="A8" s="17" t="s">
        <v>414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  <c r="AE8" s="36"/>
      <c r="AN8" s="36"/>
    </row>
    <row r="9" spans="1:42">
      <c r="A9" s="78" t="s">
        <v>342</v>
      </c>
      <c r="B9" s="76" t="s">
        <v>95</v>
      </c>
      <c r="C9" s="79">
        <v>1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3.3297091844548342E-2</v>
      </c>
      <c r="U9" s="50">
        <f>C9*($F9*$H9)/453.59</f>
        <v>6.1469792609906218E-2</v>
      </c>
      <c r="V9" s="50">
        <f>C9*(($F9*$I9))/453.59</f>
        <v>7.5102242543154491E-3</v>
      </c>
      <c r="W9" s="50">
        <f>C9*($F9*$J9)/453.59</f>
        <v>4.6328711353582576E-4</v>
      </c>
      <c r="X9" s="50">
        <f>C9*(($F9*($K9+$L9+$M9)))/453.59</f>
        <v>1.2123154956717041E-2</v>
      </c>
      <c r="Y9" s="50">
        <f>C9*(($F9*($N9+$O9+$P9)))/453.59</f>
        <v>8.0553663276591338E-3</v>
      </c>
      <c r="Z9" s="50">
        <f>C9*(F9)*$B$399</f>
        <v>0</v>
      </c>
      <c r="AA9" s="50">
        <f>Z9*0.21</f>
        <v>0</v>
      </c>
      <c r="AB9" s="50">
        <f>C9*(($F9*($Q9)))/453.59</f>
        <v>32.271368530085546</v>
      </c>
      <c r="AC9" s="50">
        <f>C9*(($F9*($R9)))/453.59</f>
        <v>1.844082811914678E-3</v>
      </c>
      <c r="AD9" s="50">
        <f>C9*(($F9*($S9)))/453.59</f>
        <v>8.2666337626667119E-4</v>
      </c>
      <c r="AE9" s="51">
        <v>2</v>
      </c>
      <c r="AF9" s="50">
        <f t="shared" ref="AF9:AP10" si="0">T9*$AE9/2000</f>
        <v>3.3297091844548341E-5</v>
      </c>
      <c r="AG9" s="50">
        <f t="shared" si="0"/>
        <v>6.146979260990622E-5</v>
      </c>
      <c r="AH9" s="50">
        <f t="shared" si="0"/>
        <v>7.5102242543154493E-6</v>
      </c>
      <c r="AI9" s="50">
        <f t="shared" si="0"/>
        <v>4.6328711353582576E-7</v>
      </c>
      <c r="AJ9" s="50">
        <f t="shared" si="0"/>
        <v>1.2123154956717041E-5</v>
      </c>
      <c r="AK9" s="50">
        <f t="shared" si="0"/>
        <v>8.0553663276591334E-6</v>
      </c>
      <c r="AL9" s="50">
        <f t="shared" si="0"/>
        <v>0</v>
      </c>
      <c r="AM9" s="50">
        <f t="shared" si="0"/>
        <v>0</v>
      </c>
      <c r="AN9" s="50">
        <f t="shared" si="0"/>
        <v>3.2271368530085547E-2</v>
      </c>
      <c r="AO9" s="50">
        <f t="shared" si="0"/>
        <v>1.8440828119146779E-6</v>
      </c>
      <c r="AP9" s="50">
        <f t="shared" si="0"/>
        <v>8.2666337626667115E-7</v>
      </c>
    </row>
    <row r="10" spans="1:42">
      <c r="A10" s="78" t="s">
        <v>343</v>
      </c>
      <c r="B10" s="76" t="s">
        <v>95</v>
      </c>
      <c r="C10" s="79">
        <v>1</v>
      </c>
      <c r="D10" s="77"/>
      <c r="E10" s="77">
        <v>35</v>
      </c>
      <c r="F10" s="77">
        <v>60</v>
      </c>
      <c r="G10" s="106">
        <v>0.25172046482947802</v>
      </c>
      <c r="H10" s="106">
        <v>0.464701387165456</v>
      </c>
      <c r="I10" s="106">
        <v>5.6776043658582402E-2</v>
      </c>
      <c r="J10" s="106">
        <v>3.5023733638119199E-3</v>
      </c>
      <c r="K10" s="106">
        <v>4.6899256897933901E-2</v>
      </c>
      <c r="L10" s="47">
        <v>7.99995847163921E-3</v>
      </c>
      <c r="M10" s="47">
        <v>3.6749815577381599E-2</v>
      </c>
      <c r="N10" s="106">
        <v>4.3147317248333997E-2</v>
      </c>
      <c r="O10" s="47">
        <v>1.9999896145790402E-3</v>
      </c>
      <c r="P10" s="47">
        <v>1.57499200131354E-2</v>
      </c>
      <c r="Q10" s="106">
        <v>243.966167526025</v>
      </c>
      <c r="R10" s="47">
        <f>0.000057143*Q10</f>
        <v>1.3940958710939646E-2</v>
      </c>
      <c r="S10" s="80">
        <f>0.000025616*Q10</f>
        <v>6.2494373473466567E-3</v>
      </c>
      <c r="T10" s="50">
        <f>C10*($F10*$G10)/453.59</f>
        <v>3.3297091844548342E-2</v>
      </c>
      <c r="U10" s="50">
        <f>C10*($F10*$H10)/453.59</f>
        <v>6.1469792609906218E-2</v>
      </c>
      <c r="V10" s="50">
        <f>C10*(($F10*$I10))/453.59</f>
        <v>7.5102242543154491E-3</v>
      </c>
      <c r="W10" s="50">
        <f>C10*($F10*$J10)/453.59</f>
        <v>4.6328711353582576E-4</v>
      </c>
      <c r="X10" s="50">
        <f>C10*(($F10*($K10+$L10+$M10)))/453.59</f>
        <v>1.2123154956717041E-2</v>
      </c>
      <c r="Y10" s="50">
        <f>C10*(($F10*($N10+$O10+$P10)))/453.59</f>
        <v>8.0553663276591338E-3</v>
      </c>
      <c r="Z10" s="50">
        <f>C10*(F10)*$B$399</f>
        <v>0</v>
      </c>
      <c r="AA10" s="50">
        <f>Z10*0.21</f>
        <v>0</v>
      </c>
      <c r="AB10" s="50">
        <f>C10*(($F10*($Q10)))/453.59</f>
        <v>32.271368530085546</v>
      </c>
      <c r="AC10" s="50">
        <f>C10*(($F10*($R10)))/453.59</f>
        <v>1.844082811914678E-3</v>
      </c>
      <c r="AD10" s="50">
        <f>C10*(($F10*($S10)))/453.59</f>
        <v>8.2666337626667119E-4</v>
      </c>
      <c r="AE10" s="51">
        <v>2</v>
      </c>
      <c r="AF10" s="50">
        <f t="shared" si="0"/>
        <v>3.3297091844548341E-5</v>
      </c>
      <c r="AG10" s="50">
        <f t="shared" si="0"/>
        <v>6.146979260990622E-5</v>
      </c>
      <c r="AH10" s="50">
        <f t="shared" si="0"/>
        <v>7.5102242543154493E-6</v>
      </c>
      <c r="AI10" s="50">
        <f t="shared" si="0"/>
        <v>4.6328711353582576E-7</v>
      </c>
      <c r="AJ10" s="50">
        <f t="shared" si="0"/>
        <v>1.2123154956717041E-5</v>
      </c>
      <c r="AK10" s="50">
        <f t="shared" si="0"/>
        <v>8.0553663276591334E-6</v>
      </c>
      <c r="AL10" s="50">
        <f t="shared" si="0"/>
        <v>0</v>
      </c>
      <c r="AM10" s="50">
        <f t="shared" si="0"/>
        <v>0</v>
      </c>
      <c r="AN10" s="50">
        <f t="shared" si="0"/>
        <v>3.2271368530085547E-2</v>
      </c>
      <c r="AO10" s="50">
        <f t="shared" si="0"/>
        <v>1.8440828119146779E-6</v>
      </c>
      <c r="AP10" s="50">
        <f t="shared" si="0"/>
        <v>8.2666337626667115E-7</v>
      </c>
    </row>
    <row r="11" spans="1:42">
      <c r="A11" s="432"/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61"/>
      <c r="U11" s="61"/>
      <c r="V11" s="61"/>
      <c r="W11" s="61"/>
      <c r="X11" s="61"/>
      <c r="Y11" s="61"/>
      <c r="Z11" s="62"/>
      <c r="AA11" s="62"/>
      <c r="AB11" s="62"/>
      <c r="AC11" s="62"/>
      <c r="AD11" s="62"/>
      <c r="AE11" s="36"/>
      <c r="AN11" s="36"/>
    </row>
    <row r="12" spans="1:42">
      <c r="A12" s="432"/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81">
        <f>SUM(T9:T11)</f>
        <v>6.6594183689096684E-2</v>
      </c>
      <c r="U12" s="81">
        <f t="shared" ref="U12:AD12" si="1">SUM(U9:U11)</f>
        <v>0.12293958521981244</v>
      </c>
      <c r="V12" s="81">
        <f t="shared" si="1"/>
        <v>1.5020448508630898E-2</v>
      </c>
      <c r="W12" s="81">
        <f t="shared" si="1"/>
        <v>9.2657422707165152E-4</v>
      </c>
      <c r="X12" s="81">
        <f t="shared" si="1"/>
        <v>2.4246309913434082E-2</v>
      </c>
      <c r="Y12" s="81">
        <f t="shared" si="1"/>
        <v>1.6110732655318268E-2</v>
      </c>
      <c r="Z12" s="81">
        <f t="shared" si="1"/>
        <v>0</v>
      </c>
      <c r="AA12" s="81">
        <f t="shared" si="1"/>
        <v>0</v>
      </c>
      <c r="AB12" s="81">
        <f t="shared" si="1"/>
        <v>64.542737060171092</v>
      </c>
      <c r="AC12" s="81">
        <f t="shared" si="1"/>
        <v>3.688165623829356E-3</v>
      </c>
      <c r="AD12" s="81">
        <f t="shared" si="1"/>
        <v>1.6533267525333424E-3</v>
      </c>
      <c r="AE12" s="36"/>
      <c r="AN12" s="36"/>
    </row>
    <row r="13" spans="1:42">
      <c r="A13" s="370"/>
      <c r="B13" s="371"/>
      <c r="C13" s="372"/>
      <c r="D13" s="372"/>
      <c r="E13" s="371"/>
      <c r="F13" s="371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84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</row>
    <row r="14" spans="1:42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84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</row>
    <row r="15" spans="1:42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84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</row>
    <row r="16" spans="1:42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84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</row>
    <row r="336" spans="1:1" ht="25.5">
      <c r="A336" s="82" t="s">
        <v>109</v>
      </c>
    </row>
    <row r="338" spans="1:2">
      <c r="A338" s="36" t="s">
        <v>81</v>
      </c>
    </row>
    <row r="339" spans="1:2">
      <c r="A339" s="36" t="s">
        <v>82</v>
      </c>
    </row>
    <row r="340" spans="1:2">
      <c r="A340" s="36" t="s">
        <v>83</v>
      </c>
    </row>
    <row r="341" spans="1:2">
      <c r="A341" s="37" t="s">
        <v>96</v>
      </c>
    </row>
    <row r="342" spans="1:2">
      <c r="A342" s="36" t="s">
        <v>85</v>
      </c>
    </row>
    <row r="343" spans="1:2">
      <c r="A343" s="36" t="s">
        <v>86</v>
      </c>
    </row>
    <row r="344" spans="1:2">
      <c r="A344" s="36" t="s">
        <v>87</v>
      </c>
    </row>
    <row r="345" spans="1:2">
      <c r="A345" s="36" t="s">
        <v>0</v>
      </c>
    </row>
    <row r="346" spans="1:2">
      <c r="A346" s="37" t="s">
        <v>97</v>
      </c>
      <c r="B346" s="36">
        <f>(0.016*(0.03/2)^0.65*(2/3)^1.5)-0.00047</f>
        <v>9.8123053326417428E-5</v>
      </c>
    </row>
    <row r="347" spans="1:2">
      <c r="A347" s="37" t="s">
        <v>98</v>
      </c>
      <c r="B347" s="36">
        <f>(0.016*(0.03/2)^0.65*(13/3)^1.5)-0.00047</f>
        <v>8.9448292388582783E-3</v>
      </c>
    </row>
    <row r="348" spans="1:2">
      <c r="A348" s="37" t="s">
        <v>99</v>
      </c>
      <c r="B348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B-5
Construction Truck Trip Emissions
TL 6965 Construction</oddHeader>
    <oddFooter>&amp;CB-5</oddFooter>
  </headerFooter>
</worksheet>
</file>

<file path=xl/worksheets/sheet27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E43" sqref="E4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788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344</v>
      </c>
      <c r="B4" s="45" t="s">
        <v>102</v>
      </c>
      <c r="C4" s="46">
        <v>11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43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435" t="s">
        <v>55</v>
      </c>
      <c r="G87" s="435" t="s">
        <v>73</v>
      </c>
      <c r="H87" s="435" t="s">
        <v>74</v>
      </c>
      <c r="I87" s="435" t="s">
        <v>58</v>
      </c>
      <c r="J87" s="435" t="s">
        <v>59</v>
      </c>
      <c r="K87" s="435" t="s">
        <v>60</v>
      </c>
      <c r="L87" s="434" t="s">
        <v>75</v>
      </c>
      <c r="M87" s="434" t="s">
        <v>76</v>
      </c>
      <c r="N87" s="434" t="s">
        <v>61</v>
      </c>
      <c r="O87" s="434" t="s">
        <v>62</v>
      </c>
      <c r="P87" s="434" t="s">
        <v>63</v>
      </c>
      <c r="AN87" s="38"/>
      <c r="AZ87" s="36"/>
    </row>
    <row r="88" spans="1:52" ht="25.5">
      <c r="A88" s="44" t="str">
        <f>A4</f>
        <v>UG Cable Pulling</v>
      </c>
      <c r="B88" s="45" t="str">
        <f>B4</f>
        <v>Light-Duty Truck, catalyst</v>
      </c>
      <c r="C88" s="46">
        <v>11</v>
      </c>
      <c r="D88" s="46">
        <v>35</v>
      </c>
      <c r="E88" s="46">
        <v>80</v>
      </c>
      <c r="F88" s="50">
        <f>C4*($E4*$F4+($G4))/453.59</f>
        <v>5.34291324469012</v>
      </c>
      <c r="G88" s="50">
        <f>C4*($E4*$H4+($I4))/453.59</f>
        <v>0.48037723023815809</v>
      </c>
      <c r="H88" s="50">
        <f>C4*(($E4*$J4)+($K4)+($L4)+($E4*$N4)+(($M4+$O4)))/453.59</f>
        <v>0.55549978356348662</v>
      </c>
      <c r="I88" s="50">
        <f>C4*($E4*$P4+($Q4))/453.59</f>
        <v>7.9947672987667768E-3</v>
      </c>
      <c r="J88" s="50">
        <f>C4*(($E4*($R4+$T4+$U4))+($S4))/453.59</f>
        <v>9.3764995007286869E-2</v>
      </c>
      <c r="K88" s="50">
        <f>$C4*(($E4*($V4+$X4+$Y4))+($W4))/453.59</f>
        <v>4.0832058566784561E-2</v>
      </c>
      <c r="L88" s="50">
        <f>$B$21*C4*(E4+6)</f>
        <v>9.2824408446790893E-2</v>
      </c>
      <c r="M88" s="50">
        <f t="shared" ref="M88" si="52">0.41*L88</f>
        <v>3.8058007463184267E-2</v>
      </c>
      <c r="N88" s="50">
        <f>C4*($E4*$Z4+($AA4))/453.59</f>
        <v>609.65934398642787</v>
      </c>
      <c r="O88" s="50">
        <f>C4*($E4*$AB4+($AC4))/453.59</f>
        <v>3.4875229279332738E-2</v>
      </c>
      <c r="P88" s="50">
        <f>C4*($E4*$AD4+($AE4))/453.59</f>
        <v>6.3482319052276956E-2</v>
      </c>
      <c r="AN88" s="38"/>
      <c r="AZ88" s="36"/>
    </row>
    <row r="89" spans="1:52">
      <c r="A89" s="40" t="s">
        <v>103</v>
      </c>
      <c r="B89" s="40"/>
      <c r="C89" s="40"/>
      <c r="D89" s="40"/>
      <c r="E89" s="40"/>
      <c r="F89" s="81">
        <f t="shared" ref="F89:P89" si="53">SUM(F88:F88)</f>
        <v>5.34291324469012</v>
      </c>
      <c r="G89" s="81">
        <f t="shared" si="53"/>
        <v>0.48037723023815809</v>
      </c>
      <c r="H89" s="81">
        <f t="shared" si="53"/>
        <v>0.55549978356348662</v>
      </c>
      <c r="I89" s="81">
        <f t="shared" si="53"/>
        <v>7.9947672987667768E-3</v>
      </c>
      <c r="J89" s="81">
        <f t="shared" si="53"/>
        <v>9.3764995007286869E-2</v>
      </c>
      <c r="K89" s="81">
        <f t="shared" si="53"/>
        <v>4.0832058566784561E-2</v>
      </c>
      <c r="L89" s="81">
        <f t="shared" si="53"/>
        <v>9.2824408446790893E-2</v>
      </c>
      <c r="M89" s="81">
        <f t="shared" si="53"/>
        <v>3.8058007463184267E-2</v>
      </c>
      <c r="N89" s="81">
        <f t="shared" si="53"/>
        <v>609.65934398642787</v>
      </c>
      <c r="O89" s="81">
        <f t="shared" si="53"/>
        <v>3.4875229279332738E-2</v>
      </c>
      <c r="P89" s="81">
        <f t="shared" si="53"/>
        <v>6.3482319052276956E-2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B-6
Construction Worker Commute Emission Calculations
TL 6965 Construction</oddHeader>
    <oddFooter>&amp;CB-6</oddFooter>
  </headerFooter>
</worksheet>
</file>

<file path=xl/worksheets/sheet27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3"/>
  <sheetViews>
    <sheetView zoomScale="75" zoomScaleNormal="75" workbookViewId="0">
      <selection activeCell="A2" sqref="A2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789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20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414</v>
      </c>
      <c r="B7" s="29"/>
      <c r="C7" s="97"/>
      <c r="D7" s="12"/>
      <c r="E7" s="102"/>
      <c r="F7" s="102"/>
      <c r="G7" s="102"/>
      <c r="H7" s="102"/>
      <c r="I7" s="102"/>
      <c r="J7" s="100"/>
      <c r="K7" s="103"/>
      <c r="L7" s="102"/>
      <c r="M7" s="104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 t="s">
        <v>114</v>
      </c>
      <c r="B8" s="90" t="s">
        <v>27</v>
      </c>
      <c r="C8" s="97">
        <v>34</v>
      </c>
      <c r="D8" s="97">
        <v>0.31</v>
      </c>
      <c r="E8" s="102">
        <v>4.2958246826547246E-2</v>
      </c>
      <c r="F8" s="397">
        <v>9.5268959435626091E-2</v>
      </c>
      <c r="G8" s="397">
        <v>0.12361728395061726</v>
      </c>
      <c r="H8" s="102">
        <v>2.5354407605791113E-4</v>
      </c>
      <c r="I8" s="397">
        <v>1.0456349206349205E-2</v>
      </c>
      <c r="J8" s="100">
        <f t="shared" ref="J8:J12" si="0">0.89*I8</f>
        <v>9.3061507936507935E-3</v>
      </c>
      <c r="K8" s="103">
        <v>19.61276416423032</v>
      </c>
      <c r="L8" s="102">
        <v>4.8141782348593348E-3</v>
      </c>
      <c r="M8" s="104">
        <f t="shared" ref="M8:M12" si="1">0.095*G8</f>
        <v>1.174364197530864E-2</v>
      </c>
      <c r="N8" s="87">
        <v>2</v>
      </c>
      <c r="O8" s="87">
        <v>8</v>
      </c>
      <c r="P8" s="88">
        <v>10</v>
      </c>
      <c r="Q8" s="34">
        <f t="shared" ref="Q8:Y12" si="2">(E8*$N8*$O8)</f>
        <v>0.68733194922475593</v>
      </c>
      <c r="R8" s="26">
        <f t="shared" si="2"/>
        <v>1.5243033509700175</v>
      </c>
      <c r="S8" s="26">
        <f t="shared" si="2"/>
        <v>1.9778765432098762</v>
      </c>
      <c r="T8" s="26">
        <f t="shared" si="2"/>
        <v>4.0567052169265781E-3</v>
      </c>
      <c r="U8" s="26">
        <f t="shared" si="2"/>
        <v>0.16730158730158728</v>
      </c>
      <c r="V8" s="26">
        <f t="shared" si="2"/>
        <v>0.1488984126984127</v>
      </c>
      <c r="W8" s="26">
        <f t="shared" si="2"/>
        <v>313.80422662768513</v>
      </c>
      <c r="X8" s="26">
        <f t="shared" si="2"/>
        <v>7.7026851757749357E-2</v>
      </c>
      <c r="Y8" s="26">
        <f t="shared" si="2"/>
        <v>0.18789827160493824</v>
      </c>
    </row>
    <row r="9" spans="1:25" s="3" customFormat="1">
      <c r="A9" s="24" t="s">
        <v>298</v>
      </c>
      <c r="B9" s="29" t="s">
        <v>27</v>
      </c>
      <c r="C9" s="97">
        <v>300</v>
      </c>
      <c r="D9" s="97"/>
      <c r="E9" s="102">
        <v>0.12431762378554365</v>
      </c>
      <c r="F9" s="102">
        <v>0.4868439847761532</v>
      </c>
      <c r="G9" s="102">
        <v>1.0415214118246066</v>
      </c>
      <c r="H9" s="102">
        <v>2.4954334272364047E-3</v>
      </c>
      <c r="I9" s="102">
        <v>3.5011591348186828E-2</v>
      </c>
      <c r="J9" s="100">
        <f t="shared" si="0"/>
        <v>3.1160316299886276E-2</v>
      </c>
      <c r="K9" s="103">
        <v>254.23851177178003</v>
      </c>
      <c r="L9" s="102">
        <v>1.1216977037398481E-2</v>
      </c>
      <c r="M9" s="104">
        <f t="shared" si="1"/>
        <v>9.8944534123337619E-2</v>
      </c>
      <c r="N9" s="98">
        <v>1</v>
      </c>
      <c r="O9" s="87">
        <v>8</v>
      </c>
      <c r="P9" s="88">
        <v>4</v>
      </c>
      <c r="Q9" s="34">
        <f t="shared" si="2"/>
        <v>0.99454099028434917</v>
      </c>
      <c r="R9" s="26">
        <f t="shared" si="2"/>
        <v>3.8947518782092256</v>
      </c>
      <c r="S9" s="26">
        <f t="shared" si="2"/>
        <v>8.3321712945968525</v>
      </c>
      <c r="T9" s="26">
        <f t="shared" si="2"/>
        <v>1.9963467417891238E-2</v>
      </c>
      <c r="U9" s="26">
        <f t="shared" si="2"/>
        <v>0.28009273078549463</v>
      </c>
      <c r="V9" s="26">
        <f t="shared" si="2"/>
        <v>0.24928253039909021</v>
      </c>
      <c r="W9" s="26">
        <f t="shared" si="2"/>
        <v>2033.9080941742402</v>
      </c>
      <c r="X9" s="26">
        <f t="shared" si="2"/>
        <v>8.9735816299187851E-2</v>
      </c>
      <c r="Y9" s="26">
        <f t="shared" si="2"/>
        <v>0.79155627298670095</v>
      </c>
    </row>
    <row r="10" spans="1:25" s="3" customFormat="1">
      <c r="A10" s="24" t="s">
        <v>132</v>
      </c>
      <c r="B10" s="29" t="s">
        <v>27</v>
      </c>
      <c r="C10" s="22">
        <v>300</v>
      </c>
      <c r="D10" s="22"/>
      <c r="E10" s="102">
        <v>0.12431762378554365</v>
      </c>
      <c r="F10" s="102">
        <v>0.4868439847761532</v>
      </c>
      <c r="G10" s="102">
        <v>1.0415214118246066</v>
      </c>
      <c r="H10" s="102">
        <v>2.4954334272364047E-3</v>
      </c>
      <c r="I10" s="102">
        <v>3.5011591348186828E-2</v>
      </c>
      <c r="J10" s="100">
        <f t="shared" si="0"/>
        <v>3.1160316299886276E-2</v>
      </c>
      <c r="K10" s="103">
        <v>254.23851177178003</v>
      </c>
      <c r="L10" s="102">
        <v>1.1216977037398481E-2</v>
      </c>
      <c r="M10" s="104">
        <f t="shared" si="1"/>
        <v>9.8944534123337619E-2</v>
      </c>
      <c r="N10" s="98">
        <v>1</v>
      </c>
      <c r="O10" s="87">
        <v>8</v>
      </c>
      <c r="P10" s="88">
        <v>4</v>
      </c>
      <c r="Q10" s="34">
        <f t="shared" si="2"/>
        <v>0.99454099028434917</v>
      </c>
      <c r="R10" s="26">
        <f t="shared" si="2"/>
        <v>3.8947518782092256</v>
      </c>
      <c r="S10" s="26">
        <f t="shared" si="2"/>
        <v>8.3321712945968525</v>
      </c>
      <c r="T10" s="26">
        <f t="shared" si="2"/>
        <v>1.9963467417891238E-2</v>
      </c>
      <c r="U10" s="26">
        <f t="shared" si="2"/>
        <v>0.28009273078549463</v>
      </c>
      <c r="V10" s="26">
        <f t="shared" si="2"/>
        <v>0.24928253039909021</v>
      </c>
      <c r="W10" s="26">
        <f t="shared" si="2"/>
        <v>2033.9080941742402</v>
      </c>
      <c r="X10" s="26">
        <f t="shared" si="2"/>
        <v>8.9735816299187851E-2</v>
      </c>
      <c r="Y10" s="26">
        <f t="shared" si="2"/>
        <v>0.79155627298670095</v>
      </c>
    </row>
    <row r="11" spans="1:25" s="3" customFormat="1">
      <c r="A11" s="24" t="s">
        <v>297</v>
      </c>
      <c r="B11" s="29" t="s">
        <v>27</v>
      </c>
      <c r="C11" s="22">
        <v>235</v>
      </c>
      <c r="D11" s="22"/>
      <c r="E11" s="102">
        <v>0.11792220738547983</v>
      </c>
      <c r="F11" s="102">
        <v>0.36512193352152528</v>
      </c>
      <c r="G11" s="102">
        <v>0.86781464282266541</v>
      </c>
      <c r="H11" s="102">
        <v>1.8739217498104396E-3</v>
      </c>
      <c r="I11" s="102">
        <v>2.9041712295589866E-2</v>
      </c>
      <c r="J11" s="100">
        <f t="shared" si="0"/>
        <v>2.5847123943074982E-2</v>
      </c>
      <c r="K11" s="103">
        <v>166.54541562452522</v>
      </c>
      <c r="L11" s="102">
        <v>1.063993297769634E-2</v>
      </c>
      <c r="M11" s="104">
        <f t="shared" si="1"/>
        <v>8.2442391068153209E-2</v>
      </c>
      <c r="N11" s="98">
        <v>1</v>
      </c>
      <c r="O11" s="87">
        <v>8</v>
      </c>
      <c r="P11" s="88">
        <v>10</v>
      </c>
      <c r="Q11" s="34">
        <f t="shared" si="2"/>
        <v>0.94337765908383864</v>
      </c>
      <c r="R11" s="26">
        <f t="shared" si="2"/>
        <v>2.9209754681722022</v>
      </c>
      <c r="S11" s="26">
        <f t="shared" si="2"/>
        <v>6.9425171425813232</v>
      </c>
      <c r="T11" s="26">
        <f t="shared" si="2"/>
        <v>1.4991373998483517E-2</v>
      </c>
      <c r="U11" s="26">
        <f t="shared" si="2"/>
        <v>0.23233369836471893</v>
      </c>
      <c r="V11" s="26">
        <f t="shared" si="2"/>
        <v>0.20677699154459986</v>
      </c>
      <c r="W11" s="26">
        <f t="shared" si="2"/>
        <v>1332.3633249962018</v>
      </c>
      <c r="X11" s="26">
        <f t="shared" si="2"/>
        <v>8.5119463821570721E-2</v>
      </c>
      <c r="Y11" s="26">
        <f t="shared" si="2"/>
        <v>0.65953912854522567</v>
      </c>
    </row>
    <row r="12" spans="1:25" s="3" customFormat="1">
      <c r="A12" s="24" t="s">
        <v>129</v>
      </c>
      <c r="B12" s="29" t="s">
        <v>27</v>
      </c>
      <c r="C12" s="22">
        <v>399</v>
      </c>
      <c r="D12" s="22">
        <v>0.28999999999999998</v>
      </c>
      <c r="E12" s="418">
        <v>0.13249726882716423</v>
      </c>
      <c r="F12" s="397">
        <v>0.66324074074074058</v>
      </c>
      <c r="G12" s="397">
        <v>1.1632222222222219</v>
      </c>
      <c r="H12" s="107">
        <v>1.7677529729271738E-3</v>
      </c>
      <c r="I12" s="397">
        <v>3.8263888888888889E-2</v>
      </c>
      <c r="J12" s="100">
        <f t="shared" si="0"/>
        <v>3.4054861111111112E-2</v>
      </c>
      <c r="K12" s="103">
        <v>180.10131655574588</v>
      </c>
      <c r="L12" s="102">
        <v>1.3243614024502522E-2</v>
      </c>
      <c r="M12" s="104">
        <f t="shared" si="1"/>
        <v>0.11050611111111108</v>
      </c>
      <c r="N12" s="87">
        <v>1</v>
      </c>
      <c r="O12" s="87">
        <v>8</v>
      </c>
      <c r="P12" s="88">
        <v>10</v>
      </c>
      <c r="Q12" s="34">
        <f t="shared" si="2"/>
        <v>1.0599781506173138</v>
      </c>
      <c r="R12" s="26">
        <f t="shared" si="2"/>
        <v>5.3059259259259246</v>
      </c>
      <c r="S12" s="26">
        <f t="shared" si="2"/>
        <v>9.3057777777777755</v>
      </c>
      <c r="T12" s="26">
        <f t="shared" si="2"/>
        <v>1.414202378341739E-2</v>
      </c>
      <c r="U12" s="26">
        <f t="shared" si="2"/>
        <v>0.30611111111111111</v>
      </c>
      <c r="V12" s="26">
        <f t="shared" si="2"/>
        <v>0.2724388888888889</v>
      </c>
      <c r="W12" s="26">
        <f t="shared" si="2"/>
        <v>1440.8105324459671</v>
      </c>
      <c r="X12" s="26">
        <f t="shared" si="2"/>
        <v>0.10594891219602018</v>
      </c>
      <c r="Y12" s="26">
        <f t="shared" si="2"/>
        <v>0.88404888888888866</v>
      </c>
    </row>
    <row r="13" spans="1:25" s="3" customFormat="1">
      <c r="A13" s="30" t="s">
        <v>28</v>
      </c>
      <c r="B13" s="116"/>
      <c r="C13" s="117"/>
      <c r="D13" s="115"/>
      <c r="E13" s="418"/>
      <c r="F13" s="118"/>
      <c r="G13" s="118"/>
      <c r="H13" s="118"/>
      <c r="I13" s="118"/>
      <c r="J13" s="109"/>
      <c r="K13" s="119"/>
      <c r="L13" s="118"/>
      <c r="M13" s="120"/>
      <c r="N13" s="98"/>
      <c r="O13" s="98"/>
      <c r="P13" s="99"/>
      <c r="Q13" s="121">
        <f t="shared" ref="Q13:R13" si="3">SUM(Q8:Q12)</f>
        <v>4.6797697394946063</v>
      </c>
      <c r="R13" s="121">
        <f t="shared" si="3"/>
        <v>17.540708501486595</v>
      </c>
      <c r="S13" s="121">
        <f>SUM(S8:S12)</f>
        <v>34.890514052762683</v>
      </c>
      <c r="T13" s="121">
        <f t="shared" ref="T13:Y13" si="4">SUM(T8:T12)</f>
        <v>7.311703783460996E-2</v>
      </c>
      <c r="U13" s="121">
        <f t="shared" si="4"/>
        <v>1.2659318583484067</v>
      </c>
      <c r="V13" s="121">
        <f t="shared" si="4"/>
        <v>1.1266793539300819</v>
      </c>
      <c r="W13" s="121">
        <f t="shared" si="4"/>
        <v>7154.794272418334</v>
      </c>
      <c r="X13" s="121">
        <f t="shared" si="4"/>
        <v>0.44756686037371596</v>
      </c>
      <c r="Y13" s="121">
        <f t="shared" si="4"/>
        <v>3.3145988350124544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B-4
Construction Heavy Equipment Emissions
TL 6965 Construction
</oddHeader>
    <oddFooter>&amp;CB-4</oddFooter>
  </headerFooter>
</worksheet>
</file>

<file path=xl/worksheets/sheet27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348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31" width="12.28515625" style="38" customWidth="1"/>
    <col min="32" max="33" width="9.28515625" style="36" bestFit="1" customWidth="1"/>
    <col min="34" max="34" width="11.42578125" style="36" customWidth="1"/>
    <col min="35" max="35" width="10.5703125" style="36" customWidth="1"/>
    <col min="36" max="39" width="9.5703125" style="36" customWidth="1"/>
    <col min="40" max="40" width="9.28515625" style="38" bestFit="1" customWidth="1"/>
    <col min="41" max="41" width="9.85546875" style="36" customWidth="1"/>
    <col min="42" max="42" width="9.28515625" style="36" bestFit="1" customWidth="1"/>
    <col min="43" max="16384" width="9.140625" style="36"/>
  </cols>
  <sheetData>
    <row r="1" spans="1:42">
      <c r="A1" s="3" t="s">
        <v>790</v>
      </c>
    </row>
    <row r="2" spans="1:42">
      <c r="A2"/>
    </row>
    <row r="6" spans="1:42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26" t="s">
        <v>55</v>
      </c>
      <c r="H6" s="526" t="s">
        <v>56</v>
      </c>
      <c r="I6" s="522" t="s">
        <v>57</v>
      </c>
      <c r="J6" s="526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26" t="s">
        <v>61</v>
      </c>
      <c r="R6" s="522" t="s">
        <v>62</v>
      </c>
      <c r="S6" s="522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  <c r="AE6" s="36"/>
      <c r="AN6" s="36"/>
    </row>
    <row r="7" spans="1:42" ht="63.75">
      <c r="A7" s="592"/>
      <c r="B7" s="592"/>
      <c r="C7" s="593"/>
      <c r="D7" s="593"/>
      <c r="E7" s="74" t="s">
        <v>67</v>
      </c>
      <c r="F7" s="74" t="s">
        <v>68</v>
      </c>
      <c r="G7" s="525" t="s">
        <v>69</v>
      </c>
      <c r="H7" s="41" t="s">
        <v>69</v>
      </c>
      <c r="I7" s="41" t="s">
        <v>69</v>
      </c>
      <c r="J7" s="41" t="s">
        <v>69</v>
      </c>
      <c r="K7" s="522" t="s">
        <v>69</v>
      </c>
      <c r="L7" s="522" t="s">
        <v>71</v>
      </c>
      <c r="M7" s="522" t="s">
        <v>72</v>
      </c>
      <c r="N7" s="522" t="s">
        <v>69</v>
      </c>
      <c r="O7" s="522" t="s">
        <v>71</v>
      </c>
      <c r="P7" s="522" t="s">
        <v>72</v>
      </c>
      <c r="Q7" s="41" t="s">
        <v>69</v>
      </c>
      <c r="R7" s="522" t="s">
        <v>69</v>
      </c>
      <c r="S7" s="522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  <c r="AE7" s="36"/>
      <c r="AN7" s="36"/>
    </row>
    <row r="8" spans="1:42">
      <c r="A8" s="17" t="s">
        <v>414</v>
      </c>
      <c r="B8" s="74"/>
      <c r="C8" s="112"/>
      <c r="D8" s="112"/>
      <c r="E8" s="74"/>
      <c r="F8" s="74"/>
      <c r="G8" s="525"/>
      <c r="H8" s="41"/>
      <c r="I8" s="41"/>
      <c r="J8" s="41"/>
      <c r="K8" s="522"/>
      <c r="L8" s="522"/>
      <c r="M8" s="522"/>
      <c r="N8" s="522"/>
      <c r="O8" s="522"/>
      <c r="P8" s="522"/>
      <c r="Q8" s="41"/>
      <c r="R8" s="522"/>
      <c r="S8" s="522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  <c r="AE8" s="36"/>
      <c r="AN8" s="36"/>
    </row>
    <row r="9" spans="1:42">
      <c r="A9" s="78" t="s">
        <v>342</v>
      </c>
      <c r="B9" s="76" t="s">
        <v>95</v>
      </c>
      <c r="C9" s="79">
        <v>1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3.3297091844548342E-2</v>
      </c>
      <c r="U9" s="50">
        <f>C9*($F9*$H9)/453.59</f>
        <v>6.1469792609906218E-2</v>
      </c>
      <c r="V9" s="50">
        <f>C9*(($F9*$I9))/453.59</f>
        <v>7.5102242543154491E-3</v>
      </c>
      <c r="W9" s="50">
        <f>C9*($F9*$J9)/453.59</f>
        <v>4.6328711353582576E-4</v>
      </c>
      <c r="X9" s="50">
        <f>C9*(($F9*($K9+$L9+$M9)))/453.59</f>
        <v>1.2123154956717041E-2</v>
      </c>
      <c r="Y9" s="50">
        <f>C9*(($F9*($N9+$O9+$P9)))/453.59</f>
        <v>8.0553663276591338E-3</v>
      </c>
      <c r="Z9" s="50">
        <f>C9*(F9)*$B$399</f>
        <v>0</v>
      </c>
      <c r="AA9" s="50">
        <f>Z9*0.21</f>
        <v>0</v>
      </c>
      <c r="AB9" s="50">
        <f>C9*(($F9*($Q9)))/453.59</f>
        <v>32.271368530085546</v>
      </c>
      <c r="AC9" s="50">
        <f>C9*(($F9*($R9)))/453.59</f>
        <v>1.844082811914678E-3</v>
      </c>
      <c r="AD9" s="50">
        <f>C9*(($F9*($S9)))/453.59</f>
        <v>8.2666337626667119E-4</v>
      </c>
      <c r="AE9" s="51">
        <v>2</v>
      </c>
      <c r="AF9" s="50">
        <f t="shared" ref="AF9:AP10" si="0">T9*$AE9/2000</f>
        <v>3.3297091844548341E-5</v>
      </c>
      <c r="AG9" s="50">
        <f t="shared" si="0"/>
        <v>6.146979260990622E-5</v>
      </c>
      <c r="AH9" s="50">
        <f t="shared" si="0"/>
        <v>7.5102242543154493E-6</v>
      </c>
      <c r="AI9" s="50">
        <f t="shared" si="0"/>
        <v>4.6328711353582576E-7</v>
      </c>
      <c r="AJ9" s="50">
        <f t="shared" si="0"/>
        <v>1.2123154956717041E-5</v>
      </c>
      <c r="AK9" s="50">
        <f t="shared" si="0"/>
        <v>8.0553663276591334E-6</v>
      </c>
      <c r="AL9" s="50">
        <f t="shared" si="0"/>
        <v>0</v>
      </c>
      <c r="AM9" s="50">
        <f t="shared" si="0"/>
        <v>0</v>
      </c>
      <c r="AN9" s="50">
        <f t="shared" si="0"/>
        <v>3.2271368530085547E-2</v>
      </c>
      <c r="AO9" s="50">
        <f t="shared" si="0"/>
        <v>1.8440828119146779E-6</v>
      </c>
      <c r="AP9" s="50">
        <f t="shared" si="0"/>
        <v>8.2666337626667115E-7</v>
      </c>
    </row>
    <row r="10" spans="1:42">
      <c r="A10" s="78" t="s">
        <v>343</v>
      </c>
      <c r="B10" s="76" t="s">
        <v>95</v>
      </c>
      <c r="C10" s="79">
        <v>1</v>
      </c>
      <c r="D10" s="77"/>
      <c r="E10" s="77">
        <v>35</v>
      </c>
      <c r="F10" s="77">
        <v>60</v>
      </c>
      <c r="G10" s="106">
        <v>0.25172046482947802</v>
      </c>
      <c r="H10" s="106">
        <v>0.464701387165456</v>
      </c>
      <c r="I10" s="106">
        <v>5.6776043658582402E-2</v>
      </c>
      <c r="J10" s="106">
        <v>3.5023733638119199E-3</v>
      </c>
      <c r="K10" s="106">
        <v>4.6899256897933901E-2</v>
      </c>
      <c r="L10" s="47">
        <v>7.99995847163921E-3</v>
      </c>
      <c r="M10" s="47">
        <v>3.6749815577381599E-2</v>
      </c>
      <c r="N10" s="106">
        <v>4.3147317248333997E-2</v>
      </c>
      <c r="O10" s="47">
        <v>1.9999896145790402E-3</v>
      </c>
      <c r="P10" s="47">
        <v>1.57499200131354E-2</v>
      </c>
      <c r="Q10" s="106">
        <v>243.966167526025</v>
      </c>
      <c r="R10" s="47">
        <f>0.000057143*Q10</f>
        <v>1.3940958710939646E-2</v>
      </c>
      <c r="S10" s="80">
        <f>0.000025616*Q10</f>
        <v>6.2494373473466567E-3</v>
      </c>
      <c r="T10" s="50">
        <f>C10*($F10*$G10)/453.59</f>
        <v>3.3297091844548342E-2</v>
      </c>
      <c r="U10" s="50">
        <f>C10*($F10*$H10)/453.59</f>
        <v>6.1469792609906218E-2</v>
      </c>
      <c r="V10" s="50">
        <f>C10*(($F10*$I10))/453.59</f>
        <v>7.5102242543154491E-3</v>
      </c>
      <c r="W10" s="50">
        <f>C10*($F10*$J10)/453.59</f>
        <v>4.6328711353582576E-4</v>
      </c>
      <c r="X10" s="50">
        <f>C10*(($F10*($K10+$L10+$M10)))/453.59</f>
        <v>1.2123154956717041E-2</v>
      </c>
      <c r="Y10" s="50">
        <f>C10*(($F10*($N10+$O10+$P10)))/453.59</f>
        <v>8.0553663276591338E-3</v>
      </c>
      <c r="Z10" s="50">
        <f>C10*(F10)*$B$399</f>
        <v>0</v>
      </c>
      <c r="AA10" s="50">
        <f>Z10*0.21</f>
        <v>0</v>
      </c>
      <c r="AB10" s="50">
        <f>C10*(($F10*($Q10)))/453.59</f>
        <v>32.271368530085546</v>
      </c>
      <c r="AC10" s="50">
        <f>C10*(($F10*($R10)))/453.59</f>
        <v>1.844082811914678E-3</v>
      </c>
      <c r="AD10" s="50">
        <f>C10*(($F10*($S10)))/453.59</f>
        <v>8.2666337626667119E-4</v>
      </c>
      <c r="AE10" s="51">
        <v>2</v>
      </c>
      <c r="AF10" s="50">
        <f t="shared" si="0"/>
        <v>3.3297091844548341E-5</v>
      </c>
      <c r="AG10" s="50">
        <f t="shared" si="0"/>
        <v>6.146979260990622E-5</v>
      </c>
      <c r="AH10" s="50">
        <f t="shared" si="0"/>
        <v>7.5102242543154493E-6</v>
      </c>
      <c r="AI10" s="50">
        <f t="shared" si="0"/>
        <v>4.6328711353582576E-7</v>
      </c>
      <c r="AJ10" s="50">
        <f t="shared" si="0"/>
        <v>1.2123154956717041E-5</v>
      </c>
      <c r="AK10" s="50">
        <f t="shared" si="0"/>
        <v>8.0553663276591334E-6</v>
      </c>
      <c r="AL10" s="50">
        <f t="shared" si="0"/>
        <v>0</v>
      </c>
      <c r="AM10" s="50">
        <f t="shared" si="0"/>
        <v>0</v>
      </c>
      <c r="AN10" s="50">
        <f t="shared" si="0"/>
        <v>3.2271368530085547E-2</v>
      </c>
      <c r="AO10" s="50">
        <f t="shared" si="0"/>
        <v>1.8440828119146779E-6</v>
      </c>
      <c r="AP10" s="50">
        <f t="shared" si="0"/>
        <v>8.2666337626667115E-7</v>
      </c>
    </row>
    <row r="11" spans="1:42">
      <c r="A11" s="521"/>
      <c r="B11" s="74"/>
      <c r="C11" s="112"/>
      <c r="D11" s="112"/>
      <c r="E11" s="74"/>
      <c r="F11" s="74"/>
      <c r="G11" s="525"/>
      <c r="H11" s="41"/>
      <c r="I11" s="41"/>
      <c r="J11" s="41"/>
      <c r="K11" s="522"/>
      <c r="L11" s="522"/>
      <c r="M11" s="522"/>
      <c r="N11" s="522"/>
      <c r="O11" s="522"/>
      <c r="P11" s="522"/>
      <c r="Q11" s="41"/>
      <c r="R11" s="522"/>
      <c r="S11" s="522"/>
      <c r="T11" s="61"/>
      <c r="U11" s="61"/>
      <c r="V11" s="61"/>
      <c r="W11" s="61"/>
      <c r="X11" s="61"/>
      <c r="Y11" s="61"/>
      <c r="Z11" s="62"/>
      <c r="AA11" s="62"/>
      <c r="AB11" s="62"/>
      <c r="AC11" s="62"/>
      <c r="AD11" s="62"/>
      <c r="AE11" s="36"/>
      <c r="AN11" s="36"/>
    </row>
    <row r="12" spans="1:42">
      <c r="A12" s="521"/>
      <c r="B12" s="74"/>
      <c r="C12" s="112"/>
      <c r="D12" s="112"/>
      <c r="E12" s="74"/>
      <c r="F12" s="74"/>
      <c r="G12" s="525"/>
      <c r="H12" s="41"/>
      <c r="I12" s="41"/>
      <c r="J12" s="41"/>
      <c r="K12" s="522"/>
      <c r="L12" s="522"/>
      <c r="M12" s="522"/>
      <c r="N12" s="522"/>
      <c r="O12" s="522"/>
      <c r="P12" s="522"/>
      <c r="Q12" s="41"/>
      <c r="R12" s="522"/>
      <c r="S12" s="522"/>
      <c r="T12" s="81">
        <f t="shared" ref="T12" si="1">SUM(T9:T11)</f>
        <v>6.6594183689096684E-2</v>
      </c>
      <c r="U12" s="81">
        <f>SUM(U9:U11)</f>
        <v>0.12293958521981244</v>
      </c>
      <c r="V12" s="81">
        <f t="shared" ref="V12:AD12" si="2">SUM(V9:V11)</f>
        <v>1.5020448508630898E-2</v>
      </c>
      <c r="W12" s="81">
        <f t="shared" si="2"/>
        <v>9.2657422707165152E-4</v>
      </c>
      <c r="X12" s="81">
        <f t="shared" si="2"/>
        <v>2.4246309913434082E-2</v>
      </c>
      <c r="Y12" s="81">
        <f t="shared" si="2"/>
        <v>1.6110732655318268E-2</v>
      </c>
      <c r="Z12" s="81">
        <f t="shared" si="2"/>
        <v>0</v>
      </c>
      <c r="AA12" s="81">
        <f t="shared" si="2"/>
        <v>0</v>
      </c>
      <c r="AB12" s="81">
        <f t="shared" si="2"/>
        <v>64.542737060171092</v>
      </c>
      <c r="AC12" s="81">
        <f t="shared" si="2"/>
        <v>3.688165623829356E-3</v>
      </c>
      <c r="AD12" s="81">
        <f t="shared" si="2"/>
        <v>1.6533267525333424E-3</v>
      </c>
      <c r="AE12" s="36"/>
      <c r="AN12" s="36"/>
    </row>
    <row r="13" spans="1:42">
      <c r="A13" s="370"/>
      <c r="B13" s="371"/>
      <c r="C13" s="372"/>
      <c r="D13" s="372"/>
      <c r="E13" s="371"/>
      <c r="F13" s="371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84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</row>
    <row r="14" spans="1:42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84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</row>
    <row r="15" spans="1:42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84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</row>
    <row r="16" spans="1:42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84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</row>
    <row r="336" spans="1:1" ht="25.5">
      <c r="A336" s="82" t="s">
        <v>109</v>
      </c>
    </row>
    <row r="338" spans="1:2">
      <c r="A338" s="36" t="s">
        <v>81</v>
      </c>
    </row>
    <row r="339" spans="1:2">
      <c r="A339" s="36" t="s">
        <v>82</v>
      </c>
    </row>
    <row r="340" spans="1:2">
      <c r="A340" s="36" t="s">
        <v>83</v>
      </c>
    </row>
    <row r="341" spans="1:2">
      <c r="A341" s="37" t="s">
        <v>96</v>
      </c>
    </row>
    <row r="342" spans="1:2">
      <c r="A342" s="36" t="s">
        <v>85</v>
      </c>
    </row>
    <row r="343" spans="1:2">
      <c r="A343" s="36" t="s">
        <v>86</v>
      </c>
    </row>
    <row r="344" spans="1:2">
      <c r="A344" s="36" t="s">
        <v>87</v>
      </c>
    </row>
    <row r="345" spans="1:2">
      <c r="A345" s="36" t="s">
        <v>0</v>
      </c>
    </row>
    <row r="346" spans="1:2">
      <c r="A346" s="37" t="s">
        <v>97</v>
      </c>
      <c r="B346" s="36">
        <f>(0.016*(0.03/2)^0.65*(2/3)^1.5)-0.00047</f>
        <v>9.8123053326417428E-5</v>
      </c>
    </row>
    <row r="347" spans="1:2">
      <c r="A347" s="37" t="s">
        <v>98</v>
      </c>
      <c r="B347" s="36">
        <f>(0.016*(0.03/2)^0.65*(13/3)^1.5)-0.00047</f>
        <v>8.9448292388582783E-3</v>
      </c>
    </row>
    <row r="348" spans="1:2">
      <c r="A348" s="37" t="s">
        <v>99</v>
      </c>
      <c r="B348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B-5
Construction Truck Trip Emissions
TL 6965 Construction</oddHeader>
    <oddFooter>&amp;CB-5</oddFooter>
  </headerFooter>
</worksheet>
</file>

<file path=xl/worksheets/sheet27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791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25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22" t="s">
        <v>69</v>
      </c>
      <c r="S3" s="42" t="s">
        <v>118</v>
      </c>
      <c r="T3" s="522" t="s">
        <v>71</v>
      </c>
      <c r="U3" s="522" t="s">
        <v>72</v>
      </c>
      <c r="V3" s="522" t="s">
        <v>69</v>
      </c>
      <c r="W3" s="42" t="s">
        <v>118</v>
      </c>
      <c r="X3" s="522" t="s">
        <v>71</v>
      </c>
      <c r="Y3" s="522" t="s">
        <v>72</v>
      </c>
      <c r="Z3" s="41" t="s">
        <v>69</v>
      </c>
      <c r="AA3" s="42" t="s">
        <v>118</v>
      </c>
      <c r="AB3" s="522" t="s">
        <v>69</v>
      </c>
      <c r="AC3" s="42" t="s">
        <v>118</v>
      </c>
      <c r="AD3" s="522" t="s">
        <v>69</v>
      </c>
      <c r="AE3" s="42" t="s">
        <v>118</v>
      </c>
    </row>
    <row r="4" spans="1:67" ht="25.5">
      <c r="A4" s="44" t="s">
        <v>344</v>
      </c>
      <c r="B4" s="45" t="s">
        <v>102</v>
      </c>
      <c r="C4" s="46">
        <v>11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524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523" t="s">
        <v>55</v>
      </c>
      <c r="G87" s="523" t="s">
        <v>73</v>
      </c>
      <c r="H87" s="523" t="s">
        <v>74</v>
      </c>
      <c r="I87" s="523" t="s">
        <v>58</v>
      </c>
      <c r="J87" s="523" t="s">
        <v>59</v>
      </c>
      <c r="K87" s="523" t="s">
        <v>60</v>
      </c>
      <c r="L87" s="522" t="s">
        <v>75</v>
      </c>
      <c r="M87" s="522" t="s">
        <v>76</v>
      </c>
      <c r="N87" s="522" t="s">
        <v>61</v>
      </c>
      <c r="O87" s="522" t="s">
        <v>62</v>
      </c>
      <c r="P87" s="522" t="s">
        <v>63</v>
      </c>
      <c r="AN87" s="38"/>
      <c r="AZ87" s="36"/>
    </row>
    <row r="88" spans="1:52" ht="25.5">
      <c r="A88" s="44" t="str">
        <f>A4</f>
        <v>UG Cable Pulling</v>
      </c>
      <c r="B88" s="45" t="str">
        <f>B4</f>
        <v>Light-Duty Truck, catalyst</v>
      </c>
      <c r="C88" s="46">
        <v>11</v>
      </c>
      <c r="D88" s="46">
        <v>35</v>
      </c>
      <c r="E88" s="46">
        <v>80</v>
      </c>
      <c r="F88" s="50">
        <f>C4*($E4*$F4+($G4))/453.59</f>
        <v>5.34291324469012</v>
      </c>
      <c r="G88" s="50">
        <f>C4*($E4*$H4+($I4))/453.59</f>
        <v>0.48037723023815809</v>
      </c>
      <c r="H88" s="50">
        <f>C4*(($E4*$J4)+($K4)+($L4)+($E4*$N4)+(($M4+$O4)))/453.59</f>
        <v>0.55549978356348662</v>
      </c>
      <c r="I88" s="50">
        <f>C4*($E4*$P4+($Q4))/453.59</f>
        <v>7.9947672987667768E-3</v>
      </c>
      <c r="J88" s="50">
        <f>C4*(($E4*($R4+$T4+$U4))+($S4))/453.59</f>
        <v>9.3764995007286869E-2</v>
      </c>
      <c r="K88" s="50">
        <f>$C4*(($E4*($V4+$X4+$Y4))+($W4))/453.59</f>
        <v>4.0832058566784561E-2</v>
      </c>
      <c r="L88" s="50">
        <f>$B$21*C4*(E4+6)</f>
        <v>9.2824408446790893E-2</v>
      </c>
      <c r="M88" s="50">
        <f t="shared" ref="M88" si="52">0.41*L88</f>
        <v>3.8058007463184267E-2</v>
      </c>
      <c r="N88" s="50">
        <f>C4*($E4*$Z4+($AA4))/453.59</f>
        <v>609.65934398642787</v>
      </c>
      <c r="O88" s="50">
        <f>C4*($E4*$AB4+($AC4))/453.59</f>
        <v>3.4875229279332738E-2</v>
      </c>
      <c r="P88" s="50">
        <f>C4*($E4*$AD4+($AE4))/453.59</f>
        <v>6.3482319052276956E-2</v>
      </c>
      <c r="AN88" s="38"/>
      <c r="AZ88" s="36"/>
    </row>
    <row r="89" spans="1:52">
      <c r="A89" s="40" t="s">
        <v>103</v>
      </c>
      <c r="B89" s="40"/>
      <c r="C89" s="40"/>
      <c r="D89" s="40"/>
      <c r="E89" s="40"/>
      <c r="F89" s="81">
        <f t="shared" ref="F89:P89" si="53">SUM(F88:F88)</f>
        <v>5.34291324469012</v>
      </c>
      <c r="G89" s="81">
        <f t="shared" si="53"/>
        <v>0.48037723023815809</v>
      </c>
      <c r="H89" s="81">
        <f t="shared" si="53"/>
        <v>0.55549978356348662</v>
      </c>
      <c r="I89" s="81">
        <f t="shared" si="53"/>
        <v>7.9947672987667768E-3</v>
      </c>
      <c r="J89" s="81">
        <f t="shared" si="53"/>
        <v>9.3764995007286869E-2</v>
      </c>
      <c r="K89" s="81">
        <f t="shared" si="53"/>
        <v>4.0832058566784561E-2</v>
      </c>
      <c r="L89" s="81">
        <f t="shared" si="53"/>
        <v>9.2824408446790893E-2</v>
      </c>
      <c r="M89" s="81">
        <f t="shared" si="53"/>
        <v>3.8058007463184267E-2</v>
      </c>
      <c r="N89" s="81">
        <f t="shared" si="53"/>
        <v>609.65934398642787</v>
      </c>
      <c r="O89" s="81">
        <f t="shared" si="53"/>
        <v>3.4875229279332738E-2</v>
      </c>
      <c r="P89" s="81">
        <f t="shared" si="53"/>
        <v>6.3482319052276956E-2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B-6
Construction Worker Commute Emission Calculations
TL 6965 Construction</oddHeader>
    <oddFooter>&amp;CB-6</oddFooter>
  </headerFooter>
</worksheet>
</file>

<file path=xl/worksheets/sheet27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9"/>
  <sheetViews>
    <sheetView zoomScale="75" zoomScaleNormal="75" workbookViewId="0">
      <selection activeCell="A2" sqref="A2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792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20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414</v>
      </c>
      <c r="B7" s="29"/>
      <c r="C7" s="97"/>
      <c r="D7" s="12"/>
      <c r="E7" s="102"/>
      <c r="F7" s="102"/>
      <c r="G7" s="102"/>
      <c r="H7" s="102"/>
      <c r="I7" s="102"/>
      <c r="J7" s="100"/>
      <c r="K7" s="103"/>
      <c r="L7" s="102"/>
      <c r="M7" s="104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 t="s">
        <v>133</v>
      </c>
      <c r="B8" s="29" t="s">
        <v>27</v>
      </c>
      <c r="C8" s="22">
        <v>300</v>
      </c>
      <c r="D8" s="22"/>
      <c r="E8" s="102">
        <v>0.12431762378554365</v>
      </c>
      <c r="F8" s="102">
        <v>0.4868439847761532</v>
      </c>
      <c r="G8" s="102">
        <v>1.0415214118246066</v>
      </c>
      <c r="H8" s="102">
        <v>2.4954334272364047E-3</v>
      </c>
      <c r="I8" s="102">
        <v>3.5011591348186828E-2</v>
      </c>
      <c r="J8" s="100">
        <f t="shared" ref="J8" si="0">0.89*I8</f>
        <v>3.1160316299886276E-2</v>
      </c>
      <c r="K8" s="103">
        <v>254.23851177178003</v>
      </c>
      <c r="L8" s="102">
        <v>1.1216977037398481E-2</v>
      </c>
      <c r="M8" s="104">
        <f t="shared" ref="M8" si="1">0.095*G8</f>
        <v>9.8944534123337619E-2</v>
      </c>
      <c r="N8" s="98">
        <v>1</v>
      </c>
      <c r="O8" s="87">
        <v>8</v>
      </c>
      <c r="P8" s="88">
        <v>10</v>
      </c>
      <c r="Q8" s="34">
        <f t="shared" ref="Q8:Y8" si="2">(E8*$N8*$O8)</f>
        <v>0.99454099028434917</v>
      </c>
      <c r="R8" s="26">
        <f t="shared" si="2"/>
        <v>3.8947518782092256</v>
      </c>
      <c r="S8" s="26">
        <f t="shared" si="2"/>
        <v>8.3321712945968525</v>
      </c>
      <c r="T8" s="26">
        <f t="shared" si="2"/>
        <v>1.9963467417891238E-2</v>
      </c>
      <c r="U8" s="26">
        <f t="shared" si="2"/>
        <v>0.28009273078549463</v>
      </c>
      <c r="V8" s="26">
        <f t="shared" si="2"/>
        <v>0.24928253039909021</v>
      </c>
      <c r="W8" s="26">
        <f t="shared" si="2"/>
        <v>2033.9080941742402</v>
      </c>
      <c r="X8" s="26">
        <f t="shared" si="2"/>
        <v>8.9735816299187851E-2</v>
      </c>
      <c r="Y8" s="26">
        <f t="shared" si="2"/>
        <v>0.79155627298670095</v>
      </c>
    </row>
    <row r="9" spans="1:25" s="3" customFormat="1">
      <c r="A9" s="30" t="s">
        <v>28</v>
      </c>
      <c r="B9" s="116"/>
      <c r="C9" s="117"/>
      <c r="D9" s="115"/>
      <c r="E9" s="118"/>
      <c r="F9" s="118"/>
      <c r="G9" s="118"/>
      <c r="H9" s="118"/>
      <c r="I9" s="118"/>
      <c r="J9" s="109"/>
      <c r="K9" s="119"/>
      <c r="L9" s="118"/>
      <c r="M9" s="120"/>
      <c r="N9" s="98"/>
      <c r="O9" s="98"/>
      <c r="P9" s="99"/>
      <c r="Q9" s="121">
        <f>SUM(Q8:Q8)</f>
        <v>0.99454099028434917</v>
      </c>
      <c r="R9" s="121">
        <f t="shared" ref="R9:Y9" si="3">SUM(R8:R8)</f>
        <v>3.8947518782092256</v>
      </c>
      <c r="S9" s="121">
        <f t="shared" si="3"/>
        <v>8.3321712945968525</v>
      </c>
      <c r="T9" s="121">
        <f t="shared" si="3"/>
        <v>1.9963467417891238E-2</v>
      </c>
      <c r="U9" s="121">
        <f t="shared" si="3"/>
        <v>0.28009273078549463</v>
      </c>
      <c r="V9" s="121">
        <f t="shared" si="3"/>
        <v>0.24928253039909021</v>
      </c>
      <c r="W9" s="121">
        <f t="shared" si="3"/>
        <v>2033.9080941742402</v>
      </c>
      <c r="X9" s="121">
        <f t="shared" si="3"/>
        <v>8.9735816299187851E-2</v>
      </c>
      <c r="Y9" s="121">
        <f t="shared" si="3"/>
        <v>0.79155627298670095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B-4
Construction Heavy Equipment Emissions
TL 6965 Construction
</oddHeader>
    <oddFooter>&amp;CB-4</oddFooter>
  </headerFooter>
</worksheet>
</file>

<file path=xl/worksheets/sheet27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348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31" width="12.28515625" style="38" customWidth="1"/>
    <col min="32" max="33" width="9.28515625" style="36" bestFit="1" customWidth="1"/>
    <col min="34" max="34" width="11.42578125" style="36" customWidth="1"/>
    <col min="35" max="35" width="10.5703125" style="36" customWidth="1"/>
    <col min="36" max="39" width="9.5703125" style="36" customWidth="1"/>
    <col min="40" max="40" width="9.28515625" style="38" bestFit="1" customWidth="1"/>
    <col min="41" max="41" width="9.85546875" style="36" customWidth="1"/>
    <col min="42" max="42" width="9.28515625" style="36" bestFit="1" customWidth="1"/>
    <col min="43" max="16384" width="9.140625" style="36"/>
  </cols>
  <sheetData>
    <row r="1" spans="1:42">
      <c r="A1" s="3" t="s">
        <v>793</v>
      </c>
    </row>
    <row r="2" spans="1:42">
      <c r="A2"/>
    </row>
    <row r="6" spans="1:42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26" t="s">
        <v>55</v>
      </c>
      <c r="H6" s="526" t="s">
        <v>56</v>
      </c>
      <c r="I6" s="522" t="s">
        <v>57</v>
      </c>
      <c r="J6" s="526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26" t="s">
        <v>61</v>
      </c>
      <c r="R6" s="522" t="s">
        <v>62</v>
      </c>
      <c r="S6" s="522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  <c r="AE6" s="36"/>
      <c r="AN6" s="36"/>
    </row>
    <row r="7" spans="1:42" ht="63.75">
      <c r="A7" s="592"/>
      <c r="B7" s="592"/>
      <c r="C7" s="593"/>
      <c r="D7" s="593"/>
      <c r="E7" s="74" t="s">
        <v>67</v>
      </c>
      <c r="F7" s="74" t="s">
        <v>68</v>
      </c>
      <c r="G7" s="525" t="s">
        <v>69</v>
      </c>
      <c r="H7" s="41" t="s">
        <v>69</v>
      </c>
      <c r="I7" s="41" t="s">
        <v>69</v>
      </c>
      <c r="J7" s="41" t="s">
        <v>69</v>
      </c>
      <c r="K7" s="522" t="s">
        <v>69</v>
      </c>
      <c r="L7" s="522" t="s">
        <v>71</v>
      </c>
      <c r="M7" s="522" t="s">
        <v>72</v>
      </c>
      <c r="N7" s="522" t="s">
        <v>69</v>
      </c>
      <c r="O7" s="522" t="s">
        <v>71</v>
      </c>
      <c r="P7" s="522" t="s">
        <v>72</v>
      </c>
      <c r="Q7" s="41" t="s">
        <v>69</v>
      </c>
      <c r="R7" s="522" t="s">
        <v>69</v>
      </c>
      <c r="S7" s="522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  <c r="AE7" s="36"/>
      <c r="AN7" s="36"/>
    </row>
    <row r="8" spans="1:42">
      <c r="A8" s="17" t="s">
        <v>414</v>
      </c>
      <c r="B8" s="74"/>
      <c r="C8" s="112"/>
      <c r="D8" s="112"/>
      <c r="E8" s="74"/>
      <c r="F8" s="74"/>
      <c r="G8" s="525"/>
      <c r="H8" s="41"/>
      <c r="I8" s="41"/>
      <c r="J8" s="41"/>
      <c r="K8" s="522"/>
      <c r="L8" s="522"/>
      <c r="M8" s="522"/>
      <c r="N8" s="522"/>
      <c r="O8" s="522"/>
      <c r="P8" s="522"/>
      <c r="Q8" s="41"/>
      <c r="R8" s="522"/>
      <c r="S8" s="522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  <c r="AE8" s="36"/>
      <c r="AN8" s="36"/>
    </row>
    <row r="9" spans="1:42">
      <c r="A9" s="78" t="s">
        <v>342</v>
      </c>
      <c r="B9" s="76" t="s">
        <v>95</v>
      </c>
      <c r="C9" s="79">
        <v>1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3.3297091844548342E-2</v>
      </c>
      <c r="U9" s="50">
        <f>C9*($F9*$H9)/453.59</f>
        <v>6.1469792609906218E-2</v>
      </c>
      <c r="V9" s="50">
        <f>C9*(($F9*$I9))/453.59</f>
        <v>7.5102242543154491E-3</v>
      </c>
      <c r="W9" s="50">
        <f>C9*($F9*$J9)/453.59</f>
        <v>4.6328711353582576E-4</v>
      </c>
      <c r="X9" s="50">
        <f>C9*(($F9*($K9+$L9+$M9)))/453.59</f>
        <v>1.2123154956717041E-2</v>
      </c>
      <c r="Y9" s="50">
        <f>C9*(($F9*($N9+$O9+$P9)))/453.59</f>
        <v>8.0553663276591338E-3</v>
      </c>
      <c r="Z9" s="50">
        <f>C9*(F9)*$B$399</f>
        <v>0</v>
      </c>
      <c r="AA9" s="50">
        <f>Z9*0.21</f>
        <v>0</v>
      </c>
      <c r="AB9" s="50">
        <f>C9*(($F9*($Q9)))/453.59</f>
        <v>32.271368530085546</v>
      </c>
      <c r="AC9" s="50">
        <f>C9*(($F9*($R9)))/453.59</f>
        <v>1.844082811914678E-3</v>
      </c>
      <c r="AD9" s="50">
        <f>C9*(($F9*($S9)))/453.59</f>
        <v>8.2666337626667119E-4</v>
      </c>
      <c r="AE9" s="51">
        <v>2</v>
      </c>
      <c r="AF9" s="50">
        <f t="shared" ref="AF9:AP10" si="0">T9*$AE9/2000</f>
        <v>3.3297091844548341E-5</v>
      </c>
      <c r="AG9" s="50">
        <f t="shared" si="0"/>
        <v>6.146979260990622E-5</v>
      </c>
      <c r="AH9" s="50">
        <f t="shared" si="0"/>
        <v>7.5102242543154493E-6</v>
      </c>
      <c r="AI9" s="50">
        <f t="shared" si="0"/>
        <v>4.6328711353582576E-7</v>
      </c>
      <c r="AJ9" s="50">
        <f t="shared" si="0"/>
        <v>1.2123154956717041E-5</v>
      </c>
      <c r="AK9" s="50">
        <f t="shared" si="0"/>
        <v>8.0553663276591334E-6</v>
      </c>
      <c r="AL9" s="50">
        <f t="shared" si="0"/>
        <v>0</v>
      </c>
      <c r="AM9" s="50">
        <f t="shared" si="0"/>
        <v>0</v>
      </c>
      <c r="AN9" s="50">
        <f t="shared" si="0"/>
        <v>3.2271368530085547E-2</v>
      </c>
      <c r="AO9" s="50">
        <f t="shared" si="0"/>
        <v>1.8440828119146779E-6</v>
      </c>
      <c r="AP9" s="50">
        <f t="shared" si="0"/>
        <v>8.2666337626667115E-7</v>
      </c>
    </row>
    <row r="10" spans="1:42">
      <c r="A10" s="78" t="s">
        <v>343</v>
      </c>
      <c r="B10" s="76" t="s">
        <v>95</v>
      </c>
      <c r="C10" s="79">
        <v>1</v>
      </c>
      <c r="D10" s="77"/>
      <c r="E10" s="77">
        <v>35</v>
      </c>
      <c r="F10" s="77">
        <v>60</v>
      </c>
      <c r="G10" s="106">
        <v>0.25172046482947802</v>
      </c>
      <c r="H10" s="106">
        <v>0.464701387165456</v>
      </c>
      <c r="I10" s="106">
        <v>5.6776043658582402E-2</v>
      </c>
      <c r="J10" s="106">
        <v>3.5023733638119199E-3</v>
      </c>
      <c r="K10" s="106">
        <v>4.6899256897933901E-2</v>
      </c>
      <c r="L10" s="47">
        <v>7.99995847163921E-3</v>
      </c>
      <c r="M10" s="47">
        <v>3.6749815577381599E-2</v>
      </c>
      <c r="N10" s="106">
        <v>4.3147317248333997E-2</v>
      </c>
      <c r="O10" s="47">
        <v>1.9999896145790402E-3</v>
      </c>
      <c r="P10" s="47">
        <v>1.57499200131354E-2</v>
      </c>
      <c r="Q10" s="106">
        <v>243.966167526025</v>
      </c>
      <c r="R10" s="47">
        <f>0.000057143*Q10</f>
        <v>1.3940958710939646E-2</v>
      </c>
      <c r="S10" s="80">
        <f>0.000025616*Q10</f>
        <v>6.2494373473466567E-3</v>
      </c>
      <c r="T10" s="50">
        <f>C10*($F10*$G10)/453.59</f>
        <v>3.3297091844548342E-2</v>
      </c>
      <c r="U10" s="50">
        <f>C10*($F10*$H10)/453.59</f>
        <v>6.1469792609906218E-2</v>
      </c>
      <c r="V10" s="50">
        <f>C10*(($F10*$I10))/453.59</f>
        <v>7.5102242543154491E-3</v>
      </c>
      <c r="W10" s="50">
        <f>C10*($F10*$J10)/453.59</f>
        <v>4.6328711353582576E-4</v>
      </c>
      <c r="X10" s="50">
        <f>C10*(($F10*($K10+$L10+$M10)))/453.59</f>
        <v>1.2123154956717041E-2</v>
      </c>
      <c r="Y10" s="50">
        <f>C10*(($F10*($N10+$O10+$P10)))/453.59</f>
        <v>8.0553663276591338E-3</v>
      </c>
      <c r="Z10" s="50">
        <f>C10*(F10)*$B$399</f>
        <v>0</v>
      </c>
      <c r="AA10" s="50">
        <f>Z10*0.21</f>
        <v>0</v>
      </c>
      <c r="AB10" s="50">
        <f>C10*(($F10*($Q10)))/453.59</f>
        <v>32.271368530085546</v>
      </c>
      <c r="AC10" s="50">
        <f>C10*(($F10*($R10)))/453.59</f>
        <v>1.844082811914678E-3</v>
      </c>
      <c r="AD10" s="50">
        <f>C10*(($F10*($S10)))/453.59</f>
        <v>8.2666337626667119E-4</v>
      </c>
      <c r="AE10" s="51">
        <v>2</v>
      </c>
      <c r="AF10" s="50">
        <f t="shared" si="0"/>
        <v>3.3297091844548341E-5</v>
      </c>
      <c r="AG10" s="50">
        <f t="shared" si="0"/>
        <v>6.146979260990622E-5</v>
      </c>
      <c r="AH10" s="50">
        <f t="shared" si="0"/>
        <v>7.5102242543154493E-6</v>
      </c>
      <c r="AI10" s="50">
        <f t="shared" si="0"/>
        <v>4.6328711353582576E-7</v>
      </c>
      <c r="AJ10" s="50">
        <f t="shared" si="0"/>
        <v>1.2123154956717041E-5</v>
      </c>
      <c r="AK10" s="50">
        <f t="shared" si="0"/>
        <v>8.0553663276591334E-6</v>
      </c>
      <c r="AL10" s="50">
        <f t="shared" si="0"/>
        <v>0</v>
      </c>
      <c r="AM10" s="50">
        <f t="shared" si="0"/>
        <v>0</v>
      </c>
      <c r="AN10" s="50">
        <f t="shared" si="0"/>
        <v>3.2271368530085547E-2</v>
      </c>
      <c r="AO10" s="50">
        <f t="shared" si="0"/>
        <v>1.8440828119146779E-6</v>
      </c>
      <c r="AP10" s="50">
        <f t="shared" si="0"/>
        <v>8.2666337626667115E-7</v>
      </c>
    </row>
    <row r="11" spans="1:42">
      <c r="A11" s="521"/>
      <c r="B11" s="74"/>
      <c r="C11" s="112"/>
      <c r="D11" s="112"/>
      <c r="E11" s="74"/>
      <c r="F11" s="74"/>
      <c r="G11" s="525"/>
      <c r="H11" s="41"/>
      <c r="I11" s="41"/>
      <c r="J11" s="41"/>
      <c r="K11" s="522"/>
      <c r="L11" s="522"/>
      <c r="M11" s="522"/>
      <c r="N11" s="522"/>
      <c r="O11" s="522"/>
      <c r="P11" s="522"/>
      <c r="Q11" s="41"/>
      <c r="R11" s="522"/>
      <c r="S11" s="522"/>
      <c r="T11" s="61"/>
      <c r="U11" s="61"/>
      <c r="V11" s="61"/>
      <c r="W11" s="61"/>
      <c r="X11" s="61"/>
      <c r="Y11" s="61"/>
      <c r="Z11" s="62"/>
      <c r="AA11" s="62"/>
      <c r="AB11" s="62"/>
      <c r="AC11" s="62"/>
      <c r="AD11" s="62"/>
      <c r="AE11" s="36"/>
      <c r="AN11" s="36"/>
    </row>
    <row r="12" spans="1:42">
      <c r="A12" s="521"/>
      <c r="B12" s="74"/>
      <c r="C12" s="112"/>
      <c r="D12" s="112"/>
      <c r="E12" s="74"/>
      <c r="F12" s="74"/>
      <c r="G12" s="525"/>
      <c r="H12" s="41"/>
      <c r="I12" s="41"/>
      <c r="J12" s="41"/>
      <c r="K12" s="522"/>
      <c r="L12" s="522"/>
      <c r="M12" s="522"/>
      <c r="N12" s="522"/>
      <c r="O12" s="522"/>
      <c r="P12" s="522"/>
      <c r="Q12" s="41"/>
      <c r="R12" s="522"/>
      <c r="S12" s="522"/>
      <c r="T12" s="81">
        <f>SUM(T9:T11)</f>
        <v>6.6594183689096684E-2</v>
      </c>
      <c r="U12" s="81">
        <f t="shared" ref="U12:AD12" si="1">SUM(U9:U11)</f>
        <v>0.12293958521981244</v>
      </c>
      <c r="V12" s="81">
        <f t="shared" si="1"/>
        <v>1.5020448508630898E-2</v>
      </c>
      <c r="W12" s="81">
        <f t="shared" si="1"/>
        <v>9.2657422707165152E-4</v>
      </c>
      <c r="X12" s="81">
        <f t="shared" si="1"/>
        <v>2.4246309913434082E-2</v>
      </c>
      <c r="Y12" s="81">
        <f t="shared" si="1"/>
        <v>1.6110732655318268E-2</v>
      </c>
      <c r="Z12" s="81">
        <f t="shared" si="1"/>
        <v>0</v>
      </c>
      <c r="AA12" s="81">
        <f t="shared" si="1"/>
        <v>0</v>
      </c>
      <c r="AB12" s="81">
        <f t="shared" si="1"/>
        <v>64.542737060171092</v>
      </c>
      <c r="AC12" s="81">
        <f t="shared" si="1"/>
        <v>3.688165623829356E-3</v>
      </c>
      <c r="AD12" s="81">
        <f t="shared" si="1"/>
        <v>1.6533267525333424E-3</v>
      </c>
      <c r="AE12" s="36"/>
      <c r="AN12" s="36"/>
    </row>
    <row r="13" spans="1:42">
      <c r="A13" s="370"/>
      <c r="B13" s="371"/>
      <c r="C13" s="372"/>
      <c r="D13" s="372"/>
      <c r="E13" s="371"/>
      <c r="F13" s="371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84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</row>
    <row r="14" spans="1:42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84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</row>
    <row r="15" spans="1:42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84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</row>
    <row r="16" spans="1:42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84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</row>
    <row r="336" spans="1:1" ht="25.5">
      <c r="A336" s="82" t="s">
        <v>109</v>
      </c>
    </row>
    <row r="338" spans="1:2">
      <c r="A338" s="36" t="s">
        <v>81</v>
      </c>
    </row>
    <row r="339" spans="1:2">
      <c r="A339" s="36" t="s">
        <v>82</v>
      </c>
    </row>
    <row r="340" spans="1:2">
      <c r="A340" s="36" t="s">
        <v>83</v>
      </c>
    </row>
    <row r="341" spans="1:2">
      <c r="A341" s="37" t="s">
        <v>96</v>
      </c>
    </row>
    <row r="342" spans="1:2">
      <c r="A342" s="36" t="s">
        <v>85</v>
      </c>
    </row>
    <row r="343" spans="1:2">
      <c r="A343" s="36" t="s">
        <v>86</v>
      </c>
    </row>
    <row r="344" spans="1:2">
      <c r="A344" s="36" t="s">
        <v>87</v>
      </c>
    </row>
    <row r="345" spans="1:2">
      <c r="A345" s="36" t="s">
        <v>0</v>
      </c>
    </row>
    <row r="346" spans="1:2">
      <c r="A346" s="37" t="s">
        <v>97</v>
      </c>
      <c r="B346" s="36">
        <f>(0.016*(0.03/2)^0.65*(2/3)^1.5)-0.00047</f>
        <v>9.8123053326417428E-5</v>
      </c>
    </row>
    <row r="347" spans="1:2">
      <c r="A347" s="37" t="s">
        <v>98</v>
      </c>
      <c r="B347" s="36">
        <f>(0.016*(0.03/2)^0.65*(13/3)^1.5)-0.00047</f>
        <v>8.9448292388582783E-3</v>
      </c>
    </row>
    <row r="348" spans="1:2">
      <c r="A348" s="37" t="s">
        <v>99</v>
      </c>
      <c r="B348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B-5
Construction Truck Trip Emissions
TL 6965 Construction</oddHeader>
    <oddFooter>&amp;CB-5</oddFooter>
  </headerFooter>
</worksheet>
</file>

<file path=xl/worksheets/sheet27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E102" sqref="E102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794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25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22" t="s">
        <v>69</v>
      </c>
      <c r="S3" s="42" t="s">
        <v>118</v>
      </c>
      <c r="T3" s="522" t="s">
        <v>71</v>
      </c>
      <c r="U3" s="522" t="s">
        <v>72</v>
      </c>
      <c r="V3" s="522" t="s">
        <v>69</v>
      </c>
      <c r="W3" s="42" t="s">
        <v>118</v>
      </c>
      <c r="X3" s="522" t="s">
        <v>71</v>
      </c>
      <c r="Y3" s="522" t="s">
        <v>72</v>
      </c>
      <c r="Z3" s="41" t="s">
        <v>69</v>
      </c>
      <c r="AA3" s="42" t="s">
        <v>118</v>
      </c>
      <c r="AB3" s="522" t="s">
        <v>69</v>
      </c>
      <c r="AC3" s="42" t="s">
        <v>118</v>
      </c>
      <c r="AD3" s="522" t="s">
        <v>69</v>
      </c>
      <c r="AE3" s="42" t="s">
        <v>118</v>
      </c>
    </row>
    <row r="4" spans="1:67" ht="25.5">
      <c r="A4" s="44" t="s">
        <v>344</v>
      </c>
      <c r="B4" s="45" t="s">
        <v>102</v>
      </c>
      <c r="C4" s="46">
        <v>13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524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523" t="s">
        <v>55</v>
      </c>
      <c r="G87" s="523" t="s">
        <v>73</v>
      </c>
      <c r="H87" s="523" t="s">
        <v>74</v>
      </c>
      <c r="I87" s="523" t="s">
        <v>58</v>
      </c>
      <c r="J87" s="523" t="s">
        <v>59</v>
      </c>
      <c r="K87" s="523" t="s">
        <v>60</v>
      </c>
      <c r="L87" s="522" t="s">
        <v>75</v>
      </c>
      <c r="M87" s="522" t="s">
        <v>76</v>
      </c>
      <c r="N87" s="522" t="s">
        <v>61</v>
      </c>
      <c r="O87" s="522" t="s">
        <v>62</v>
      </c>
      <c r="P87" s="522" t="s">
        <v>63</v>
      </c>
      <c r="AN87" s="38"/>
      <c r="AZ87" s="36"/>
    </row>
    <row r="88" spans="1:52" ht="25.5">
      <c r="A88" s="44" t="str">
        <f>A4</f>
        <v>UG Cable Pulling</v>
      </c>
      <c r="B88" s="45" t="str">
        <f>B4</f>
        <v>Light-Duty Truck, catalyst</v>
      </c>
      <c r="C88" s="46">
        <v>13</v>
      </c>
      <c r="D88" s="46">
        <v>35</v>
      </c>
      <c r="E88" s="46">
        <v>80</v>
      </c>
      <c r="F88" s="50">
        <f>C4*($E4*$F4+($G4))/453.59</f>
        <v>6.3143520164519611</v>
      </c>
      <c r="G88" s="50">
        <f>C4*($E4*$H4+($I4))/453.59</f>
        <v>0.56771854482691408</v>
      </c>
      <c r="H88" s="50">
        <f>C4*(($E4*$J4)+($K4)+($L4)+($E4*$N4)+(($M4+$O4)))/453.59</f>
        <v>0.65649974421139334</v>
      </c>
      <c r="I88" s="50">
        <f>C4*($E4*$P4+($Q4))/453.59</f>
        <v>9.4483613530880074E-3</v>
      </c>
      <c r="J88" s="50">
        <f>C4*(($E4*($R4+$T4+$U4))+($S4))/453.59</f>
        <v>0.11081317591770266</v>
      </c>
      <c r="K88" s="50">
        <f>$C4*(($E4*($V4+$X4+$Y4))+($W4))/453.59</f>
        <v>4.8256069215290839E-2</v>
      </c>
      <c r="L88" s="50">
        <f>$B$21*C4*(E4+6)</f>
        <v>0.10970157361893468</v>
      </c>
      <c r="M88" s="50">
        <f t="shared" ref="M88" si="52">0.41*L88</f>
        <v>4.4977645183763217E-2</v>
      </c>
      <c r="N88" s="50">
        <f>C4*($E4*$Z4+($AA4))/453.59</f>
        <v>720.50649743850568</v>
      </c>
      <c r="O88" s="50">
        <f>C4*($E4*$AB4+($AC4))/453.59</f>
        <v>4.1216180057393241E-2</v>
      </c>
      <c r="P88" s="50">
        <f>C4*($E4*$AD4+($AE4))/453.59</f>
        <v>7.5024558879963676E-2</v>
      </c>
      <c r="AN88" s="38"/>
      <c r="AZ88" s="36"/>
    </row>
    <row r="89" spans="1:52">
      <c r="A89" s="40" t="s">
        <v>103</v>
      </c>
      <c r="B89" s="40"/>
      <c r="C89" s="40"/>
      <c r="D89" s="40"/>
      <c r="E89" s="40"/>
      <c r="F89" s="81">
        <f t="shared" ref="F89:P89" si="53">SUM(F88:F88)</f>
        <v>6.3143520164519611</v>
      </c>
      <c r="G89" s="81">
        <f t="shared" si="53"/>
        <v>0.56771854482691408</v>
      </c>
      <c r="H89" s="81">
        <f t="shared" si="53"/>
        <v>0.65649974421139334</v>
      </c>
      <c r="I89" s="81">
        <f t="shared" si="53"/>
        <v>9.4483613530880074E-3</v>
      </c>
      <c r="J89" s="81">
        <f t="shared" si="53"/>
        <v>0.11081317591770266</v>
      </c>
      <c r="K89" s="81">
        <f t="shared" si="53"/>
        <v>4.8256069215290839E-2</v>
      </c>
      <c r="L89" s="81">
        <f t="shared" si="53"/>
        <v>0.10970157361893468</v>
      </c>
      <c r="M89" s="81">
        <f t="shared" si="53"/>
        <v>4.4977645183763217E-2</v>
      </c>
      <c r="N89" s="81">
        <f t="shared" si="53"/>
        <v>720.50649743850568</v>
      </c>
      <c r="O89" s="81">
        <f t="shared" si="53"/>
        <v>4.1216180057393241E-2</v>
      </c>
      <c r="P89" s="81">
        <f t="shared" si="53"/>
        <v>7.5024558879963676E-2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B-6
Construction Worker Commute Emission Calculations
TL 6965 Construction</oddHeader>
    <oddFooter>&amp;CB-6</oddFooter>
  </headerFooter>
</worksheet>
</file>

<file path=xl/worksheets/sheet27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3"/>
  <sheetViews>
    <sheetView zoomScale="75" zoomScaleNormal="75" workbookViewId="0">
      <selection activeCell="E40" sqref="E40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32">
      <c r="A1" s="3" t="s">
        <v>795</v>
      </c>
    </row>
    <row r="2" spans="1:32">
      <c r="A2" s="83"/>
    </row>
    <row r="3" spans="1:32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19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32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32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32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32" s="3" customFormat="1">
      <c r="A7" s="17" t="s">
        <v>270</v>
      </c>
      <c r="B7" s="29"/>
      <c r="C7" s="22"/>
      <c r="D7" s="18"/>
      <c r="E7" s="23"/>
      <c r="F7" s="23"/>
      <c r="G7" s="23"/>
      <c r="H7" s="23"/>
      <c r="I7" s="23"/>
      <c r="J7" s="24"/>
      <c r="K7" s="25"/>
      <c r="L7" s="23"/>
      <c r="M7" s="33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32" s="3" customFormat="1">
      <c r="A8" s="24" t="s">
        <v>111</v>
      </c>
      <c r="B8" s="29" t="s">
        <v>27</v>
      </c>
      <c r="C8" s="97">
        <v>82</v>
      </c>
      <c r="D8" s="22">
        <v>0.5</v>
      </c>
      <c r="E8" s="107">
        <v>3.490161163394627E-2</v>
      </c>
      <c r="F8" s="397">
        <f>IF($C8&lt;11,'Offroad Tiers EF (2)'!$AB$4*$C8*$D8,IF($C8&lt;25,'Offroad Tiers EF (2)'!$AB$5*$C8*$D8,IF($C8&lt;50,'Offroad Tiers EF (2)'!$AB$6*$C8*$D8,IF($C8&lt;75,'Offroad Tiers EF (2)'!$AB$7*$C8*$D8,IF($C8&lt;100,'Offroad Tiers EF (2)'!$AB$8*$C8*$D8,IF($C8&lt;175,'Offroad Tiers EF (2)'!$AB$9*$C8*$D8,IF($C8&lt;300,'Offroad Tiers EF (2)'!$AB$10*$C8*$D8,IF($C8&lt;600,'Offroad Tiers EF (2)'!$AB$11*$C8*$D8,"!"))))))))</f>
        <v>0.33443562610229277</v>
      </c>
      <c r="G8" s="397">
        <f>IF($C8&lt;11,'Offroad Tiers EF (2)'!$Z$4*$C8*$D8,IF($C8&lt;25,'Offroad Tiers EF (2)'!$Z$5*$C8*$D8,IF($C8&lt;50,'Offroad Tiers EF (2)'!$Z$6*$C8*$D8,IF($C8&lt;75,'Offroad Tiers EF (2)'!$Z$7*$C8*$D8,IF($C8&lt;100,'Offroad Tiers EF (2)'!$Z$8*$C8*$D8,IF($C8&lt;175,'Offroad Tiers EF (2)'!$Z$9*$C8*$D8,IF($C8&lt;300,'Offroad Tiers EF (2)'!$Z$10*$C8*$D8,IF($C8&lt;600,'Offroad Tiers EF (2)'!$Z$11*$C8*$D8,"!"))))))))</f>
        <v>0.48086419753086407</v>
      </c>
      <c r="H8" s="102">
        <v>9.0467809247651214E-4</v>
      </c>
      <c r="I8" s="397">
        <f>IF($C8&lt;11,'Offroad Tiers EF (2)'!$AD$4*$C8*$D8,IF($C8&lt;25,'Offroad Tiers EF (2)'!$AD$5*$C8*$D8,IF($C8&lt;50,'Offroad Tiers EF (2)'!$AD$6*$C8*$D8,IF($C8&lt;75,'Offroad Tiers EF (2)'!$AD$7*$C8*$D8,IF($C8&lt;100,'Offroad Tiers EF (2)'!$AD$8*$C8*$D8,IF($C8&lt;175,'Offroad Tiers EF (2)'!$AD$9*$C8*$D8,IF($C8&lt;300,'Offroad Tiers EF (2)'!$AD$10*$C8*$D8,IF($C8&lt;600,'Offroad Tiers EF (2)'!$AD$11*$C8*$D8,"!"))))))))</f>
        <v>2.7116402116402115E-2</v>
      </c>
      <c r="J8" s="100">
        <f t="shared" ref="J8:J11" si="0">0.89*I8</f>
        <v>2.4133597883597882E-2</v>
      </c>
      <c r="K8" s="103">
        <v>77.121751200869411</v>
      </c>
      <c r="L8" s="102">
        <v>3.6861995629678865E-3</v>
      </c>
      <c r="M8" s="104">
        <f t="shared" ref="M8:M11" si="1">0.095*G8</f>
        <v>4.568209876543209E-2</v>
      </c>
      <c r="N8" s="87">
        <v>1</v>
      </c>
      <c r="O8" s="87">
        <v>8</v>
      </c>
      <c r="P8" s="88">
        <v>6</v>
      </c>
      <c r="Q8" s="34">
        <f t="shared" ref="Q8:Y11" si="2">(E8*$N8*$O8)</f>
        <v>0.27921289307157016</v>
      </c>
      <c r="R8" s="26">
        <f t="shared" si="2"/>
        <v>2.6754850088183422</v>
      </c>
      <c r="S8" s="26">
        <f t="shared" si="2"/>
        <v>3.8469135802469125</v>
      </c>
      <c r="T8" s="26">
        <f t="shared" si="2"/>
        <v>7.2374247398120971E-3</v>
      </c>
      <c r="U8" s="26">
        <f t="shared" si="2"/>
        <v>0.21693121693121692</v>
      </c>
      <c r="V8" s="26">
        <f t="shared" si="2"/>
        <v>0.19306878306878306</v>
      </c>
      <c r="W8" s="26">
        <f t="shared" si="2"/>
        <v>616.97400960695529</v>
      </c>
      <c r="X8" s="26">
        <f t="shared" si="2"/>
        <v>2.9489596503743092E-2</v>
      </c>
      <c r="Y8" s="26">
        <f t="shared" si="2"/>
        <v>0.36545679012345672</v>
      </c>
    </row>
    <row r="9" spans="1:32" s="3" customFormat="1">
      <c r="A9" s="32" t="s">
        <v>125</v>
      </c>
      <c r="B9" s="29" t="s">
        <v>27</v>
      </c>
      <c r="C9" s="97">
        <v>87</v>
      </c>
      <c r="D9" s="22">
        <v>0.37</v>
      </c>
      <c r="E9" s="413">
        <v>5.2437519504869065E-2</v>
      </c>
      <c r="F9" s="397">
        <f>IF($C9&lt;11,'Offroad Tiers EF (2)'!$AN$4*$C9*$D9,IF($C9&lt;25,'Offroad Tiers EF (2)'!$AN$5*$C9*$D9,IF($C9&lt;50,'Offroad Tiers EF (2)'!$AN$6*$C9*$D9,IF($C9&lt;75,'Offroad Tiers EF (2)'!$AN$7*$C9*$D9,IF($C9&lt;100,'Offroad Tiers EF (2)'!$AN$8*$C9*$D9,IF($C9&lt;175,'Offroad Tiers EF (2)'!$AN$9*$C9*$D9,IF($C9&lt;300,'Offroad Tiers EF (2)'!$AN$10*$C9*$D9,IF($C9&lt;600,'Offroad Tiers EF (2)'!$AN$11*$C9*$D9,"!"))))))))</f>
        <v>0.26257275132275132</v>
      </c>
      <c r="G9" s="397">
        <f>IF($C9&lt;11,'Offroad Tiers EF (2)'!$AM$4*$C9*$D9,IF($C9&lt;25,'Offroad Tiers EF (2)'!$AM$5*$C9*$D9,IF($C9&lt;50,'Offroad Tiers EF (2)'!$AM$6*$C9*$D9,IF($C9&lt;75,'Offroad Tiers EF (2)'!$AM$7*$C9*$D9,IF($C9&lt;100,'Offroad Tiers EF (2)'!$AM$8*$C9*$D9,IF($C9&lt;175,'Offroad Tiers EF (2)'!$AM$9*$C9*$D9,IF($C9&lt;300,'Offroad Tiers EF (2)'!$AM$10*$C9*$D9,IF($C9&lt;600,'Offroad Tiers EF (2)'!$AM$11*$C9*$D9,"!"))))))))</f>
        <v>0.33506412037037031</v>
      </c>
      <c r="H9" s="413">
        <v>6.0679618797898508E-4</v>
      </c>
      <c r="I9" s="397">
        <f>IF($C9&lt;11,'Offroad Tiers EF (2)'!$AO$4*$C9*$D9,IF($C9&lt;25,'Offroad Tiers EF (2)'!$AO$5*$C9*$D9,IF($C9&lt;50,'Offroad Tiers EF (2)'!$AO$6*$C9*$D9,IF($C9&lt;75,'Offroad Tiers EF (2)'!$AO$7*$C9*$D9,IF($C9&lt;100,'Offroad Tiers EF (2)'!$AO$8*$C9*$D9,IF($C9&lt;175,'Offroad Tiers EF (2)'!$AO$9*$C9*$D9,IF($C9&lt;300,'Offroad Tiers EF (2)'!$AO$10*$C9*$D9,IF($C9&lt;600,'Offroad Tiers EF (2)'!$AO$11*$C9*$D9,"!"))))))))</f>
        <v>2.1289682539682539E-2</v>
      </c>
      <c r="J9" s="100">
        <f t="shared" si="0"/>
        <v>1.894781746031746E-2</v>
      </c>
      <c r="K9" s="413">
        <v>51.728016924248784</v>
      </c>
      <c r="L9" s="413">
        <v>5.7223017989158831E-3</v>
      </c>
      <c r="M9" s="102">
        <f t="shared" si="1"/>
        <v>3.1831091435185178E-2</v>
      </c>
      <c r="N9" s="87">
        <v>1</v>
      </c>
      <c r="O9" s="87">
        <v>8</v>
      </c>
      <c r="P9" s="88">
        <v>6</v>
      </c>
      <c r="Q9" s="34">
        <f t="shared" si="2"/>
        <v>0.41950015603895252</v>
      </c>
      <c r="R9" s="26">
        <f t="shared" si="2"/>
        <v>2.1005820105820106</v>
      </c>
      <c r="S9" s="26">
        <f t="shared" si="2"/>
        <v>2.6805129629629625</v>
      </c>
      <c r="T9" s="26">
        <f t="shared" si="2"/>
        <v>4.8543695038318806E-3</v>
      </c>
      <c r="U9" s="26">
        <f t="shared" si="2"/>
        <v>0.17031746031746031</v>
      </c>
      <c r="V9" s="26">
        <f t="shared" si="2"/>
        <v>0.15158253968253968</v>
      </c>
      <c r="W9" s="26">
        <f t="shared" si="2"/>
        <v>413.82413539399028</v>
      </c>
      <c r="X9" s="26">
        <f t="shared" si="2"/>
        <v>4.5778414391327064E-2</v>
      </c>
      <c r="Y9" s="26">
        <f t="shared" si="2"/>
        <v>0.25464873148148143</v>
      </c>
    </row>
    <row r="10" spans="1:32" s="3" customFormat="1">
      <c r="A10" s="32" t="s">
        <v>51</v>
      </c>
      <c r="B10" s="29" t="s">
        <v>27</v>
      </c>
      <c r="C10" s="97">
        <v>381</v>
      </c>
      <c r="D10" s="97"/>
      <c r="E10" s="102">
        <v>0.18553470911077993</v>
      </c>
      <c r="F10" s="102">
        <v>0.57956772121140698</v>
      </c>
      <c r="G10" s="102">
        <v>1.2523979210769924</v>
      </c>
      <c r="H10" s="102">
        <v>2.6730457491231348E-3</v>
      </c>
      <c r="I10" s="102">
        <v>4.4827947982520766E-2</v>
      </c>
      <c r="J10" s="100">
        <f t="shared" si="0"/>
        <v>3.9896873704443482E-2</v>
      </c>
      <c r="K10" s="103">
        <v>272.33380251586107</v>
      </c>
      <c r="L10" s="102">
        <v>1.6740496842659349E-2</v>
      </c>
      <c r="M10" s="102">
        <f t="shared" si="1"/>
        <v>0.11897780250231428</v>
      </c>
      <c r="N10" s="87">
        <v>4</v>
      </c>
      <c r="O10" s="87">
        <v>8</v>
      </c>
      <c r="P10" s="88">
        <v>3</v>
      </c>
      <c r="Q10" s="34">
        <f t="shared" si="2"/>
        <v>5.9371106915449579</v>
      </c>
      <c r="R10" s="26">
        <f t="shared" si="2"/>
        <v>18.546167078765023</v>
      </c>
      <c r="S10" s="26">
        <f t="shared" si="2"/>
        <v>40.076733474463758</v>
      </c>
      <c r="T10" s="26">
        <f t="shared" si="2"/>
        <v>8.5537463971940314E-2</v>
      </c>
      <c r="U10" s="26">
        <f t="shared" si="2"/>
        <v>1.4344943354406645</v>
      </c>
      <c r="V10" s="26">
        <f t="shared" si="2"/>
        <v>1.2766999585421914</v>
      </c>
      <c r="W10" s="26">
        <f t="shared" si="2"/>
        <v>8714.6816805075541</v>
      </c>
      <c r="X10" s="26">
        <f t="shared" si="2"/>
        <v>0.53569589896509917</v>
      </c>
      <c r="Y10" s="26">
        <f t="shared" si="2"/>
        <v>3.807289680074057</v>
      </c>
    </row>
    <row r="11" spans="1:32" s="3" customFormat="1">
      <c r="A11" s="24" t="s">
        <v>368</v>
      </c>
      <c r="B11" s="90" t="s">
        <v>27</v>
      </c>
      <c r="C11" s="22">
        <v>5</v>
      </c>
      <c r="D11" s="22">
        <v>0.74</v>
      </c>
      <c r="E11" s="413">
        <v>1.3017040437477556E-2</v>
      </c>
      <c r="F11" s="397">
        <v>4.8941798941798939E-2</v>
      </c>
      <c r="G11" s="397">
        <v>4.3395061728395051E-2</v>
      </c>
      <c r="H11" s="413">
        <v>1.5884019955091081E-4</v>
      </c>
      <c r="I11" s="397">
        <v>4.8941798941798936E-3</v>
      </c>
      <c r="J11" s="100">
        <f t="shared" si="0"/>
        <v>4.3558201058201051E-3</v>
      </c>
      <c r="K11" s="413">
        <v>10.20766028636436</v>
      </c>
      <c r="L11" s="413">
        <v>1.2796045465601556E-3</v>
      </c>
      <c r="M11" s="102">
        <f t="shared" si="1"/>
        <v>4.1225308641975296E-3</v>
      </c>
      <c r="N11" s="98">
        <v>1</v>
      </c>
      <c r="O11" s="363">
        <v>3</v>
      </c>
      <c r="P11" s="88"/>
      <c r="Q11" s="34">
        <f t="shared" si="2"/>
        <v>3.9051121312432671E-2</v>
      </c>
      <c r="R11" s="26">
        <f t="shared" si="2"/>
        <v>0.1468253968253968</v>
      </c>
      <c r="S11" s="26">
        <f t="shared" si="2"/>
        <v>0.13018518518518515</v>
      </c>
      <c r="T11" s="26">
        <f t="shared" si="2"/>
        <v>4.7652059865273245E-4</v>
      </c>
      <c r="U11" s="26">
        <f t="shared" si="2"/>
        <v>1.4682539682539681E-2</v>
      </c>
      <c r="V11" s="26">
        <f t="shared" si="2"/>
        <v>1.3067460317460314E-2</v>
      </c>
      <c r="W11" s="26">
        <f t="shared" si="2"/>
        <v>30.622980859093083</v>
      </c>
      <c r="X11" s="26">
        <f t="shared" si="2"/>
        <v>3.8388136396804665E-3</v>
      </c>
      <c r="Y11" s="26">
        <f t="shared" si="2"/>
        <v>1.236759259259259E-2</v>
      </c>
    </row>
    <row r="12" spans="1:32" s="3" customFormat="1">
      <c r="A12" s="17" t="s">
        <v>28</v>
      </c>
      <c r="B12" s="29"/>
      <c r="C12" s="97"/>
      <c r="D12" s="12"/>
      <c r="E12" s="102"/>
      <c r="F12" s="102"/>
      <c r="G12" s="102"/>
      <c r="H12" s="102"/>
      <c r="I12" s="102"/>
      <c r="J12" s="100"/>
      <c r="K12" s="103"/>
      <c r="L12" s="102"/>
      <c r="M12" s="104"/>
      <c r="N12" s="98"/>
      <c r="O12" s="98"/>
      <c r="P12" s="99"/>
      <c r="Q12" s="101">
        <f t="shared" ref="Q12:Y12" si="3">SUM(Q8:Q10)</f>
        <v>6.6358237406554803</v>
      </c>
      <c r="R12" s="101">
        <f t="shared" si="3"/>
        <v>23.322234098165374</v>
      </c>
      <c r="S12" s="101">
        <f t="shared" si="3"/>
        <v>46.604160017673635</v>
      </c>
      <c r="T12" s="101">
        <f t="shared" si="3"/>
        <v>9.7629258215584297E-2</v>
      </c>
      <c r="U12" s="101">
        <f t="shared" si="3"/>
        <v>1.8217430126893417</v>
      </c>
      <c r="V12" s="101">
        <f t="shared" si="3"/>
        <v>1.621351281293514</v>
      </c>
      <c r="W12" s="101">
        <f t="shared" si="3"/>
        <v>9745.4798255085007</v>
      </c>
      <c r="X12" s="101">
        <f t="shared" si="3"/>
        <v>0.61096390986016935</v>
      </c>
      <c r="Y12" s="101">
        <f t="shared" si="3"/>
        <v>4.427395201678995</v>
      </c>
    </row>
    <row r="13" spans="1:32" s="6" customFormat="1">
      <c r="A13" s="122" t="s">
        <v>390</v>
      </c>
      <c r="B13" s="97"/>
      <c r="C13" s="22"/>
      <c r="D13" s="22"/>
      <c r="E13" s="23"/>
      <c r="F13" s="23"/>
      <c r="G13" s="23"/>
      <c r="H13" s="23"/>
      <c r="I13" s="23"/>
      <c r="J13" s="24"/>
      <c r="K13" s="25"/>
      <c r="L13" s="23"/>
      <c r="M13" s="23"/>
      <c r="N13" s="88"/>
      <c r="O13" s="88"/>
      <c r="P13" s="88"/>
      <c r="Q13" s="20">
        <f>Q12</f>
        <v>6.6358237406554803</v>
      </c>
      <c r="R13" s="20">
        <f t="shared" ref="R13:Y13" si="4">R12</f>
        <v>23.322234098165374</v>
      </c>
      <c r="S13" s="20">
        <f t="shared" si="4"/>
        <v>46.604160017673635</v>
      </c>
      <c r="T13" s="20">
        <f t="shared" si="4"/>
        <v>9.7629258215584297E-2</v>
      </c>
      <c r="U13" s="20">
        <f t="shared" si="4"/>
        <v>1.8217430126893417</v>
      </c>
      <c r="V13" s="20">
        <f t="shared" si="4"/>
        <v>1.621351281293514</v>
      </c>
      <c r="W13" s="20">
        <f t="shared" si="4"/>
        <v>9745.4798255085007</v>
      </c>
      <c r="X13" s="20">
        <f t="shared" si="4"/>
        <v>0.61096390986016935</v>
      </c>
      <c r="Y13" s="20">
        <f t="shared" si="4"/>
        <v>4.427395201678995</v>
      </c>
      <c r="AF13" s="7"/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B-7
Construction Heavy Equipment Emissions
TL 6910 Construction
</oddHeader>
    <oddFooter>&amp;CB-7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8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546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314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8</v>
      </c>
      <c r="P8" s="88">
        <v>125</v>
      </c>
      <c r="Q8" s="34">
        <f t="shared" ref="Q8:Y10" si="2">(E8*$N8*$O8)</f>
        <v>0.49946184642775621</v>
      </c>
      <c r="R8" s="26">
        <f t="shared" si="2"/>
        <v>2.4431746031746027</v>
      </c>
      <c r="S8" s="26">
        <f t="shared" si="2"/>
        <v>3.1176888888888881</v>
      </c>
      <c r="T8" s="26">
        <f t="shared" si="2"/>
        <v>4.4060015200662857E-3</v>
      </c>
      <c r="U8" s="26">
        <f t="shared" si="2"/>
        <v>0.19809523809523807</v>
      </c>
      <c r="V8" s="26">
        <f t="shared" si="2"/>
        <v>0.17630476190476188</v>
      </c>
      <c r="W8" s="26">
        <f t="shared" si="2"/>
        <v>375.60183859341714</v>
      </c>
      <c r="X8" s="26">
        <f t="shared" si="2"/>
        <v>5.4697471816927752E-2</v>
      </c>
      <c r="Y8" s="26">
        <f t="shared" si="2"/>
        <v>0.29618044444444436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9</v>
      </c>
      <c r="P9" s="363">
        <v>125</v>
      </c>
      <c r="Q9" s="34">
        <f t="shared" si="2"/>
        <v>1.0612998664693185</v>
      </c>
      <c r="R9" s="26">
        <f t="shared" si="2"/>
        <v>3.2860974016937274</v>
      </c>
      <c r="S9" s="26">
        <f t="shared" si="2"/>
        <v>7.8103317854039886</v>
      </c>
      <c r="T9" s="26">
        <f t="shared" si="2"/>
        <v>1.6865295748293957E-2</v>
      </c>
      <c r="U9" s="26">
        <f t="shared" si="2"/>
        <v>0.26137541066030878</v>
      </c>
      <c r="V9" s="26">
        <f t="shared" si="2"/>
        <v>0.23262411548767484</v>
      </c>
      <c r="W9" s="26">
        <f t="shared" si="2"/>
        <v>1498.908740620727</v>
      </c>
      <c r="X9" s="26">
        <f t="shared" si="2"/>
        <v>9.5759396799267066E-2</v>
      </c>
      <c r="Y9" s="26">
        <f t="shared" si="2"/>
        <v>0.74198151961337888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3</v>
      </c>
      <c r="P10" s="363">
        <v>125</v>
      </c>
      <c r="Q10" s="34">
        <f t="shared" si="2"/>
        <v>3.9051121312432671E-2</v>
      </c>
      <c r="R10" s="26">
        <f t="shared" si="2"/>
        <v>0.1468253968253968</v>
      </c>
      <c r="S10" s="26">
        <f t="shared" si="2"/>
        <v>0.13018518518518515</v>
      </c>
      <c r="T10" s="26">
        <f t="shared" si="2"/>
        <v>4.7652059865273245E-4</v>
      </c>
      <c r="U10" s="26">
        <f t="shared" si="2"/>
        <v>1.4682539682539681E-2</v>
      </c>
      <c r="V10" s="26">
        <f t="shared" si="2"/>
        <v>1.3067460317460314E-2</v>
      </c>
      <c r="W10" s="26">
        <f t="shared" si="2"/>
        <v>30.622980859093083</v>
      </c>
      <c r="X10" s="26">
        <f t="shared" si="2"/>
        <v>3.8388136396804665E-3</v>
      </c>
      <c r="Y10" s="26">
        <f t="shared" si="2"/>
        <v>1.236759259259259E-2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1.5998128342095075</v>
      </c>
      <c r="R11" s="101">
        <f t="shared" ref="R11:Y11" si="3">SUM(R8:R10)</f>
        <v>5.8760974016937269</v>
      </c>
      <c r="S11" s="101">
        <f t="shared" si="3"/>
        <v>11.058205859478063</v>
      </c>
      <c r="T11" s="101">
        <f t="shared" si="3"/>
        <v>2.1747817867012974E-2</v>
      </c>
      <c r="U11" s="101">
        <f t="shared" si="3"/>
        <v>0.47415318843808657</v>
      </c>
      <c r="V11" s="101">
        <f t="shared" si="3"/>
        <v>0.42199633770989703</v>
      </c>
      <c r="W11" s="101">
        <f t="shared" si="3"/>
        <v>1905.1335600732373</v>
      </c>
      <c r="X11" s="101">
        <f t="shared" si="3"/>
        <v>0.15429568225587528</v>
      </c>
      <c r="Y11" s="101">
        <f t="shared" si="3"/>
        <v>1.0505295566504158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87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7" t="s">
        <v>281</v>
      </c>
      <c r="B13" s="90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30"/>
      <c r="O13" s="30"/>
      <c r="P13" s="30"/>
      <c r="Q13" s="20"/>
      <c r="R13" s="20"/>
      <c r="S13" s="27"/>
      <c r="T13" s="20"/>
      <c r="U13" s="20"/>
      <c r="V13" s="20"/>
      <c r="W13" s="21"/>
      <c r="X13" s="20"/>
      <c r="Y13" s="20"/>
    </row>
    <row r="14" spans="1:25" s="3" customFormat="1">
      <c r="A14" s="100" t="s">
        <v>120</v>
      </c>
      <c r="B14" s="29" t="s">
        <v>27</v>
      </c>
      <c r="C14" s="22">
        <v>358</v>
      </c>
      <c r="D14" s="22">
        <v>0.4</v>
      </c>
      <c r="E14" s="108">
        <v>0.27937428148624566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0.82081128747795418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1.2776243386243384</v>
      </c>
      <c r="H14" s="108">
        <v>2.5998088533883764E-3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4.735449735449735E-2</v>
      </c>
      <c r="J14" s="100">
        <f t="shared" ref="J14:J19" si="4">0.89*I14</f>
        <v>4.2145502645502646E-2</v>
      </c>
      <c r="K14" s="108">
        <v>264.8725636721183</v>
      </c>
      <c r="L14" s="108">
        <v>2.6451144743432839E-2</v>
      </c>
      <c r="M14" s="102">
        <f t="shared" ref="M14:M19" si="5">0.095*G14</f>
        <v>0.12137431216931216</v>
      </c>
      <c r="N14" s="98">
        <v>1</v>
      </c>
      <c r="O14" s="87">
        <v>8</v>
      </c>
      <c r="P14" s="363">
        <v>75</v>
      </c>
      <c r="Q14" s="34">
        <f t="shared" ref="Q14:Y19" si="6">(E14*$N14*$O14)</f>
        <v>2.2349942518899653</v>
      </c>
      <c r="R14" s="26">
        <f t="shared" si="6"/>
        <v>6.5664902998236334</v>
      </c>
      <c r="S14" s="26">
        <f t="shared" si="6"/>
        <v>10.220994708994708</v>
      </c>
      <c r="T14" s="26">
        <f t="shared" si="6"/>
        <v>2.0798470827107011E-2</v>
      </c>
      <c r="U14" s="26">
        <f t="shared" si="6"/>
        <v>0.3788359788359788</v>
      </c>
      <c r="V14" s="26">
        <f t="shared" si="6"/>
        <v>0.33716402116402117</v>
      </c>
      <c r="W14" s="26">
        <f t="shared" si="6"/>
        <v>2118.9805093769464</v>
      </c>
      <c r="X14" s="26">
        <f t="shared" si="6"/>
        <v>0.21160915794746271</v>
      </c>
      <c r="Y14" s="26">
        <f t="shared" si="6"/>
        <v>0.97099449735449728</v>
      </c>
    </row>
    <row r="15" spans="1:25" s="3" customFormat="1">
      <c r="A15" s="100" t="s">
        <v>121</v>
      </c>
      <c r="B15" s="29" t="s">
        <v>27</v>
      </c>
      <c r="C15" s="22">
        <v>162</v>
      </c>
      <c r="D15" s="22">
        <v>0.41</v>
      </c>
      <c r="E15" s="108">
        <v>0.12153885438656534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0.5417857142857142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0.60233392857142853</v>
      </c>
      <c r="H15" s="108">
        <v>1.3943296443626662E-3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3.2214285714285709E-2</v>
      </c>
      <c r="J15" s="100">
        <f t="shared" si="4"/>
        <v>2.8670714285714282E-2</v>
      </c>
      <c r="K15" s="365">
        <v>123.92149503712022</v>
      </c>
      <c r="L15" s="23">
        <v>1.1720218383966691E-2</v>
      </c>
      <c r="M15" s="102">
        <f t="shared" si="5"/>
        <v>5.7221723214285709E-2</v>
      </c>
      <c r="N15" s="98">
        <v>1</v>
      </c>
      <c r="O15" s="87">
        <v>8</v>
      </c>
      <c r="P15" s="363">
        <v>75</v>
      </c>
      <c r="Q15" s="34">
        <f t="shared" si="6"/>
        <v>0.9723108350925227</v>
      </c>
      <c r="R15" s="26">
        <f t="shared" si="6"/>
        <v>4.3342857142857136</v>
      </c>
      <c r="S15" s="26">
        <f t="shared" si="6"/>
        <v>4.8186714285714283</v>
      </c>
      <c r="T15" s="26">
        <f t="shared" si="6"/>
        <v>1.115463715490133E-2</v>
      </c>
      <c r="U15" s="26">
        <f t="shared" si="6"/>
        <v>0.25771428571428567</v>
      </c>
      <c r="V15" s="26">
        <f t="shared" si="6"/>
        <v>0.22936571428571426</v>
      </c>
      <c r="W15" s="26">
        <f t="shared" si="6"/>
        <v>991.37196029696179</v>
      </c>
      <c r="X15" s="26">
        <f t="shared" si="6"/>
        <v>9.3761747071733528E-2</v>
      </c>
      <c r="Y15" s="26">
        <f t="shared" si="6"/>
        <v>0.45777378571428567</v>
      </c>
    </row>
    <row r="16" spans="1:25" s="3" customFormat="1">
      <c r="A16" s="100" t="s">
        <v>123</v>
      </c>
      <c r="B16" s="29" t="s">
        <v>27</v>
      </c>
      <c r="C16" s="22">
        <v>84</v>
      </c>
      <c r="D16" s="22">
        <v>0.38</v>
      </c>
      <c r="E16" s="102">
        <v>7.9534395197012789E-2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0.26037037037037036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0.33225370370370361</v>
      </c>
      <c r="H16" s="102">
        <v>6.9196834691909377E-4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2.1111111111111112E-2</v>
      </c>
      <c r="J16" s="100">
        <f t="shared" si="4"/>
        <v>1.878888888888889E-2</v>
      </c>
      <c r="K16" s="103">
        <v>58.988746640295226</v>
      </c>
      <c r="L16" s="102">
        <v>7.7311979659905822E-3</v>
      </c>
      <c r="M16" s="102">
        <f t="shared" si="5"/>
        <v>3.1564101851851843E-2</v>
      </c>
      <c r="N16" s="363">
        <v>1</v>
      </c>
      <c r="O16" s="87">
        <v>8</v>
      </c>
      <c r="P16" s="363">
        <v>75</v>
      </c>
      <c r="Q16" s="34">
        <f t="shared" si="6"/>
        <v>0.63627516157610231</v>
      </c>
      <c r="R16" s="26">
        <f t="shared" si="6"/>
        <v>2.0829629629629629</v>
      </c>
      <c r="S16" s="26">
        <f t="shared" si="6"/>
        <v>2.6580296296296289</v>
      </c>
      <c r="T16" s="26">
        <f t="shared" si="6"/>
        <v>5.5357467753527501E-3</v>
      </c>
      <c r="U16" s="26">
        <f t="shared" si="6"/>
        <v>0.16888888888888889</v>
      </c>
      <c r="V16" s="26">
        <f t="shared" si="6"/>
        <v>0.15031111111111112</v>
      </c>
      <c r="W16" s="26">
        <f t="shared" si="6"/>
        <v>471.90997312236181</v>
      </c>
      <c r="X16" s="26">
        <f t="shared" si="6"/>
        <v>6.1849583727924658E-2</v>
      </c>
      <c r="Y16" s="26">
        <f t="shared" si="6"/>
        <v>0.25251281481481475</v>
      </c>
    </row>
    <row r="17" spans="1:25" s="3" customFormat="1">
      <c r="A17" s="100" t="s">
        <v>282</v>
      </c>
      <c r="B17" s="29" t="s">
        <v>27</v>
      </c>
      <c r="C17" s="97">
        <v>37</v>
      </c>
      <c r="D17" s="22">
        <v>0.37</v>
      </c>
      <c r="E17" s="102">
        <v>3.2313389441625637E-2</v>
      </c>
      <c r="F17" s="397">
        <f>IF($C17&lt;11,'Offroad Tiers EF (2)'!$AN$4*$C17*$D17,IF($C17&lt;25,'Offroad Tiers EF (2)'!$AN$5*$C17*$D17,IF($C17&lt;50,'Offroad Tiers EF (2)'!$AN$6*$C17*$D17,IF($C17&lt;75,'Offroad Tiers EF (2)'!$AN$7*$C17*$D17,IF($C17&lt;100,'Offroad Tiers EF (2)'!$AN$8*$C17*$D17,IF($C17&lt;175,'Offroad Tiers EF (2)'!$AN$9*$C17*$D17,IF($C17&lt;300,'Offroad Tiers EF (2)'!$AN$10*$C17*$D17,IF($C17&lt;600,'Offroad Tiers EF (2)'!$AN$11*$C17*$D17,"!"))))))))</f>
        <v>0.12374118165784832</v>
      </c>
      <c r="G17" s="397">
        <f>IF($C17&lt;11,'Offroad Tiers EF (2)'!$AM$4*$C17*$D17,IF($C17&lt;25,'Offroad Tiers EF (2)'!$AM$5*$C17*$D17,IF($C17&lt;50,'Offroad Tiers EF (2)'!$AM$6*$C17*$D17,IF($C17&lt;75,'Offroad Tiers EF (2)'!$AM$7*$C17*$D17,IF($C17&lt;100,'Offroad Tiers EF (2)'!$AM$8*$C17*$D17,IF($C17&lt;175,'Offroad Tiers EF (2)'!$AM$9*$C17*$D17,IF($C17&lt;300,'Offroad Tiers EF (2)'!$AM$10*$C17*$D17,IF($C17&lt;600,'Offroad Tiers EF (2)'!$AM$11*$C17*$D17,"!"))))))))</f>
        <v>0.16056172839506169</v>
      </c>
      <c r="H17" s="102">
        <v>3.2989906092678058E-4</v>
      </c>
      <c r="I17" s="397">
        <f>IF($C17&lt;11,'Offroad Tiers EF (2)'!$AO$4*$C17*$D17,IF($C17&lt;25,'Offroad Tiers EF (2)'!$AO$5*$C17*$D17,IF($C17&lt;50,'Offroad Tiers EF (2)'!$AO$6*$C17*$D17,IF($C17&lt;75,'Offroad Tiers EF (2)'!$AO$7*$C17*$D17,IF($C17&lt;100,'Offroad Tiers EF (2)'!$AO$8*$C17*$D17,IF($C17&lt;175,'Offroad Tiers EF (2)'!$AO$9*$C17*$D17,IF($C17&lt;300,'Offroad Tiers EF (2)'!$AO$10*$C17*$D17,IF($C17&lt;600,'Offroad Tiers EF (2)'!$AO$11*$C17*$D17,"!"))))))))</f>
        <v>1.3581349206349205E-2</v>
      </c>
      <c r="J17" s="100">
        <f t="shared" si="4"/>
        <v>1.2087400793650793E-2</v>
      </c>
      <c r="K17" s="103">
        <v>25.519156990664225</v>
      </c>
      <c r="L17" s="102">
        <v>3.413848047070189E-3</v>
      </c>
      <c r="M17" s="104">
        <f t="shared" si="5"/>
        <v>1.5253364197530862E-2</v>
      </c>
      <c r="N17" s="87">
        <v>1</v>
      </c>
      <c r="O17" s="87">
        <v>8</v>
      </c>
      <c r="P17" s="363">
        <v>75</v>
      </c>
      <c r="Q17" s="34">
        <f t="shared" si="6"/>
        <v>0.25850711553300509</v>
      </c>
      <c r="R17" s="26">
        <f t="shared" si="6"/>
        <v>0.98992945326278659</v>
      </c>
      <c r="S17" s="26">
        <f t="shared" si="6"/>
        <v>1.2844938271604935</v>
      </c>
      <c r="T17" s="26">
        <f t="shared" si="6"/>
        <v>2.6391924874142447E-3</v>
      </c>
      <c r="U17" s="26">
        <f t="shared" si="6"/>
        <v>0.10865079365079364</v>
      </c>
      <c r="V17" s="26">
        <f t="shared" si="6"/>
        <v>9.669920634920634E-2</v>
      </c>
      <c r="W17" s="26">
        <f t="shared" si="6"/>
        <v>204.1532559253138</v>
      </c>
      <c r="X17" s="26">
        <f t="shared" si="6"/>
        <v>2.7310784376561512E-2</v>
      </c>
      <c r="Y17" s="26">
        <f t="shared" si="6"/>
        <v>0.12202691358024689</v>
      </c>
    </row>
    <row r="18" spans="1:25">
      <c r="A18" s="100" t="s">
        <v>283</v>
      </c>
      <c r="B18" s="29" t="s">
        <v>27</v>
      </c>
      <c r="C18" s="22">
        <v>88</v>
      </c>
      <c r="D18" s="22"/>
      <c r="E18" s="102">
        <v>7.7350469494183435E-2</v>
      </c>
      <c r="F18" s="102">
        <v>0.50168655138603524</v>
      </c>
      <c r="G18" s="102">
        <v>0.53236808560333904</v>
      </c>
      <c r="H18" s="102">
        <v>8.8025852246575076E-4</v>
      </c>
      <c r="I18" s="102">
        <v>3.9192407788964947E-2</v>
      </c>
      <c r="J18" s="100">
        <f t="shared" si="4"/>
        <v>3.4881242932178806E-2</v>
      </c>
      <c r="K18" s="103">
        <v>75.040091008231684</v>
      </c>
      <c r="L18" s="102">
        <v>6.9792086054076847E-3</v>
      </c>
      <c r="M18" s="102">
        <f t="shared" si="5"/>
        <v>5.0574968132317211E-2</v>
      </c>
      <c r="N18" s="98">
        <v>1</v>
      </c>
      <c r="O18" s="87">
        <v>8</v>
      </c>
      <c r="P18" s="363">
        <v>30</v>
      </c>
      <c r="Q18" s="34">
        <f t="shared" si="6"/>
        <v>0.61880375595346748</v>
      </c>
      <c r="R18" s="26">
        <f t="shared" si="6"/>
        <v>4.0134924110882819</v>
      </c>
      <c r="S18" s="26">
        <f t="shared" si="6"/>
        <v>4.2589446848267123</v>
      </c>
      <c r="T18" s="26">
        <f t="shared" si="6"/>
        <v>7.0420681797260061E-3</v>
      </c>
      <c r="U18" s="26">
        <f t="shared" si="6"/>
        <v>0.31353926231171958</v>
      </c>
      <c r="V18" s="26">
        <f t="shared" si="6"/>
        <v>0.27904994345743045</v>
      </c>
      <c r="W18" s="26">
        <f t="shared" si="6"/>
        <v>600.32072806585347</v>
      </c>
      <c r="X18" s="26">
        <f t="shared" si="6"/>
        <v>5.5833668843261477E-2</v>
      </c>
      <c r="Y18" s="26">
        <f t="shared" si="6"/>
        <v>0.40459974505853769</v>
      </c>
    </row>
    <row r="19" spans="1:25">
      <c r="A19" s="100" t="s">
        <v>126</v>
      </c>
      <c r="B19" s="29" t="s">
        <v>27</v>
      </c>
      <c r="C19" s="22">
        <v>175</v>
      </c>
      <c r="D19" s="22"/>
      <c r="E19" s="102">
        <v>0.11792220738547983</v>
      </c>
      <c r="F19" s="102">
        <v>0.36512193352152528</v>
      </c>
      <c r="G19" s="102">
        <v>0.86781464282266541</v>
      </c>
      <c r="H19" s="102">
        <v>1.8739217498104396E-3</v>
      </c>
      <c r="I19" s="102">
        <v>2.9041712295589866E-2</v>
      </c>
      <c r="J19" s="100">
        <f t="shared" si="4"/>
        <v>2.5847123943074982E-2</v>
      </c>
      <c r="K19" s="103">
        <v>166.54541562452522</v>
      </c>
      <c r="L19" s="102">
        <v>1.063993297769634E-2</v>
      </c>
      <c r="M19" s="104">
        <f t="shared" si="5"/>
        <v>8.2442391068153209E-2</v>
      </c>
      <c r="N19" s="98">
        <v>2</v>
      </c>
      <c r="O19" s="87">
        <v>8</v>
      </c>
      <c r="P19" s="363">
        <v>75</v>
      </c>
      <c r="Q19" s="34">
        <f t="shared" si="6"/>
        <v>1.8867553181676773</v>
      </c>
      <c r="R19" s="26">
        <f t="shared" si="6"/>
        <v>5.8419509363444044</v>
      </c>
      <c r="S19" s="26">
        <f t="shared" si="6"/>
        <v>13.885034285162646</v>
      </c>
      <c r="T19" s="26">
        <f t="shared" si="6"/>
        <v>2.9982747996967034E-2</v>
      </c>
      <c r="U19" s="26">
        <f t="shared" si="6"/>
        <v>0.46466739672943785</v>
      </c>
      <c r="V19" s="26">
        <f t="shared" si="6"/>
        <v>0.41355398308919972</v>
      </c>
      <c r="W19" s="26">
        <f t="shared" si="6"/>
        <v>2664.7266499924035</v>
      </c>
      <c r="X19" s="26">
        <f t="shared" si="6"/>
        <v>0.17023892764314144</v>
      </c>
      <c r="Y19" s="26">
        <f t="shared" si="6"/>
        <v>1.3190782570904513</v>
      </c>
    </row>
    <row r="20" spans="1:25">
      <c r="A20" s="11" t="s">
        <v>28</v>
      </c>
      <c r="B20" s="579"/>
      <c r="C20" s="18"/>
      <c r="D20" s="22"/>
      <c r="E20" s="19"/>
      <c r="F20" s="19"/>
      <c r="G20" s="19"/>
      <c r="H20" s="19"/>
      <c r="I20" s="19"/>
      <c r="J20" s="19"/>
      <c r="K20" s="19"/>
      <c r="L20" s="19"/>
      <c r="M20" s="19"/>
      <c r="N20" s="30"/>
      <c r="O20" s="30"/>
      <c r="P20" s="364"/>
      <c r="Q20" s="20">
        <f t="shared" ref="Q20:Y20" si="7">SUM(Q14:Q19)</f>
        <v>6.6076464382127398</v>
      </c>
      <c r="R20" s="20">
        <f t="shared" si="7"/>
        <v>23.829111777767782</v>
      </c>
      <c r="S20" s="27">
        <f t="shared" si="7"/>
        <v>37.126168564345619</v>
      </c>
      <c r="T20" s="20">
        <f t="shared" si="7"/>
        <v>7.7152863421468376E-2</v>
      </c>
      <c r="U20" s="20">
        <f t="shared" si="7"/>
        <v>1.6922966061311044</v>
      </c>
      <c r="V20" s="20">
        <f t="shared" si="7"/>
        <v>1.5061439794566829</v>
      </c>
      <c r="W20" s="20">
        <f t="shared" si="7"/>
        <v>7051.4630767798408</v>
      </c>
      <c r="X20" s="20">
        <f t="shared" si="7"/>
        <v>0.62060386961008529</v>
      </c>
      <c r="Y20" s="20">
        <f t="shared" si="7"/>
        <v>3.5269860136128335</v>
      </c>
    </row>
    <row r="21" spans="1:25">
      <c r="A21" s="11"/>
      <c r="B21" s="579"/>
      <c r="C21" s="18"/>
      <c r="D21" s="22"/>
      <c r="E21" s="19"/>
      <c r="F21" s="19"/>
      <c r="G21" s="19"/>
      <c r="H21" s="19"/>
      <c r="I21" s="19"/>
      <c r="J21" s="19"/>
      <c r="K21" s="19"/>
      <c r="L21" s="19"/>
      <c r="M21" s="19"/>
      <c r="N21" s="30"/>
      <c r="O21" s="375"/>
      <c r="P21" s="364"/>
      <c r="Q21" s="20"/>
      <c r="R21" s="20"/>
      <c r="S21" s="27"/>
      <c r="T21" s="20"/>
      <c r="U21" s="20"/>
      <c r="V21" s="20"/>
      <c r="W21" s="21"/>
      <c r="X21" s="20"/>
      <c r="Y21" s="20"/>
    </row>
    <row r="22" spans="1:25">
      <c r="A22" s="17" t="s">
        <v>285</v>
      </c>
      <c r="B22" s="90"/>
      <c r="C22" s="18"/>
      <c r="D22" s="22"/>
      <c r="E22" s="19"/>
      <c r="F22" s="19"/>
      <c r="G22" s="19"/>
      <c r="H22" s="19"/>
      <c r="I22" s="19"/>
      <c r="J22" s="19"/>
      <c r="K22" s="19"/>
      <c r="L22" s="19"/>
      <c r="M22" s="19"/>
      <c r="N22" s="30"/>
      <c r="O22" s="17"/>
      <c r="P22" s="533"/>
      <c r="Q22" s="20"/>
      <c r="R22" s="20"/>
      <c r="S22" s="20"/>
      <c r="T22" s="20"/>
      <c r="U22" s="20"/>
      <c r="V22" s="20"/>
      <c r="W22" s="21"/>
      <c r="X22" s="20"/>
      <c r="Y22" s="20"/>
    </row>
    <row r="23" spans="1:25">
      <c r="A23" s="100" t="s">
        <v>124</v>
      </c>
      <c r="B23" s="29" t="s">
        <v>27</v>
      </c>
      <c r="C23" s="97">
        <v>87</v>
      </c>
      <c r="D23" s="22">
        <v>0.37</v>
      </c>
      <c r="E23" s="102">
        <v>7.7253202863558038E-2</v>
      </c>
      <c r="F23" s="397">
        <f>IF($C23&lt;11,'Offroad Tiers EF (2)'!$AN$4*$C23*$D23,IF($C23&lt;25,'Offroad Tiers EF (2)'!$AN$5*$C23*$D23,IF($C23&lt;50,'Offroad Tiers EF (2)'!$AN$6*$C23*$D23,IF($C23&lt;75,'Offroad Tiers EF (2)'!$AN$7*$C23*$D23,IF($C23&lt;100,'Offroad Tiers EF (2)'!$AN$8*$C23*$D23,IF($C23&lt;175,'Offroad Tiers EF (2)'!$AN$9*$C23*$D23,IF($C23&lt;300,'Offroad Tiers EF (2)'!$AN$10*$C23*$D23,IF($C23&lt;600,'Offroad Tiers EF (2)'!$AN$11*$C23*$D23,"!"))))))))</f>
        <v>0.26257275132275132</v>
      </c>
      <c r="G23" s="397">
        <f>IF($C23&lt;11,'Offroad Tiers EF (2)'!$AM$4*$C23*$D23,IF($C23&lt;25,'Offroad Tiers EF (2)'!$AM$5*$C23*$D23,IF($C23&lt;50,'Offroad Tiers EF (2)'!$AM$6*$C23*$D23,IF($C23&lt;75,'Offroad Tiers EF (2)'!$AM$7*$C23*$D23,IF($C23&lt;100,'Offroad Tiers EF (2)'!$AM$8*$C23*$D23,IF($C23&lt;175,'Offroad Tiers EF (2)'!$AM$9*$C23*$D23,IF($C23&lt;300,'Offroad Tiers EF (2)'!$AM$10*$C23*$D23,IF($C23&lt;600,'Offroad Tiers EF (2)'!$AM$11*$C23*$D23,"!"))))))))</f>
        <v>0.33506412037037031</v>
      </c>
      <c r="H23" s="102">
        <v>6.910856115004858E-4</v>
      </c>
      <c r="I23" s="397">
        <f>IF($C23&lt;11,'Offroad Tiers EF (2)'!$AO$4*$C23*$D23,IF($C23&lt;25,'Offroad Tiers EF (2)'!$AO$5*$C23*$D23,IF($C23&lt;50,'Offroad Tiers EF (2)'!$AO$6*$C23*$D23,IF($C23&lt;75,'Offroad Tiers EF (2)'!$AO$7*$C23*$D23,IF($C23&lt;100,'Offroad Tiers EF (2)'!$AO$8*$C23*$D23,IF($C23&lt;175,'Offroad Tiers EF (2)'!$AO$9*$C23*$D23,IF($C23&lt;300,'Offroad Tiers EF (2)'!$AO$10*$C23*$D23,IF($C23&lt;600,'Offroad Tiers EF (2)'!$AO$11*$C23*$D23,"!"))))))))</f>
        <v>2.1289682539682539E-2</v>
      </c>
      <c r="J23" s="100">
        <f t="shared" ref="J23:J25" si="8">0.89*I23</f>
        <v>1.894781746031746E-2</v>
      </c>
      <c r="K23" s="103">
        <v>58.913505111712794</v>
      </c>
      <c r="L23" s="102">
        <v>7.5344751889799754E-3</v>
      </c>
      <c r="M23" s="102">
        <f t="shared" ref="M23:M25" si="9">0.095*G23</f>
        <v>3.1831091435185178E-2</v>
      </c>
      <c r="N23" s="98">
        <v>1</v>
      </c>
      <c r="O23" s="87">
        <v>8</v>
      </c>
      <c r="P23" s="363">
        <v>15</v>
      </c>
      <c r="Q23" s="34">
        <f t="shared" ref="Q23:Y25" si="10">(E23*$N23*$O23)</f>
        <v>0.6180256229084643</v>
      </c>
      <c r="R23" s="26">
        <f t="shared" si="10"/>
        <v>2.1005820105820106</v>
      </c>
      <c r="S23" s="26">
        <f t="shared" si="10"/>
        <v>2.6805129629629625</v>
      </c>
      <c r="T23" s="26">
        <f t="shared" si="10"/>
        <v>5.5286848920038864E-3</v>
      </c>
      <c r="U23" s="26">
        <f t="shared" si="10"/>
        <v>0.17031746031746031</v>
      </c>
      <c r="V23" s="26">
        <f t="shared" si="10"/>
        <v>0.15158253968253968</v>
      </c>
      <c r="W23" s="26">
        <f t="shared" si="10"/>
        <v>471.30804089370235</v>
      </c>
      <c r="X23" s="26">
        <f t="shared" si="10"/>
        <v>6.0275801511839804E-2</v>
      </c>
      <c r="Y23" s="26">
        <f t="shared" si="10"/>
        <v>0.25464873148148143</v>
      </c>
    </row>
    <row r="24" spans="1:25">
      <c r="A24" s="100" t="s">
        <v>126</v>
      </c>
      <c r="B24" s="29" t="s">
        <v>27</v>
      </c>
      <c r="C24" s="22">
        <v>175</v>
      </c>
      <c r="D24" s="22"/>
      <c r="E24" s="102">
        <v>0.11792220738547983</v>
      </c>
      <c r="F24" s="102">
        <v>0.36512193352152528</v>
      </c>
      <c r="G24" s="102">
        <v>0.86781464282266541</v>
      </c>
      <c r="H24" s="102">
        <v>1.8739217498104396E-3</v>
      </c>
      <c r="I24" s="102">
        <v>2.9041712295589866E-2</v>
      </c>
      <c r="J24" s="100">
        <f t="shared" si="8"/>
        <v>2.5847123943074982E-2</v>
      </c>
      <c r="K24" s="103">
        <v>166.54541562452522</v>
      </c>
      <c r="L24" s="102">
        <v>1.063993297769634E-2</v>
      </c>
      <c r="M24" s="104">
        <f t="shared" si="9"/>
        <v>8.2442391068153209E-2</v>
      </c>
      <c r="N24" s="98">
        <v>1</v>
      </c>
      <c r="O24" s="88">
        <v>8</v>
      </c>
      <c r="P24" s="367">
        <v>40</v>
      </c>
      <c r="Q24" s="26">
        <f t="shared" si="10"/>
        <v>0.94337765908383864</v>
      </c>
      <c r="R24" s="26">
        <f t="shared" si="10"/>
        <v>2.9209754681722022</v>
      </c>
      <c r="S24" s="26">
        <f t="shared" si="10"/>
        <v>6.9425171425813232</v>
      </c>
      <c r="T24" s="26">
        <f t="shared" si="10"/>
        <v>1.4991373998483517E-2</v>
      </c>
      <c r="U24" s="26">
        <f t="shared" si="10"/>
        <v>0.23233369836471893</v>
      </c>
      <c r="V24" s="26">
        <f t="shared" si="10"/>
        <v>0.20677699154459986</v>
      </c>
      <c r="W24" s="26">
        <f t="shared" si="10"/>
        <v>1332.3633249962018</v>
      </c>
      <c r="X24" s="26">
        <f t="shared" si="10"/>
        <v>8.5119463821570721E-2</v>
      </c>
      <c r="Y24" s="26">
        <f t="shared" si="10"/>
        <v>0.65953912854522567</v>
      </c>
    </row>
    <row r="25" spans="1:25">
      <c r="A25" s="100" t="s">
        <v>128</v>
      </c>
      <c r="B25" s="29" t="s">
        <v>27</v>
      </c>
      <c r="C25" s="22">
        <v>157</v>
      </c>
      <c r="D25" s="22">
        <v>0.38</v>
      </c>
      <c r="E25" s="550">
        <v>9.7211873502789536E-2</v>
      </c>
      <c r="F25" s="397">
        <f>IF($C25&lt;11,'Offroad Tiers EF (2)'!$AN$4*$C25*$D25,IF($C25&lt;25,'Offroad Tiers EF (2)'!$AN$5*$C25*$D25,IF($C25&lt;50,'Offroad Tiers EF (2)'!$AN$6*$C25*$D25,IF($C25&lt;75,'Offroad Tiers EF (2)'!$AN$7*$C25*$D25,IF($C25&lt;100,'Offroad Tiers EF (2)'!$AN$8*$C25*$D25,IF($C25&lt;175,'Offroad Tiers EF (2)'!$AN$9*$C25*$D25,IF($C25&lt;300,'Offroad Tiers EF (2)'!$AN$10*$C25*$D25,IF($C25&lt;600,'Offroad Tiers EF (2)'!$AN$11*$C25*$D25,"!"))))))))</f>
        <v>0.48664462081128745</v>
      </c>
      <c r="G25" s="397">
        <f>IF($C25&lt;11,'Offroad Tiers EF (2)'!$AM$4*$C25*$D25,IF($C25&lt;25,'Offroad Tiers EF (2)'!$AM$5*$C25*$D25,IF($C25&lt;50,'Offroad Tiers EF (2)'!$AM$6*$C25*$D25,IF($C25&lt;75,'Offroad Tiers EF (2)'!$AM$7*$C25*$D25,IF($C25&lt;100,'Offroad Tiers EF (2)'!$AM$8*$C25*$D25,IF($C25&lt;175,'Offroad Tiers EF (2)'!$AM$9*$C25*$D25,IF($C25&lt;300,'Offroad Tiers EF (2)'!$AM$10*$C25*$D25,IF($C25&lt;600,'Offroad Tiers EF (2)'!$AM$11*$C25*$D25,"!"))))))))</f>
        <v>0.54103044532627864</v>
      </c>
      <c r="H25" s="550">
        <v>1.2626852382997586E-3</v>
      </c>
      <c r="I25" s="397">
        <f>IF($C25&lt;11,'Offroad Tiers EF (2)'!$AO$4*$C25*$D25,IF($C25&lt;25,'Offroad Tiers EF (2)'!$AO$5*$C25*$D25,IF($C25&lt;50,'Offroad Tiers EF (2)'!$AO$6*$C25*$D25,IF($C25&lt;75,'Offroad Tiers EF (2)'!$AO$7*$C25*$D25,IF($C25&lt;100,'Offroad Tiers EF (2)'!$AO$8*$C25*$D25,IF($C25&lt;175,'Offroad Tiers EF (2)'!$AO$9*$C25*$D25,IF($C25&lt;300,'Offroad Tiers EF (2)'!$AO$10*$C25*$D25,IF($C25&lt;600,'Offroad Tiers EF (2)'!$AO$11*$C25*$D25,"!"))))))))</f>
        <v>2.8935626102292767E-2</v>
      </c>
      <c r="J25" s="551">
        <f t="shared" si="8"/>
        <v>2.5752707231040561E-2</v>
      </c>
      <c r="K25" s="552">
        <v>112.22156581723891</v>
      </c>
      <c r="L25" s="111">
        <v>9.4890670020510905E-3</v>
      </c>
      <c r="M25" s="553">
        <f t="shared" si="9"/>
        <v>5.1397892305996472E-2</v>
      </c>
      <c r="N25" s="554">
        <v>2</v>
      </c>
      <c r="O25" s="88">
        <v>2</v>
      </c>
      <c r="P25" s="88">
        <v>15</v>
      </c>
      <c r="Q25" s="26">
        <f t="shared" si="10"/>
        <v>0.38884749401115815</v>
      </c>
      <c r="R25" s="26">
        <f t="shared" si="10"/>
        <v>1.9465784832451498</v>
      </c>
      <c r="S25" s="26">
        <f t="shared" si="10"/>
        <v>2.1641217813051146</v>
      </c>
      <c r="T25" s="26">
        <f t="shared" si="10"/>
        <v>5.0507409531990342E-3</v>
      </c>
      <c r="U25" s="26">
        <f t="shared" si="10"/>
        <v>0.11574250440917107</v>
      </c>
      <c r="V25" s="26">
        <f t="shared" si="10"/>
        <v>0.10301082892416225</v>
      </c>
      <c r="W25" s="26">
        <f t="shared" si="10"/>
        <v>448.88626326895564</v>
      </c>
      <c r="X25" s="26">
        <f t="shared" si="10"/>
        <v>3.7956268008204362E-2</v>
      </c>
      <c r="Y25" s="26">
        <f t="shared" si="10"/>
        <v>0.20559156922398589</v>
      </c>
    </row>
    <row r="26" spans="1:25">
      <c r="A26" s="17" t="s">
        <v>28</v>
      </c>
      <c r="B26" s="579"/>
      <c r="C26" s="18"/>
      <c r="D26" s="22"/>
      <c r="E26" s="19"/>
      <c r="F26" s="19"/>
      <c r="G26" s="19"/>
      <c r="H26" s="19"/>
      <c r="I26" s="19"/>
      <c r="J26" s="19"/>
      <c r="K26" s="19"/>
      <c r="L26" s="19"/>
      <c r="M26" s="89"/>
      <c r="N26" s="105"/>
      <c r="O26" s="11"/>
      <c r="P26" s="11"/>
      <c r="Q26" s="27">
        <f t="shared" ref="Q26:Y26" si="11">SUM(Q23:Q25)</f>
        <v>1.9502507760034611</v>
      </c>
      <c r="R26" s="101">
        <f t="shared" si="11"/>
        <v>6.9681359619993621</v>
      </c>
      <c r="S26" s="101">
        <f t="shared" si="11"/>
        <v>11.787151886849401</v>
      </c>
      <c r="T26" s="101">
        <f t="shared" si="11"/>
        <v>2.5570799843686438E-2</v>
      </c>
      <c r="U26" s="101">
        <f t="shared" si="11"/>
        <v>0.51839366309135038</v>
      </c>
      <c r="V26" s="101">
        <f t="shared" si="11"/>
        <v>0.46137036015130178</v>
      </c>
      <c r="W26" s="101">
        <f t="shared" si="11"/>
        <v>2252.5576291588595</v>
      </c>
      <c r="X26" s="101">
        <f t="shared" si="11"/>
        <v>0.18335153334161489</v>
      </c>
      <c r="Y26" s="101">
        <f t="shared" si="11"/>
        <v>1.1197794292506928</v>
      </c>
    </row>
    <row r="27" spans="1:25">
      <c r="A27" s="17"/>
      <c r="B27" s="29"/>
      <c r="C27" s="22"/>
      <c r="D27" s="22"/>
      <c r="E27" s="23"/>
      <c r="F27" s="23"/>
      <c r="G27" s="23"/>
      <c r="H27" s="23"/>
      <c r="I27" s="23"/>
      <c r="J27" s="100"/>
      <c r="K27" s="365"/>
      <c r="L27" s="23"/>
      <c r="M27" s="102"/>
      <c r="N27" s="30"/>
      <c r="O27" s="98"/>
      <c r="P27" s="363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>
      <c r="A28" s="17" t="s">
        <v>365</v>
      </c>
      <c r="B28" s="549"/>
      <c r="C28" s="18"/>
      <c r="D28" s="22"/>
      <c r="E28" s="19"/>
      <c r="F28" s="19"/>
      <c r="G28" s="19"/>
      <c r="H28" s="19"/>
      <c r="I28" s="19"/>
      <c r="J28" s="19"/>
      <c r="K28" s="19"/>
      <c r="L28" s="19"/>
      <c r="M28" s="19"/>
      <c r="N28" s="17"/>
      <c r="O28" s="17"/>
      <c r="P28" s="533"/>
      <c r="Q28" s="20">
        <f>Q11+Q20+Q26</f>
        <v>10.157710048425708</v>
      </c>
      <c r="R28" s="20">
        <f t="shared" ref="R28:Y28" si="12">R11+R20+R26</f>
        <v>36.673345141460871</v>
      </c>
      <c r="S28" s="20">
        <f t="shared" si="12"/>
        <v>59.971526310673084</v>
      </c>
      <c r="T28" s="20">
        <f t="shared" si="12"/>
        <v>0.1244714811321678</v>
      </c>
      <c r="U28" s="20">
        <f t="shared" si="12"/>
        <v>2.6848434576605413</v>
      </c>
      <c r="V28" s="20">
        <f t="shared" si="12"/>
        <v>2.3895106773178818</v>
      </c>
      <c r="W28" s="20">
        <f t="shared" si="12"/>
        <v>11209.154266011938</v>
      </c>
      <c r="X28" s="20">
        <f t="shared" si="12"/>
        <v>0.95825108520757551</v>
      </c>
      <c r="Y28" s="20">
        <f t="shared" si="12"/>
        <v>5.6972949995139421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28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78"/>
  <sheetViews>
    <sheetView zoomScale="75" workbookViewId="0"/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796</v>
      </c>
    </row>
    <row r="2" spans="1:30">
      <c r="A2" s="83"/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25" t="s">
        <v>55</v>
      </c>
      <c r="H6" s="425" t="s">
        <v>56</v>
      </c>
      <c r="I6" s="421" t="s">
        <v>57</v>
      </c>
      <c r="J6" s="425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25" t="s">
        <v>61</v>
      </c>
      <c r="R6" s="421" t="s">
        <v>62</v>
      </c>
      <c r="S6" s="421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424" t="s">
        <v>69</v>
      </c>
      <c r="H7" s="41" t="s">
        <v>69</v>
      </c>
      <c r="I7" s="41" t="s">
        <v>69</v>
      </c>
      <c r="J7" s="41" t="s">
        <v>69</v>
      </c>
      <c r="K7" s="421" t="s">
        <v>69</v>
      </c>
      <c r="L7" s="421" t="s">
        <v>71</v>
      </c>
      <c r="M7" s="421" t="s">
        <v>72</v>
      </c>
      <c r="N7" s="421" t="s">
        <v>69</v>
      </c>
      <c r="O7" s="421" t="s">
        <v>71</v>
      </c>
      <c r="P7" s="421" t="s">
        <v>72</v>
      </c>
      <c r="Q7" s="41" t="s">
        <v>69</v>
      </c>
      <c r="R7" s="421" t="s">
        <v>69</v>
      </c>
      <c r="S7" s="421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>
      <c r="A8" s="114" t="s">
        <v>341</v>
      </c>
      <c r="B8" s="74"/>
      <c r="C8" s="112"/>
      <c r="D8" s="112"/>
      <c r="E8" s="74"/>
      <c r="F8" s="74"/>
      <c r="G8" s="424"/>
      <c r="H8" s="41"/>
      <c r="I8" s="41"/>
      <c r="J8" s="41"/>
      <c r="K8" s="421"/>
      <c r="L8" s="421"/>
      <c r="M8" s="421"/>
      <c r="N8" s="421"/>
      <c r="O8" s="421"/>
      <c r="P8" s="421"/>
      <c r="Q8" s="41"/>
      <c r="R8" s="421"/>
      <c r="S8" s="421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112</v>
      </c>
      <c r="B9" s="76" t="s">
        <v>105</v>
      </c>
      <c r="C9" s="374">
        <v>3</v>
      </c>
      <c r="D9" s="77"/>
      <c r="E9" s="77">
        <v>35</v>
      </c>
      <c r="F9" s="77">
        <v>80</v>
      </c>
      <c r="G9" s="106">
        <v>1.08263976628415</v>
      </c>
      <c r="H9" s="106">
        <v>4.9712718909585103</v>
      </c>
      <c r="I9" s="106">
        <v>0.26248012575016899</v>
      </c>
      <c r="J9" s="106">
        <v>1.0711818E-2</v>
      </c>
      <c r="K9" s="106">
        <v>7.1679901072141505E-2</v>
      </c>
      <c r="L9" s="556">
        <v>3.59998119015979E-2</v>
      </c>
      <c r="M9" s="556">
        <v>6.1739677411240299E-2</v>
      </c>
      <c r="N9" s="106">
        <v>6.5945508986370194E-2</v>
      </c>
      <c r="O9" s="556">
        <v>2.9999843251331498E-3</v>
      </c>
      <c r="P9" s="556">
        <v>5.5859708133979398E-2</v>
      </c>
      <c r="Q9" s="106">
        <v>1710.7260798814</v>
      </c>
      <c r="R9" s="47">
        <v>1.5235246282551899E-2</v>
      </c>
      <c r="S9" s="80">
        <f>0.000025616*Q9</f>
        <v>4.3821959262241944E-2</v>
      </c>
      <c r="T9" s="50">
        <f>C9*($F9*$G9)/453.59</f>
        <v>0.57283790186775729</v>
      </c>
      <c r="U9" s="50">
        <f>C9*($F9*$H9)/453.59</f>
        <v>2.6303605763575972</v>
      </c>
      <c r="V9" s="50">
        <f>C9*(($F9*$I9))/453.59</f>
        <v>0.1388814351728225</v>
      </c>
      <c r="W9" s="50">
        <f>C9*($F9*$J9)/453.59</f>
        <v>5.6677535219030401E-3</v>
      </c>
      <c r="X9" s="50">
        <f>C9*(($F9*($K9+$L9+$M9)))/453.59</f>
        <v>8.9641865324180711E-2</v>
      </c>
      <c r="Y9" s="50">
        <f>C9*(($F9*($N9+$O9+$P9)))/453.59</f>
        <v>6.6035953938393399E-2</v>
      </c>
      <c r="Z9" s="50">
        <f>C9*(F9)*$B$376</f>
        <v>2.3549532798340184E-2</v>
      </c>
      <c r="AA9" s="50">
        <f>Z9*0.21</f>
        <v>4.9454018876514388E-3</v>
      </c>
      <c r="AB9" s="50">
        <f>C9*(($F9*($Q9)))/453.59</f>
        <v>905.16602917069611</v>
      </c>
      <c r="AC9" s="50">
        <f>C9*(($F9*($R9)))/453.59</f>
        <v>8.0611545841232316E-3</v>
      </c>
      <c r="AD9" s="50">
        <f>C9*(($F9*($S9)))/453.59</f>
        <v>2.3186733003236551E-2</v>
      </c>
    </row>
    <row r="10" spans="1:30">
      <c r="A10" s="78" t="s">
        <v>331</v>
      </c>
      <c r="B10" s="76" t="s">
        <v>105</v>
      </c>
      <c r="C10" s="374">
        <v>4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6">
        <v>3.59998119015979E-2</v>
      </c>
      <c r="M10" s="556">
        <v>6.1739677411240299E-2</v>
      </c>
      <c r="N10" s="106">
        <v>6.5945508986370194E-2</v>
      </c>
      <c r="O10" s="556">
        <v>2.9999843251331498E-3</v>
      </c>
      <c r="P10" s="55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0.76378386915700969</v>
      </c>
      <c r="U10" s="50">
        <f>C10*($F10*$H10)/453.59</f>
        <v>3.5071474351434633</v>
      </c>
      <c r="V10" s="50">
        <f>C10*(($F10*$I10))/453.59</f>
        <v>0.18517524689709669</v>
      </c>
      <c r="W10" s="50">
        <f>C10*($F10*$J10)/453.59</f>
        <v>7.5570046958707204E-3</v>
      </c>
      <c r="X10" s="50">
        <f>C10*(($F10*($K10+$L10+$M10)))/453.59</f>
        <v>0.11952248709890763</v>
      </c>
      <c r="Y10" s="50">
        <f>C10*(($F10*($N10+$O10+$P10)))/453.59</f>
        <v>8.8047938584524532E-2</v>
      </c>
      <c r="Z10" s="50">
        <f>C10*(F10)*$B$376</f>
        <v>3.1399377064453574E-2</v>
      </c>
      <c r="AA10" s="50">
        <f>Z10*0.21</f>
        <v>6.59386918353525E-3</v>
      </c>
      <c r="AB10" s="50">
        <f>C10*(($F10*($Q10)))/453.59</f>
        <v>1206.8880388942614</v>
      </c>
      <c r="AC10" s="50">
        <f>C10*(($F10*($R10)))/453.59</f>
        <v>1.0748206112164309E-2</v>
      </c>
      <c r="AD10" s="50">
        <f>C10*(($F10*($S10)))/453.59</f>
        <v>3.0915644004315401E-2</v>
      </c>
    </row>
    <row r="11" spans="1:30">
      <c r="A11" s="78" t="s">
        <v>327</v>
      </c>
      <c r="B11" s="76" t="s">
        <v>105</v>
      </c>
      <c r="C11" s="374">
        <v>2</v>
      </c>
      <c r="D11" s="77"/>
      <c r="E11" s="77">
        <v>35</v>
      </c>
      <c r="F11" s="77">
        <v>80</v>
      </c>
      <c r="G11" s="106">
        <v>1.08263976628415</v>
      </c>
      <c r="H11" s="106">
        <v>4.9712718909585103</v>
      </c>
      <c r="I11" s="106">
        <v>0.26248012575016899</v>
      </c>
      <c r="J11" s="106">
        <v>1.0711818E-2</v>
      </c>
      <c r="K11" s="106">
        <v>7.1679901072141505E-2</v>
      </c>
      <c r="L11" s="556">
        <v>3.59998119015979E-2</v>
      </c>
      <c r="M11" s="556">
        <v>6.1739677411240299E-2</v>
      </c>
      <c r="N11" s="106">
        <v>6.5945508986370194E-2</v>
      </c>
      <c r="O11" s="556">
        <v>2.9999843251331498E-3</v>
      </c>
      <c r="P11" s="556">
        <v>5.5859708133979398E-2</v>
      </c>
      <c r="Q11" s="106">
        <v>1710.7260798814</v>
      </c>
      <c r="R11" s="47">
        <v>1.5235246282551899E-2</v>
      </c>
      <c r="S11" s="80">
        <f>0.000025616*Q11</f>
        <v>4.3821959262241944E-2</v>
      </c>
      <c r="T11" s="50">
        <f>C11*($F11*$G11)/453.59</f>
        <v>0.38189193457850484</v>
      </c>
      <c r="U11" s="50">
        <f>C11*($F11*$H11)/453.59</f>
        <v>1.7535737175717316</v>
      </c>
      <c r="V11" s="50">
        <f>C11*(($F11*$I11))/453.59</f>
        <v>9.2587623448548345E-2</v>
      </c>
      <c r="W11" s="50">
        <f>C11*($F11*$J11)/453.59</f>
        <v>3.7785023479353602E-3</v>
      </c>
      <c r="X11" s="50">
        <f>C11*(($F11*($K11+$L11+$M11)))/453.59</f>
        <v>5.9761243549453814E-2</v>
      </c>
      <c r="Y11" s="50">
        <f>C11*(($F11*($N11+$O11+$P11)))/453.59</f>
        <v>4.4023969292262266E-2</v>
      </c>
      <c r="Z11" s="50">
        <f>C11*(F11)*$B$376</f>
        <v>1.5699688532226787E-2</v>
      </c>
      <c r="AA11" s="50">
        <f>Z11*0.21</f>
        <v>3.296934591767625E-3</v>
      </c>
      <c r="AB11" s="50">
        <f>C11*(($F11*($Q11)))/453.59</f>
        <v>603.4440194471307</v>
      </c>
      <c r="AC11" s="50">
        <f>C11*(($F11*($R11)))/453.59</f>
        <v>5.3741030560821544E-3</v>
      </c>
      <c r="AD11" s="50">
        <f>C11*(($F11*($S11)))/453.59</f>
        <v>1.5457822002157701E-2</v>
      </c>
    </row>
    <row r="12" spans="1:30">
      <c r="A12" s="75" t="s">
        <v>28</v>
      </c>
      <c r="B12" s="74"/>
      <c r="C12" s="112"/>
      <c r="D12" s="112"/>
      <c r="E12" s="74"/>
      <c r="F12" s="74"/>
      <c r="G12" s="424"/>
      <c r="H12" s="41"/>
      <c r="I12" s="41"/>
      <c r="J12" s="41"/>
      <c r="K12" s="421"/>
      <c r="L12" s="421"/>
      <c r="M12" s="421"/>
      <c r="N12" s="421"/>
      <c r="O12" s="421"/>
      <c r="P12" s="421"/>
      <c r="Q12" s="41"/>
      <c r="R12" s="421"/>
      <c r="S12" s="421"/>
      <c r="T12" s="81">
        <f t="shared" ref="T12:AD12" si="0">SUM(T9:T11)</f>
        <v>1.7185137056032718</v>
      </c>
      <c r="U12" s="81">
        <f t="shared" si="0"/>
        <v>7.8910817290727913</v>
      </c>
      <c r="V12" s="81">
        <f t="shared" si="0"/>
        <v>0.41664430551846754</v>
      </c>
      <c r="W12" s="81">
        <f t="shared" si="0"/>
        <v>1.7003260565709121E-2</v>
      </c>
      <c r="X12" s="81">
        <f t="shared" si="0"/>
        <v>0.26892559597254218</v>
      </c>
      <c r="Y12" s="81">
        <f t="shared" si="0"/>
        <v>0.1981078618151802</v>
      </c>
      <c r="Z12" s="81">
        <f t="shared" si="0"/>
        <v>7.0648598395020551E-2</v>
      </c>
      <c r="AA12" s="81">
        <f t="shared" si="0"/>
        <v>1.4836205662954315E-2</v>
      </c>
      <c r="AB12" s="81">
        <f t="shared" si="0"/>
        <v>2715.4980875120882</v>
      </c>
      <c r="AC12" s="81">
        <f t="shared" si="0"/>
        <v>2.4183463752369693E-2</v>
      </c>
      <c r="AD12" s="81">
        <f t="shared" si="0"/>
        <v>6.9560199009709653E-2</v>
      </c>
    </row>
    <row r="13" spans="1:30">
      <c r="A13" s="429" t="s">
        <v>388</v>
      </c>
      <c r="B13" s="74"/>
      <c r="C13" s="112"/>
      <c r="D13" s="112"/>
      <c r="E13" s="74"/>
      <c r="F13" s="74"/>
      <c r="G13" s="424"/>
      <c r="H13" s="41"/>
      <c r="I13" s="41"/>
      <c r="J13" s="41"/>
      <c r="K13" s="421"/>
      <c r="L13" s="421"/>
      <c r="M13" s="421"/>
      <c r="N13" s="421"/>
      <c r="O13" s="421"/>
      <c r="P13" s="421"/>
      <c r="Q13" s="41"/>
      <c r="R13" s="421"/>
      <c r="S13" s="421"/>
      <c r="T13" s="81">
        <f>T12</f>
        <v>1.7185137056032718</v>
      </c>
      <c r="U13" s="81">
        <f t="shared" ref="U13:AD13" si="1">U12</f>
        <v>7.8910817290727913</v>
      </c>
      <c r="V13" s="81">
        <f t="shared" si="1"/>
        <v>0.41664430551846754</v>
      </c>
      <c r="W13" s="81">
        <f t="shared" si="1"/>
        <v>1.7003260565709121E-2</v>
      </c>
      <c r="X13" s="81">
        <f t="shared" si="1"/>
        <v>0.26892559597254218</v>
      </c>
      <c r="Y13" s="81">
        <f t="shared" si="1"/>
        <v>0.1981078618151802</v>
      </c>
      <c r="Z13" s="81">
        <f t="shared" si="1"/>
        <v>7.0648598395020551E-2</v>
      </c>
      <c r="AA13" s="81">
        <f t="shared" si="1"/>
        <v>1.4836205662954315E-2</v>
      </c>
      <c r="AB13" s="81">
        <f t="shared" si="1"/>
        <v>2715.4980875120882</v>
      </c>
      <c r="AC13" s="81">
        <f t="shared" si="1"/>
        <v>2.4183463752369693E-2</v>
      </c>
      <c r="AD13" s="81">
        <f t="shared" si="1"/>
        <v>6.9560199009709653E-2</v>
      </c>
    </row>
    <row r="14" spans="1:30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</row>
    <row r="15" spans="1:30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</row>
    <row r="16" spans="1:30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366" spans="1:1" ht="25.5">
      <c r="A366" s="82" t="s">
        <v>109</v>
      </c>
    </row>
    <row r="368" spans="1:1">
      <c r="A368" s="36" t="s">
        <v>81</v>
      </c>
    </row>
    <row r="369" spans="1:2">
      <c r="A369" s="36" t="s">
        <v>82</v>
      </c>
    </row>
    <row r="370" spans="1:2">
      <c r="A370" s="36" t="s">
        <v>83</v>
      </c>
    </row>
    <row r="371" spans="1:2">
      <c r="A371" s="37" t="s">
        <v>96</v>
      </c>
    </row>
    <row r="372" spans="1:2">
      <c r="A372" s="36" t="s">
        <v>85</v>
      </c>
    </row>
    <row r="373" spans="1:2">
      <c r="A373" s="36" t="s">
        <v>86</v>
      </c>
    </row>
    <row r="374" spans="1:2">
      <c r="A374" s="36" t="s">
        <v>87</v>
      </c>
    </row>
    <row r="375" spans="1:2">
      <c r="A375" s="36" t="s">
        <v>0</v>
      </c>
    </row>
    <row r="376" spans="1:2">
      <c r="A376" s="37" t="s">
        <v>97</v>
      </c>
      <c r="B376" s="36">
        <f>(0.016*(0.03/2)^0.65*(2/3)^1.5)-0.00047</f>
        <v>9.8123053326417428E-5</v>
      </c>
    </row>
    <row r="377" spans="1:2">
      <c r="A377" s="37" t="s">
        <v>98</v>
      </c>
      <c r="B377" s="36">
        <f>(0.016*(0.03/2)^0.65*(13/3)^1.5)-0.00047</f>
        <v>8.9448292388582783E-3</v>
      </c>
    </row>
    <row r="378" spans="1:2">
      <c r="A378" s="37" t="s">
        <v>99</v>
      </c>
      <c r="B378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B-8
Construction Truck Trip Emissions
TL 6910 Construction</oddHeader>
    <oddFooter>&amp;CB-8</oddFooter>
  </headerFooter>
</worksheet>
</file>

<file path=xl/worksheets/sheet28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/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797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24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21" t="s">
        <v>69</v>
      </c>
      <c r="S3" s="42" t="s">
        <v>118</v>
      </c>
      <c r="T3" s="421" t="s">
        <v>71</v>
      </c>
      <c r="U3" s="421" t="s">
        <v>72</v>
      </c>
      <c r="V3" s="421" t="s">
        <v>69</v>
      </c>
      <c r="W3" s="42" t="s">
        <v>118</v>
      </c>
      <c r="X3" s="421" t="s">
        <v>71</v>
      </c>
      <c r="Y3" s="421" t="s">
        <v>72</v>
      </c>
      <c r="Z3" s="41" t="s">
        <v>69</v>
      </c>
      <c r="AA3" s="42" t="s">
        <v>118</v>
      </c>
      <c r="AB3" s="421" t="s">
        <v>69</v>
      </c>
      <c r="AC3" s="42" t="s">
        <v>118</v>
      </c>
      <c r="AD3" s="421" t="s">
        <v>69</v>
      </c>
      <c r="AE3" s="42" t="s">
        <v>118</v>
      </c>
    </row>
    <row r="4" spans="1:67" ht="25.5">
      <c r="A4" s="44" t="s">
        <v>341</v>
      </c>
      <c r="B4" s="45" t="s">
        <v>102</v>
      </c>
      <c r="C4" s="46">
        <v>11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423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422" t="s">
        <v>55</v>
      </c>
      <c r="G87" s="422" t="s">
        <v>73</v>
      </c>
      <c r="H87" s="422" t="s">
        <v>74</v>
      </c>
      <c r="I87" s="422" t="s">
        <v>58</v>
      </c>
      <c r="J87" s="422" t="s">
        <v>59</v>
      </c>
      <c r="K87" s="422" t="s">
        <v>60</v>
      </c>
      <c r="L87" s="421" t="s">
        <v>75</v>
      </c>
      <c r="M87" s="421" t="s">
        <v>76</v>
      </c>
      <c r="N87" s="421" t="s">
        <v>61</v>
      </c>
      <c r="O87" s="421" t="s">
        <v>62</v>
      </c>
      <c r="P87" s="421" t="s">
        <v>63</v>
      </c>
      <c r="AN87" s="38"/>
      <c r="AZ87" s="36"/>
    </row>
    <row r="88" spans="1:52" ht="25.5">
      <c r="A88" s="44" t="str">
        <f t="shared" ref="A88:C88" si="52">A4</f>
        <v>Foundation Installation</v>
      </c>
      <c r="B88" s="45" t="str">
        <f t="shared" si="52"/>
        <v>Light-Duty Truck, catalyst</v>
      </c>
      <c r="C88" s="46">
        <f t="shared" si="52"/>
        <v>11</v>
      </c>
      <c r="D88" s="46">
        <v>35</v>
      </c>
      <c r="E88" s="46">
        <v>80</v>
      </c>
      <c r="F88" s="50">
        <f>C4*($E4*$F4+($G4))/453.59</f>
        <v>5.34291324469012</v>
      </c>
      <c r="G88" s="50">
        <f>C4*($E4*$H4+($I4))/453.59</f>
        <v>0.48037723023815809</v>
      </c>
      <c r="H88" s="50">
        <f>C4*(($E4*$J4)+($K4)+($L4)+($E4*$N4)+(($M4+$O4)))/453.59</f>
        <v>0.55549978356348662</v>
      </c>
      <c r="I88" s="50">
        <f>C4*($E4*$P4+($Q4))/453.59</f>
        <v>7.9947672987667768E-3</v>
      </c>
      <c r="J88" s="50">
        <f>C4*(($E4*($R4+$T4+$U4))+($S4))/453.59</f>
        <v>9.3764995007286869E-2</v>
      </c>
      <c r="K88" s="50">
        <f>$C4*(($E4*($V4+$X4+$Y4))+($W4))/453.59</f>
        <v>4.0832058566784561E-2</v>
      </c>
      <c r="L88" s="50">
        <f>$B$21*C4*(E4+6)</f>
        <v>9.2824408446790893E-2</v>
      </c>
      <c r="M88" s="50">
        <f t="shared" ref="M88" si="53">0.41*L88</f>
        <v>3.8058007463184267E-2</v>
      </c>
      <c r="N88" s="50">
        <f>C4*($E4*$Z4+($AA4))/453.59</f>
        <v>609.65934398642787</v>
      </c>
      <c r="O88" s="50">
        <f>C4*($E4*$AB4+($AC4))/453.59</f>
        <v>3.4875229279332738E-2</v>
      </c>
      <c r="P88" s="50">
        <f>C4*($E4*$AD4+($AE4))/453.59</f>
        <v>6.3482319052276956E-2</v>
      </c>
      <c r="AN88" s="38"/>
      <c r="AZ88" s="36"/>
    </row>
    <row r="89" spans="1:52">
      <c r="A89" s="61" t="s">
        <v>396</v>
      </c>
      <c r="B89" s="61"/>
      <c r="C89" s="61"/>
      <c r="D89" s="61"/>
      <c r="E89" s="61"/>
      <c r="F89" s="81">
        <f t="shared" ref="F89:P89" si="54">SUM(F88:F88)</f>
        <v>5.34291324469012</v>
      </c>
      <c r="G89" s="81">
        <f t="shared" si="54"/>
        <v>0.48037723023815809</v>
      </c>
      <c r="H89" s="81">
        <f t="shared" si="54"/>
        <v>0.55549978356348662</v>
      </c>
      <c r="I89" s="81">
        <f t="shared" si="54"/>
        <v>7.9947672987667768E-3</v>
      </c>
      <c r="J89" s="81">
        <f t="shared" si="54"/>
        <v>9.3764995007286869E-2</v>
      </c>
      <c r="K89" s="81">
        <f t="shared" si="54"/>
        <v>4.0832058566784561E-2</v>
      </c>
      <c r="L89" s="81">
        <f t="shared" si="54"/>
        <v>9.2824408446790893E-2</v>
      </c>
      <c r="M89" s="81">
        <f t="shared" si="54"/>
        <v>3.8058007463184267E-2</v>
      </c>
      <c r="N89" s="81">
        <f t="shared" si="54"/>
        <v>609.65934398642787</v>
      </c>
      <c r="O89" s="81">
        <f t="shared" si="54"/>
        <v>3.4875229279332738E-2</v>
      </c>
      <c r="P89" s="81">
        <f t="shared" si="54"/>
        <v>6.3482319052276956E-2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B-9
Construction Worker Commute Emission Calculations
TL 6910 Construction</oddHeader>
    <oddFooter>&amp;CB-9</oddFooter>
  </headerFooter>
</worksheet>
</file>

<file path=xl/worksheets/sheet28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3"/>
  <sheetViews>
    <sheetView zoomScale="75" zoomScaleNormal="75" workbookViewId="0"/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32">
      <c r="A1" s="3" t="s">
        <v>798</v>
      </c>
    </row>
    <row r="2" spans="1:32">
      <c r="A2" s="83"/>
    </row>
    <row r="3" spans="1:32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32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32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32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32" s="3" customFormat="1">
      <c r="A7" s="17" t="s">
        <v>270</v>
      </c>
      <c r="B7" s="29"/>
      <c r="C7" s="22"/>
      <c r="D7" s="18"/>
      <c r="E7" s="23"/>
      <c r="F7" s="23"/>
      <c r="G7" s="23"/>
      <c r="H7" s="23"/>
      <c r="I7" s="23"/>
      <c r="J7" s="24"/>
      <c r="K7" s="25"/>
      <c r="L7" s="23"/>
      <c r="M7" s="33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32" s="3" customFormat="1">
      <c r="A8" s="24" t="s">
        <v>111</v>
      </c>
      <c r="B8" s="29" t="s">
        <v>27</v>
      </c>
      <c r="C8" s="97">
        <v>82</v>
      </c>
      <c r="D8" s="22">
        <v>0.5</v>
      </c>
      <c r="E8" s="107">
        <v>3.490161163394627E-2</v>
      </c>
      <c r="F8" s="397">
        <f>IF($C8&lt;11,'Offroad Tiers EF (2)'!$AB$4*$C8*$D8,IF($C8&lt;25,'Offroad Tiers EF (2)'!$AB$5*$C8*$D8,IF($C8&lt;50,'Offroad Tiers EF (2)'!$AB$6*$C8*$D8,IF($C8&lt;75,'Offroad Tiers EF (2)'!$AB$7*$C8*$D8,IF($C8&lt;100,'Offroad Tiers EF (2)'!$AB$8*$C8*$D8,IF($C8&lt;175,'Offroad Tiers EF (2)'!$AB$9*$C8*$D8,IF($C8&lt;300,'Offroad Tiers EF (2)'!$AB$10*$C8*$D8,IF($C8&lt;600,'Offroad Tiers EF (2)'!$AB$11*$C8*$D8,"!"))))))))</f>
        <v>0.33443562610229277</v>
      </c>
      <c r="G8" s="397">
        <f>IF($C8&lt;11,'Offroad Tiers EF (2)'!$Z$4*$C8*$D8,IF($C8&lt;25,'Offroad Tiers EF (2)'!$Z$5*$C8*$D8,IF($C8&lt;50,'Offroad Tiers EF (2)'!$Z$6*$C8*$D8,IF($C8&lt;75,'Offroad Tiers EF (2)'!$Z$7*$C8*$D8,IF($C8&lt;100,'Offroad Tiers EF (2)'!$Z$8*$C8*$D8,IF($C8&lt;175,'Offroad Tiers EF (2)'!$Z$9*$C8*$D8,IF($C8&lt;300,'Offroad Tiers EF (2)'!$Z$10*$C8*$D8,IF($C8&lt;600,'Offroad Tiers EF (2)'!$Z$11*$C8*$D8,"!"))))))))</f>
        <v>0.48086419753086407</v>
      </c>
      <c r="H8" s="102">
        <v>9.0467809247651214E-4</v>
      </c>
      <c r="I8" s="397">
        <f>IF($C8&lt;11,'Offroad Tiers EF (2)'!$AD$4*$C8*$D8,IF($C8&lt;25,'Offroad Tiers EF (2)'!$AD$5*$C8*$D8,IF($C8&lt;50,'Offroad Tiers EF (2)'!$AD$6*$C8*$D8,IF($C8&lt;75,'Offroad Tiers EF (2)'!$AD$7*$C8*$D8,IF($C8&lt;100,'Offroad Tiers EF (2)'!$AD$8*$C8*$D8,IF($C8&lt;175,'Offroad Tiers EF (2)'!$AD$9*$C8*$D8,IF($C8&lt;300,'Offroad Tiers EF (2)'!$AD$10*$C8*$D8,IF($C8&lt;600,'Offroad Tiers EF (2)'!$AD$11*$C8*$D8,"!"))))))))</f>
        <v>2.7116402116402115E-2</v>
      </c>
      <c r="J8" s="100">
        <f t="shared" ref="J8:J11" si="0">0.89*I8</f>
        <v>2.4133597883597882E-2</v>
      </c>
      <c r="K8" s="103">
        <v>77.121751200869411</v>
      </c>
      <c r="L8" s="102">
        <v>3.6861995629678865E-3</v>
      </c>
      <c r="M8" s="104">
        <f t="shared" ref="M8:M11" si="1">0.095*G8</f>
        <v>4.568209876543209E-2</v>
      </c>
      <c r="N8" s="87">
        <v>1</v>
      </c>
      <c r="O8" s="87">
        <v>8</v>
      </c>
      <c r="P8" s="88">
        <v>6</v>
      </c>
      <c r="Q8" s="34">
        <f t="shared" ref="Q8:Y11" si="2">(E8*$N8*$O8)</f>
        <v>0.27921289307157016</v>
      </c>
      <c r="R8" s="26">
        <f t="shared" si="2"/>
        <v>2.6754850088183422</v>
      </c>
      <c r="S8" s="26">
        <f t="shared" si="2"/>
        <v>3.8469135802469125</v>
      </c>
      <c r="T8" s="26">
        <f t="shared" si="2"/>
        <v>7.2374247398120971E-3</v>
      </c>
      <c r="U8" s="26">
        <f t="shared" si="2"/>
        <v>0.21693121693121692</v>
      </c>
      <c r="V8" s="26">
        <f t="shared" si="2"/>
        <v>0.19306878306878306</v>
      </c>
      <c r="W8" s="26">
        <f t="shared" si="2"/>
        <v>616.97400960695529</v>
      </c>
      <c r="X8" s="26">
        <f t="shared" si="2"/>
        <v>2.9489596503743092E-2</v>
      </c>
      <c r="Y8" s="26">
        <f t="shared" si="2"/>
        <v>0.36545679012345672</v>
      </c>
    </row>
    <row r="9" spans="1:32" s="3" customFormat="1">
      <c r="A9" s="32" t="s">
        <v>125</v>
      </c>
      <c r="B9" s="29" t="s">
        <v>27</v>
      </c>
      <c r="C9" s="97">
        <v>87</v>
      </c>
      <c r="D9" s="22">
        <v>0.37</v>
      </c>
      <c r="E9" s="413">
        <v>5.2437519504869065E-2</v>
      </c>
      <c r="F9" s="397">
        <f>IF($C9&lt;11,'Offroad Tiers EF (2)'!$AN$4*$C9*$D9,IF($C9&lt;25,'Offroad Tiers EF (2)'!$AN$5*$C9*$D9,IF($C9&lt;50,'Offroad Tiers EF (2)'!$AN$6*$C9*$D9,IF($C9&lt;75,'Offroad Tiers EF (2)'!$AN$7*$C9*$D9,IF($C9&lt;100,'Offroad Tiers EF (2)'!$AN$8*$C9*$D9,IF($C9&lt;175,'Offroad Tiers EF (2)'!$AN$9*$C9*$D9,IF($C9&lt;300,'Offroad Tiers EF (2)'!$AN$10*$C9*$D9,IF($C9&lt;600,'Offroad Tiers EF (2)'!$AN$11*$C9*$D9,"!"))))))))</f>
        <v>0.26257275132275132</v>
      </c>
      <c r="G9" s="397">
        <f>IF($C9&lt;11,'Offroad Tiers EF (2)'!$AM$4*$C9*$D9,IF($C9&lt;25,'Offroad Tiers EF (2)'!$AM$5*$C9*$D9,IF($C9&lt;50,'Offroad Tiers EF (2)'!$AM$6*$C9*$D9,IF($C9&lt;75,'Offroad Tiers EF (2)'!$AM$7*$C9*$D9,IF($C9&lt;100,'Offroad Tiers EF (2)'!$AM$8*$C9*$D9,IF($C9&lt;175,'Offroad Tiers EF (2)'!$AM$9*$C9*$D9,IF($C9&lt;300,'Offroad Tiers EF (2)'!$AM$10*$C9*$D9,IF($C9&lt;600,'Offroad Tiers EF (2)'!$AM$11*$C9*$D9,"!"))))))))</f>
        <v>0.33506412037037031</v>
      </c>
      <c r="H9" s="413">
        <v>6.0679618797898508E-4</v>
      </c>
      <c r="I9" s="397">
        <f>IF($C9&lt;11,'Offroad Tiers EF (2)'!$AO$4*$C9*$D9,IF($C9&lt;25,'Offroad Tiers EF (2)'!$AO$5*$C9*$D9,IF($C9&lt;50,'Offroad Tiers EF (2)'!$AO$6*$C9*$D9,IF($C9&lt;75,'Offroad Tiers EF (2)'!$AO$7*$C9*$D9,IF($C9&lt;100,'Offroad Tiers EF (2)'!$AO$8*$C9*$D9,IF($C9&lt;175,'Offroad Tiers EF (2)'!$AO$9*$C9*$D9,IF($C9&lt;300,'Offroad Tiers EF (2)'!$AO$10*$C9*$D9,IF($C9&lt;600,'Offroad Tiers EF (2)'!$AO$11*$C9*$D9,"!"))))))))</f>
        <v>2.1289682539682539E-2</v>
      </c>
      <c r="J9" s="100">
        <f t="shared" si="0"/>
        <v>1.894781746031746E-2</v>
      </c>
      <c r="K9" s="413">
        <v>51.728016924248784</v>
      </c>
      <c r="L9" s="413">
        <v>5.7223017989158831E-3</v>
      </c>
      <c r="M9" s="102">
        <f t="shared" si="1"/>
        <v>3.1831091435185178E-2</v>
      </c>
      <c r="N9" s="87">
        <v>1</v>
      </c>
      <c r="O9" s="87">
        <v>8</v>
      </c>
      <c r="P9" s="88">
        <v>6</v>
      </c>
      <c r="Q9" s="34">
        <f t="shared" si="2"/>
        <v>0.41950015603895252</v>
      </c>
      <c r="R9" s="26">
        <f t="shared" si="2"/>
        <v>2.1005820105820106</v>
      </c>
      <c r="S9" s="26">
        <f t="shared" si="2"/>
        <v>2.6805129629629625</v>
      </c>
      <c r="T9" s="26">
        <f t="shared" si="2"/>
        <v>4.8543695038318806E-3</v>
      </c>
      <c r="U9" s="26">
        <f t="shared" si="2"/>
        <v>0.17031746031746031</v>
      </c>
      <c r="V9" s="26">
        <f t="shared" si="2"/>
        <v>0.15158253968253968</v>
      </c>
      <c r="W9" s="26">
        <f t="shared" si="2"/>
        <v>413.82413539399028</v>
      </c>
      <c r="X9" s="26">
        <f t="shared" si="2"/>
        <v>4.5778414391327064E-2</v>
      </c>
      <c r="Y9" s="26">
        <f t="shared" si="2"/>
        <v>0.25464873148148143</v>
      </c>
    </row>
    <row r="10" spans="1:32" s="3" customFormat="1">
      <c r="A10" s="32" t="s">
        <v>51</v>
      </c>
      <c r="B10" s="29" t="s">
        <v>27</v>
      </c>
      <c r="C10" s="97">
        <v>381</v>
      </c>
      <c r="D10" s="97"/>
      <c r="E10" s="102">
        <v>0.18553470911077993</v>
      </c>
      <c r="F10" s="102">
        <v>0.57956772121140698</v>
      </c>
      <c r="G10" s="102">
        <v>1.2523979210769924</v>
      </c>
      <c r="H10" s="102">
        <v>2.6730457491231348E-3</v>
      </c>
      <c r="I10" s="102">
        <v>4.4827947982520766E-2</v>
      </c>
      <c r="J10" s="100">
        <f t="shared" si="0"/>
        <v>3.9896873704443482E-2</v>
      </c>
      <c r="K10" s="103">
        <v>272.33380251586107</v>
      </c>
      <c r="L10" s="102">
        <v>1.6740496842659349E-2</v>
      </c>
      <c r="M10" s="102">
        <f t="shared" si="1"/>
        <v>0.11897780250231428</v>
      </c>
      <c r="N10" s="87">
        <v>4</v>
      </c>
      <c r="O10" s="87">
        <v>8</v>
      </c>
      <c r="P10" s="88">
        <v>3</v>
      </c>
      <c r="Q10" s="34">
        <f t="shared" si="2"/>
        <v>5.9371106915449579</v>
      </c>
      <c r="R10" s="26">
        <f t="shared" si="2"/>
        <v>18.546167078765023</v>
      </c>
      <c r="S10" s="26">
        <f t="shared" si="2"/>
        <v>40.076733474463758</v>
      </c>
      <c r="T10" s="26">
        <f t="shared" si="2"/>
        <v>8.5537463971940314E-2</v>
      </c>
      <c r="U10" s="26">
        <f t="shared" si="2"/>
        <v>1.4344943354406645</v>
      </c>
      <c r="V10" s="26">
        <f t="shared" si="2"/>
        <v>1.2766999585421914</v>
      </c>
      <c r="W10" s="26">
        <f t="shared" si="2"/>
        <v>8714.6816805075541</v>
      </c>
      <c r="X10" s="26">
        <f t="shared" si="2"/>
        <v>0.53569589896509917</v>
      </c>
      <c r="Y10" s="26">
        <f t="shared" si="2"/>
        <v>3.807289680074057</v>
      </c>
    </row>
    <row r="11" spans="1:32" s="3" customFormat="1">
      <c r="A11" s="24" t="s">
        <v>368</v>
      </c>
      <c r="B11" s="90" t="s">
        <v>27</v>
      </c>
      <c r="C11" s="22">
        <v>5</v>
      </c>
      <c r="D11" s="22">
        <v>0.74</v>
      </c>
      <c r="E11" s="413">
        <v>1.3017040437477556E-2</v>
      </c>
      <c r="F11" s="397">
        <v>4.8941798941798939E-2</v>
      </c>
      <c r="G11" s="397">
        <v>4.3395061728395051E-2</v>
      </c>
      <c r="H11" s="413">
        <v>1.5884019955091081E-4</v>
      </c>
      <c r="I11" s="397">
        <v>4.8941798941798936E-3</v>
      </c>
      <c r="J11" s="100">
        <f t="shared" si="0"/>
        <v>4.3558201058201051E-3</v>
      </c>
      <c r="K11" s="413">
        <v>10.20766028636436</v>
      </c>
      <c r="L11" s="413">
        <v>1.2796045465601556E-3</v>
      </c>
      <c r="M11" s="102">
        <f t="shared" si="1"/>
        <v>4.1225308641975296E-3</v>
      </c>
      <c r="N11" s="98">
        <v>1</v>
      </c>
      <c r="O11" s="363">
        <v>3</v>
      </c>
      <c r="P11" s="88"/>
      <c r="Q11" s="34">
        <f t="shared" si="2"/>
        <v>3.9051121312432671E-2</v>
      </c>
      <c r="R11" s="26">
        <f t="shared" si="2"/>
        <v>0.1468253968253968</v>
      </c>
      <c r="S11" s="26">
        <f t="shared" si="2"/>
        <v>0.13018518518518515</v>
      </c>
      <c r="T11" s="26">
        <f t="shared" si="2"/>
        <v>4.7652059865273245E-4</v>
      </c>
      <c r="U11" s="26">
        <f t="shared" si="2"/>
        <v>1.4682539682539681E-2</v>
      </c>
      <c r="V11" s="26">
        <f t="shared" si="2"/>
        <v>1.3067460317460314E-2</v>
      </c>
      <c r="W11" s="26">
        <f t="shared" si="2"/>
        <v>30.622980859093083</v>
      </c>
      <c r="X11" s="26">
        <f t="shared" si="2"/>
        <v>3.8388136396804665E-3</v>
      </c>
      <c r="Y11" s="26">
        <f t="shared" si="2"/>
        <v>1.236759259259259E-2</v>
      </c>
    </row>
    <row r="12" spans="1:32" s="6" customFormat="1">
      <c r="A12" s="17" t="s">
        <v>28</v>
      </c>
      <c r="B12" s="29"/>
      <c r="C12" s="97"/>
      <c r="D12" s="12"/>
      <c r="E12" s="102"/>
      <c r="F12" s="102"/>
      <c r="G12" s="102"/>
      <c r="H12" s="102"/>
      <c r="I12" s="102"/>
      <c r="J12" s="100"/>
      <c r="K12" s="103"/>
      <c r="L12" s="102"/>
      <c r="M12" s="104"/>
      <c r="N12" s="98"/>
      <c r="O12" s="98"/>
      <c r="P12" s="99"/>
      <c r="Q12" s="101">
        <f>SUM(Q8:Q11)</f>
        <v>6.674874861967913</v>
      </c>
      <c r="R12" s="101">
        <f t="shared" ref="R12:Y12" si="3">SUM(R8:R11)</f>
        <v>23.46905949499077</v>
      </c>
      <c r="S12" s="101">
        <f t="shared" si="3"/>
        <v>46.734345202858819</v>
      </c>
      <c r="T12" s="101">
        <f t="shared" si="3"/>
        <v>9.810577881423703E-2</v>
      </c>
      <c r="U12" s="101">
        <f t="shared" si="3"/>
        <v>1.8364255523718813</v>
      </c>
      <c r="V12" s="101">
        <f t="shared" si="3"/>
        <v>1.6344187416109743</v>
      </c>
      <c r="W12" s="101">
        <f t="shared" si="3"/>
        <v>9776.1028063675931</v>
      </c>
      <c r="X12" s="101">
        <f t="shared" si="3"/>
        <v>0.61480272349984977</v>
      </c>
      <c r="Y12" s="101">
        <f t="shared" si="3"/>
        <v>4.439762794271588</v>
      </c>
      <c r="AF12" s="7"/>
    </row>
    <row r="13" spans="1:32">
      <c r="A13" s="122" t="s">
        <v>390</v>
      </c>
      <c r="B13" s="97"/>
      <c r="C13" s="22"/>
      <c r="D13" s="22"/>
      <c r="E13" s="23"/>
      <c r="F13" s="23"/>
      <c r="G13" s="23"/>
      <c r="H13" s="23"/>
      <c r="I13" s="23"/>
      <c r="J13" s="24"/>
      <c r="K13" s="25"/>
      <c r="L13" s="23"/>
      <c r="M13" s="23"/>
      <c r="N13" s="88"/>
      <c r="O13" s="88"/>
      <c r="P13" s="88"/>
      <c r="Q13" s="20">
        <f>Q12</f>
        <v>6.674874861967913</v>
      </c>
      <c r="R13" s="20">
        <f t="shared" ref="R13:Y13" si="4">R12</f>
        <v>23.46905949499077</v>
      </c>
      <c r="S13" s="20">
        <f t="shared" si="4"/>
        <v>46.734345202858819</v>
      </c>
      <c r="T13" s="20">
        <f t="shared" si="4"/>
        <v>9.810577881423703E-2</v>
      </c>
      <c r="U13" s="20">
        <f t="shared" si="4"/>
        <v>1.8364255523718813</v>
      </c>
      <c r="V13" s="20">
        <f t="shared" si="4"/>
        <v>1.6344187416109743</v>
      </c>
      <c r="W13" s="20">
        <f t="shared" si="4"/>
        <v>9776.1028063675931</v>
      </c>
      <c r="X13" s="20">
        <f t="shared" si="4"/>
        <v>0.61480272349984977</v>
      </c>
      <c r="Y13" s="20">
        <f t="shared" si="4"/>
        <v>4.439762794271588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B-7
Construction Heavy Equipment Emissions
TL 6910 Construction
</oddHeader>
    <oddFooter>&amp;CB-7</oddFooter>
  </headerFooter>
</worksheet>
</file>

<file path=xl/worksheets/sheet28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78"/>
  <sheetViews>
    <sheetView zoomScale="75" workbookViewId="0"/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799</v>
      </c>
    </row>
    <row r="2" spans="1:30">
      <c r="A2" s="83"/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>
      <c r="A8" s="114" t="s">
        <v>341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112</v>
      </c>
      <c r="B9" s="76" t="s">
        <v>105</v>
      </c>
      <c r="C9" s="374">
        <v>3</v>
      </c>
      <c r="D9" s="77"/>
      <c r="E9" s="77">
        <v>35</v>
      </c>
      <c r="F9" s="77">
        <v>80</v>
      </c>
      <c r="G9" s="106">
        <v>1.08263976628415</v>
      </c>
      <c r="H9" s="106">
        <v>4.9712718909585103</v>
      </c>
      <c r="I9" s="106">
        <v>0.26248012575016899</v>
      </c>
      <c r="J9" s="106">
        <v>1.0711818E-2</v>
      </c>
      <c r="K9" s="106">
        <v>7.1679901072141505E-2</v>
      </c>
      <c r="L9" s="556">
        <v>3.59998119015979E-2</v>
      </c>
      <c r="M9" s="556">
        <v>6.1739677411240299E-2</v>
      </c>
      <c r="N9" s="106">
        <v>6.5945508986370194E-2</v>
      </c>
      <c r="O9" s="556">
        <v>2.9999843251331498E-3</v>
      </c>
      <c r="P9" s="556">
        <v>5.5859708133979398E-2</v>
      </c>
      <c r="Q9" s="106">
        <v>1710.7260798814</v>
      </c>
      <c r="R9" s="47">
        <v>1.5235246282551899E-2</v>
      </c>
      <c r="S9" s="80">
        <f>0.000025616*Q9</f>
        <v>4.3821959262241944E-2</v>
      </c>
      <c r="T9" s="50">
        <f>C9*($F9*$G9)/453.59</f>
        <v>0.57283790186775729</v>
      </c>
      <c r="U9" s="50">
        <f>C9*($F9*$H9)/453.59</f>
        <v>2.6303605763575972</v>
      </c>
      <c r="V9" s="50">
        <f>C9*(($F9*$I9))/453.59</f>
        <v>0.1388814351728225</v>
      </c>
      <c r="W9" s="50">
        <f>C9*($F9*$J9)/453.59</f>
        <v>5.6677535219030401E-3</v>
      </c>
      <c r="X9" s="50">
        <f>C9*(($F9*($K9+$L9+$M9)))/453.59</f>
        <v>8.9641865324180711E-2</v>
      </c>
      <c r="Y9" s="50">
        <f>C9*(($F9*($N9+$O9+$P9)))/453.59</f>
        <v>6.6035953938393399E-2</v>
      </c>
      <c r="Z9" s="50">
        <f>C9*(F9)*$B$376</f>
        <v>2.3549532798340184E-2</v>
      </c>
      <c r="AA9" s="50">
        <f>Z9*0.21</f>
        <v>4.9454018876514388E-3</v>
      </c>
      <c r="AB9" s="50">
        <f>C9*(($F9*($Q9)))/453.59</f>
        <v>905.16602917069611</v>
      </c>
      <c r="AC9" s="50">
        <f>C9*(($F9*($R9)))/453.59</f>
        <v>8.0611545841232316E-3</v>
      </c>
      <c r="AD9" s="50">
        <f>C9*(($F9*($S9)))/453.59</f>
        <v>2.3186733003236551E-2</v>
      </c>
    </row>
    <row r="10" spans="1:30">
      <c r="A10" s="78" t="s">
        <v>331</v>
      </c>
      <c r="B10" s="76" t="s">
        <v>105</v>
      </c>
      <c r="C10" s="374">
        <v>4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6">
        <v>3.59998119015979E-2</v>
      </c>
      <c r="M10" s="556">
        <v>6.1739677411240299E-2</v>
      </c>
      <c r="N10" s="106">
        <v>6.5945508986370194E-2</v>
      </c>
      <c r="O10" s="556">
        <v>2.9999843251331498E-3</v>
      </c>
      <c r="P10" s="55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0.76378386915700969</v>
      </c>
      <c r="U10" s="50">
        <f>C10*($F10*$H10)/453.59</f>
        <v>3.5071474351434633</v>
      </c>
      <c r="V10" s="50">
        <f>C10*(($F10*$I10))/453.59</f>
        <v>0.18517524689709669</v>
      </c>
      <c r="W10" s="50">
        <f>C10*($F10*$J10)/453.59</f>
        <v>7.5570046958707204E-3</v>
      </c>
      <c r="X10" s="50">
        <f>C10*(($F10*($K10+$L10+$M10)))/453.59</f>
        <v>0.11952248709890763</v>
      </c>
      <c r="Y10" s="50">
        <f>C10*(($F10*($N10+$O10+$P10)))/453.59</f>
        <v>8.8047938584524532E-2</v>
      </c>
      <c r="Z10" s="50">
        <f>C10*(F10)*$B$376</f>
        <v>3.1399377064453574E-2</v>
      </c>
      <c r="AA10" s="50">
        <f>Z10*0.21</f>
        <v>6.59386918353525E-3</v>
      </c>
      <c r="AB10" s="50">
        <f>C10*(($F10*($Q10)))/453.59</f>
        <v>1206.8880388942614</v>
      </c>
      <c r="AC10" s="50">
        <f>C10*(($F10*($R10)))/453.59</f>
        <v>1.0748206112164309E-2</v>
      </c>
      <c r="AD10" s="50">
        <f>C10*(($F10*($S10)))/453.59</f>
        <v>3.0915644004315401E-2</v>
      </c>
    </row>
    <row r="11" spans="1:30">
      <c r="A11" s="78" t="s">
        <v>327</v>
      </c>
      <c r="B11" s="76" t="s">
        <v>105</v>
      </c>
      <c r="C11" s="374">
        <v>2</v>
      </c>
      <c r="D11" s="77"/>
      <c r="E11" s="77">
        <v>35</v>
      </c>
      <c r="F11" s="77">
        <v>80</v>
      </c>
      <c r="G11" s="106">
        <v>1.08263976628415</v>
      </c>
      <c r="H11" s="106">
        <v>4.9712718909585103</v>
      </c>
      <c r="I11" s="106">
        <v>0.26248012575016899</v>
      </c>
      <c r="J11" s="106">
        <v>1.0711818E-2</v>
      </c>
      <c r="K11" s="106">
        <v>7.1679901072141505E-2</v>
      </c>
      <c r="L11" s="556">
        <v>3.59998119015979E-2</v>
      </c>
      <c r="M11" s="556">
        <v>6.1739677411240299E-2</v>
      </c>
      <c r="N11" s="106">
        <v>6.5945508986370194E-2</v>
      </c>
      <c r="O11" s="556">
        <v>2.9999843251331498E-3</v>
      </c>
      <c r="P11" s="556">
        <v>5.5859708133979398E-2</v>
      </c>
      <c r="Q11" s="106">
        <v>1710.7260798814</v>
      </c>
      <c r="R11" s="47">
        <v>1.5235246282551899E-2</v>
      </c>
      <c r="S11" s="80">
        <f>0.000025616*Q11</f>
        <v>4.3821959262241944E-2</v>
      </c>
      <c r="T11" s="50">
        <f>C11*($F11*$G11)/453.59</f>
        <v>0.38189193457850484</v>
      </c>
      <c r="U11" s="50">
        <f>C11*($F11*$H11)/453.59</f>
        <v>1.7535737175717316</v>
      </c>
      <c r="V11" s="50">
        <f>C11*(($F11*$I11))/453.59</f>
        <v>9.2587623448548345E-2</v>
      </c>
      <c r="W11" s="50">
        <f>C11*($F11*$J11)/453.59</f>
        <v>3.7785023479353602E-3</v>
      </c>
      <c r="X11" s="50">
        <f>C11*(($F11*($K11+$L11+$M11)))/453.59</f>
        <v>5.9761243549453814E-2</v>
      </c>
      <c r="Y11" s="50">
        <f>C11*(($F11*($N11+$O11+$P11)))/453.59</f>
        <v>4.4023969292262266E-2</v>
      </c>
      <c r="Z11" s="50">
        <f>C11*(F11)*$B$376</f>
        <v>1.5699688532226787E-2</v>
      </c>
      <c r="AA11" s="50">
        <f>Z11*0.21</f>
        <v>3.296934591767625E-3</v>
      </c>
      <c r="AB11" s="50">
        <f>C11*(($F11*($Q11)))/453.59</f>
        <v>603.4440194471307</v>
      </c>
      <c r="AC11" s="50">
        <f>C11*(($F11*($R11)))/453.59</f>
        <v>5.3741030560821544E-3</v>
      </c>
      <c r="AD11" s="50">
        <f>C11*(($F11*($S11)))/453.59</f>
        <v>1.5457822002157701E-2</v>
      </c>
    </row>
    <row r="12" spans="1:30">
      <c r="A12" s="75" t="s">
        <v>28</v>
      </c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81">
        <f t="shared" ref="T12:AD12" si="0">SUM(T9:T11)</f>
        <v>1.7185137056032718</v>
      </c>
      <c r="U12" s="81">
        <f t="shared" si="0"/>
        <v>7.8910817290727913</v>
      </c>
      <c r="V12" s="81">
        <f t="shared" si="0"/>
        <v>0.41664430551846754</v>
      </c>
      <c r="W12" s="81">
        <f t="shared" si="0"/>
        <v>1.7003260565709121E-2</v>
      </c>
      <c r="X12" s="81">
        <f t="shared" si="0"/>
        <v>0.26892559597254218</v>
      </c>
      <c r="Y12" s="81">
        <f t="shared" si="0"/>
        <v>0.1981078618151802</v>
      </c>
      <c r="Z12" s="81">
        <f t="shared" si="0"/>
        <v>7.0648598395020551E-2</v>
      </c>
      <c r="AA12" s="81">
        <f t="shared" si="0"/>
        <v>1.4836205662954315E-2</v>
      </c>
      <c r="AB12" s="81">
        <f t="shared" si="0"/>
        <v>2715.4980875120882</v>
      </c>
      <c r="AC12" s="81">
        <f t="shared" si="0"/>
        <v>2.4183463752369693E-2</v>
      </c>
      <c r="AD12" s="81">
        <f t="shared" si="0"/>
        <v>6.9560199009709653E-2</v>
      </c>
    </row>
    <row r="13" spans="1:30">
      <c r="A13" s="429" t="s">
        <v>388</v>
      </c>
      <c r="B13" s="74"/>
      <c r="C13" s="112"/>
      <c r="D13" s="112"/>
      <c r="E13" s="74"/>
      <c r="F13" s="74"/>
      <c r="G13" s="437"/>
      <c r="H13" s="41"/>
      <c r="I13" s="41"/>
      <c r="J13" s="41"/>
      <c r="K13" s="434"/>
      <c r="L13" s="434"/>
      <c r="M13" s="434"/>
      <c r="N13" s="434"/>
      <c r="O13" s="434"/>
      <c r="P13" s="434"/>
      <c r="Q13" s="41"/>
      <c r="R13" s="434"/>
      <c r="S13" s="434"/>
      <c r="T13" s="81">
        <f>T12</f>
        <v>1.7185137056032718</v>
      </c>
      <c r="U13" s="81">
        <f t="shared" ref="U13:AD13" si="1">U12</f>
        <v>7.8910817290727913</v>
      </c>
      <c r="V13" s="81">
        <f t="shared" si="1"/>
        <v>0.41664430551846754</v>
      </c>
      <c r="W13" s="81">
        <f t="shared" si="1"/>
        <v>1.7003260565709121E-2</v>
      </c>
      <c r="X13" s="81">
        <f t="shared" si="1"/>
        <v>0.26892559597254218</v>
      </c>
      <c r="Y13" s="81">
        <f t="shared" si="1"/>
        <v>0.1981078618151802</v>
      </c>
      <c r="Z13" s="81">
        <f t="shared" si="1"/>
        <v>7.0648598395020551E-2</v>
      </c>
      <c r="AA13" s="81">
        <f t="shared" si="1"/>
        <v>1.4836205662954315E-2</v>
      </c>
      <c r="AB13" s="81">
        <f t="shared" si="1"/>
        <v>2715.4980875120882</v>
      </c>
      <c r="AC13" s="81">
        <f t="shared" si="1"/>
        <v>2.4183463752369693E-2</v>
      </c>
      <c r="AD13" s="81">
        <f t="shared" si="1"/>
        <v>6.9560199009709653E-2</v>
      </c>
    </row>
    <row r="14" spans="1:30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</row>
    <row r="15" spans="1:30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</row>
    <row r="16" spans="1:30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366" spans="1:1" ht="25.5">
      <c r="A366" s="82" t="s">
        <v>109</v>
      </c>
    </row>
    <row r="368" spans="1:1">
      <c r="A368" s="36" t="s">
        <v>81</v>
      </c>
    </row>
    <row r="369" spans="1:2">
      <c r="A369" s="36" t="s">
        <v>82</v>
      </c>
    </row>
    <row r="370" spans="1:2">
      <c r="A370" s="36" t="s">
        <v>83</v>
      </c>
    </row>
    <row r="371" spans="1:2">
      <c r="A371" s="37" t="s">
        <v>96</v>
      </c>
    </row>
    <row r="372" spans="1:2">
      <c r="A372" s="36" t="s">
        <v>85</v>
      </c>
    </row>
    <row r="373" spans="1:2">
      <c r="A373" s="36" t="s">
        <v>86</v>
      </c>
    </row>
    <row r="374" spans="1:2">
      <c r="A374" s="36" t="s">
        <v>87</v>
      </c>
    </row>
    <row r="375" spans="1:2">
      <c r="A375" s="36" t="s">
        <v>0</v>
      </c>
    </row>
    <row r="376" spans="1:2">
      <c r="A376" s="37" t="s">
        <v>97</v>
      </c>
      <c r="B376" s="36">
        <f>(0.016*(0.03/2)^0.65*(2/3)^1.5)-0.00047</f>
        <v>9.8123053326417428E-5</v>
      </c>
    </row>
    <row r="377" spans="1:2">
      <c r="A377" s="37" t="s">
        <v>98</v>
      </c>
      <c r="B377" s="36">
        <f>(0.016*(0.03/2)^0.65*(13/3)^1.5)-0.00047</f>
        <v>8.9448292388582783E-3</v>
      </c>
    </row>
    <row r="378" spans="1:2">
      <c r="A378" s="37" t="s">
        <v>99</v>
      </c>
      <c r="B378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B-8
Construction Truck Trip Emissions
TL 6910 Construction</oddHeader>
    <oddFooter>&amp;CB-8</oddFooter>
  </headerFooter>
</worksheet>
</file>

<file path=xl/worksheets/sheet28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800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341</v>
      </c>
      <c r="B4" s="45" t="s">
        <v>102</v>
      </c>
      <c r="C4" s="46">
        <v>11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43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435" t="s">
        <v>55</v>
      </c>
      <c r="G87" s="435" t="s">
        <v>73</v>
      </c>
      <c r="H87" s="435" t="s">
        <v>74</v>
      </c>
      <c r="I87" s="435" t="s">
        <v>58</v>
      </c>
      <c r="J87" s="435" t="s">
        <v>59</v>
      </c>
      <c r="K87" s="435" t="s">
        <v>60</v>
      </c>
      <c r="L87" s="434" t="s">
        <v>75</v>
      </c>
      <c r="M87" s="434" t="s">
        <v>76</v>
      </c>
      <c r="N87" s="434" t="s">
        <v>61</v>
      </c>
      <c r="O87" s="434" t="s">
        <v>62</v>
      </c>
      <c r="P87" s="434" t="s">
        <v>63</v>
      </c>
      <c r="AN87" s="38"/>
      <c r="AZ87" s="36"/>
    </row>
    <row r="88" spans="1:52" ht="25.5">
      <c r="A88" s="44" t="str">
        <f t="shared" ref="A88:C88" si="52">A4</f>
        <v>Foundation Installation</v>
      </c>
      <c r="B88" s="45" t="str">
        <f t="shared" si="52"/>
        <v>Light-Duty Truck, catalyst</v>
      </c>
      <c r="C88" s="46">
        <f t="shared" si="52"/>
        <v>11</v>
      </c>
      <c r="D88" s="46">
        <v>35</v>
      </c>
      <c r="E88" s="46">
        <v>80</v>
      </c>
      <c r="F88" s="50">
        <f>C4*($E4*$F4+($G4))/453.59</f>
        <v>5.34291324469012</v>
      </c>
      <c r="G88" s="50">
        <f>C4*($E4*$H4+($I4))/453.59</f>
        <v>0.48037723023815809</v>
      </c>
      <c r="H88" s="50">
        <f>C4*(($E4*$J4)+($K4)+($L4)+($E4*$N4)+(($M4+$O4)))/453.59</f>
        <v>0.55549978356348662</v>
      </c>
      <c r="I88" s="50">
        <f>C4*($E4*$P4+($Q4))/453.59</f>
        <v>7.9947672987667768E-3</v>
      </c>
      <c r="J88" s="50">
        <f>C4*(($E4*($R4+$T4+$U4))+($S4))/453.59</f>
        <v>9.3764995007286869E-2</v>
      </c>
      <c r="K88" s="50">
        <f>$C4*(($E4*($V4+$X4+$Y4))+($W4))/453.59</f>
        <v>4.0832058566784561E-2</v>
      </c>
      <c r="L88" s="50">
        <f>$B$21*C4*(E4+6)</f>
        <v>9.2824408446790893E-2</v>
      </c>
      <c r="M88" s="50">
        <f t="shared" ref="M88" si="53">0.41*L88</f>
        <v>3.8058007463184267E-2</v>
      </c>
      <c r="N88" s="50">
        <f>C4*($E4*$Z4+($AA4))/453.59</f>
        <v>609.65934398642787</v>
      </c>
      <c r="O88" s="50">
        <f>C4*($E4*$AB4+($AC4))/453.59</f>
        <v>3.4875229279332738E-2</v>
      </c>
      <c r="P88" s="50">
        <f>C4*($E4*$AD4+($AE4))/453.59</f>
        <v>6.3482319052276956E-2</v>
      </c>
      <c r="AN88" s="38"/>
      <c r="AZ88" s="36"/>
    </row>
    <row r="89" spans="1:52">
      <c r="A89" s="61" t="s">
        <v>396</v>
      </c>
      <c r="B89" s="61"/>
      <c r="C89" s="61"/>
      <c r="D89" s="61"/>
      <c r="E89" s="61"/>
      <c r="F89" s="81">
        <f t="shared" ref="F89:P89" si="54">SUM(F88:F88)</f>
        <v>5.34291324469012</v>
      </c>
      <c r="G89" s="81">
        <f t="shared" si="54"/>
        <v>0.48037723023815809</v>
      </c>
      <c r="H89" s="81">
        <f t="shared" si="54"/>
        <v>0.55549978356348662</v>
      </c>
      <c r="I89" s="81">
        <f t="shared" si="54"/>
        <v>7.9947672987667768E-3</v>
      </c>
      <c r="J89" s="81">
        <f t="shared" si="54"/>
        <v>9.3764995007286869E-2</v>
      </c>
      <c r="K89" s="81">
        <f t="shared" si="54"/>
        <v>4.0832058566784561E-2</v>
      </c>
      <c r="L89" s="81">
        <f t="shared" si="54"/>
        <v>9.2824408446790893E-2</v>
      </c>
      <c r="M89" s="81">
        <f t="shared" si="54"/>
        <v>3.8058007463184267E-2</v>
      </c>
      <c r="N89" s="81">
        <f t="shared" si="54"/>
        <v>609.65934398642787</v>
      </c>
      <c r="O89" s="81">
        <f t="shared" si="54"/>
        <v>3.4875229279332738E-2</v>
      </c>
      <c r="P89" s="81">
        <f t="shared" si="54"/>
        <v>6.3482319052276956E-2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B-9
Construction Worker Commute Emission Calculations
TL 6910 Construction</oddHeader>
    <oddFooter>&amp;CB-9</oddFooter>
  </headerFooter>
</worksheet>
</file>

<file path=xl/worksheets/sheet28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0"/>
  <sheetViews>
    <sheetView zoomScale="75" zoomScaleNormal="75" workbookViewId="0">
      <selection activeCell="A2" sqref="A2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32">
      <c r="A1" s="3" t="s">
        <v>801</v>
      </c>
    </row>
    <row r="2" spans="1:32">
      <c r="A2" s="83"/>
    </row>
    <row r="3" spans="1:32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72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32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32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32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32" s="3" customFormat="1">
      <c r="A7" s="17" t="s">
        <v>270</v>
      </c>
      <c r="B7" s="29"/>
      <c r="C7" s="22"/>
      <c r="D7" s="18"/>
      <c r="E7" s="23"/>
      <c r="F7" s="23"/>
      <c r="G7" s="23"/>
      <c r="H7" s="23"/>
      <c r="I7" s="23"/>
      <c r="J7" s="24"/>
      <c r="K7" s="25"/>
      <c r="L7" s="23"/>
      <c r="M7" s="33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32" s="3" customFormat="1">
      <c r="A8" s="24" t="s">
        <v>368</v>
      </c>
      <c r="B8" s="90" t="s">
        <v>27</v>
      </c>
      <c r="C8" s="22">
        <v>5</v>
      </c>
      <c r="D8" s="22">
        <v>0.74</v>
      </c>
      <c r="E8" s="413">
        <v>1.3017040437477556E-2</v>
      </c>
      <c r="F8" s="397">
        <v>4.8941798941798939E-2</v>
      </c>
      <c r="G8" s="397">
        <v>4.3395061728395051E-2</v>
      </c>
      <c r="H8" s="413">
        <v>1.5884019955091081E-4</v>
      </c>
      <c r="I8" s="397">
        <v>4.8941798941798936E-3</v>
      </c>
      <c r="J8" s="100">
        <f t="shared" ref="J8" si="0">0.89*I8</f>
        <v>4.3558201058201051E-3</v>
      </c>
      <c r="K8" s="413">
        <v>10.20766028636436</v>
      </c>
      <c r="L8" s="413">
        <v>1.2796045465601556E-3</v>
      </c>
      <c r="M8" s="102">
        <f t="shared" ref="M8" si="1">0.095*G8</f>
        <v>4.1225308641975296E-3</v>
      </c>
      <c r="N8" s="98">
        <v>1</v>
      </c>
      <c r="O8" s="363">
        <v>3</v>
      </c>
      <c r="P8" s="88"/>
      <c r="Q8" s="34">
        <f t="shared" ref="Q8:Y8" si="2">(E8*$N8*$O8)</f>
        <v>3.9051121312432671E-2</v>
      </c>
      <c r="R8" s="26">
        <f t="shared" si="2"/>
        <v>0.1468253968253968</v>
      </c>
      <c r="S8" s="26">
        <f t="shared" si="2"/>
        <v>0.13018518518518515</v>
      </c>
      <c r="T8" s="26">
        <f t="shared" si="2"/>
        <v>4.7652059865273245E-4</v>
      </c>
      <c r="U8" s="26">
        <f t="shared" si="2"/>
        <v>1.4682539682539681E-2</v>
      </c>
      <c r="V8" s="26">
        <f t="shared" si="2"/>
        <v>1.3067460317460314E-2</v>
      </c>
      <c r="W8" s="26">
        <f t="shared" si="2"/>
        <v>30.622980859093083</v>
      </c>
      <c r="X8" s="26">
        <f t="shared" si="2"/>
        <v>3.8388136396804665E-3</v>
      </c>
      <c r="Y8" s="26">
        <f t="shared" si="2"/>
        <v>1.236759259259259E-2</v>
      </c>
    </row>
    <row r="9" spans="1:32" s="6" customFormat="1">
      <c r="A9" s="17" t="s">
        <v>28</v>
      </c>
      <c r="B9" s="29"/>
      <c r="C9" s="97"/>
      <c r="D9" s="12"/>
      <c r="E9" s="102"/>
      <c r="F9" s="102"/>
      <c r="G9" s="102"/>
      <c r="H9" s="102"/>
      <c r="I9" s="102"/>
      <c r="J9" s="100"/>
      <c r="K9" s="103"/>
      <c r="L9" s="102"/>
      <c r="M9" s="104"/>
      <c r="N9" s="98"/>
      <c r="O9" s="98"/>
      <c r="P9" s="99"/>
      <c r="Q9" s="101">
        <f t="shared" ref="Q9:Y9" si="3">SUM(Q8:Q8)</f>
        <v>3.9051121312432671E-2</v>
      </c>
      <c r="R9" s="101">
        <f t="shared" si="3"/>
        <v>0.1468253968253968</v>
      </c>
      <c r="S9" s="101">
        <f t="shared" si="3"/>
        <v>0.13018518518518515</v>
      </c>
      <c r="T9" s="101">
        <f t="shared" si="3"/>
        <v>4.7652059865273245E-4</v>
      </c>
      <c r="U9" s="101">
        <f t="shared" si="3"/>
        <v>1.4682539682539681E-2</v>
      </c>
      <c r="V9" s="101">
        <f t="shared" si="3"/>
        <v>1.3067460317460314E-2</v>
      </c>
      <c r="W9" s="101">
        <f t="shared" si="3"/>
        <v>30.622980859093083</v>
      </c>
      <c r="X9" s="101">
        <f t="shared" si="3"/>
        <v>3.8388136396804665E-3</v>
      </c>
      <c r="Y9" s="101">
        <f t="shared" si="3"/>
        <v>1.236759259259259E-2</v>
      </c>
      <c r="AF9" s="7"/>
    </row>
    <row r="10" spans="1:32">
      <c r="A10" s="122" t="s">
        <v>390</v>
      </c>
      <c r="B10" s="97"/>
      <c r="C10" s="22"/>
      <c r="D10" s="22"/>
      <c r="E10" s="23"/>
      <c r="F10" s="23"/>
      <c r="G10" s="23"/>
      <c r="H10" s="23"/>
      <c r="I10" s="23"/>
      <c r="J10" s="24"/>
      <c r="K10" s="25"/>
      <c r="L10" s="23"/>
      <c r="M10" s="23"/>
      <c r="N10" s="88"/>
      <c r="O10" s="88"/>
      <c r="P10" s="88"/>
      <c r="Q10" s="20">
        <f>Q9</f>
        <v>3.9051121312432671E-2</v>
      </c>
      <c r="R10" s="20">
        <f t="shared" ref="R10:Y10" si="4">R9</f>
        <v>0.1468253968253968</v>
      </c>
      <c r="S10" s="20">
        <f t="shared" si="4"/>
        <v>0.13018518518518515</v>
      </c>
      <c r="T10" s="20">
        <f t="shared" si="4"/>
        <v>4.7652059865273245E-4</v>
      </c>
      <c r="U10" s="20">
        <f t="shared" si="4"/>
        <v>1.4682539682539681E-2</v>
      </c>
      <c r="V10" s="20">
        <f t="shared" si="4"/>
        <v>1.3067460317460314E-2</v>
      </c>
      <c r="W10" s="20">
        <f t="shared" si="4"/>
        <v>30.622980859093083</v>
      </c>
      <c r="X10" s="20">
        <f t="shared" si="4"/>
        <v>3.8388136396804665E-3</v>
      </c>
      <c r="Y10" s="20">
        <f t="shared" si="4"/>
        <v>1.236759259259259E-2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B-7
Construction Heavy Equipment Emissions
TL 6910 Construction
</oddHeader>
    <oddFooter>&amp;CB-7</oddFooter>
  </headerFooter>
</worksheet>
</file>

<file path=xl/worksheets/sheet28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75"/>
  <sheetViews>
    <sheetView zoomScale="75" workbookViewId="0">
      <selection activeCell="B16" sqref="B16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802</v>
      </c>
    </row>
    <row r="2" spans="1:30">
      <c r="A2" s="83"/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78" t="s">
        <v>55</v>
      </c>
      <c r="H6" s="578" t="s">
        <v>56</v>
      </c>
      <c r="I6" s="574" t="s">
        <v>57</v>
      </c>
      <c r="J6" s="57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78" t="s">
        <v>61</v>
      </c>
      <c r="R6" s="574" t="s">
        <v>62</v>
      </c>
      <c r="S6" s="57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77" t="s">
        <v>69</v>
      </c>
      <c r="H7" s="41" t="s">
        <v>69</v>
      </c>
      <c r="I7" s="41" t="s">
        <v>69</v>
      </c>
      <c r="J7" s="41" t="s">
        <v>69</v>
      </c>
      <c r="K7" s="574" t="s">
        <v>69</v>
      </c>
      <c r="L7" s="574" t="s">
        <v>71</v>
      </c>
      <c r="M7" s="574" t="s">
        <v>72</v>
      </c>
      <c r="N7" s="574" t="s">
        <v>69</v>
      </c>
      <c r="O7" s="574" t="s">
        <v>71</v>
      </c>
      <c r="P7" s="574" t="s">
        <v>72</v>
      </c>
      <c r="Q7" s="41" t="s">
        <v>69</v>
      </c>
      <c r="R7" s="574" t="s">
        <v>69</v>
      </c>
      <c r="S7" s="57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>
      <c r="A8" s="114" t="s">
        <v>341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5" t="s">
        <v>28</v>
      </c>
      <c r="B9" s="74"/>
      <c r="C9" s="112"/>
      <c r="D9" s="112"/>
      <c r="E9" s="74"/>
      <c r="F9" s="74"/>
      <c r="G9" s="577"/>
      <c r="H9" s="41"/>
      <c r="I9" s="41"/>
      <c r="J9" s="41"/>
      <c r="K9" s="574"/>
      <c r="L9" s="574"/>
      <c r="M9" s="574"/>
      <c r="N9" s="574"/>
      <c r="O9" s="574"/>
      <c r="P9" s="574"/>
      <c r="Q9" s="41"/>
      <c r="R9" s="574"/>
      <c r="S9" s="574"/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v>0</v>
      </c>
      <c r="AC9" s="81">
        <v>0</v>
      </c>
      <c r="AD9" s="81">
        <v>0</v>
      </c>
    </row>
    <row r="10" spans="1:30">
      <c r="A10" s="429" t="s">
        <v>388</v>
      </c>
      <c r="B10" s="74"/>
      <c r="C10" s="112"/>
      <c r="D10" s="112"/>
      <c r="E10" s="74"/>
      <c r="F10" s="74"/>
      <c r="G10" s="577"/>
      <c r="H10" s="41"/>
      <c r="I10" s="41"/>
      <c r="J10" s="41"/>
      <c r="K10" s="574"/>
      <c r="L10" s="574"/>
      <c r="M10" s="574"/>
      <c r="N10" s="574"/>
      <c r="O10" s="574"/>
      <c r="P10" s="574"/>
      <c r="Q10" s="41"/>
      <c r="R10" s="574"/>
      <c r="S10" s="574"/>
      <c r="T10" s="81">
        <f>T9</f>
        <v>0</v>
      </c>
      <c r="U10" s="81">
        <f t="shared" ref="U10:AD10" si="0">U9</f>
        <v>0</v>
      </c>
      <c r="V10" s="81">
        <f t="shared" si="0"/>
        <v>0</v>
      </c>
      <c r="W10" s="81">
        <f t="shared" si="0"/>
        <v>0</v>
      </c>
      <c r="X10" s="81">
        <f t="shared" si="0"/>
        <v>0</v>
      </c>
      <c r="Y10" s="81">
        <f t="shared" si="0"/>
        <v>0</v>
      </c>
      <c r="Z10" s="81">
        <f t="shared" si="0"/>
        <v>0</v>
      </c>
      <c r="AA10" s="81">
        <f t="shared" si="0"/>
        <v>0</v>
      </c>
      <c r="AB10" s="81">
        <f t="shared" si="0"/>
        <v>0</v>
      </c>
      <c r="AC10" s="81">
        <f t="shared" si="0"/>
        <v>0</v>
      </c>
      <c r="AD10" s="81">
        <f t="shared" si="0"/>
        <v>0</v>
      </c>
    </row>
    <row r="11" spans="1:30">
      <c r="A11" s="370"/>
      <c r="B11" s="371"/>
      <c r="C11" s="372"/>
      <c r="D11" s="372"/>
      <c r="E11" s="371"/>
      <c r="F11" s="371"/>
      <c r="G11" s="373"/>
      <c r="H11" s="373"/>
      <c r="I11" s="373"/>
      <c r="J11" s="373"/>
      <c r="K11" s="373"/>
      <c r="L11" s="373"/>
      <c r="M11" s="373"/>
      <c r="N11" s="373"/>
      <c r="O11" s="373"/>
      <c r="P11" s="373"/>
      <c r="Q11" s="373"/>
      <c r="R11" s="373"/>
      <c r="S11" s="373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</row>
    <row r="12" spans="1:30">
      <c r="A12" s="370"/>
      <c r="B12" s="371"/>
      <c r="C12" s="372"/>
      <c r="D12" s="372"/>
      <c r="E12" s="371"/>
      <c r="F12" s="371"/>
      <c r="G12" s="373"/>
      <c r="H12" s="373"/>
      <c r="I12" s="373"/>
      <c r="J12" s="373"/>
      <c r="K12" s="373"/>
      <c r="L12" s="373"/>
      <c r="M12" s="373"/>
      <c r="N12" s="373"/>
      <c r="O12" s="373"/>
      <c r="P12" s="373"/>
      <c r="Q12" s="373"/>
      <c r="R12" s="373"/>
      <c r="S12" s="373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</row>
    <row r="13" spans="1:30">
      <c r="A13" s="370"/>
      <c r="B13" s="371"/>
      <c r="C13" s="372"/>
      <c r="D13" s="372"/>
      <c r="E13" s="371"/>
      <c r="F13" s="371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</row>
    <row r="14" spans="1:30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</row>
    <row r="363" spans="1:1" ht="25.5">
      <c r="A363" s="82" t="s">
        <v>109</v>
      </c>
    </row>
    <row r="365" spans="1:1">
      <c r="A365" s="36" t="s">
        <v>81</v>
      </c>
    </row>
    <row r="366" spans="1:1">
      <c r="A366" s="36" t="s">
        <v>82</v>
      </c>
    </row>
    <row r="367" spans="1:1">
      <c r="A367" s="36" t="s">
        <v>83</v>
      </c>
    </row>
    <row r="368" spans="1:1">
      <c r="A368" s="37" t="s">
        <v>96</v>
      </c>
    </row>
    <row r="369" spans="1:2">
      <c r="A369" s="36" t="s">
        <v>85</v>
      </c>
    </row>
    <row r="370" spans="1:2">
      <c r="A370" s="36" t="s">
        <v>86</v>
      </c>
    </row>
    <row r="371" spans="1:2">
      <c r="A371" s="36" t="s">
        <v>87</v>
      </c>
    </row>
    <row r="372" spans="1:2">
      <c r="A372" s="36" t="s">
        <v>0</v>
      </c>
    </row>
    <row r="373" spans="1:2">
      <c r="A373" s="37" t="s">
        <v>97</v>
      </c>
      <c r="B373" s="36">
        <f>(0.016*(0.03/2)^0.65*(2/3)^1.5)-0.00047</f>
        <v>9.8123053326417428E-5</v>
      </c>
    </row>
    <row r="374" spans="1:2">
      <c r="A374" s="37" t="s">
        <v>98</v>
      </c>
      <c r="B374" s="36">
        <f>(0.016*(0.03/2)^0.65*(13/3)^1.5)-0.00047</f>
        <v>8.9448292388582783E-3</v>
      </c>
    </row>
    <row r="375" spans="1:2">
      <c r="A375" s="37" t="s">
        <v>99</v>
      </c>
      <c r="B375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B-8
Construction Truck Trip Emissions
TL 6910 Construction</oddHeader>
    <oddFooter>&amp;CB-8</oddFooter>
  </headerFooter>
</worksheet>
</file>

<file path=xl/worksheets/sheet28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A92" sqref="A92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803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7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74" t="s">
        <v>69</v>
      </c>
      <c r="S3" s="42" t="s">
        <v>118</v>
      </c>
      <c r="T3" s="574" t="s">
        <v>71</v>
      </c>
      <c r="U3" s="574" t="s">
        <v>72</v>
      </c>
      <c r="V3" s="574" t="s">
        <v>69</v>
      </c>
      <c r="W3" s="42" t="s">
        <v>118</v>
      </c>
      <c r="X3" s="574" t="s">
        <v>71</v>
      </c>
      <c r="Y3" s="574" t="s">
        <v>72</v>
      </c>
      <c r="Z3" s="41" t="s">
        <v>69</v>
      </c>
      <c r="AA3" s="42" t="s">
        <v>118</v>
      </c>
      <c r="AB3" s="574" t="s">
        <v>69</v>
      </c>
      <c r="AC3" s="42" t="s">
        <v>118</v>
      </c>
      <c r="AD3" s="574" t="s">
        <v>69</v>
      </c>
      <c r="AE3" s="42" t="s">
        <v>118</v>
      </c>
    </row>
    <row r="4" spans="1:67" ht="25.5">
      <c r="A4" s="44" t="s">
        <v>341</v>
      </c>
      <c r="B4" s="45" t="s">
        <v>102</v>
      </c>
      <c r="C4" s="46">
        <v>1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57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575" t="s">
        <v>55</v>
      </c>
      <c r="G87" s="575" t="s">
        <v>73</v>
      </c>
      <c r="H87" s="575" t="s">
        <v>74</v>
      </c>
      <c r="I87" s="575" t="s">
        <v>58</v>
      </c>
      <c r="J87" s="575" t="s">
        <v>59</v>
      </c>
      <c r="K87" s="575" t="s">
        <v>60</v>
      </c>
      <c r="L87" s="574" t="s">
        <v>75</v>
      </c>
      <c r="M87" s="574" t="s">
        <v>76</v>
      </c>
      <c r="N87" s="574" t="s">
        <v>61</v>
      </c>
      <c r="O87" s="574" t="s">
        <v>62</v>
      </c>
      <c r="P87" s="574" t="s">
        <v>63</v>
      </c>
      <c r="AN87" s="38"/>
      <c r="AZ87" s="36"/>
    </row>
    <row r="88" spans="1:52" ht="25.5">
      <c r="A88" s="44" t="str">
        <f t="shared" ref="A88:C88" si="52">A4</f>
        <v>Foundation Installation</v>
      </c>
      <c r="B88" s="45" t="str">
        <f t="shared" si="52"/>
        <v>Light-Duty Truck, catalyst</v>
      </c>
      <c r="C88" s="46">
        <f t="shared" si="52"/>
        <v>1</v>
      </c>
      <c r="D88" s="46">
        <v>35</v>
      </c>
      <c r="E88" s="46">
        <v>80</v>
      </c>
      <c r="F88" s="50">
        <f>C4*($E4*$F4+($G4))/453.59</f>
        <v>0.48571938588092006</v>
      </c>
      <c r="G88" s="50">
        <f>C4*($E4*$H4+($I4))/453.59</f>
        <v>4.367065729437801E-2</v>
      </c>
      <c r="H88" s="50">
        <f>C4*(($E4*$J4)+($K4)+($L4)+($E4*$N4)+(($M4+$O4)))/453.59</f>
        <v>5.0499980323953329E-2</v>
      </c>
      <c r="I88" s="50">
        <f>C4*($E4*$P4+($Q4))/453.59</f>
        <v>7.2679702716061593E-4</v>
      </c>
      <c r="J88" s="50">
        <f>C4*(($E4*($R4+$T4+$U4))+($S4))/453.59</f>
        <v>8.5240904552078972E-3</v>
      </c>
      <c r="K88" s="50">
        <f>$C4*(($E4*($V4+$X4+$Y4))+($W4))/453.59</f>
        <v>3.7120053242531417E-3</v>
      </c>
      <c r="L88" s="50">
        <f>$B$21*C4*(E4+6)</f>
        <v>8.4385825860718994E-3</v>
      </c>
      <c r="M88" s="50">
        <f t="shared" ref="M88" si="53">0.41*L88</f>
        <v>3.4598188602894785E-3</v>
      </c>
      <c r="N88" s="50">
        <f>C4*($E4*$Z4+($AA4))/453.59</f>
        <v>55.423576726038895</v>
      </c>
      <c r="O88" s="50">
        <f>C4*($E4*$AB4+($AC4))/453.59</f>
        <v>3.1704753890302493E-3</v>
      </c>
      <c r="P88" s="50">
        <f>C4*($E4*$AD4+($AE4))/453.59</f>
        <v>5.7711199138433603E-3</v>
      </c>
      <c r="AN88" s="38"/>
      <c r="AZ88" s="36"/>
    </row>
    <row r="89" spans="1:52">
      <c r="A89" s="61" t="s">
        <v>396</v>
      </c>
      <c r="B89" s="61"/>
      <c r="C89" s="61"/>
      <c r="D89" s="61"/>
      <c r="E89" s="61"/>
      <c r="F89" s="81">
        <f t="shared" ref="F89:P89" si="54">SUM(F88:F88)</f>
        <v>0.48571938588092006</v>
      </c>
      <c r="G89" s="81">
        <f t="shared" si="54"/>
        <v>4.367065729437801E-2</v>
      </c>
      <c r="H89" s="81">
        <f t="shared" si="54"/>
        <v>5.0499980323953329E-2</v>
      </c>
      <c r="I89" s="81">
        <f t="shared" si="54"/>
        <v>7.2679702716061593E-4</v>
      </c>
      <c r="J89" s="81">
        <f t="shared" si="54"/>
        <v>8.5240904552078972E-3</v>
      </c>
      <c r="K89" s="81">
        <f t="shared" si="54"/>
        <v>3.7120053242531417E-3</v>
      </c>
      <c r="L89" s="81">
        <f t="shared" si="54"/>
        <v>8.4385825860718994E-3</v>
      </c>
      <c r="M89" s="81">
        <f t="shared" si="54"/>
        <v>3.4598188602894785E-3</v>
      </c>
      <c r="N89" s="81">
        <f t="shared" si="54"/>
        <v>55.423576726038895</v>
      </c>
      <c r="O89" s="81">
        <f t="shared" si="54"/>
        <v>3.1704753890302493E-3</v>
      </c>
      <c r="P89" s="81">
        <f t="shared" si="54"/>
        <v>5.7711199138433603E-3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B-9
Construction Worker Commute Emission Calculations
TL 6910 Construction</oddHeader>
    <oddFooter>&amp;CB-9</oddFooter>
  </headerFooter>
</worksheet>
</file>

<file path=xl/worksheets/sheet28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3"/>
  <sheetViews>
    <sheetView zoomScale="75" zoomScaleNormal="75" workbookViewId="0">
      <selection activeCell="A2" sqref="A2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804</v>
      </c>
    </row>
    <row r="2" spans="1:25">
      <c r="A2" s="83"/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19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272</v>
      </c>
      <c r="B7" s="29"/>
      <c r="C7" s="97"/>
      <c r="D7" s="12"/>
      <c r="E7" s="102"/>
      <c r="F7" s="102"/>
      <c r="G7" s="102"/>
      <c r="H7" s="102"/>
      <c r="I7" s="102"/>
      <c r="J7" s="100"/>
      <c r="K7" s="103"/>
      <c r="L7" s="102"/>
      <c r="M7" s="104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 t="s">
        <v>129</v>
      </c>
      <c r="B8" s="29" t="s">
        <v>27</v>
      </c>
      <c r="C8" s="97">
        <v>399</v>
      </c>
      <c r="D8" s="97">
        <v>0.28999999999999998</v>
      </c>
      <c r="E8" s="418">
        <v>0.13249726882716423</v>
      </c>
      <c r="F8" s="397">
        <v>0.66324074074074058</v>
      </c>
      <c r="G8" s="397">
        <v>1.1632222222222219</v>
      </c>
      <c r="H8" s="418">
        <v>1.7677529729271738E-3</v>
      </c>
      <c r="I8" s="397">
        <v>3.8263888888888889E-2</v>
      </c>
      <c r="J8" s="100">
        <f t="shared" ref="J8:J12" si="0">0.89*I8</f>
        <v>3.4054861111111112E-2</v>
      </c>
      <c r="K8" s="103">
        <v>180.10131655574588</v>
      </c>
      <c r="L8" s="102">
        <v>1.3243614024502522E-2</v>
      </c>
      <c r="M8" s="104">
        <f t="shared" ref="M8:M12" si="1">0.095*G8</f>
        <v>0.11050611111111108</v>
      </c>
      <c r="N8" s="87">
        <v>1</v>
      </c>
      <c r="O8" s="87">
        <v>8</v>
      </c>
      <c r="P8" s="88">
        <v>2</v>
      </c>
      <c r="Q8" s="34">
        <f t="shared" ref="Q8:Y12" si="2">(E8*$N8*$O8)</f>
        <v>1.0599781506173138</v>
      </c>
      <c r="R8" s="26">
        <f t="shared" si="2"/>
        <v>5.3059259259259246</v>
      </c>
      <c r="S8" s="26">
        <f t="shared" si="2"/>
        <v>9.3057777777777755</v>
      </c>
      <c r="T8" s="26">
        <f t="shared" si="2"/>
        <v>1.414202378341739E-2</v>
      </c>
      <c r="U8" s="26">
        <f t="shared" si="2"/>
        <v>0.30611111111111111</v>
      </c>
      <c r="V8" s="26">
        <f t="shared" si="2"/>
        <v>0.2724388888888889</v>
      </c>
      <c r="W8" s="26">
        <f t="shared" si="2"/>
        <v>1440.8105324459671</v>
      </c>
      <c r="X8" s="26">
        <f t="shared" si="2"/>
        <v>0.10594891219602018</v>
      </c>
      <c r="Y8" s="26">
        <f t="shared" si="2"/>
        <v>0.88404888888888866</v>
      </c>
    </row>
    <row r="9" spans="1:25" s="3" customFormat="1">
      <c r="A9" s="24" t="s">
        <v>114</v>
      </c>
      <c r="B9" s="90" t="s">
        <v>27</v>
      </c>
      <c r="C9" s="97">
        <v>34</v>
      </c>
      <c r="D9" s="97">
        <v>0.31</v>
      </c>
      <c r="E9" s="102">
        <v>4.2958246826547246E-2</v>
      </c>
      <c r="F9" s="397">
        <v>9.5268959435626091E-2</v>
      </c>
      <c r="G9" s="397">
        <v>0.12361728395061726</v>
      </c>
      <c r="H9" s="102">
        <v>2.5354407605791113E-4</v>
      </c>
      <c r="I9" s="397">
        <v>1.0456349206349205E-2</v>
      </c>
      <c r="J9" s="100">
        <f t="shared" si="0"/>
        <v>9.3061507936507935E-3</v>
      </c>
      <c r="K9" s="103">
        <v>19.61276416423032</v>
      </c>
      <c r="L9" s="102">
        <v>4.8141782348593348E-3</v>
      </c>
      <c r="M9" s="104">
        <f t="shared" si="1"/>
        <v>1.174364197530864E-2</v>
      </c>
      <c r="N9" s="87">
        <v>2</v>
      </c>
      <c r="O9" s="87">
        <v>8</v>
      </c>
      <c r="P9" s="99">
        <v>2</v>
      </c>
      <c r="Q9" s="34">
        <f t="shared" si="2"/>
        <v>0.68733194922475593</v>
      </c>
      <c r="R9" s="26">
        <f t="shared" si="2"/>
        <v>1.5243033509700175</v>
      </c>
      <c r="S9" s="26">
        <f t="shared" si="2"/>
        <v>1.9778765432098762</v>
      </c>
      <c r="T9" s="26">
        <f t="shared" si="2"/>
        <v>4.0567052169265781E-3</v>
      </c>
      <c r="U9" s="26">
        <f t="shared" si="2"/>
        <v>0.16730158730158728</v>
      </c>
      <c r="V9" s="26">
        <f t="shared" si="2"/>
        <v>0.1488984126984127</v>
      </c>
      <c r="W9" s="26">
        <f t="shared" si="2"/>
        <v>313.80422662768513</v>
      </c>
      <c r="X9" s="26">
        <f t="shared" si="2"/>
        <v>7.7026851757749357E-2</v>
      </c>
      <c r="Y9" s="26">
        <f t="shared" si="2"/>
        <v>0.18789827160493824</v>
      </c>
    </row>
    <row r="10" spans="1:25" s="3" customFormat="1">
      <c r="A10" s="24" t="s">
        <v>297</v>
      </c>
      <c r="B10" s="29" t="s">
        <v>27</v>
      </c>
      <c r="C10" s="97">
        <v>235</v>
      </c>
      <c r="D10" s="97"/>
      <c r="E10" s="102">
        <v>0.11792220738547983</v>
      </c>
      <c r="F10" s="102">
        <v>0.36512193352152528</v>
      </c>
      <c r="G10" s="102">
        <v>0.86781464282266541</v>
      </c>
      <c r="H10" s="102">
        <v>1.8739217498104396E-3</v>
      </c>
      <c r="I10" s="102">
        <v>2.9041712295589866E-2</v>
      </c>
      <c r="J10" s="100">
        <f t="shared" si="0"/>
        <v>2.5847123943074982E-2</v>
      </c>
      <c r="K10" s="103">
        <v>166.54541562452522</v>
      </c>
      <c r="L10" s="102">
        <v>1.063993297769634E-2</v>
      </c>
      <c r="M10" s="104">
        <f t="shared" si="1"/>
        <v>8.2442391068153209E-2</v>
      </c>
      <c r="N10" s="98">
        <v>1</v>
      </c>
      <c r="O10" s="98">
        <v>8</v>
      </c>
      <c r="P10" s="88">
        <v>2</v>
      </c>
      <c r="Q10" s="34">
        <f t="shared" si="2"/>
        <v>0.94337765908383864</v>
      </c>
      <c r="R10" s="26">
        <f t="shared" si="2"/>
        <v>2.9209754681722022</v>
      </c>
      <c r="S10" s="26">
        <f t="shared" si="2"/>
        <v>6.9425171425813232</v>
      </c>
      <c r="T10" s="26">
        <f t="shared" si="2"/>
        <v>1.4991373998483517E-2</v>
      </c>
      <c r="U10" s="26">
        <f t="shared" si="2"/>
        <v>0.23233369836471893</v>
      </c>
      <c r="V10" s="26">
        <f t="shared" si="2"/>
        <v>0.20677699154459986</v>
      </c>
      <c r="W10" s="26">
        <f t="shared" si="2"/>
        <v>1332.3633249962018</v>
      </c>
      <c r="X10" s="26">
        <f t="shared" si="2"/>
        <v>8.5119463821570721E-2</v>
      </c>
      <c r="Y10" s="26">
        <f t="shared" si="2"/>
        <v>0.65953912854522567</v>
      </c>
    </row>
    <row r="11" spans="1:25" s="3" customFormat="1">
      <c r="A11" s="24" t="s">
        <v>129</v>
      </c>
      <c r="B11" s="29" t="s">
        <v>27</v>
      </c>
      <c r="C11" s="97">
        <v>399</v>
      </c>
      <c r="D11" s="97">
        <v>0.28999999999999998</v>
      </c>
      <c r="E11" s="418">
        <v>0.13249726882716423</v>
      </c>
      <c r="F11" s="397">
        <v>0.66324074074074058</v>
      </c>
      <c r="G11" s="397">
        <v>1.1632222222222219</v>
      </c>
      <c r="H11" s="418">
        <v>1.7677529729271738E-3</v>
      </c>
      <c r="I11" s="397">
        <v>3.8263888888888889E-2</v>
      </c>
      <c r="J11" s="100">
        <f t="shared" si="0"/>
        <v>3.4054861111111112E-2</v>
      </c>
      <c r="K11" s="103">
        <v>180.10131655574588</v>
      </c>
      <c r="L11" s="102">
        <v>1.3243614024502522E-2</v>
      </c>
      <c r="M11" s="104">
        <f t="shared" si="1"/>
        <v>0.11050611111111108</v>
      </c>
      <c r="N11" s="87">
        <v>1</v>
      </c>
      <c r="O11" s="87">
        <v>8</v>
      </c>
      <c r="P11" s="88">
        <v>2</v>
      </c>
      <c r="Q11" s="34">
        <f t="shared" si="2"/>
        <v>1.0599781506173138</v>
      </c>
      <c r="R11" s="26">
        <f t="shared" si="2"/>
        <v>5.3059259259259246</v>
      </c>
      <c r="S11" s="26">
        <f t="shared" si="2"/>
        <v>9.3057777777777755</v>
      </c>
      <c r="T11" s="26">
        <f t="shared" si="2"/>
        <v>1.414202378341739E-2</v>
      </c>
      <c r="U11" s="26">
        <f t="shared" si="2"/>
        <v>0.30611111111111111</v>
      </c>
      <c r="V11" s="26">
        <f t="shared" si="2"/>
        <v>0.2724388888888889</v>
      </c>
      <c r="W11" s="26">
        <f t="shared" si="2"/>
        <v>1440.8105324459671</v>
      </c>
      <c r="X11" s="26">
        <f t="shared" si="2"/>
        <v>0.10594891219602018</v>
      </c>
      <c r="Y11" s="26">
        <f t="shared" si="2"/>
        <v>0.88404888888888866</v>
      </c>
    </row>
    <row r="12" spans="1:25" s="3" customFormat="1">
      <c r="A12" s="24" t="s">
        <v>119</v>
      </c>
      <c r="B12" s="90" t="s">
        <v>27</v>
      </c>
      <c r="C12" s="97">
        <v>78</v>
      </c>
      <c r="D12" s="97">
        <v>0.48</v>
      </c>
      <c r="E12" s="102">
        <v>6.2432730803469526E-2</v>
      </c>
      <c r="F12" s="397">
        <v>0.30539682539682533</v>
      </c>
      <c r="G12" s="397">
        <v>0.38971111111111101</v>
      </c>
      <c r="H12" s="102">
        <v>5.5075019000828571E-4</v>
      </c>
      <c r="I12" s="397">
        <v>2.4761904761904759E-2</v>
      </c>
      <c r="J12" s="100">
        <f t="shared" si="0"/>
        <v>2.2038095238095235E-2</v>
      </c>
      <c r="K12" s="103">
        <v>46.950229824177143</v>
      </c>
      <c r="L12" s="102">
        <v>6.837183977115969E-3</v>
      </c>
      <c r="M12" s="104">
        <f t="shared" si="1"/>
        <v>3.7022555555555545E-2</v>
      </c>
      <c r="N12" s="98">
        <v>3</v>
      </c>
      <c r="O12" s="98">
        <v>8</v>
      </c>
      <c r="P12" s="99">
        <v>2</v>
      </c>
      <c r="Q12" s="34">
        <f t="shared" si="2"/>
        <v>1.4983855392832686</v>
      </c>
      <c r="R12" s="26">
        <f t="shared" si="2"/>
        <v>7.329523809523808</v>
      </c>
      <c r="S12" s="26">
        <f t="shared" si="2"/>
        <v>9.3530666666666633</v>
      </c>
      <c r="T12" s="26">
        <f t="shared" si="2"/>
        <v>1.3218004560198858E-2</v>
      </c>
      <c r="U12" s="26">
        <f t="shared" si="2"/>
        <v>0.59428571428571419</v>
      </c>
      <c r="V12" s="26">
        <f t="shared" si="2"/>
        <v>0.52891428571428567</v>
      </c>
      <c r="W12" s="26">
        <f t="shared" si="2"/>
        <v>1126.8055157802514</v>
      </c>
      <c r="X12" s="26">
        <f t="shared" si="2"/>
        <v>0.16409241545078326</v>
      </c>
      <c r="Y12" s="26">
        <f t="shared" si="2"/>
        <v>0.88854133333333307</v>
      </c>
    </row>
    <row r="13" spans="1:25" s="3" customFormat="1">
      <c r="A13" s="17" t="s">
        <v>28</v>
      </c>
      <c r="B13" s="29"/>
      <c r="C13" s="97"/>
      <c r="D13" s="12"/>
      <c r="E13" s="102"/>
      <c r="F13" s="102"/>
      <c r="G13" s="102"/>
      <c r="H13" s="102"/>
      <c r="I13" s="102"/>
      <c r="J13" s="100"/>
      <c r="K13" s="103"/>
      <c r="L13" s="102"/>
      <c r="M13" s="104"/>
      <c r="N13" s="88"/>
      <c r="O13" s="88"/>
      <c r="P13" s="88"/>
      <c r="Q13" s="101">
        <f t="shared" ref="Q13:Y13" si="3">SUM(Q8:Q12)</f>
        <v>5.2490514488264903</v>
      </c>
      <c r="R13" s="101">
        <f t="shared" si="3"/>
        <v>22.386654480517876</v>
      </c>
      <c r="S13" s="101">
        <f t="shared" si="3"/>
        <v>36.885015908013415</v>
      </c>
      <c r="T13" s="101">
        <f t="shared" si="3"/>
        <v>6.0550131342443733E-2</v>
      </c>
      <c r="U13" s="101">
        <f t="shared" si="3"/>
        <v>1.6061432221742429</v>
      </c>
      <c r="V13" s="101">
        <f t="shared" si="3"/>
        <v>1.429467467735076</v>
      </c>
      <c r="W13" s="101">
        <f t="shared" si="3"/>
        <v>5654.5941322960734</v>
      </c>
      <c r="X13" s="101">
        <f t="shared" si="3"/>
        <v>0.53813655542214367</v>
      </c>
      <c r="Y13" s="101">
        <f t="shared" si="3"/>
        <v>3.5040765112612742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B-7
Construction Heavy Equipment Emissions
TL 6910 Construction
</oddHeader>
    <oddFooter>&amp;CB-7</oddFooter>
  </headerFooter>
</worksheet>
</file>

<file path=xl/worksheets/sheet28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376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42">
      <c r="A1" s="3" t="s">
        <v>805</v>
      </c>
    </row>
    <row r="2" spans="1:42">
      <c r="A2" s="83"/>
    </row>
    <row r="6" spans="1:42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25" t="s">
        <v>55</v>
      </c>
      <c r="H6" s="425" t="s">
        <v>56</v>
      </c>
      <c r="I6" s="421" t="s">
        <v>57</v>
      </c>
      <c r="J6" s="425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25" t="s">
        <v>61</v>
      </c>
      <c r="R6" s="421" t="s">
        <v>62</v>
      </c>
      <c r="S6" s="421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42" ht="63.75">
      <c r="A7" s="592"/>
      <c r="B7" s="592"/>
      <c r="C7" s="593"/>
      <c r="D7" s="593"/>
      <c r="E7" s="74" t="s">
        <v>67</v>
      </c>
      <c r="F7" s="74" t="s">
        <v>68</v>
      </c>
      <c r="G7" s="424" t="s">
        <v>69</v>
      </c>
      <c r="H7" s="41" t="s">
        <v>69</v>
      </c>
      <c r="I7" s="41" t="s">
        <v>69</v>
      </c>
      <c r="J7" s="41" t="s">
        <v>69</v>
      </c>
      <c r="K7" s="421" t="s">
        <v>69</v>
      </c>
      <c r="L7" s="421" t="s">
        <v>71</v>
      </c>
      <c r="M7" s="421" t="s">
        <v>72</v>
      </c>
      <c r="N7" s="421" t="s">
        <v>69</v>
      </c>
      <c r="O7" s="421" t="s">
        <v>71</v>
      </c>
      <c r="P7" s="421" t="s">
        <v>72</v>
      </c>
      <c r="Q7" s="41" t="s">
        <v>69</v>
      </c>
      <c r="R7" s="421" t="s">
        <v>69</v>
      </c>
      <c r="S7" s="421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42">
      <c r="A8" s="114" t="s">
        <v>339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  <c r="AE8" s="43"/>
      <c r="AF8" s="61"/>
      <c r="AG8" s="61"/>
      <c r="AH8" s="61"/>
      <c r="AI8" s="61"/>
      <c r="AJ8" s="61"/>
      <c r="AK8" s="61"/>
      <c r="AL8" s="62"/>
      <c r="AM8" s="62"/>
      <c r="AN8" s="63"/>
      <c r="AO8" s="61"/>
      <c r="AP8" s="61"/>
    </row>
    <row r="9" spans="1:42">
      <c r="A9" s="78" t="s">
        <v>327</v>
      </c>
      <c r="B9" s="76" t="s">
        <v>105</v>
      </c>
      <c r="C9" s="374">
        <v>1</v>
      </c>
      <c r="D9" s="77"/>
      <c r="E9" s="77">
        <v>35</v>
      </c>
      <c r="F9" s="77">
        <v>80</v>
      </c>
      <c r="G9" s="106">
        <v>1.08263976628415</v>
      </c>
      <c r="H9" s="106">
        <v>4.9712718909585103</v>
      </c>
      <c r="I9" s="106">
        <v>0.26248012575016899</v>
      </c>
      <c r="J9" s="106">
        <v>1.0711818E-2</v>
      </c>
      <c r="K9" s="106">
        <v>7.1679901072141505E-2</v>
      </c>
      <c r="L9" s="556">
        <v>3.59998119015979E-2</v>
      </c>
      <c r="M9" s="556">
        <v>6.1739677411240299E-2</v>
      </c>
      <c r="N9" s="106">
        <v>6.5945508986370194E-2</v>
      </c>
      <c r="O9" s="556">
        <v>2.9999843251331498E-3</v>
      </c>
      <c r="P9" s="556">
        <v>5.5859708133979398E-2</v>
      </c>
      <c r="Q9" s="106">
        <v>1710.7260798814</v>
      </c>
      <c r="R9" s="47">
        <v>1.5235246282551899E-2</v>
      </c>
      <c r="S9" s="80">
        <f>0.000025616*Q9</f>
        <v>4.3821959262241944E-2</v>
      </c>
      <c r="T9" s="50">
        <f>C9*($F9*$G9)/453.59</f>
        <v>0.19094596728925242</v>
      </c>
      <c r="U9" s="50">
        <f>C9*($F9*$H9)/453.59</f>
        <v>0.87678685878586582</v>
      </c>
      <c r="V9" s="50">
        <f>C9*(($F9*$I9))/453.59</f>
        <v>4.6293811724274173E-2</v>
      </c>
      <c r="W9" s="50">
        <f>C9*($F9*$J9)/453.59</f>
        <v>1.8892511739676801E-3</v>
      </c>
      <c r="X9" s="50">
        <f>C9*(($F9*($K9+$L9+$M9)))/453.59</f>
        <v>2.9880621774726907E-2</v>
      </c>
      <c r="Y9" s="50">
        <f>C9*(($F9*($N9+$O9+$P9)))/453.59</f>
        <v>2.2011984646131133E-2</v>
      </c>
      <c r="Z9" s="50">
        <f>C9*(F9)*$B$398</f>
        <v>0</v>
      </c>
      <c r="AA9" s="50">
        <f>Z9*0.21</f>
        <v>0</v>
      </c>
      <c r="AB9" s="50">
        <f>C9*(($F9*($Q9)))/453.59</f>
        <v>301.72200972356535</v>
      </c>
      <c r="AC9" s="50">
        <f>C9*(($F9*($R9)))/453.59</f>
        <v>2.6870515280410772E-3</v>
      </c>
      <c r="AD9" s="50">
        <f>C9*(($F9*($S9)))/453.59</f>
        <v>7.7289110010788503E-3</v>
      </c>
      <c r="AE9" s="51">
        <v>2</v>
      </c>
      <c r="AF9" s="50">
        <f t="shared" ref="AF9:AP11" si="0">T9*$AE9/2000</f>
        <v>1.9094596728925242E-4</v>
      </c>
      <c r="AG9" s="50">
        <f t="shared" si="0"/>
        <v>8.7678685878586583E-4</v>
      </c>
      <c r="AH9" s="50">
        <f t="shared" si="0"/>
        <v>4.6293811724274174E-5</v>
      </c>
      <c r="AI9" s="50">
        <f t="shared" si="0"/>
        <v>1.8892511739676802E-6</v>
      </c>
      <c r="AJ9" s="50">
        <f t="shared" si="0"/>
        <v>2.9880621774726909E-5</v>
      </c>
      <c r="AK9" s="50">
        <f t="shared" si="0"/>
        <v>2.2011984646131133E-5</v>
      </c>
      <c r="AL9" s="50">
        <f t="shared" si="0"/>
        <v>0</v>
      </c>
      <c r="AM9" s="50">
        <f t="shared" si="0"/>
        <v>0</v>
      </c>
      <c r="AN9" s="50">
        <f t="shared" si="0"/>
        <v>0.30172200972356533</v>
      </c>
      <c r="AO9" s="50">
        <f t="shared" si="0"/>
        <v>2.6870515280410773E-6</v>
      </c>
      <c r="AP9" s="50">
        <f t="shared" si="0"/>
        <v>7.7289110010788505E-6</v>
      </c>
    </row>
    <row r="10" spans="1:42">
      <c r="A10" s="78" t="s">
        <v>342</v>
      </c>
      <c r="B10" s="76" t="s">
        <v>95</v>
      </c>
      <c r="C10" s="79">
        <v>1</v>
      </c>
      <c r="D10" s="77"/>
      <c r="E10" s="77">
        <v>35</v>
      </c>
      <c r="F10" s="77">
        <v>60</v>
      </c>
      <c r="G10" s="106">
        <v>0.25172046482947802</v>
      </c>
      <c r="H10" s="106">
        <v>0.464701387165456</v>
      </c>
      <c r="I10" s="106">
        <v>5.6776043658582402E-2</v>
      </c>
      <c r="J10" s="106">
        <v>3.5023733638119199E-3</v>
      </c>
      <c r="K10" s="106">
        <v>4.6899256897933901E-2</v>
      </c>
      <c r="L10" s="47">
        <v>7.99995847163921E-3</v>
      </c>
      <c r="M10" s="47">
        <v>3.6749815577381599E-2</v>
      </c>
      <c r="N10" s="106">
        <v>4.3147317248333997E-2</v>
      </c>
      <c r="O10" s="47">
        <v>1.9999896145790402E-3</v>
      </c>
      <c r="P10" s="47">
        <v>1.57499200131354E-2</v>
      </c>
      <c r="Q10" s="106">
        <v>243.966167526025</v>
      </c>
      <c r="R10" s="47">
        <f>0.000057143*Q10</f>
        <v>1.3940958710939646E-2</v>
      </c>
      <c r="S10" s="80">
        <f>0.000025616*Q10</f>
        <v>6.2494373473466567E-3</v>
      </c>
      <c r="T10" s="50">
        <f>C10*($F10*$G10)/453.59</f>
        <v>3.3297091844548342E-2</v>
      </c>
      <c r="U10" s="50">
        <f>C10*($F10*$H10)/453.59</f>
        <v>6.1469792609906218E-2</v>
      </c>
      <c r="V10" s="50">
        <f>C10*(($F10*$I10))/453.59</f>
        <v>7.5102242543154491E-3</v>
      </c>
      <c r="W10" s="50">
        <f>C10*($F10*$J10)/453.59</f>
        <v>4.6328711353582576E-4</v>
      </c>
      <c r="X10" s="50">
        <f>C10*(($F10*($K10+$L10+$M10)))/453.59</f>
        <v>1.2123154956717041E-2</v>
      </c>
      <c r="Y10" s="50">
        <f>C10*(($F10*($N10+$O10+$P10)))/453.59</f>
        <v>8.0553663276591338E-3</v>
      </c>
      <c r="Z10" s="50">
        <f>C10*(F10)*$B$398</f>
        <v>0</v>
      </c>
      <c r="AA10" s="50">
        <f>Z10*0.21</f>
        <v>0</v>
      </c>
      <c r="AB10" s="50">
        <f>C10*(($F10*($Q10)))/453.59</f>
        <v>32.271368530085546</v>
      </c>
      <c r="AC10" s="50">
        <f>C10*(($F10*($R10)))/453.59</f>
        <v>1.844082811914678E-3</v>
      </c>
      <c r="AD10" s="50">
        <f>C10*(($F10*($S10)))/453.59</f>
        <v>8.2666337626667119E-4</v>
      </c>
      <c r="AE10" s="51">
        <v>2</v>
      </c>
      <c r="AF10" s="50">
        <f t="shared" si="0"/>
        <v>3.3297091844548341E-5</v>
      </c>
      <c r="AG10" s="50">
        <f t="shared" si="0"/>
        <v>6.146979260990622E-5</v>
      </c>
      <c r="AH10" s="50">
        <f t="shared" si="0"/>
        <v>7.5102242543154493E-6</v>
      </c>
      <c r="AI10" s="50">
        <f t="shared" si="0"/>
        <v>4.6328711353582576E-7</v>
      </c>
      <c r="AJ10" s="50">
        <f t="shared" si="0"/>
        <v>1.2123154956717041E-5</v>
      </c>
      <c r="AK10" s="50">
        <f t="shared" si="0"/>
        <v>8.0553663276591334E-6</v>
      </c>
      <c r="AL10" s="50">
        <f t="shared" si="0"/>
        <v>0</v>
      </c>
      <c r="AM10" s="50">
        <f t="shared" si="0"/>
        <v>0</v>
      </c>
      <c r="AN10" s="50">
        <f t="shared" si="0"/>
        <v>3.2271368530085547E-2</v>
      </c>
      <c r="AO10" s="50">
        <f t="shared" si="0"/>
        <v>1.8440828119146779E-6</v>
      </c>
      <c r="AP10" s="50">
        <f t="shared" si="0"/>
        <v>8.2666337626667115E-7</v>
      </c>
    </row>
    <row r="11" spans="1:42">
      <c r="A11" s="78" t="s">
        <v>343</v>
      </c>
      <c r="B11" s="76" t="s">
        <v>95</v>
      </c>
      <c r="C11" s="79">
        <v>1</v>
      </c>
      <c r="D11" s="77"/>
      <c r="E11" s="77">
        <v>35</v>
      </c>
      <c r="F11" s="77">
        <v>60</v>
      </c>
      <c r="G11" s="106">
        <v>0.25172046482947802</v>
      </c>
      <c r="H11" s="106">
        <v>0.464701387165456</v>
      </c>
      <c r="I11" s="106">
        <v>5.6776043658582402E-2</v>
      </c>
      <c r="J11" s="106">
        <v>3.5023733638119199E-3</v>
      </c>
      <c r="K11" s="106">
        <v>4.6899256897933901E-2</v>
      </c>
      <c r="L11" s="47">
        <v>7.99995847163921E-3</v>
      </c>
      <c r="M11" s="47">
        <v>3.6749815577381599E-2</v>
      </c>
      <c r="N11" s="106">
        <v>4.3147317248333997E-2</v>
      </c>
      <c r="O11" s="47">
        <v>1.9999896145790402E-3</v>
      </c>
      <c r="P11" s="47">
        <v>1.57499200131354E-2</v>
      </c>
      <c r="Q11" s="106">
        <v>243.966167526025</v>
      </c>
      <c r="R11" s="47">
        <f>0.000057143*Q11</f>
        <v>1.3940958710939646E-2</v>
      </c>
      <c r="S11" s="80">
        <f>0.000025616*Q11</f>
        <v>6.2494373473466567E-3</v>
      </c>
      <c r="T11" s="50">
        <f>C11*($F11*$G11)/453.59</f>
        <v>3.3297091844548342E-2</v>
      </c>
      <c r="U11" s="50">
        <f>C11*($F11*$H11)/453.59</f>
        <v>6.1469792609906218E-2</v>
      </c>
      <c r="V11" s="50">
        <f>C11*(($F11*$I11))/453.59</f>
        <v>7.5102242543154491E-3</v>
      </c>
      <c r="W11" s="50">
        <f>C11*($F11*$J11)/453.59</f>
        <v>4.6328711353582576E-4</v>
      </c>
      <c r="X11" s="50">
        <f>C11*(($F11*($K11+$L11+$M11)))/453.59</f>
        <v>1.2123154956717041E-2</v>
      </c>
      <c r="Y11" s="50">
        <f>C11*(($F11*($N11+$O11+$P11)))/453.59</f>
        <v>8.0553663276591338E-3</v>
      </c>
      <c r="Z11" s="50">
        <f>C11*(F11)*$B$398</f>
        <v>0</v>
      </c>
      <c r="AA11" s="50">
        <f>Z11*0.21</f>
        <v>0</v>
      </c>
      <c r="AB11" s="50">
        <f>C11*(($F11*($Q11)))/453.59</f>
        <v>32.271368530085546</v>
      </c>
      <c r="AC11" s="50">
        <f>C11*(($F11*($R11)))/453.59</f>
        <v>1.844082811914678E-3</v>
      </c>
      <c r="AD11" s="50">
        <f>C11*(($F11*($S11)))/453.59</f>
        <v>8.2666337626667119E-4</v>
      </c>
      <c r="AE11" s="51">
        <v>2</v>
      </c>
      <c r="AF11" s="50">
        <f t="shared" si="0"/>
        <v>3.3297091844548341E-5</v>
      </c>
      <c r="AG11" s="50">
        <f t="shared" si="0"/>
        <v>6.146979260990622E-5</v>
      </c>
      <c r="AH11" s="50">
        <f t="shared" si="0"/>
        <v>7.5102242543154493E-6</v>
      </c>
      <c r="AI11" s="50">
        <f t="shared" si="0"/>
        <v>4.6328711353582576E-7</v>
      </c>
      <c r="AJ11" s="50">
        <f t="shared" si="0"/>
        <v>1.2123154956717041E-5</v>
      </c>
      <c r="AK11" s="50">
        <f t="shared" si="0"/>
        <v>8.0553663276591334E-6</v>
      </c>
      <c r="AL11" s="50">
        <f t="shared" si="0"/>
        <v>0</v>
      </c>
      <c r="AM11" s="50">
        <f t="shared" si="0"/>
        <v>0</v>
      </c>
      <c r="AN11" s="50">
        <f t="shared" si="0"/>
        <v>3.2271368530085547E-2</v>
      </c>
      <c r="AO11" s="50">
        <f t="shared" si="0"/>
        <v>1.8440828119146779E-6</v>
      </c>
      <c r="AP11" s="50">
        <f t="shared" si="0"/>
        <v>8.2666337626667115E-7</v>
      </c>
    </row>
    <row r="12" spans="1:42">
      <c r="A12" s="75" t="s">
        <v>28</v>
      </c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81">
        <f>SUM(T9:T11)</f>
        <v>0.25754015097834909</v>
      </c>
      <c r="U12" s="81">
        <f t="shared" ref="U12:AD12" si="1">SUM(U9:U11)</f>
        <v>0.99972644400567834</v>
      </c>
      <c r="V12" s="81">
        <f t="shared" si="1"/>
        <v>6.1314260232905066E-2</v>
      </c>
      <c r="W12" s="81">
        <f t="shared" si="1"/>
        <v>2.8158254010393316E-3</v>
      </c>
      <c r="X12" s="81">
        <f t="shared" si="1"/>
        <v>5.412693168816099E-2</v>
      </c>
      <c r="Y12" s="81">
        <f t="shared" si="1"/>
        <v>3.8122717301449401E-2</v>
      </c>
      <c r="Z12" s="81">
        <f t="shared" si="1"/>
        <v>0</v>
      </c>
      <c r="AA12" s="81">
        <f t="shared" si="1"/>
        <v>0</v>
      </c>
      <c r="AB12" s="81">
        <f t="shared" si="1"/>
        <v>366.26474678373648</v>
      </c>
      <c r="AC12" s="81">
        <f t="shared" si="1"/>
        <v>6.3752171518704336E-3</v>
      </c>
      <c r="AD12" s="81">
        <f t="shared" si="1"/>
        <v>9.3822377536121916E-3</v>
      </c>
      <c r="AE12" s="56"/>
      <c r="AF12" s="81">
        <f t="shared" ref="AF12:AP12" si="2">SUM(AF9:AF11)</f>
        <v>2.5754015097834913E-4</v>
      </c>
      <c r="AG12" s="81">
        <f t="shared" si="2"/>
        <v>9.9972644400567819E-4</v>
      </c>
      <c r="AH12" s="81">
        <f t="shared" si="2"/>
        <v>6.1314260232905079E-5</v>
      </c>
      <c r="AI12" s="81">
        <f t="shared" si="2"/>
        <v>2.8158254010393319E-6</v>
      </c>
      <c r="AJ12" s="81">
        <f t="shared" si="2"/>
        <v>5.4126931688160991E-5</v>
      </c>
      <c r="AK12" s="81">
        <f t="shared" si="2"/>
        <v>3.8122717301449404E-5</v>
      </c>
      <c r="AL12" s="81">
        <f t="shared" si="2"/>
        <v>0</v>
      </c>
      <c r="AM12" s="81">
        <f t="shared" si="2"/>
        <v>0</v>
      </c>
      <c r="AN12" s="81">
        <f t="shared" si="2"/>
        <v>0.36626474678373644</v>
      </c>
      <c r="AO12" s="81">
        <f t="shared" si="2"/>
        <v>6.3752171518704335E-6</v>
      </c>
      <c r="AP12" s="81">
        <f t="shared" si="2"/>
        <v>9.382237753612192E-6</v>
      </c>
    </row>
    <row r="13" spans="1:42">
      <c r="A13" s="370"/>
      <c r="B13" s="371"/>
      <c r="C13" s="372"/>
      <c r="D13" s="372"/>
      <c r="E13" s="371"/>
      <c r="F13" s="371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</row>
    <row r="14" spans="1:42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</row>
    <row r="15" spans="1:42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</row>
    <row r="364" spans="1:1" ht="25.5">
      <c r="A364" s="82" t="s">
        <v>109</v>
      </c>
    </row>
    <row r="366" spans="1:1">
      <c r="A366" s="36" t="s">
        <v>81</v>
      </c>
    </row>
    <row r="367" spans="1:1">
      <c r="A367" s="36" t="s">
        <v>82</v>
      </c>
    </row>
    <row r="368" spans="1:1">
      <c r="A368" s="36" t="s">
        <v>83</v>
      </c>
    </row>
    <row r="369" spans="1:2">
      <c r="A369" s="37" t="s">
        <v>96</v>
      </c>
    </row>
    <row r="370" spans="1:2">
      <c r="A370" s="36" t="s">
        <v>85</v>
      </c>
    </row>
    <row r="371" spans="1:2">
      <c r="A371" s="36" t="s">
        <v>86</v>
      </c>
    </row>
    <row r="372" spans="1:2">
      <c r="A372" s="36" t="s">
        <v>87</v>
      </c>
    </row>
    <row r="373" spans="1:2">
      <c r="A373" s="36" t="s">
        <v>0</v>
      </c>
    </row>
    <row r="374" spans="1:2">
      <c r="A374" s="37" t="s">
        <v>97</v>
      </c>
      <c r="B374" s="36">
        <f>(0.016*(0.03/2)^0.65*(2/3)^1.5)-0.00047</f>
        <v>9.8123053326417428E-5</v>
      </c>
    </row>
    <row r="375" spans="1:2">
      <c r="A375" s="37" t="s">
        <v>98</v>
      </c>
      <c r="B375" s="36">
        <f>(0.016*(0.03/2)^0.65*(13/3)^1.5)-0.00047</f>
        <v>8.9448292388582783E-3</v>
      </c>
    </row>
    <row r="376" spans="1:2">
      <c r="A376" s="37" t="s">
        <v>99</v>
      </c>
      <c r="B376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B-8
Construction Truck Trip Emissions
TL 6910 Construction</oddHeader>
    <oddFooter>&amp;CB-8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5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547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C9*(F9)*$B$377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C10*(F10)*$B$377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330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12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0.39956510213458007</v>
      </c>
      <c r="U14" s="50">
        <f>C14*($F14*$H14)/453.59</f>
        <v>0.73763751131887467</v>
      </c>
      <c r="V14" s="50">
        <f>C14*(($F14*$I14))/453.59</f>
        <v>9.01226910517854E-2</v>
      </c>
      <c r="W14" s="50">
        <f>C14*($F14*$J14)/453.59</f>
        <v>5.5594453624299087E-3</v>
      </c>
      <c r="X14" s="50">
        <f>C14*(($F14*($K14+$L14+$M14)))/453.59</f>
        <v>0.14547785948060449</v>
      </c>
      <c r="Y14" s="50">
        <f>C14*(($F14*($N14+$O14+$P14)))/453.59</f>
        <v>9.6664395931909605E-2</v>
      </c>
      <c r="Z14" s="50">
        <f>C14*(F14)*$B$377</f>
        <v>0</v>
      </c>
      <c r="AA14" s="50">
        <f>Z14*0.21</f>
        <v>0</v>
      </c>
      <c r="AB14" s="50">
        <f>C14*(($F14*($Q14)))/453.59</f>
        <v>387.25642236102652</v>
      </c>
      <c r="AC14" s="50">
        <f>C14*(($F14*($R14)))/453.59</f>
        <v>2.2128993742976135E-2</v>
      </c>
      <c r="AD14" s="50">
        <f>C14*(($F14*($S14)))/453.59</f>
        <v>9.9199605152000547E-3</v>
      </c>
    </row>
    <row r="15" spans="1:30">
      <c r="A15" s="78" t="s">
        <v>331</v>
      </c>
      <c r="B15" s="76" t="s">
        <v>105</v>
      </c>
      <c r="C15" s="374">
        <v>80</v>
      </c>
      <c r="D15" s="77"/>
      <c r="E15" s="77">
        <v>35</v>
      </c>
      <c r="F15" s="77">
        <v>80</v>
      </c>
      <c r="G15" s="106">
        <v>1.08263976628415</v>
      </c>
      <c r="H15" s="106">
        <v>4.9712718909585103</v>
      </c>
      <c r="I15" s="106">
        <v>0.26248012575016899</v>
      </c>
      <c r="J15" s="106">
        <v>1.0711818E-2</v>
      </c>
      <c r="K15" s="106">
        <v>7.1679901072141505E-2</v>
      </c>
      <c r="L15" s="576">
        <v>3.59998119015979E-2</v>
      </c>
      <c r="M15" s="576">
        <v>6.1739677411240299E-2</v>
      </c>
      <c r="N15" s="106">
        <v>6.5945508986370194E-2</v>
      </c>
      <c r="O15" s="576">
        <v>2.9999843251331498E-3</v>
      </c>
      <c r="P15" s="576">
        <v>5.5859708133979398E-2</v>
      </c>
      <c r="Q15" s="106">
        <v>1710.7260798814</v>
      </c>
      <c r="R15" s="47">
        <v>1.5235246282551899E-2</v>
      </c>
      <c r="S15" s="80">
        <f>0.000025616*Q15</f>
        <v>4.3821959262241944E-2</v>
      </c>
      <c r="T15" s="50">
        <f>C15*($F15*$G15)/453.59</f>
        <v>15.275677383140195</v>
      </c>
      <c r="U15" s="50">
        <f>C15*($F15*$H15)/453.59</f>
        <v>70.142948702869262</v>
      </c>
      <c r="V15" s="50">
        <f>C15*(($F15*$I15))/453.59</f>
        <v>3.7035049379419336</v>
      </c>
      <c r="W15" s="50">
        <f>C15*($F15*$J15)/453.59</f>
        <v>0.1511400939174144</v>
      </c>
      <c r="X15" s="50">
        <f>C15*(($F15*($K15+$L15+$M15)))/453.59</f>
        <v>2.3904497419781525</v>
      </c>
      <c r="Y15" s="50">
        <f>C15*(($F15*($N15+$O15+$P15)))/453.59</f>
        <v>1.7609587716904906</v>
      </c>
      <c r="Z15" s="50">
        <f>C15*(F15)*$B$377</f>
        <v>0</v>
      </c>
      <c r="AA15" s="50">
        <f>Z15*0.21</f>
        <v>0</v>
      </c>
      <c r="AB15" s="50">
        <f>C15*(($F15*($Q15)))/453.59</f>
        <v>24137.760777885233</v>
      </c>
      <c r="AC15" s="50">
        <f>C15*(($F15*($R15)))/453.59</f>
        <v>0.21496412224328618</v>
      </c>
      <c r="AD15" s="50">
        <f>C15*(($F15*($S15)))/453.59</f>
        <v>0.61831288008630803</v>
      </c>
    </row>
    <row r="16" spans="1:30">
      <c r="A16" s="75" t="s">
        <v>28</v>
      </c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>
        <f>SUM(T14:T15)</f>
        <v>15.675242485274776</v>
      </c>
      <c r="U16" s="81">
        <f t="shared" ref="U16:AD16" si="1">SUM(U14:U15)</f>
        <v>70.880586214188142</v>
      </c>
      <c r="V16" s="81">
        <f t="shared" si="1"/>
        <v>3.7936276289937192</v>
      </c>
      <c r="W16" s="81">
        <f t="shared" si="1"/>
        <v>0.15669953927984431</v>
      </c>
      <c r="X16" s="81">
        <f t="shared" si="1"/>
        <v>2.5359276014587571</v>
      </c>
      <c r="Y16" s="81">
        <f t="shared" si="1"/>
        <v>1.8576231676224002</v>
      </c>
      <c r="Z16" s="81">
        <f t="shared" si="1"/>
        <v>0</v>
      </c>
      <c r="AA16" s="81">
        <f t="shared" si="1"/>
        <v>0</v>
      </c>
      <c r="AB16" s="81">
        <f t="shared" si="1"/>
        <v>24525.01720024626</v>
      </c>
      <c r="AC16" s="81">
        <f t="shared" si="1"/>
        <v>0.23709311598626231</v>
      </c>
      <c r="AD16" s="81">
        <f t="shared" si="1"/>
        <v>0.62823284060150808</v>
      </c>
    </row>
    <row r="17" spans="1:30">
      <c r="A17" s="573"/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61"/>
      <c r="U17" s="61"/>
      <c r="V17" s="61"/>
      <c r="W17" s="61"/>
      <c r="X17" s="61"/>
      <c r="Y17" s="61"/>
      <c r="Z17" s="62"/>
      <c r="AA17" s="62"/>
      <c r="AB17" s="62"/>
      <c r="AC17" s="62"/>
      <c r="AD17" s="62"/>
    </row>
    <row r="18" spans="1:30">
      <c r="A18" s="114" t="s">
        <v>426</v>
      </c>
      <c r="B18" s="74"/>
      <c r="C18" s="112"/>
      <c r="D18" s="112"/>
      <c r="E18" s="74"/>
      <c r="F18" s="74"/>
      <c r="G18" s="577"/>
      <c r="H18" s="41"/>
      <c r="I18" s="41"/>
      <c r="J18" s="41"/>
      <c r="K18" s="574"/>
      <c r="L18" s="574"/>
      <c r="M18" s="574"/>
      <c r="N18" s="574"/>
      <c r="O18" s="574"/>
      <c r="P18" s="574"/>
      <c r="Q18" s="41"/>
      <c r="R18" s="574"/>
      <c r="S18" s="574"/>
      <c r="T18" s="61"/>
      <c r="U18" s="61"/>
      <c r="V18" s="61"/>
      <c r="W18" s="61"/>
      <c r="X18" s="61"/>
      <c r="Y18" s="61"/>
      <c r="Z18" s="62"/>
      <c r="AA18" s="62"/>
      <c r="AB18" s="62"/>
      <c r="AC18" s="62"/>
      <c r="AD18" s="62"/>
    </row>
    <row r="19" spans="1:30">
      <c r="A19" s="78" t="s">
        <v>320</v>
      </c>
      <c r="B19" s="76" t="s">
        <v>95</v>
      </c>
      <c r="C19" s="79">
        <v>10</v>
      </c>
      <c r="D19" s="77"/>
      <c r="E19" s="77">
        <v>35</v>
      </c>
      <c r="F19" s="77">
        <v>60</v>
      </c>
      <c r="G19" s="106">
        <v>0.25172046482947802</v>
      </c>
      <c r="H19" s="106">
        <v>0.464701387165456</v>
      </c>
      <c r="I19" s="106">
        <v>5.6776043658582402E-2</v>
      </c>
      <c r="J19" s="106">
        <v>3.5023733638119199E-3</v>
      </c>
      <c r="K19" s="106">
        <v>4.6899256897933901E-2</v>
      </c>
      <c r="L19" s="47">
        <v>7.99995847163921E-3</v>
      </c>
      <c r="M19" s="47">
        <v>3.6749815577381599E-2</v>
      </c>
      <c r="N19" s="106">
        <v>4.3147317248333997E-2</v>
      </c>
      <c r="O19" s="47">
        <v>1.9999896145790402E-3</v>
      </c>
      <c r="P19" s="47">
        <v>1.57499200131354E-2</v>
      </c>
      <c r="Q19" s="106">
        <v>243.966167526025</v>
      </c>
      <c r="R19" s="47">
        <f>0.000057143*Q19</f>
        <v>1.3940958710939646E-2</v>
      </c>
      <c r="S19" s="80">
        <f>0.000025616*Q19</f>
        <v>6.2494373473466567E-3</v>
      </c>
      <c r="T19" s="50">
        <f>C19*($F19*$G19)/453.59</f>
        <v>0.33297091844548338</v>
      </c>
      <c r="U19" s="50">
        <f>C19*($F19*$H19)/453.59</f>
        <v>0.61469792609906215</v>
      </c>
      <c r="V19" s="50">
        <f>C19*(($F19*$I19))/453.59</f>
        <v>7.5102242543154479E-2</v>
      </c>
      <c r="W19" s="50">
        <f>C19*($F19*$J19)/453.59</f>
        <v>4.6328711353582578E-3</v>
      </c>
      <c r="X19" s="50">
        <f>C19*(($F19*($K19+$L19+$M19)))/453.59</f>
        <v>0.12123154956717042</v>
      </c>
      <c r="Y19" s="50">
        <f>C19*(($F19*($N19+$O19+$P19)))/453.59</f>
        <v>8.0553663276591345E-2</v>
      </c>
      <c r="Z19" s="50">
        <f>C19*(F19)*$B$377</f>
        <v>0</v>
      </c>
      <c r="AA19" s="50">
        <f>Z19*0.21</f>
        <v>0</v>
      </c>
      <c r="AB19" s="50">
        <f>C19*(($F19*($Q19)))/453.59</f>
        <v>322.71368530085539</v>
      </c>
      <c r="AC19" s="50">
        <f>C19*(($F19*($R19)))/453.59</f>
        <v>1.8440828119146779E-2</v>
      </c>
      <c r="AD19" s="50">
        <f>C19*(($F19*($S19)))/453.59</f>
        <v>8.2666337626667117E-3</v>
      </c>
    </row>
    <row r="20" spans="1:30">
      <c r="A20" s="75" t="s">
        <v>28</v>
      </c>
      <c r="B20" s="74"/>
      <c r="C20" s="112"/>
      <c r="D20" s="112"/>
      <c r="E20" s="74"/>
      <c r="F20" s="74"/>
      <c r="G20" s="577"/>
      <c r="H20" s="41"/>
      <c r="I20" s="41"/>
      <c r="J20" s="41"/>
      <c r="K20" s="574"/>
      <c r="L20" s="574"/>
      <c r="M20" s="574"/>
      <c r="N20" s="574"/>
      <c r="O20" s="574"/>
      <c r="P20" s="574"/>
      <c r="Q20" s="41"/>
      <c r="R20" s="574"/>
      <c r="S20" s="574"/>
      <c r="T20" s="81">
        <f t="shared" ref="T20:AD20" si="2">SUM(T19:T19)</f>
        <v>0.33297091844548338</v>
      </c>
      <c r="U20" s="81">
        <f t="shared" si="2"/>
        <v>0.61469792609906215</v>
      </c>
      <c r="V20" s="81">
        <f t="shared" si="2"/>
        <v>7.5102242543154479E-2</v>
      </c>
      <c r="W20" s="81">
        <f t="shared" si="2"/>
        <v>4.6328711353582578E-3</v>
      </c>
      <c r="X20" s="81">
        <f t="shared" si="2"/>
        <v>0.12123154956717042</v>
      </c>
      <c r="Y20" s="81">
        <f t="shared" si="2"/>
        <v>8.0553663276591345E-2</v>
      </c>
      <c r="Z20" s="81">
        <f t="shared" si="2"/>
        <v>0</v>
      </c>
      <c r="AA20" s="81">
        <f t="shared" si="2"/>
        <v>0</v>
      </c>
      <c r="AB20" s="81">
        <f t="shared" si="2"/>
        <v>322.71368530085539</v>
      </c>
      <c r="AC20" s="81">
        <f t="shared" si="2"/>
        <v>1.8440828119146779E-2</v>
      </c>
      <c r="AD20" s="81">
        <f t="shared" si="2"/>
        <v>8.2666337626667117E-3</v>
      </c>
    </row>
    <row r="21" spans="1:30">
      <c r="A21" s="75" t="s">
        <v>388</v>
      </c>
      <c r="B21" s="74"/>
      <c r="C21" s="112"/>
      <c r="D21" s="112"/>
      <c r="E21" s="74"/>
      <c r="F21" s="74"/>
      <c r="G21" s="547"/>
      <c r="H21" s="41"/>
      <c r="I21" s="41"/>
      <c r="J21" s="41"/>
      <c r="K21" s="544"/>
      <c r="L21" s="544"/>
      <c r="M21" s="544"/>
      <c r="N21" s="544"/>
      <c r="O21" s="544"/>
      <c r="P21" s="544"/>
      <c r="Q21" s="41"/>
      <c r="R21" s="544"/>
      <c r="S21" s="544"/>
      <c r="T21" s="81">
        <f>T11+T16+T20</f>
        <v>16.299050646543158</v>
      </c>
      <c r="U21" s="81">
        <f t="shared" ref="U21:AD21" si="3">U11+U16+U20</f>
        <v>72.556480376902798</v>
      </c>
      <c r="V21" s="81">
        <f t="shared" si="3"/>
        <v>3.9375543560240942</v>
      </c>
      <c r="W21" s="81">
        <f t="shared" si="3"/>
        <v>0.16461152292977774</v>
      </c>
      <c r="X21" s="81">
        <f t="shared" si="3"/>
        <v>2.7234092376708054</v>
      </c>
      <c r="Y21" s="81">
        <f t="shared" si="3"/>
        <v>1.9843549145281001</v>
      </c>
      <c r="Z21" s="81">
        <f t="shared" si="3"/>
        <v>0</v>
      </c>
      <c r="AA21" s="81">
        <f t="shared" si="3"/>
        <v>0</v>
      </c>
      <c r="AB21" s="81">
        <f t="shared" si="3"/>
        <v>25246.267000860938</v>
      </c>
      <c r="AC21" s="81">
        <f t="shared" si="3"/>
        <v>0.2637532440691942</v>
      </c>
      <c r="AD21" s="81">
        <f t="shared" si="3"/>
        <v>0.64670837549405358</v>
      </c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25" spans="1:30">
      <c r="A25" s="370"/>
      <c r="B25" s="371"/>
      <c r="C25" s="372"/>
      <c r="D25" s="372"/>
      <c r="E25" s="371"/>
      <c r="F25" s="371"/>
      <c r="G25" s="373"/>
      <c r="H25" s="373"/>
      <c r="I25" s="373"/>
      <c r="J25" s="373"/>
      <c r="K25" s="373"/>
      <c r="L25" s="373"/>
      <c r="M25" s="373"/>
      <c r="N25" s="373"/>
      <c r="O25" s="373"/>
      <c r="P25" s="373"/>
      <c r="Q25" s="373"/>
      <c r="R25" s="373"/>
      <c r="S25" s="373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</row>
    <row r="373" spans="1:2" ht="25.5">
      <c r="A373" s="82" t="s">
        <v>109</v>
      </c>
    </row>
    <row r="375" spans="1:2">
      <c r="A375" s="36" t="s">
        <v>81</v>
      </c>
    </row>
    <row r="376" spans="1:2">
      <c r="A376" s="36" t="s">
        <v>82</v>
      </c>
    </row>
    <row r="377" spans="1:2">
      <c r="A377" s="36" t="s">
        <v>83</v>
      </c>
    </row>
    <row r="378" spans="1:2">
      <c r="A378" s="37" t="s">
        <v>96</v>
      </c>
    </row>
    <row r="379" spans="1:2">
      <c r="A379" s="36" t="s">
        <v>85</v>
      </c>
    </row>
    <row r="380" spans="1:2">
      <c r="A380" s="36" t="s">
        <v>86</v>
      </c>
    </row>
    <row r="381" spans="1:2">
      <c r="A381" s="36" t="s">
        <v>87</v>
      </c>
    </row>
    <row r="382" spans="1:2">
      <c r="A382" s="36" t="s">
        <v>0</v>
      </c>
    </row>
    <row r="383" spans="1:2">
      <c r="A383" s="37" t="s">
        <v>97</v>
      </c>
      <c r="B383" s="36">
        <f>(0.016*(0.03/2)^0.65*(2/3)^1.5)-0.00047</f>
        <v>9.8123053326417428E-5</v>
      </c>
    </row>
    <row r="384" spans="1:2">
      <c r="A384" s="37" t="s">
        <v>98</v>
      </c>
      <c r="B384" s="36">
        <f>(0.016*(0.03/2)^0.65*(13/3)^1.5)-0.00047</f>
        <v>8.9448292388582783E-3</v>
      </c>
    </row>
    <row r="385" spans="1:2">
      <c r="A385" s="37" t="s">
        <v>99</v>
      </c>
      <c r="B385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29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A100" sqref="A100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806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24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21" t="s">
        <v>69</v>
      </c>
      <c r="S3" s="42" t="s">
        <v>118</v>
      </c>
      <c r="T3" s="421" t="s">
        <v>71</v>
      </c>
      <c r="U3" s="421" t="s">
        <v>72</v>
      </c>
      <c r="V3" s="421" t="s">
        <v>69</v>
      </c>
      <c r="W3" s="42" t="s">
        <v>118</v>
      </c>
      <c r="X3" s="421" t="s">
        <v>71</v>
      </c>
      <c r="Y3" s="421" t="s">
        <v>72</v>
      </c>
      <c r="Z3" s="41" t="s">
        <v>69</v>
      </c>
      <c r="AA3" s="42" t="s">
        <v>118</v>
      </c>
      <c r="AB3" s="421" t="s">
        <v>69</v>
      </c>
      <c r="AC3" s="42" t="s">
        <v>118</v>
      </c>
      <c r="AD3" s="421" t="s">
        <v>69</v>
      </c>
      <c r="AE3" s="42" t="s">
        <v>118</v>
      </c>
    </row>
    <row r="4" spans="1:67" ht="25.5">
      <c r="A4" s="44" t="s">
        <v>405</v>
      </c>
      <c r="B4" s="45" t="s">
        <v>102</v>
      </c>
      <c r="C4" s="46">
        <v>12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423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422" t="s">
        <v>55</v>
      </c>
      <c r="G87" s="422" t="s">
        <v>73</v>
      </c>
      <c r="H87" s="422" t="s">
        <v>74</v>
      </c>
      <c r="I87" s="422" t="s">
        <v>58</v>
      </c>
      <c r="J87" s="422" t="s">
        <v>59</v>
      </c>
      <c r="K87" s="422" t="s">
        <v>60</v>
      </c>
      <c r="L87" s="421" t="s">
        <v>75</v>
      </c>
      <c r="M87" s="421" t="s">
        <v>76</v>
      </c>
      <c r="N87" s="421" t="s">
        <v>61</v>
      </c>
      <c r="O87" s="421" t="s">
        <v>62</v>
      </c>
      <c r="P87" s="421" t="s">
        <v>63</v>
      </c>
      <c r="AN87" s="38"/>
      <c r="AZ87" s="36"/>
    </row>
    <row r="88" spans="1:52" ht="25.5">
      <c r="A88" s="44" t="s">
        <v>405</v>
      </c>
      <c r="B88" s="45" t="str">
        <f>B4</f>
        <v>Light-Duty Truck, catalyst</v>
      </c>
      <c r="C88" s="46">
        <v>12</v>
      </c>
      <c r="D88" s="46">
        <v>35</v>
      </c>
      <c r="E88" s="46">
        <v>80</v>
      </c>
      <c r="F88" s="50">
        <f>C4*($E4*$F4+($G4))/453.59</f>
        <v>5.8286326305710405</v>
      </c>
      <c r="G88" s="50">
        <f>C4*($E4*$H4+($I4))/453.59</f>
        <v>0.52404788753253606</v>
      </c>
      <c r="H88" s="50">
        <f>C4*(($E4*$J4)+($K4)+($L4)+($E4*$N4)+(($M4+$O4)))/453.59</f>
        <v>0.60599976388743992</v>
      </c>
      <c r="I88" s="50">
        <f>C4*($E4*$P4+($Q4))/453.59</f>
        <v>8.7215643259273903E-3</v>
      </c>
      <c r="J88" s="50">
        <f>C4*(($E4*($R4+$T4+$U4))+($S4))/453.59</f>
        <v>0.10228908546249475</v>
      </c>
      <c r="K88" s="50">
        <f>$C4*(($E4*($V4+$X4+$Y4))+($W4))/453.59</f>
        <v>4.4544063891037704E-2</v>
      </c>
      <c r="L88" s="50">
        <f>$B$21*C4*(E4+6)</f>
        <v>0.10126299103286279</v>
      </c>
      <c r="M88" s="50">
        <f t="shared" ref="M88" si="52">0.41*L88</f>
        <v>4.1517826323473742E-2</v>
      </c>
      <c r="N88" s="50">
        <f>C4*($E4*$Z4+($AA4))/453.59</f>
        <v>665.08292071246683</v>
      </c>
      <c r="O88" s="50">
        <f>C4*($E4*$AB4+($AC4))/453.59</f>
        <v>3.804570466836299E-2</v>
      </c>
      <c r="P88" s="50">
        <f>C4*($E4*$AD4+($AE4))/453.59</f>
        <v>6.9253438966120323E-2</v>
      </c>
      <c r="AN88" s="38"/>
      <c r="AZ88" s="36"/>
    </row>
    <row r="89" spans="1:52">
      <c r="A89" s="61" t="s">
        <v>396</v>
      </c>
      <c r="B89" s="61"/>
      <c r="C89" s="61"/>
      <c r="D89" s="61"/>
      <c r="E89" s="61"/>
      <c r="F89" s="81">
        <f t="shared" ref="F89:P89" si="53">SUM(F88:F88)</f>
        <v>5.8286326305710405</v>
      </c>
      <c r="G89" s="81">
        <f t="shared" si="53"/>
        <v>0.52404788753253606</v>
      </c>
      <c r="H89" s="81">
        <f t="shared" si="53"/>
        <v>0.60599976388743992</v>
      </c>
      <c r="I89" s="81">
        <f t="shared" si="53"/>
        <v>8.7215643259273903E-3</v>
      </c>
      <c r="J89" s="81">
        <f t="shared" si="53"/>
        <v>0.10228908546249475</v>
      </c>
      <c r="K89" s="81">
        <f t="shared" si="53"/>
        <v>4.4544063891037704E-2</v>
      </c>
      <c r="L89" s="81">
        <f t="shared" si="53"/>
        <v>0.10126299103286279</v>
      </c>
      <c r="M89" s="81">
        <f t="shared" si="53"/>
        <v>4.1517826323473742E-2</v>
      </c>
      <c r="N89" s="81">
        <f t="shared" si="53"/>
        <v>665.08292071246683</v>
      </c>
      <c r="O89" s="81">
        <f t="shared" si="53"/>
        <v>3.804570466836299E-2</v>
      </c>
      <c r="P89" s="81">
        <f t="shared" si="53"/>
        <v>6.9253438966120323E-2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B-9
Construction Worker Commute Emission Calculations
TL 6910 Construction</oddHeader>
    <oddFooter>&amp;CB-9</oddFooter>
  </headerFooter>
</worksheet>
</file>

<file path=xl/worksheets/sheet29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1"/>
  <sheetViews>
    <sheetView zoomScale="75" zoomScaleNormal="75" workbookViewId="0">
      <selection activeCell="A35" sqref="A35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807</v>
      </c>
    </row>
    <row r="2" spans="1:25">
      <c r="A2" s="83"/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271</v>
      </c>
      <c r="B7" s="29"/>
      <c r="C7" s="97"/>
      <c r="D7" s="12"/>
      <c r="E7" s="102"/>
      <c r="F7" s="102"/>
      <c r="G7" s="102"/>
      <c r="H7" s="102"/>
      <c r="I7" s="102"/>
      <c r="J7" s="100"/>
      <c r="K7" s="103"/>
      <c r="L7" s="102"/>
      <c r="M7" s="104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32" t="s">
        <v>51</v>
      </c>
      <c r="B8" s="29" t="s">
        <v>27</v>
      </c>
      <c r="C8" s="97">
        <v>381</v>
      </c>
      <c r="D8" s="97"/>
      <c r="E8" s="102">
        <v>0.18553470911077993</v>
      </c>
      <c r="F8" s="102">
        <v>0.57956772121140698</v>
      </c>
      <c r="G8" s="102">
        <v>1.2523979210769924</v>
      </c>
      <c r="H8" s="102">
        <v>2.6730457491231348E-3</v>
      </c>
      <c r="I8" s="102">
        <v>4.4827947982520766E-2</v>
      </c>
      <c r="J8" s="100">
        <f t="shared" ref="J8" si="0">0.89*I8</f>
        <v>3.9896873704443482E-2</v>
      </c>
      <c r="K8" s="103">
        <v>272.33380251586107</v>
      </c>
      <c r="L8" s="102">
        <v>1.6740496842659349E-2</v>
      </c>
      <c r="M8" s="102">
        <f t="shared" ref="M8" si="1">0.095*G8</f>
        <v>0.11897780250231428</v>
      </c>
      <c r="N8" s="87">
        <v>1</v>
      </c>
      <c r="O8" s="87">
        <v>8</v>
      </c>
      <c r="P8" s="88">
        <v>15</v>
      </c>
      <c r="Q8" s="34">
        <f t="shared" ref="Q8:Y10" si="2">(E8*$N8*$O8)</f>
        <v>1.4842776728862395</v>
      </c>
      <c r="R8" s="26">
        <f t="shared" si="2"/>
        <v>4.6365417696912559</v>
      </c>
      <c r="S8" s="26">
        <f t="shared" si="2"/>
        <v>10.01918336861594</v>
      </c>
      <c r="T8" s="26">
        <f t="shared" si="2"/>
        <v>2.1384365992985079E-2</v>
      </c>
      <c r="U8" s="26">
        <f t="shared" si="2"/>
        <v>0.35862358386016613</v>
      </c>
      <c r="V8" s="26">
        <f t="shared" si="2"/>
        <v>0.31917498963554786</v>
      </c>
      <c r="W8" s="26">
        <f t="shared" si="2"/>
        <v>2178.6704201268885</v>
      </c>
      <c r="X8" s="26">
        <f t="shared" si="2"/>
        <v>0.13392397474127479</v>
      </c>
      <c r="Y8" s="26">
        <f t="shared" si="2"/>
        <v>0.95182242001851425</v>
      </c>
    </row>
    <row r="9" spans="1:25" s="3" customFormat="1">
      <c r="A9" s="32" t="s">
        <v>125</v>
      </c>
      <c r="B9" s="29" t="s">
        <v>27</v>
      </c>
      <c r="C9" s="97">
        <v>87</v>
      </c>
      <c r="D9" s="22">
        <v>0.37</v>
      </c>
      <c r="E9" s="413">
        <v>5.2437519504869065E-2</v>
      </c>
      <c r="F9" s="397">
        <v>0.26257275132275132</v>
      </c>
      <c r="G9" s="397">
        <v>0.33506412037037031</v>
      </c>
      <c r="H9" s="413">
        <v>6.0679618797898508E-4</v>
      </c>
      <c r="I9" s="397">
        <v>2.1289682539682539E-2</v>
      </c>
      <c r="J9" s="100">
        <f t="shared" ref="J9:J10" si="3">0.89*I9</f>
        <v>1.894781746031746E-2</v>
      </c>
      <c r="K9" s="413">
        <v>51.728016924248784</v>
      </c>
      <c r="L9" s="413">
        <v>5.7223017989158831E-3</v>
      </c>
      <c r="M9" s="102">
        <f t="shared" ref="M9:M10" si="4">0.095*G9</f>
        <v>3.1831091435185178E-2</v>
      </c>
      <c r="N9" s="87">
        <v>2</v>
      </c>
      <c r="O9" s="87">
        <v>8</v>
      </c>
      <c r="P9" s="88">
        <v>15</v>
      </c>
      <c r="Q9" s="34">
        <f t="shared" si="2"/>
        <v>0.83900031207790504</v>
      </c>
      <c r="R9" s="26">
        <f t="shared" si="2"/>
        <v>4.2011640211640211</v>
      </c>
      <c r="S9" s="26">
        <f t="shared" si="2"/>
        <v>5.361025925925925</v>
      </c>
      <c r="T9" s="26">
        <f t="shared" si="2"/>
        <v>9.7087390076637612E-3</v>
      </c>
      <c r="U9" s="26">
        <f t="shared" si="2"/>
        <v>0.34063492063492062</v>
      </c>
      <c r="V9" s="26">
        <f t="shared" si="2"/>
        <v>0.30316507936507936</v>
      </c>
      <c r="W9" s="26">
        <f t="shared" si="2"/>
        <v>827.64827078798055</v>
      </c>
      <c r="X9" s="26">
        <f t="shared" si="2"/>
        <v>9.1556828782654129E-2</v>
      </c>
      <c r="Y9" s="26">
        <f t="shared" si="2"/>
        <v>0.50929746296296285</v>
      </c>
    </row>
    <row r="10" spans="1:25" s="3" customFormat="1">
      <c r="A10" s="24" t="s">
        <v>128</v>
      </c>
      <c r="B10" s="29" t="s">
        <v>27</v>
      </c>
      <c r="C10" s="97">
        <v>157</v>
      </c>
      <c r="D10" s="22">
        <v>0.38</v>
      </c>
      <c r="E10" s="562">
        <v>9.7211873502789536E-2</v>
      </c>
      <c r="F10" s="397">
        <v>0.48664462081128745</v>
      </c>
      <c r="G10" s="397">
        <v>0.54103044532627864</v>
      </c>
      <c r="H10" s="416">
        <v>2.2941884589860436E-3</v>
      </c>
      <c r="I10" s="397">
        <v>2.8935626102292767E-2</v>
      </c>
      <c r="J10" s="368">
        <f t="shared" si="3"/>
        <v>2.5752707231040561E-2</v>
      </c>
      <c r="K10" s="417">
        <v>233.73537145870978</v>
      </c>
      <c r="L10" s="369">
        <v>1.4946984027451463E-2</v>
      </c>
      <c r="M10" s="369">
        <f t="shared" si="4"/>
        <v>5.1397892305996472E-2</v>
      </c>
      <c r="N10" s="98">
        <v>1</v>
      </c>
      <c r="O10" s="98">
        <v>8</v>
      </c>
      <c r="P10" s="88">
        <v>10</v>
      </c>
      <c r="Q10" s="34">
        <f t="shared" si="2"/>
        <v>0.77769498802231629</v>
      </c>
      <c r="R10" s="26">
        <f t="shared" si="2"/>
        <v>3.8931569664902996</v>
      </c>
      <c r="S10" s="26">
        <f t="shared" si="2"/>
        <v>4.3282435626102291</v>
      </c>
      <c r="T10" s="26">
        <f t="shared" si="2"/>
        <v>1.8353507671888349E-2</v>
      </c>
      <c r="U10" s="26">
        <f t="shared" si="2"/>
        <v>0.23148500881834214</v>
      </c>
      <c r="V10" s="26">
        <f t="shared" si="2"/>
        <v>0.20602165784832449</v>
      </c>
      <c r="W10" s="26">
        <f t="shared" si="2"/>
        <v>1869.8829716696782</v>
      </c>
      <c r="X10" s="26">
        <f t="shared" si="2"/>
        <v>0.1195758722196117</v>
      </c>
      <c r="Y10" s="26">
        <f t="shared" si="2"/>
        <v>0.41118313844797177</v>
      </c>
    </row>
    <row r="11" spans="1:25" s="3" customFormat="1">
      <c r="A11" s="17" t="s">
        <v>28</v>
      </c>
      <c r="B11" s="29"/>
      <c r="C11" s="97"/>
      <c r="D11" s="12"/>
      <c r="E11" s="102"/>
      <c r="F11" s="102"/>
      <c r="G11" s="102"/>
      <c r="H11" s="102"/>
      <c r="I11" s="102"/>
      <c r="J11" s="100"/>
      <c r="K11" s="103"/>
      <c r="L11" s="102"/>
      <c r="M11" s="104"/>
      <c r="N11" s="98"/>
      <c r="O11" s="98"/>
      <c r="P11" s="99"/>
      <c r="Q11" s="101">
        <f t="shared" ref="Q11:Y11" si="5">SUM(Q8:Q10)</f>
        <v>3.1009729729864608</v>
      </c>
      <c r="R11" s="101">
        <f t="shared" si="5"/>
        <v>12.730862757345577</v>
      </c>
      <c r="S11" s="101">
        <f t="shared" si="5"/>
        <v>19.708452857152093</v>
      </c>
      <c r="T11" s="101">
        <f t="shared" si="5"/>
        <v>4.9446612672537187E-2</v>
      </c>
      <c r="U11" s="101">
        <f t="shared" si="5"/>
        <v>0.93074351331342886</v>
      </c>
      <c r="V11" s="101">
        <f t="shared" si="5"/>
        <v>0.82836172684895171</v>
      </c>
      <c r="W11" s="101">
        <f t="shared" si="5"/>
        <v>4876.2016625845472</v>
      </c>
      <c r="X11" s="101">
        <f t="shared" si="5"/>
        <v>0.3450566757435406</v>
      </c>
      <c r="Y11" s="101">
        <f t="shared" si="5"/>
        <v>1.8723030214294489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B-7
Construction Heavy Equipment Emissions
TL 6910 Construction
</oddHeader>
    <oddFooter>&amp;CB-7</oddFooter>
  </headerFooter>
</worksheet>
</file>

<file path=xl/worksheets/sheet29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375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42">
      <c r="A1" s="3" t="s">
        <v>808</v>
      </c>
    </row>
    <row r="2" spans="1:42">
      <c r="A2" s="83"/>
    </row>
    <row r="6" spans="1:42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42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42" ht="25.5">
      <c r="A8" s="114" t="s">
        <v>338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  <c r="AE8" s="43"/>
      <c r="AF8" s="61"/>
      <c r="AG8" s="61"/>
      <c r="AH8" s="61"/>
      <c r="AI8" s="61"/>
      <c r="AJ8" s="61"/>
      <c r="AK8" s="61"/>
      <c r="AL8" s="62"/>
      <c r="AM8" s="62"/>
      <c r="AN8" s="63"/>
      <c r="AO8" s="61"/>
      <c r="AP8" s="61"/>
    </row>
    <row r="9" spans="1:42">
      <c r="A9" s="78" t="s">
        <v>331</v>
      </c>
      <c r="B9" s="76" t="s">
        <v>105</v>
      </c>
      <c r="C9" s="374">
        <v>1</v>
      </c>
      <c r="D9" s="77"/>
      <c r="E9" s="77">
        <v>35</v>
      </c>
      <c r="F9" s="77">
        <v>80</v>
      </c>
      <c r="G9" s="106">
        <v>1.08263976628415</v>
      </c>
      <c r="H9" s="106">
        <v>4.9712718909585103</v>
      </c>
      <c r="I9" s="106">
        <v>0.26248012575016899</v>
      </c>
      <c r="J9" s="106">
        <v>1.0711818E-2</v>
      </c>
      <c r="K9" s="106">
        <v>7.1679901072141505E-2</v>
      </c>
      <c r="L9" s="556">
        <v>3.59998119015979E-2</v>
      </c>
      <c r="M9" s="556">
        <v>6.1739677411240299E-2</v>
      </c>
      <c r="N9" s="106">
        <v>6.5945508986370194E-2</v>
      </c>
      <c r="O9" s="556">
        <v>2.9999843251331498E-3</v>
      </c>
      <c r="P9" s="556">
        <v>5.5859708133979398E-2</v>
      </c>
      <c r="Q9" s="106">
        <v>1710.7260798814</v>
      </c>
      <c r="R9" s="47">
        <v>1.5235246282551899E-2</v>
      </c>
      <c r="S9" s="80">
        <f>0.000025616*Q9</f>
        <v>4.3821959262241944E-2</v>
      </c>
      <c r="T9" s="50">
        <f>C9*($F9*$G9)/453.59</f>
        <v>0.19094596728925242</v>
      </c>
      <c r="U9" s="50">
        <f>C9*($F9*$H9)/453.59</f>
        <v>0.87678685878586582</v>
      </c>
      <c r="V9" s="50">
        <f>C9*(($F9*$I9))/453.59</f>
        <v>4.6293811724274173E-2</v>
      </c>
      <c r="W9" s="50">
        <f>C9*($F9*$J9)/453.59</f>
        <v>1.8892511739676801E-3</v>
      </c>
      <c r="X9" s="50">
        <f>C9*(($F9*($K9+$L9+$M9)))/453.59</f>
        <v>2.9880621774726907E-2</v>
      </c>
      <c r="Y9" s="50">
        <f>C9*(($F9*($N9+$O9+$P9)))/453.59</f>
        <v>2.2011984646131133E-2</v>
      </c>
      <c r="Z9" s="50">
        <f>C9*(F9)*$B$398</f>
        <v>0</v>
      </c>
      <c r="AA9" s="50">
        <f>Z9*0.21</f>
        <v>0</v>
      </c>
      <c r="AB9" s="50">
        <f>C9*(($F9*($Q9)))/453.59</f>
        <v>301.72200972356535</v>
      </c>
      <c r="AC9" s="50">
        <f>C9*(($F9*($R9)))/453.59</f>
        <v>2.6870515280410772E-3</v>
      </c>
      <c r="AD9" s="50">
        <f>C9*(($F9*($S9)))/453.59</f>
        <v>7.7289110010788503E-3</v>
      </c>
      <c r="AE9" s="51">
        <v>15</v>
      </c>
      <c r="AF9" s="50">
        <f t="shared" ref="AF9:AP10" si="0">T9*$AE9/2000</f>
        <v>1.4320947546693932E-3</v>
      </c>
      <c r="AG9" s="50">
        <f t="shared" si="0"/>
        <v>6.5759014408939935E-3</v>
      </c>
      <c r="AH9" s="50">
        <f t="shared" si="0"/>
        <v>3.4720358793205631E-4</v>
      </c>
      <c r="AI9" s="50">
        <f t="shared" si="0"/>
        <v>1.4169383804757601E-5</v>
      </c>
      <c r="AJ9" s="50">
        <f t="shared" si="0"/>
        <v>2.2410466331045182E-4</v>
      </c>
      <c r="AK9" s="50">
        <f t="shared" si="0"/>
        <v>1.650898848459835E-4</v>
      </c>
      <c r="AL9" s="50">
        <f t="shared" si="0"/>
        <v>0</v>
      </c>
      <c r="AM9" s="50">
        <f t="shared" si="0"/>
        <v>0</v>
      </c>
      <c r="AN9" s="50">
        <f t="shared" si="0"/>
        <v>2.2629150729267402</v>
      </c>
      <c r="AO9" s="50">
        <f t="shared" si="0"/>
        <v>2.0152886460308078E-5</v>
      </c>
      <c r="AP9" s="50">
        <f t="shared" si="0"/>
        <v>5.7966832508091375E-5</v>
      </c>
    </row>
    <row r="10" spans="1:42">
      <c r="A10" s="78" t="s">
        <v>327</v>
      </c>
      <c r="B10" s="76" t="s">
        <v>105</v>
      </c>
      <c r="C10" s="374">
        <v>4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6">
        <v>3.59998119015979E-2</v>
      </c>
      <c r="M10" s="556">
        <v>6.1739677411240299E-2</v>
      </c>
      <c r="N10" s="106">
        <v>6.5945508986370194E-2</v>
      </c>
      <c r="O10" s="556">
        <v>2.9999843251331498E-3</v>
      </c>
      <c r="P10" s="55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0.76378386915700969</v>
      </c>
      <c r="U10" s="50">
        <f>C10*($F10*$H10)/453.59</f>
        <v>3.5071474351434633</v>
      </c>
      <c r="V10" s="50">
        <f>C10*(($F10*$I10))/453.59</f>
        <v>0.18517524689709669</v>
      </c>
      <c r="W10" s="50">
        <f>C10*($F10*$J10)/453.59</f>
        <v>7.5570046958707204E-3</v>
      </c>
      <c r="X10" s="50">
        <f>C10*(($F10*($K10+$L10+$M10)))/453.59</f>
        <v>0.11952248709890763</v>
      </c>
      <c r="Y10" s="50">
        <f>C10*(($F10*($N10+$O10+$P10)))/453.59</f>
        <v>8.8047938584524532E-2</v>
      </c>
      <c r="Z10" s="50">
        <f>C10*(F10)*$B$398</f>
        <v>0</v>
      </c>
      <c r="AA10" s="50">
        <f>Z10*0.21</f>
        <v>0</v>
      </c>
      <c r="AB10" s="50">
        <f>C10*(($F10*($Q10)))/453.59</f>
        <v>1206.8880388942614</v>
      </c>
      <c r="AC10" s="50">
        <f>C10*(($F10*($R10)))/453.59</f>
        <v>1.0748206112164309E-2</v>
      </c>
      <c r="AD10" s="50">
        <f>C10*(($F10*($S10)))/453.59</f>
        <v>3.0915644004315401E-2</v>
      </c>
      <c r="AE10" s="51">
        <v>5</v>
      </c>
      <c r="AF10" s="50">
        <f t="shared" si="0"/>
        <v>1.9094596728925241E-3</v>
      </c>
      <c r="AG10" s="50">
        <f t="shared" si="0"/>
        <v>8.7678685878586574E-3</v>
      </c>
      <c r="AH10" s="50">
        <f t="shared" si="0"/>
        <v>4.629381172427417E-4</v>
      </c>
      <c r="AI10" s="50">
        <f t="shared" si="0"/>
        <v>1.8892511739676799E-5</v>
      </c>
      <c r="AJ10" s="50">
        <f t="shared" si="0"/>
        <v>2.9880621774726904E-4</v>
      </c>
      <c r="AK10" s="50">
        <f t="shared" si="0"/>
        <v>2.2011984646131132E-4</v>
      </c>
      <c r="AL10" s="50">
        <f t="shared" si="0"/>
        <v>0</v>
      </c>
      <c r="AM10" s="50">
        <f t="shared" si="0"/>
        <v>0</v>
      </c>
      <c r="AN10" s="50">
        <f t="shared" si="0"/>
        <v>3.0172200972356538</v>
      </c>
      <c r="AO10" s="50">
        <f t="shared" si="0"/>
        <v>2.6870515280410773E-5</v>
      </c>
      <c r="AP10" s="50">
        <f t="shared" si="0"/>
        <v>7.7289110010788509E-5</v>
      </c>
    </row>
    <row r="11" spans="1:42">
      <c r="A11" s="75" t="s">
        <v>28</v>
      </c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81">
        <f t="shared" ref="T11:AD11" si="1">SUM(T9:T10)</f>
        <v>0.95472983644626208</v>
      </c>
      <c r="U11" s="81">
        <f t="shared" si="1"/>
        <v>4.3839342939293289</v>
      </c>
      <c r="V11" s="81">
        <f t="shared" si="1"/>
        <v>0.23146905862137085</v>
      </c>
      <c r="W11" s="81">
        <f t="shared" si="1"/>
        <v>9.4462558698383998E-3</v>
      </c>
      <c r="X11" s="81">
        <f t="shared" si="1"/>
        <v>0.14940310887363453</v>
      </c>
      <c r="Y11" s="81">
        <f t="shared" si="1"/>
        <v>0.11005992323065567</v>
      </c>
      <c r="Z11" s="81">
        <f t="shared" si="1"/>
        <v>0</v>
      </c>
      <c r="AA11" s="81">
        <f t="shared" si="1"/>
        <v>0</v>
      </c>
      <c r="AB11" s="81">
        <f t="shared" si="1"/>
        <v>1508.6100486178268</v>
      </c>
      <c r="AC11" s="81">
        <f t="shared" si="1"/>
        <v>1.3435257640205386E-2</v>
      </c>
      <c r="AD11" s="81">
        <f t="shared" si="1"/>
        <v>3.8644555005394252E-2</v>
      </c>
      <c r="AE11" s="56"/>
      <c r="AF11" s="81">
        <f t="shared" ref="AF11:AP11" si="2">SUM(AF9:AF10)</f>
        <v>3.3415544275619173E-3</v>
      </c>
      <c r="AG11" s="81">
        <f t="shared" si="2"/>
        <v>1.5343770028752651E-2</v>
      </c>
      <c r="AH11" s="81">
        <f t="shared" si="2"/>
        <v>8.1014170517479801E-4</v>
      </c>
      <c r="AI11" s="81">
        <f t="shared" si="2"/>
        <v>3.30618955444344E-5</v>
      </c>
      <c r="AJ11" s="81">
        <f t="shared" si="2"/>
        <v>5.2291088105772083E-4</v>
      </c>
      <c r="AK11" s="81">
        <f t="shared" si="2"/>
        <v>3.8520973130729485E-4</v>
      </c>
      <c r="AL11" s="81">
        <f t="shared" si="2"/>
        <v>0</v>
      </c>
      <c r="AM11" s="81">
        <f t="shared" si="2"/>
        <v>0</v>
      </c>
      <c r="AN11" s="81">
        <f t="shared" si="2"/>
        <v>5.280135170162394</v>
      </c>
      <c r="AO11" s="81">
        <f t="shared" si="2"/>
        <v>4.7023401740718851E-5</v>
      </c>
      <c r="AP11" s="81">
        <f t="shared" si="2"/>
        <v>1.3525594251887987E-4</v>
      </c>
    </row>
    <row r="12" spans="1:42">
      <c r="A12" s="370"/>
      <c r="B12" s="371"/>
      <c r="C12" s="372"/>
      <c r="D12" s="372"/>
      <c r="E12" s="371"/>
      <c r="F12" s="371"/>
      <c r="G12" s="373"/>
      <c r="H12" s="373"/>
      <c r="I12" s="373"/>
      <c r="J12" s="373"/>
      <c r="K12" s="373"/>
      <c r="L12" s="373"/>
      <c r="M12" s="373"/>
      <c r="N12" s="373"/>
      <c r="O12" s="373"/>
      <c r="P12" s="373"/>
      <c r="Q12" s="373"/>
      <c r="R12" s="373"/>
      <c r="S12" s="373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</row>
    <row r="13" spans="1:42">
      <c r="A13" s="370"/>
      <c r="B13" s="371"/>
      <c r="C13" s="372"/>
      <c r="D13" s="372"/>
      <c r="E13" s="371"/>
      <c r="F13" s="371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</row>
    <row r="14" spans="1:42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</row>
    <row r="363" spans="1:1" ht="25.5">
      <c r="A363" s="82" t="s">
        <v>109</v>
      </c>
    </row>
    <row r="365" spans="1:1">
      <c r="A365" s="36" t="s">
        <v>81</v>
      </c>
    </row>
    <row r="366" spans="1:1">
      <c r="A366" s="36" t="s">
        <v>82</v>
      </c>
    </row>
    <row r="367" spans="1:1">
      <c r="A367" s="36" t="s">
        <v>83</v>
      </c>
    </row>
    <row r="368" spans="1:1">
      <c r="A368" s="37" t="s">
        <v>96</v>
      </c>
    </row>
    <row r="369" spans="1:2">
      <c r="A369" s="36" t="s">
        <v>85</v>
      </c>
    </row>
    <row r="370" spans="1:2">
      <c r="A370" s="36" t="s">
        <v>86</v>
      </c>
    </row>
    <row r="371" spans="1:2">
      <c r="A371" s="36" t="s">
        <v>87</v>
      </c>
    </row>
    <row r="372" spans="1:2">
      <c r="A372" s="36" t="s">
        <v>0</v>
      </c>
    </row>
    <row r="373" spans="1:2">
      <c r="A373" s="37" t="s">
        <v>97</v>
      </c>
      <c r="B373" s="36">
        <f>(0.016*(0.03/2)^0.65*(2/3)^1.5)-0.00047</f>
        <v>9.8123053326417428E-5</v>
      </c>
    </row>
    <row r="374" spans="1:2">
      <c r="A374" s="37" t="s">
        <v>98</v>
      </c>
      <c r="B374" s="36">
        <f>(0.016*(0.03/2)^0.65*(13/3)^1.5)-0.00047</f>
        <v>8.9448292388582783E-3</v>
      </c>
    </row>
    <row r="375" spans="1:2">
      <c r="A375" s="37" t="s">
        <v>99</v>
      </c>
      <c r="B375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B-8
Construction Truck Trip Emissions
TL 6910 Construction</oddHeader>
    <oddFooter>&amp;CB-8</oddFooter>
  </headerFooter>
</worksheet>
</file>

<file path=xl/worksheets/sheet29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809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415</v>
      </c>
      <c r="B4" s="45" t="s">
        <v>102</v>
      </c>
      <c r="C4" s="46">
        <v>8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43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435" t="s">
        <v>55</v>
      </c>
      <c r="G87" s="435" t="s">
        <v>73</v>
      </c>
      <c r="H87" s="435" t="s">
        <v>74</v>
      </c>
      <c r="I87" s="435" t="s">
        <v>58</v>
      </c>
      <c r="J87" s="435" t="s">
        <v>59</v>
      </c>
      <c r="K87" s="435" t="s">
        <v>60</v>
      </c>
      <c r="L87" s="434" t="s">
        <v>75</v>
      </c>
      <c r="M87" s="434" t="s">
        <v>76</v>
      </c>
      <c r="N87" s="434" t="s">
        <v>61</v>
      </c>
      <c r="O87" s="434" t="s">
        <v>62</v>
      </c>
      <c r="P87" s="434" t="s">
        <v>63</v>
      </c>
      <c r="AN87" s="38"/>
      <c r="AZ87" s="36"/>
    </row>
    <row r="88" spans="1:52" ht="25.5">
      <c r="A88" s="44" t="s">
        <v>415</v>
      </c>
      <c r="B88" s="45" t="str">
        <f>B4</f>
        <v>Light-Duty Truck, catalyst</v>
      </c>
      <c r="C88" s="46">
        <f>C4</f>
        <v>8</v>
      </c>
      <c r="D88" s="46">
        <v>35</v>
      </c>
      <c r="E88" s="46">
        <v>80</v>
      </c>
      <c r="F88" s="50">
        <f>C4*($E4*$F4+($G4))/453.59</f>
        <v>3.8857550870473605</v>
      </c>
      <c r="G88" s="50">
        <f>C4*($E4*$H4+($I4))/453.59</f>
        <v>0.34936525835502408</v>
      </c>
      <c r="H88" s="50">
        <f>C4*(($E4*$J4)+($K4)+($L4)+($E4*$N4)+(($M4+$O4)))/453.59</f>
        <v>0.40399984259162663</v>
      </c>
      <c r="I88" s="50">
        <f>C4*($E4*$P4+($Q4))/453.59</f>
        <v>5.8143762172849275E-3</v>
      </c>
      <c r="J88" s="50">
        <f>C4*(($E4*($R4+$T4+$U4))+($S4))/453.59</f>
        <v>6.8192723641663178E-2</v>
      </c>
      <c r="K88" s="50">
        <f>$C4*(($E4*($V4+$X4+$Y4))+($W4))/453.59</f>
        <v>2.9696042594025134E-2</v>
      </c>
      <c r="L88" s="50">
        <f>$B$21*C4*(E4+6)</f>
        <v>6.7508660688575195E-2</v>
      </c>
      <c r="M88" s="50">
        <f t="shared" ref="M88" si="52">0.41*L88</f>
        <v>2.7678550882315828E-2</v>
      </c>
      <c r="N88" s="50">
        <f>C4*($E4*$Z4+($AA4))/453.59</f>
        <v>443.38861380831116</v>
      </c>
      <c r="O88" s="50">
        <f>C4*($E4*$AB4+($AC4))/453.59</f>
        <v>2.5363803112241994E-2</v>
      </c>
      <c r="P88" s="50">
        <f>C4*($E4*$AD4+($AE4))/453.59</f>
        <v>4.6168959310746882E-2</v>
      </c>
      <c r="AN88" s="38"/>
      <c r="AZ88" s="36"/>
    </row>
    <row r="89" spans="1:52">
      <c r="A89" s="61" t="s">
        <v>396</v>
      </c>
      <c r="B89" s="61"/>
      <c r="C89" s="61"/>
      <c r="D89" s="61"/>
      <c r="E89" s="61"/>
      <c r="F89" s="81">
        <f t="shared" ref="F89:P89" si="53">SUM(F88:F88)</f>
        <v>3.8857550870473605</v>
      </c>
      <c r="G89" s="81">
        <f t="shared" si="53"/>
        <v>0.34936525835502408</v>
      </c>
      <c r="H89" s="81">
        <f t="shared" si="53"/>
        <v>0.40399984259162663</v>
      </c>
      <c r="I89" s="81">
        <f t="shared" si="53"/>
        <v>5.8143762172849275E-3</v>
      </c>
      <c r="J89" s="81">
        <f t="shared" si="53"/>
        <v>6.8192723641663178E-2</v>
      </c>
      <c r="K89" s="81">
        <f t="shared" si="53"/>
        <v>2.9696042594025134E-2</v>
      </c>
      <c r="L89" s="81">
        <f t="shared" si="53"/>
        <v>6.7508660688575195E-2</v>
      </c>
      <c r="M89" s="81">
        <f t="shared" si="53"/>
        <v>2.7678550882315828E-2</v>
      </c>
      <c r="N89" s="81">
        <f t="shared" si="53"/>
        <v>443.38861380831116</v>
      </c>
      <c r="O89" s="81">
        <f t="shared" si="53"/>
        <v>2.5363803112241994E-2</v>
      </c>
      <c r="P89" s="81">
        <f t="shared" si="53"/>
        <v>4.6168959310746882E-2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B-9
Construction Worker Commute Emission Calculations
TL 6910 Construction</oddHeader>
    <oddFooter>&amp;CB-9</oddFooter>
  </headerFooter>
</worksheet>
</file>

<file path=xl/worksheets/sheet29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1"/>
  <sheetViews>
    <sheetView zoomScale="75" zoomScaleNormal="75" workbookViewId="0">
      <selection activeCell="A2" sqref="A2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810</v>
      </c>
    </row>
    <row r="2" spans="1:25">
      <c r="A2" s="83"/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271</v>
      </c>
      <c r="B7" s="29"/>
      <c r="C7" s="97"/>
      <c r="D7" s="12"/>
      <c r="E7" s="102"/>
      <c r="F7" s="102"/>
      <c r="G7" s="102"/>
      <c r="H7" s="102"/>
      <c r="I7" s="102"/>
      <c r="J7" s="100"/>
      <c r="K7" s="103"/>
      <c r="L7" s="102"/>
      <c r="M7" s="104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32" t="s">
        <v>51</v>
      </c>
      <c r="B8" s="29" t="s">
        <v>27</v>
      </c>
      <c r="C8" s="97">
        <v>381</v>
      </c>
      <c r="D8" s="97"/>
      <c r="E8" s="102">
        <v>0.18553470911077993</v>
      </c>
      <c r="F8" s="102">
        <v>0.57956772121140698</v>
      </c>
      <c r="G8" s="102">
        <v>1.2523979210769924</v>
      </c>
      <c r="H8" s="102">
        <v>2.6730457491231348E-3</v>
      </c>
      <c r="I8" s="102">
        <v>4.4827947982520766E-2</v>
      </c>
      <c r="J8" s="100">
        <f t="shared" ref="J8" si="0">0.89*I8</f>
        <v>3.9896873704443482E-2</v>
      </c>
      <c r="K8" s="103">
        <v>272.33380251586107</v>
      </c>
      <c r="L8" s="102">
        <v>1.6740496842659349E-2</v>
      </c>
      <c r="M8" s="102">
        <f t="shared" ref="M8" si="1">0.095*G8</f>
        <v>0.11897780250231428</v>
      </c>
      <c r="N8" s="87">
        <v>4</v>
      </c>
      <c r="O8" s="87">
        <v>8</v>
      </c>
      <c r="P8" s="88">
        <v>15</v>
      </c>
      <c r="Q8" s="34">
        <f t="shared" ref="Q8:Y10" si="2">(E8*$N8*$O8)</f>
        <v>5.9371106915449579</v>
      </c>
      <c r="R8" s="26">
        <f t="shared" si="2"/>
        <v>18.546167078765023</v>
      </c>
      <c r="S8" s="26">
        <f t="shared" si="2"/>
        <v>40.076733474463758</v>
      </c>
      <c r="T8" s="26">
        <f t="shared" si="2"/>
        <v>8.5537463971940314E-2</v>
      </c>
      <c r="U8" s="26">
        <f t="shared" si="2"/>
        <v>1.4344943354406645</v>
      </c>
      <c r="V8" s="26">
        <f t="shared" si="2"/>
        <v>1.2766999585421914</v>
      </c>
      <c r="W8" s="26">
        <f t="shared" si="2"/>
        <v>8714.6816805075541</v>
      </c>
      <c r="X8" s="26">
        <f t="shared" si="2"/>
        <v>0.53569589896509917</v>
      </c>
      <c r="Y8" s="26">
        <f t="shared" si="2"/>
        <v>3.807289680074057</v>
      </c>
    </row>
    <row r="9" spans="1:25" s="3" customFormat="1">
      <c r="A9" s="32" t="s">
        <v>125</v>
      </c>
      <c r="B9" s="29" t="s">
        <v>27</v>
      </c>
      <c r="C9" s="97">
        <v>87</v>
      </c>
      <c r="D9" s="22">
        <v>0.37</v>
      </c>
      <c r="E9" s="413">
        <v>5.2437519504869065E-2</v>
      </c>
      <c r="F9" s="397">
        <v>0.26257275132275132</v>
      </c>
      <c r="G9" s="397">
        <v>0.33506412037037031</v>
      </c>
      <c r="H9" s="413">
        <v>6.0679618797898508E-4</v>
      </c>
      <c r="I9" s="397">
        <v>2.1289682539682539E-2</v>
      </c>
      <c r="J9" s="100">
        <f t="shared" ref="J9:J10" si="3">0.89*I9</f>
        <v>1.894781746031746E-2</v>
      </c>
      <c r="K9" s="413">
        <v>51.728016924248784</v>
      </c>
      <c r="L9" s="413">
        <v>5.7223017989158831E-3</v>
      </c>
      <c r="M9" s="102">
        <f t="shared" ref="M9:M10" si="4">0.095*G9</f>
        <v>3.1831091435185178E-2</v>
      </c>
      <c r="N9" s="87">
        <v>2</v>
      </c>
      <c r="O9" s="87">
        <v>8</v>
      </c>
      <c r="P9" s="88">
        <v>15</v>
      </c>
      <c r="Q9" s="34">
        <f t="shared" si="2"/>
        <v>0.83900031207790504</v>
      </c>
      <c r="R9" s="26">
        <f t="shared" si="2"/>
        <v>4.2011640211640211</v>
      </c>
      <c r="S9" s="26">
        <f t="shared" si="2"/>
        <v>5.361025925925925</v>
      </c>
      <c r="T9" s="26">
        <f t="shared" si="2"/>
        <v>9.7087390076637612E-3</v>
      </c>
      <c r="U9" s="26">
        <f t="shared" si="2"/>
        <v>0.34063492063492062</v>
      </c>
      <c r="V9" s="26">
        <f t="shared" si="2"/>
        <v>0.30316507936507936</v>
      </c>
      <c r="W9" s="26">
        <f t="shared" si="2"/>
        <v>827.64827078798055</v>
      </c>
      <c r="X9" s="26">
        <f t="shared" si="2"/>
        <v>9.1556828782654129E-2</v>
      </c>
      <c r="Y9" s="26">
        <f t="shared" si="2"/>
        <v>0.50929746296296285</v>
      </c>
    </row>
    <row r="10" spans="1:25" s="3" customFormat="1">
      <c r="A10" s="24" t="s">
        <v>128</v>
      </c>
      <c r="B10" s="29" t="s">
        <v>27</v>
      </c>
      <c r="C10" s="97">
        <v>157</v>
      </c>
      <c r="D10" s="22">
        <v>0.38</v>
      </c>
      <c r="E10" s="562">
        <v>9.7211873502789536E-2</v>
      </c>
      <c r="F10" s="397">
        <v>0.48664462081128745</v>
      </c>
      <c r="G10" s="397">
        <v>0.54103044532627864</v>
      </c>
      <c r="H10" s="416">
        <v>2.2941884589860436E-3</v>
      </c>
      <c r="I10" s="397">
        <v>2.8935626102292767E-2</v>
      </c>
      <c r="J10" s="368">
        <f t="shared" si="3"/>
        <v>2.5752707231040561E-2</v>
      </c>
      <c r="K10" s="417">
        <v>233.73537145870978</v>
      </c>
      <c r="L10" s="369">
        <v>1.4946984027451463E-2</v>
      </c>
      <c r="M10" s="369">
        <f t="shared" si="4"/>
        <v>5.1397892305996472E-2</v>
      </c>
      <c r="N10" s="98">
        <v>1</v>
      </c>
      <c r="O10" s="98">
        <v>8</v>
      </c>
      <c r="P10" s="88">
        <v>10</v>
      </c>
      <c r="Q10" s="34">
        <f t="shared" si="2"/>
        <v>0.77769498802231629</v>
      </c>
      <c r="R10" s="26">
        <f t="shared" si="2"/>
        <v>3.8931569664902996</v>
      </c>
      <c r="S10" s="26">
        <f t="shared" si="2"/>
        <v>4.3282435626102291</v>
      </c>
      <c r="T10" s="26">
        <f t="shared" si="2"/>
        <v>1.8353507671888349E-2</v>
      </c>
      <c r="U10" s="26">
        <f t="shared" si="2"/>
        <v>0.23148500881834214</v>
      </c>
      <c r="V10" s="26">
        <f t="shared" si="2"/>
        <v>0.20602165784832449</v>
      </c>
      <c r="W10" s="26">
        <f t="shared" si="2"/>
        <v>1869.8829716696782</v>
      </c>
      <c r="X10" s="26">
        <f t="shared" si="2"/>
        <v>0.1195758722196117</v>
      </c>
      <c r="Y10" s="26">
        <f t="shared" si="2"/>
        <v>0.41118313844797177</v>
      </c>
    </row>
    <row r="11" spans="1:25" s="3" customFormat="1">
      <c r="A11" s="17" t="s">
        <v>28</v>
      </c>
      <c r="B11" s="29"/>
      <c r="C11" s="97"/>
      <c r="D11" s="12"/>
      <c r="E11" s="102"/>
      <c r="F11" s="102"/>
      <c r="G11" s="102"/>
      <c r="H11" s="102"/>
      <c r="I11" s="102"/>
      <c r="J11" s="100"/>
      <c r="K11" s="103"/>
      <c r="L11" s="102"/>
      <c r="M11" s="104"/>
      <c r="N11" s="98"/>
      <c r="O11" s="98"/>
      <c r="P11" s="99"/>
      <c r="Q11" s="101">
        <f t="shared" ref="Q11:Y11" si="5">SUM(Q8:Q10)</f>
        <v>7.553805991645179</v>
      </c>
      <c r="R11" s="101">
        <f t="shared" si="5"/>
        <v>26.640488066419344</v>
      </c>
      <c r="S11" s="101">
        <f t="shared" si="5"/>
        <v>49.766002962999906</v>
      </c>
      <c r="T11" s="101">
        <f t="shared" si="5"/>
        <v>0.11359971065149244</v>
      </c>
      <c r="U11" s="101">
        <f t="shared" si="5"/>
        <v>2.0066142648939271</v>
      </c>
      <c r="V11" s="101">
        <f t="shared" si="5"/>
        <v>1.7858866957555952</v>
      </c>
      <c r="W11" s="101">
        <f t="shared" si="5"/>
        <v>11412.212922965213</v>
      </c>
      <c r="X11" s="101">
        <f t="shared" si="5"/>
        <v>0.74682859996736506</v>
      </c>
      <c r="Y11" s="101">
        <f t="shared" si="5"/>
        <v>4.7277702814849913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B-7
Construction Heavy Equipment Emissions
TL 6910 Construction
</oddHeader>
    <oddFooter>&amp;CB-7</oddFooter>
  </headerFooter>
</worksheet>
</file>

<file path=xl/worksheets/sheet29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375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42">
      <c r="A1" s="3" t="s">
        <v>811</v>
      </c>
    </row>
    <row r="2" spans="1:42">
      <c r="A2" s="83"/>
    </row>
    <row r="6" spans="1:42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42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42" ht="25.5">
      <c r="A8" s="114" t="s">
        <v>338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  <c r="AE8" s="43"/>
      <c r="AF8" s="61"/>
      <c r="AG8" s="61"/>
      <c r="AH8" s="61"/>
      <c r="AI8" s="61"/>
      <c r="AJ8" s="61"/>
      <c r="AK8" s="61"/>
      <c r="AL8" s="62"/>
      <c r="AM8" s="62"/>
      <c r="AN8" s="63"/>
      <c r="AO8" s="61"/>
      <c r="AP8" s="61"/>
    </row>
    <row r="9" spans="1:42">
      <c r="A9" s="78" t="s">
        <v>331</v>
      </c>
      <c r="B9" s="76" t="s">
        <v>105</v>
      </c>
      <c r="C9" s="374">
        <v>2</v>
      </c>
      <c r="D9" s="77"/>
      <c r="E9" s="77">
        <v>35</v>
      </c>
      <c r="F9" s="77">
        <v>80</v>
      </c>
      <c r="G9" s="106">
        <v>1.08263976628415</v>
      </c>
      <c r="H9" s="106">
        <v>4.9712718909585103</v>
      </c>
      <c r="I9" s="106">
        <v>0.26248012575016899</v>
      </c>
      <c r="J9" s="106">
        <v>1.0711818E-2</v>
      </c>
      <c r="K9" s="106">
        <v>7.1679901072141505E-2</v>
      </c>
      <c r="L9" s="556">
        <v>3.59998119015979E-2</v>
      </c>
      <c r="M9" s="556">
        <v>6.1739677411240299E-2</v>
      </c>
      <c r="N9" s="106">
        <v>6.5945508986370194E-2</v>
      </c>
      <c r="O9" s="556">
        <v>2.9999843251331498E-3</v>
      </c>
      <c r="P9" s="556">
        <v>5.5859708133979398E-2</v>
      </c>
      <c r="Q9" s="106">
        <v>1710.7260798814</v>
      </c>
      <c r="R9" s="47">
        <v>1.5235246282551899E-2</v>
      </c>
      <c r="S9" s="80">
        <f>0.000025616*Q9</f>
        <v>4.3821959262241944E-2</v>
      </c>
      <c r="T9" s="50">
        <f>C9*($F9*$G9)/453.59</f>
        <v>0.38189193457850484</v>
      </c>
      <c r="U9" s="50">
        <f>C9*($F9*$H9)/453.59</f>
        <v>1.7535737175717316</v>
      </c>
      <c r="V9" s="50">
        <f>C9*(($F9*$I9))/453.59</f>
        <v>9.2587623448548345E-2</v>
      </c>
      <c r="W9" s="50">
        <f>C9*($F9*$J9)/453.59</f>
        <v>3.7785023479353602E-3</v>
      </c>
      <c r="X9" s="50">
        <f>C9*(($F9*($K9+$L9+$M9)))/453.59</f>
        <v>5.9761243549453814E-2</v>
      </c>
      <c r="Y9" s="50">
        <f>C9*(($F9*($N9+$O9+$P9)))/453.59</f>
        <v>4.4023969292262266E-2</v>
      </c>
      <c r="Z9" s="50">
        <f>C9*(F9)*$B$398</f>
        <v>0</v>
      </c>
      <c r="AA9" s="50">
        <f>Z9*0.21</f>
        <v>0</v>
      </c>
      <c r="AB9" s="50">
        <f>C9*(($F9*($Q9)))/453.59</f>
        <v>603.4440194471307</v>
      </c>
      <c r="AC9" s="50">
        <f>C9*(($F9*($R9)))/453.59</f>
        <v>5.3741030560821544E-3</v>
      </c>
      <c r="AD9" s="50">
        <f>C9*(($F9*($S9)))/453.59</f>
        <v>1.5457822002157701E-2</v>
      </c>
      <c r="AE9" s="51">
        <v>15</v>
      </c>
      <c r="AF9" s="50">
        <f t="shared" ref="AF9:AP10" si="0">T9*$AE9/2000</f>
        <v>2.8641895093387865E-3</v>
      </c>
      <c r="AG9" s="50">
        <f t="shared" si="0"/>
        <v>1.3151802881787987E-2</v>
      </c>
      <c r="AH9" s="50">
        <f t="shared" si="0"/>
        <v>6.9440717586411263E-4</v>
      </c>
      <c r="AI9" s="50">
        <f t="shared" si="0"/>
        <v>2.8338767609515202E-5</v>
      </c>
      <c r="AJ9" s="50">
        <f t="shared" si="0"/>
        <v>4.4820932662090364E-4</v>
      </c>
      <c r="AK9" s="50">
        <f t="shared" si="0"/>
        <v>3.3017976969196701E-4</v>
      </c>
      <c r="AL9" s="50">
        <f t="shared" si="0"/>
        <v>0</v>
      </c>
      <c r="AM9" s="50">
        <f t="shared" si="0"/>
        <v>0</v>
      </c>
      <c r="AN9" s="50">
        <f t="shared" si="0"/>
        <v>4.5258301458534804</v>
      </c>
      <c r="AO9" s="50">
        <f t="shared" si="0"/>
        <v>4.0305772920616156E-5</v>
      </c>
      <c r="AP9" s="50">
        <f t="shared" si="0"/>
        <v>1.1593366501618275E-4</v>
      </c>
    </row>
    <row r="10" spans="1:42">
      <c r="A10" s="78" t="s">
        <v>327</v>
      </c>
      <c r="B10" s="76" t="s">
        <v>105</v>
      </c>
      <c r="C10" s="374">
        <v>4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6">
        <v>3.59998119015979E-2</v>
      </c>
      <c r="M10" s="556">
        <v>6.1739677411240299E-2</v>
      </c>
      <c r="N10" s="106">
        <v>6.5945508986370194E-2</v>
      </c>
      <c r="O10" s="556">
        <v>2.9999843251331498E-3</v>
      </c>
      <c r="P10" s="55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0.76378386915700969</v>
      </c>
      <c r="U10" s="50">
        <f>C10*($F10*$H10)/453.59</f>
        <v>3.5071474351434633</v>
      </c>
      <c r="V10" s="50">
        <f>C10*(($F10*$I10))/453.59</f>
        <v>0.18517524689709669</v>
      </c>
      <c r="W10" s="50">
        <f>C10*($F10*$J10)/453.59</f>
        <v>7.5570046958707204E-3</v>
      </c>
      <c r="X10" s="50">
        <f>C10*(($F10*($K10+$L10+$M10)))/453.59</f>
        <v>0.11952248709890763</v>
      </c>
      <c r="Y10" s="50">
        <f>C10*(($F10*($N10+$O10+$P10)))/453.59</f>
        <v>8.8047938584524532E-2</v>
      </c>
      <c r="Z10" s="50">
        <f>C10*(F10)*$B$398</f>
        <v>0</v>
      </c>
      <c r="AA10" s="50">
        <f>Z10*0.21</f>
        <v>0</v>
      </c>
      <c r="AB10" s="50">
        <f>C10*(($F10*($Q10)))/453.59</f>
        <v>1206.8880388942614</v>
      </c>
      <c r="AC10" s="50">
        <f>C10*(($F10*($R10)))/453.59</f>
        <v>1.0748206112164309E-2</v>
      </c>
      <c r="AD10" s="50">
        <f>C10*(($F10*($S10)))/453.59</f>
        <v>3.0915644004315401E-2</v>
      </c>
      <c r="AE10" s="51">
        <v>5</v>
      </c>
      <c r="AF10" s="50">
        <f t="shared" si="0"/>
        <v>1.9094596728925241E-3</v>
      </c>
      <c r="AG10" s="50">
        <f t="shared" si="0"/>
        <v>8.7678685878586574E-3</v>
      </c>
      <c r="AH10" s="50">
        <f t="shared" si="0"/>
        <v>4.629381172427417E-4</v>
      </c>
      <c r="AI10" s="50">
        <f t="shared" si="0"/>
        <v>1.8892511739676799E-5</v>
      </c>
      <c r="AJ10" s="50">
        <f t="shared" si="0"/>
        <v>2.9880621774726904E-4</v>
      </c>
      <c r="AK10" s="50">
        <f t="shared" si="0"/>
        <v>2.2011984646131132E-4</v>
      </c>
      <c r="AL10" s="50">
        <f t="shared" si="0"/>
        <v>0</v>
      </c>
      <c r="AM10" s="50">
        <f t="shared" si="0"/>
        <v>0</v>
      </c>
      <c r="AN10" s="50">
        <f t="shared" si="0"/>
        <v>3.0172200972356538</v>
      </c>
      <c r="AO10" s="50">
        <f t="shared" si="0"/>
        <v>2.6870515280410773E-5</v>
      </c>
      <c r="AP10" s="50">
        <f t="shared" si="0"/>
        <v>7.7289110010788509E-5</v>
      </c>
    </row>
    <row r="11" spans="1:42">
      <c r="A11" s="75" t="s">
        <v>28</v>
      </c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81">
        <f t="shared" ref="T11:AD11" si="1">SUM(T9:T10)</f>
        <v>1.1456758037355146</v>
      </c>
      <c r="U11" s="81">
        <f t="shared" si="1"/>
        <v>5.2607211527151954</v>
      </c>
      <c r="V11" s="81">
        <f t="shared" si="1"/>
        <v>0.27776287034564506</v>
      </c>
      <c r="W11" s="81">
        <f t="shared" si="1"/>
        <v>1.133550704380608E-2</v>
      </c>
      <c r="X11" s="81">
        <f t="shared" si="1"/>
        <v>0.17928373064836145</v>
      </c>
      <c r="Y11" s="81">
        <f t="shared" si="1"/>
        <v>0.1320719078767868</v>
      </c>
      <c r="Z11" s="81">
        <f t="shared" si="1"/>
        <v>0</v>
      </c>
      <c r="AA11" s="81">
        <f t="shared" si="1"/>
        <v>0</v>
      </c>
      <c r="AB11" s="81">
        <f t="shared" si="1"/>
        <v>1810.332058341392</v>
      </c>
      <c r="AC11" s="81">
        <f t="shared" si="1"/>
        <v>1.6122309168246463E-2</v>
      </c>
      <c r="AD11" s="81">
        <f t="shared" si="1"/>
        <v>4.6373466006473102E-2</v>
      </c>
      <c r="AE11" s="56"/>
      <c r="AF11" s="81">
        <f t="shared" ref="AF11:AP11" si="2">SUM(AF9:AF10)</f>
        <v>4.7736491822313104E-3</v>
      </c>
      <c r="AG11" s="81">
        <f t="shared" si="2"/>
        <v>2.1919671469646643E-2</v>
      </c>
      <c r="AH11" s="81">
        <f t="shared" si="2"/>
        <v>1.1573452931068543E-3</v>
      </c>
      <c r="AI11" s="81">
        <f t="shared" si="2"/>
        <v>4.7231279349192001E-5</v>
      </c>
      <c r="AJ11" s="81">
        <f t="shared" si="2"/>
        <v>7.4701554436817268E-4</v>
      </c>
      <c r="AK11" s="81">
        <f t="shared" si="2"/>
        <v>5.5029961615327833E-4</v>
      </c>
      <c r="AL11" s="81">
        <f t="shared" si="2"/>
        <v>0</v>
      </c>
      <c r="AM11" s="81">
        <f t="shared" si="2"/>
        <v>0</v>
      </c>
      <c r="AN11" s="81">
        <f t="shared" si="2"/>
        <v>7.5430502430891337</v>
      </c>
      <c r="AO11" s="81">
        <f t="shared" si="2"/>
        <v>6.7176288201026936E-5</v>
      </c>
      <c r="AP11" s="81">
        <f t="shared" si="2"/>
        <v>1.9322277502697126E-4</v>
      </c>
    </row>
    <row r="12" spans="1:42">
      <c r="A12" s="370"/>
      <c r="B12" s="371"/>
      <c r="C12" s="372"/>
      <c r="D12" s="372"/>
      <c r="E12" s="371"/>
      <c r="F12" s="371"/>
      <c r="G12" s="373"/>
      <c r="H12" s="373"/>
      <c r="I12" s="373"/>
      <c r="J12" s="373"/>
      <c r="K12" s="373"/>
      <c r="L12" s="373"/>
      <c r="M12" s="373"/>
      <c r="N12" s="373"/>
      <c r="O12" s="373"/>
      <c r="P12" s="373"/>
      <c r="Q12" s="373"/>
      <c r="R12" s="373"/>
      <c r="S12" s="373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</row>
    <row r="13" spans="1:42">
      <c r="A13" s="370"/>
      <c r="B13" s="371"/>
      <c r="C13" s="372"/>
      <c r="D13" s="372"/>
      <c r="E13" s="371"/>
      <c r="F13" s="371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</row>
    <row r="14" spans="1:42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</row>
    <row r="363" spans="1:1" ht="25.5">
      <c r="A363" s="82" t="s">
        <v>109</v>
      </c>
    </row>
    <row r="365" spans="1:1">
      <c r="A365" s="36" t="s">
        <v>81</v>
      </c>
    </row>
    <row r="366" spans="1:1">
      <c r="A366" s="36" t="s">
        <v>82</v>
      </c>
    </row>
    <row r="367" spans="1:1">
      <c r="A367" s="36" t="s">
        <v>83</v>
      </c>
    </row>
    <row r="368" spans="1:1">
      <c r="A368" s="37" t="s">
        <v>96</v>
      </c>
    </row>
    <row r="369" spans="1:2">
      <c r="A369" s="36" t="s">
        <v>85</v>
      </c>
    </row>
    <row r="370" spans="1:2">
      <c r="A370" s="36" t="s">
        <v>86</v>
      </c>
    </row>
    <row r="371" spans="1:2">
      <c r="A371" s="36" t="s">
        <v>87</v>
      </c>
    </row>
    <row r="372" spans="1:2">
      <c r="A372" s="36" t="s">
        <v>0</v>
      </c>
    </row>
    <row r="373" spans="1:2">
      <c r="A373" s="37" t="s">
        <v>97</v>
      </c>
      <c r="B373" s="36">
        <f>(0.016*(0.03/2)^0.65*(2/3)^1.5)-0.00047</f>
        <v>9.8123053326417428E-5</v>
      </c>
    </row>
    <row r="374" spans="1:2">
      <c r="A374" s="37" t="s">
        <v>98</v>
      </c>
      <c r="B374" s="36">
        <f>(0.016*(0.03/2)^0.65*(13/3)^1.5)-0.00047</f>
        <v>8.9448292388582783E-3</v>
      </c>
    </row>
    <row r="375" spans="1:2">
      <c r="A375" s="37" t="s">
        <v>99</v>
      </c>
      <c r="B375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B-8
Construction Truck Trip Emissions
TL 6910 Construction</oddHeader>
    <oddFooter>&amp;CB-8</oddFooter>
  </headerFooter>
</worksheet>
</file>

<file path=xl/worksheets/sheet29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812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415</v>
      </c>
      <c r="B4" s="45" t="s">
        <v>102</v>
      </c>
      <c r="C4" s="46">
        <v>5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43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435" t="s">
        <v>55</v>
      </c>
      <c r="G87" s="435" t="s">
        <v>73</v>
      </c>
      <c r="H87" s="435" t="s">
        <v>74</v>
      </c>
      <c r="I87" s="435" t="s">
        <v>58</v>
      </c>
      <c r="J87" s="435" t="s">
        <v>59</v>
      </c>
      <c r="K87" s="435" t="s">
        <v>60</v>
      </c>
      <c r="L87" s="434" t="s">
        <v>75</v>
      </c>
      <c r="M87" s="434" t="s">
        <v>76</v>
      </c>
      <c r="N87" s="434" t="s">
        <v>61</v>
      </c>
      <c r="O87" s="434" t="s">
        <v>62</v>
      </c>
      <c r="P87" s="434" t="s">
        <v>63</v>
      </c>
      <c r="AN87" s="38"/>
      <c r="AZ87" s="36"/>
    </row>
    <row r="88" spans="1:52" ht="25.5">
      <c r="A88" s="44" t="s">
        <v>415</v>
      </c>
      <c r="B88" s="45" t="str">
        <f>B4</f>
        <v>Light-Duty Truck, catalyst</v>
      </c>
      <c r="C88" s="46">
        <v>4</v>
      </c>
      <c r="D88" s="46">
        <v>35</v>
      </c>
      <c r="E88" s="46">
        <v>80</v>
      </c>
      <c r="F88" s="50">
        <f>C4*($E4*$F4+($G4))/453.59</f>
        <v>2.4285969294046006</v>
      </c>
      <c r="G88" s="50">
        <f>C4*($E4*$H4+($I4))/453.59</f>
        <v>0.21835328647189006</v>
      </c>
      <c r="H88" s="50">
        <f>C4*(($E4*$J4)+($K4)+($L4)+($E4*$N4)+(($M4+$O4)))/453.59</f>
        <v>0.25249990161976665</v>
      </c>
      <c r="I88" s="50">
        <f>C4*($E4*$P4+($Q4))/453.59</f>
        <v>3.6339851358030799E-3</v>
      </c>
      <c r="J88" s="50">
        <f>C4*(($E4*($R4+$T4+$U4))+($S4))/453.59</f>
        <v>4.2620452276039479E-2</v>
      </c>
      <c r="K88" s="50">
        <f>$C4*(($E4*($V4+$X4+$Y4))+($W4))/453.59</f>
        <v>1.8560026621265706E-2</v>
      </c>
      <c r="L88" s="50">
        <f>$B$21*C4*(E4+6)</f>
        <v>4.219291293035949E-2</v>
      </c>
      <c r="M88" s="50">
        <f t="shared" ref="M88" si="52">0.41*L88</f>
        <v>1.7299094301447389E-2</v>
      </c>
      <c r="N88" s="50">
        <f>C4*($E4*$Z4+($AA4))/453.59</f>
        <v>277.11788363019446</v>
      </c>
      <c r="O88" s="50">
        <f>C4*($E4*$AB4+($AC4))/453.59</f>
        <v>1.5852376945151247E-2</v>
      </c>
      <c r="P88" s="50">
        <f>C4*($E4*$AD4+($AE4))/453.59</f>
        <v>2.8855599569216798E-2</v>
      </c>
      <c r="AN88" s="38"/>
      <c r="AZ88" s="36"/>
    </row>
    <row r="89" spans="1:52">
      <c r="A89" s="61" t="s">
        <v>396</v>
      </c>
      <c r="B89" s="61"/>
      <c r="C89" s="61"/>
      <c r="D89" s="61"/>
      <c r="E89" s="61"/>
      <c r="F89" s="81">
        <f t="shared" ref="F89:P89" si="53">SUM(F88:F88)</f>
        <v>2.4285969294046006</v>
      </c>
      <c r="G89" s="81">
        <f t="shared" si="53"/>
        <v>0.21835328647189006</v>
      </c>
      <c r="H89" s="81">
        <f t="shared" si="53"/>
        <v>0.25249990161976665</v>
      </c>
      <c r="I89" s="81">
        <f t="shared" si="53"/>
        <v>3.6339851358030799E-3</v>
      </c>
      <c r="J89" s="81">
        <f t="shared" si="53"/>
        <v>4.2620452276039479E-2</v>
      </c>
      <c r="K89" s="81">
        <f t="shared" si="53"/>
        <v>1.8560026621265706E-2</v>
      </c>
      <c r="L89" s="81">
        <f t="shared" si="53"/>
        <v>4.219291293035949E-2</v>
      </c>
      <c r="M89" s="81">
        <f t="shared" si="53"/>
        <v>1.7299094301447389E-2</v>
      </c>
      <c r="N89" s="81">
        <f t="shared" si="53"/>
        <v>277.11788363019446</v>
      </c>
      <c r="O89" s="81">
        <f t="shared" si="53"/>
        <v>1.5852376945151247E-2</v>
      </c>
      <c r="P89" s="81">
        <f t="shared" si="53"/>
        <v>2.8855599569216798E-2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B-9
Construction Worker Commute Emission Calculations
TL 6910 Construction</oddHeader>
    <oddFooter>&amp;CB-9</oddFooter>
  </headerFooter>
</worksheet>
</file>

<file path=xl/worksheets/sheet29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2"/>
  <sheetViews>
    <sheetView zoomScale="75" zoomScaleNormal="75" workbookViewId="0">
      <selection activeCell="A2" sqref="A2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813</v>
      </c>
    </row>
    <row r="2" spans="1:25">
      <c r="A2" s="83"/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271</v>
      </c>
      <c r="B7" s="29"/>
      <c r="C7" s="97"/>
      <c r="D7" s="12"/>
      <c r="E7" s="102"/>
      <c r="F7" s="102"/>
      <c r="G7" s="102"/>
      <c r="H7" s="102"/>
      <c r="I7" s="102"/>
      <c r="J7" s="100"/>
      <c r="K7" s="103"/>
      <c r="L7" s="102"/>
      <c r="M7" s="104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32" t="s">
        <v>51</v>
      </c>
      <c r="B8" s="29" t="s">
        <v>27</v>
      </c>
      <c r="C8" s="97">
        <v>381</v>
      </c>
      <c r="D8" s="97"/>
      <c r="E8" s="102">
        <v>0.18553470911077993</v>
      </c>
      <c r="F8" s="102">
        <v>0.57956772121140698</v>
      </c>
      <c r="G8" s="102">
        <v>1.2523979210769924</v>
      </c>
      <c r="H8" s="102">
        <v>2.6730457491231348E-3</v>
      </c>
      <c r="I8" s="102">
        <v>4.4827947982520766E-2</v>
      </c>
      <c r="J8" s="100">
        <f t="shared" ref="J8" si="0">0.89*I8</f>
        <v>3.9896873704443482E-2</v>
      </c>
      <c r="K8" s="103">
        <v>272.33380251586107</v>
      </c>
      <c r="L8" s="102">
        <v>1.6740496842659349E-2</v>
      </c>
      <c r="M8" s="102">
        <f t="shared" ref="M8" si="1">0.095*G8</f>
        <v>0.11897780250231428</v>
      </c>
      <c r="N8" s="87">
        <v>4</v>
      </c>
      <c r="O8" s="87">
        <v>8</v>
      </c>
      <c r="P8" s="88">
        <v>15</v>
      </c>
      <c r="Q8" s="34">
        <f t="shared" ref="Q8:Y11" si="2">(E8*$N8*$O8)</f>
        <v>5.9371106915449579</v>
      </c>
      <c r="R8" s="26">
        <f t="shared" si="2"/>
        <v>18.546167078765023</v>
      </c>
      <c r="S8" s="26">
        <f t="shared" si="2"/>
        <v>40.076733474463758</v>
      </c>
      <c r="T8" s="26">
        <f t="shared" si="2"/>
        <v>8.5537463971940314E-2</v>
      </c>
      <c r="U8" s="26">
        <f t="shared" si="2"/>
        <v>1.4344943354406645</v>
      </c>
      <c r="V8" s="26">
        <f t="shared" si="2"/>
        <v>1.2766999585421914</v>
      </c>
      <c r="W8" s="26">
        <f t="shared" si="2"/>
        <v>8714.6816805075541</v>
      </c>
      <c r="X8" s="26">
        <f t="shared" si="2"/>
        <v>0.53569589896509917</v>
      </c>
      <c r="Y8" s="26">
        <f t="shared" si="2"/>
        <v>3.807289680074057</v>
      </c>
    </row>
    <row r="9" spans="1:25" s="3" customFormat="1">
      <c r="A9" s="32" t="s">
        <v>125</v>
      </c>
      <c r="B9" s="29" t="s">
        <v>27</v>
      </c>
      <c r="C9" s="97">
        <v>87</v>
      </c>
      <c r="D9" s="22">
        <v>0.37</v>
      </c>
      <c r="E9" s="413">
        <v>5.2437519504869065E-2</v>
      </c>
      <c r="F9" s="397">
        <v>0.26257275132275132</v>
      </c>
      <c r="G9" s="397">
        <v>0.33506412037037031</v>
      </c>
      <c r="H9" s="413">
        <v>6.0679618797898508E-4</v>
      </c>
      <c r="I9" s="397">
        <v>2.1289682539682539E-2</v>
      </c>
      <c r="J9" s="100">
        <f t="shared" ref="J9:J11" si="3">0.89*I9</f>
        <v>1.894781746031746E-2</v>
      </c>
      <c r="K9" s="413">
        <v>51.728016924248784</v>
      </c>
      <c r="L9" s="413">
        <v>5.7223017989158831E-3</v>
      </c>
      <c r="M9" s="102">
        <f t="shared" ref="M9:M11" si="4">0.095*G9</f>
        <v>3.1831091435185178E-2</v>
      </c>
      <c r="N9" s="87">
        <v>2</v>
      </c>
      <c r="O9" s="87">
        <v>8</v>
      </c>
      <c r="P9" s="88">
        <v>15</v>
      </c>
      <c r="Q9" s="34">
        <f t="shared" si="2"/>
        <v>0.83900031207790504</v>
      </c>
      <c r="R9" s="26">
        <f t="shared" si="2"/>
        <v>4.2011640211640211</v>
      </c>
      <c r="S9" s="26">
        <f t="shared" si="2"/>
        <v>5.361025925925925</v>
      </c>
      <c r="T9" s="26">
        <f t="shared" si="2"/>
        <v>9.7087390076637612E-3</v>
      </c>
      <c r="U9" s="26">
        <f t="shared" si="2"/>
        <v>0.34063492063492062</v>
      </c>
      <c r="V9" s="26">
        <f t="shared" si="2"/>
        <v>0.30316507936507936</v>
      </c>
      <c r="W9" s="26">
        <f t="shared" si="2"/>
        <v>827.64827078798055</v>
      </c>
      <c r="X9" s="26">
        <f t="shared" si="2"/>
        <v>9.1556828782654129E-2</v>
      </c>
      <c r="Y9" s="26">
        <f t="shared" si="2"/>
        <v>0.50929746296296285</v>
      </c>
    </row>
    <row r="10" spans="1:25" s="3" customFormat="1">
      <c r="A10" s="32" t="s">
        <v>112</v>
      </c>
      <c r="B10" s="29" t="s">
        <v>27</v>
      </c>
      <c r="C10" s="97">
        <v>235</v>
      </c>
      <c r="D10" s="97"/>
      <c r="E10" s="102">
        <v>0.11792220738547983</v>
      </c>
      <c r="F10" s="102">
        <v>0.36512193352152528</v>
      </c>
      <c r="G10" s="102">
        <v>0.86781464282266541</v>
      </c>
      <c r="H10" s="102">
        <v>1.8739217498104396E-3</v>
      </c>
      <c r="I10" s="102">
        <v>2.9041712295589866E-2</v>
      </c>
      <c r="J10" s="100">
        <f t="shared" si="3"/>
        <v>2.5847123943074982E-2</v>
      </c>
      <c r="K10" s="103">
        <v>166.54541562452522</v>
      </c>
      <c r="L10" s="102">
        <v>1.063993297769634E-2</v>
      </c>
      <c r="M10" s="104">
        <f t="shared" si="4"/>
        <v>8.2442391068153209E-2</v>
      </c>
      <c r="N10" s="87">
        <v>4</v>
      </c>
      <c r="O10" s="87">
        <v>4</v>
      </c>
      <c r="P10" s="88">
        <v>15</v>
      </c>
      <c r="Q10" s="34">
        <f t="shared" si="2"/>
        <v>1.8867553181676773</v>
      </c>
      <c r="R10" s="26">
        <f t="shared" si="2"/>
        <v>5.8419509363444044</v>
      </c>
      <c r="S10" s="26">
        <f t="shared" si="2"/>
        <v>13.885034285162646</v>
      </c>
      <c r="T10" s="26">
        <f t="shared" si="2"/>
        <v>2.9982747996967034E-2</v>
      </c>
      <c r="U10" s="26">
        <f t="shared" si="2"/>
        <v>0.46466739672943785</v>
      </c>
      <c r="V10" s="26">
        <f t="shared" si="2"/>
        <v>0.41355398308919972</v>
      </c>
      <c r="W10" s="26">
        <f t="shared" si="2"/>
        <v>2664.7266499924035</v>
      </c>
      <c r="X10" s="26">
        <f t="shared" si="2"/>
        <v>0.17023892764314144</v>
      </c>
      <c r="Y10" s="26">
        <f t="shared" si="2"/>
        <v>1.3190782570904513</v>
      </c>
    </row>
    <row r="11" spans="1:25" s="3" customFormat="1">
      <c r="A11" s="24" t="s">
        <v>128</v>
      </c>
      <c r="B11" s="29" t="s">
        <v>27</v>
      </c>
      <c r="C11" s="97">
        <v>157</v>
      </c>
      <c r="D11" s="22">
        <v>0.38</v>
      </c>
      <c r="E11" s="562">
        <v>9.7211873502789536E-2</v>
      </c>
      <c r="F11" s="397">
        <v>0.48664462081128745</v>
      </c>
      <c r="G11" s="397">
        <v>0.54103044532627864</v>
      </c>
      <c r="H11" s="416">
        <v>2.2941884589860436E-3</v>
      </c>
      <c r="I11" s="397">
        <v>2.8935626102292767E-2</v>
      </c>
      <c r="J11" s="368">
        <f t="shared" si="3"/>
        <v>2.5752707231040561E-2</v>
      </c>
      <c r="K11" s="417">
        <v>233.73537145870978</v>
      </c>
      <c r="L11" s="369">
        <v>1.4946984027451463E-2</v>
      </c>
      <c r="M11" s="369">
        <f t="shared" si="4"/>
        <v>5.1397892305996472E-2</v>
      </c>
      <c r="N11" s="98">
        <v>1</v>
      </c>
      <c r="O11" s="98">
        <v>8</v>
      </c>
      <c r="P11" s="88">
        <v>10</v>
      </c>
      <c r="Q11" s="34">
        <f t="shared" si="2"/>
        <v>0.77769498802231629</v>
      </c>
      <c r="R11" s="26">
        <f t="shared" si="2"/>
        <v>3.8931569664902996</v>
      </c>
      <c r="S11" s="26">
        <f t="shared" si="2"/>
        <v>4.3282435626102291</v>
      </c>
      <c r="T11" s="26">
        <f t="shared" si="2"/>
        <v>1.8353507671888349E-2</v>
      </c>
      <c r="U11" s="26">
        <f t="shared" si="2"/>
        <v>0.23148500881834214</v>
      </c>
      <c r="V11" s="26">
        <f t="shared" si="2"/>
        <v>0.20602165784832449</v>
      </c>
      <c r="W11" s="26">
        <f t="shared" si="2"/>
        <v>1869.8829716696782</v>
      </c>
      <c r="X11" s="26">
        <f t="shared" si="2"/>
        <v>0.1195758722196117</v>
      </c>
      <c r="Y11" s="26">
        <f t="shared" si="2"/>
        <v>0.41118313844797177</v>
      </c>
    </row>
    <row r="12" spans="1:25" s="3" customFormat="1">
      <c r="A12" s="17" t="s">
        <v>28</v>
      </c>
      <c r="B12" s="29"/>
      <c r="C12" s="97"/>
      <c r="D12" s="12"/>
      <c r="E12" s="102"/>
      <c r="F12" s="102"/>
      <c r="G12" s="102"/>
      <c r="H12" s="102"/>
      <c r="I12" s="102"/>
      <c r="J12" s="100"/>
      <c r="K12" s="103"/>
      <c r="L12" s="102"/>
      <c r="M12" s="104"/>
      <c r="N12" s="98"/>
      <c r="O12" s="98"/>
      <c r="P12" s="99"/>
      <c r="Q12" s="101">
        <f t="shared" ref="Q12:Y12" si="5">SUM(Q8:Q11)</f>
        <v>9.4405613098128569</v>
      </c>
      <c r="R12" s="101">
        <f t="shared" si="5"/>
        <v>32.482439002763748</v>
      </c>
      <c r="S12" s="101">
        <f t="shared" si="5"/>
        <v>63.651037248162552</v>
      </c>
      <c r="T12" s="101">
        <f t="shared" si="5"/>
        <v>0.14358245864845945</v>
      </c>
      <c r="U12" s="101">
        <f t="shared" si="5"/>
        <v>2.4712816616233653</v>
      </c>
      <c r="V12" s="101">
        <f t="shared" si="5"/>
        <v>2.1994406788447947</v>
      </c>
      <c r="W12" s="101">
        <f t="shared" si="5"/>
        <v>14076.939572957617</v>
      </c>
      <c r="X12" s="101">
        <f t="shared" si="5"/>
        <v>0.91706752761050647</v>
      </c>
      <c r="Y12" s="101">
        <f t="shared" si="5"/>
        <v>6.0468485385754427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B-7
Construction Heavy Equipment Emissions
TL 6910 Construction
</oddHeader>
    <oddFooter>&amp;CB-7</oddFooter>
  </headerFooter>
</worksheet>
</file>

<file path=xl/worksheets/sheet29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374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42">
      <c r="A1" s="3" t="s">
        <v>814</v>
      </c>
    </row>
    <row r="2" spans="1:42">
      <c r="A2" s="83"/>
    </row>
    <row r="6" spans="1:42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42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42" ht="25.5">
      <c r="A8" s="114" t="s">
        <v>338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  <c r="AE8" s="43"/>
      <c r="AF8" s="61"/>
      <c r="AG8" s="61"/>
      <c r="AH8" s="61"/>
      <c r="AI8" s="61"/>
      <c r="AJ8" s="61"/>
      <c r="AK8" s="61"/>
      <c r="AL8" s="62"/>
      <c r="AM8" s="62"/>
      <c r="AN8" s="63"/>
      <c r="AO8" s="61"/>
      <c r="AP8" s="61"/>
    </row>
    <row r="9" spans="1:42">
      <c r="A9" s="78" t="s">
        <v>331</v>
      </c>
      <c r="B9" s="76" t="s">
        <v>105</v>
      </c>
      <c r="C9" s="374">
        <v>1</v>
      </c>
      <c r="D9" s="77"/>
      <c r="E9" s="77">
        <v>35</v>
      </c>
      <c r="F9" s="77">
        <v>80</v>
      </c>
      <c r="G9" s="106">
        <v>1.08263976628415</v>
      </c>
      <c r="H9" s="106">
        <v>4.9712718909585103</v>
      </c>
      <c r="I9" s="106">
        <v>0.26248012575016899</v>
      </c>
      <c r="J9" s="106">
        <v>1.0711818E-2</v>
      </c>
      <c r="K9" s="106">
        <v>7.1679901072141505E-2</v>
      </c>
      <c r="L9" s="556">
        <v>3.59998119015979E-2</v>
      </c>
      <c r="M9" s="556">
        <v>6.1739677411240299E-2</v>
      </c>
      <c r="N9" s="106">
        <v>6.5945508986370194E-2</v>
      </c>
      <c r="O9" s="556">
        <v>2.9999843251331498E-3</v>
      </c>
      <c r="P9" s="556">
        <v>5.5859708133979398E-2</v>
      </c>
      <c r="Q9" s="106">
        <v>1710.7260798814</v>
      </c>
      <c r="R9" s="47">
        <v>1.5235246282551899E-2</v>
      </c>
      <c r="S9" s="80">
        <f>0.000025616*Q9</f>
        <v>4.3821959262241944E-2</v>
      </c>
      <c r="T9" s="50">
        <f>C9*($F9*$G9)/453.59</f>
        <v>0.19094596728925242</v>
      </c>
      <c r="U9" s="50">
        <f>C9*($F9*$H9)/453.59</f>
        <v>0.87678685878586582</v>
      </c>
      <c r="V9" s="50">
        <f>C9*(($F9*$I9))/453.59</f>
        <v>4.6293811724274173E-2</v>
      </c>
      <c r="W9" s="50">
        <f>C9*($F9*$J9)/453.59</f>
        <v>1.8892511739676801E-3</v>
      </c>
      <c r="X9" s="50">
        <f>C9*(($F9*($K9+$L9+$M9)))/453.59</f>
        <v>2.9880621774726907E-2</v>
      </c>
      <c r="Y9" s="50">
        <f>C9*(($F9*($N9+$O9+$P9)))/453.59</f>
        <v>2.2011984646131133E-2</v>
      </c>
      <c r="Z9" s="50">
        <f>C9*(F9)*$B$397</f>
        <v>0</v>
      </c>
      <c r="AA9" s="50">
        <f>Z9*0.21</f>
        <v>0</v>
      </c>
      <c r="AB9" s="50">
        <f>C9*(($F9*($Q9)))/453.59</f>
        <v>301.72200972356535</v>
      </c>
      <c r="AC9" s="50">
        <f>C9*(($F9*($R9)))/453.59</f>
        <v>2.6870515280410772E-3</v>
      </c>
      <c r="AD9" s="50">
        <f>C9*(($F9*($S9)))/453.59</f>
        <v>7.7289110010788503E-3</v>
      </c>
      <c r="AE9" s="51">
        <v>15</v>
      </c>
      <c r="AF9" s="50">
        <f t="shared" ref="AF9:AP9" si="0">T9*$AE9/2000</f>
        <v>1.4320947546693932E-3</v>
      </c>
      <c r="AG9" s="50">
        <f t="shared" si="0"/>
        <v>6.5759014408939935E-3</v>
      </c>
      <c r="AH9" s="50">
        <f t="shared" si="0"/>
        <v>3.4720358793205631E-4</v>
      </c>
      <c r="AI9" s="50">
        <f t="shared" si="0"/>
        <v>1.4169383804757601E-5</v>
      </c>
      <c r="AJ9" s="50">
        <f t="shared" si="0"/>
        <v>2.2410466331045182E-4</v>
      </c>
      <c r="AK9" s="50">
        <f t="shared" si="0"/>
        <v>1.650898848459835E-4</v>
      </c>
      <c r="AL9" s="50">
        <f t="shared" si="0"/>
        <v>0</v>
      </c>
      <c r="AM9" s="50">
        <f t="shared" si="0"/>
        <v>0</v>
      </c>
      <c r="AN9" s="50">
        <f t="shared" si="0"/>
        <v>2.2629150729267402</v>
      </c>
      <c r="AO9" s="50">
        <f t="shared" si="0"/>
        <v>2.0152886460308078E-5</v>
      </c>
      <c r="AP9" s="50">
        <f t="shared" si="0"/>
        <v>5.7966832508091375E-5</v>
      </c>
    </row>
    <row r="10" spans="1:42">
      <c r="A10" s="75" t="s">
        <v>28</v>
      </c>
      <c r="B10" s="74"/>
      <c r="C10" s="112"/>
      <c r="D10" s="112"/>
      <c r="E10" s="74"/>
      <c r="F10" s="74"/>
      <c r="G10" s="437"/>
      <c r="H10" s="41"/>
      <c r="I10" s="41"/>
      <c r="J10" s="41"/>
      <c r="K10" s="434"/>
      <c r="L10" s="434"/>
      <c r="M10" s="434"/>
      <c r="N10" s="434"/>
      <c r="O10" s="434"/>
      <c r="P10" s="434"/>
      <c r="Q10" s="41"/>
      <c r="R10" s="434"/>
      <c r="S10" s="434"/>
      <c r="T10" s="81">
        <f t="shared" ref="T10:AD10" si="1">SUM(T9:T9)</f>
        <v>0.19094596728925242</v>
      </c>
      <c r="U10" s="81">
        <f t="shared" si="1"/>
        <v>0.87678685878586582</v>
      </c>
      <c r="V10" s="81">
        <f t="shared" si="1"/>
        <v>4.6293811724274173E-2</v>
      </c>
      <c r="W10" s="81">
        <f t="shared" si="1"/>
        <v>1.8892511739676801E-3</v>
      </c>
      <c r="X10" s="81">
        <f t="shared" si="1"/>
        <v>2.9880621774726907E-2</v>
      </c>
      <c r="Y10" s="81">
        <f t="shared" si="1"/>
        <v>2.2011984646131133E-2</v>
      </c>
      <c r="Z10" s="81">
        <f t="shared" si="1"/>
        <v>0</v>
      </c>
      <c r="AA10" s="81">
        <f t="shared" si="1"/>
        <v>0</v>
      </c>
      <c r="AB10" s="81">
        <f t="shared" si="1"/>
        <v>301.72200972356535</v>
      </c>
      <c r="AC10" s="81">
        <f t="shared" si="1"/>
        <v>2.6870515280410772E-3</v>
      </c>
      <c r="AD10" s="81">
        <f t="shared" si="1"/>
        <v>7.7289110010788503E-3</v>
      </c>
      <c r="AE10" s="56"/>
      <c r="AF10" s="81">
        <f t="shared" ref="AF10:AP10" si="2">SUM(AF9:AF9)</f>
        <v>1.4320947546693932E-3</v>
      </c>
      <c r="AG10" s="81">
        <f t="shared" si="2"/>
        <v>6.5759014408939935E-3</v>
      </c>
      <c r="AH10" s="81">
        <f t="shared" si="2"/>
        <v>3.4720358793205631E-4</v>
      </c>
      <c r="AI10" s="81">
        <f t="shared" si="2"/>
        <v>1.4169383804757601E-5</v>
      </c>
      <c r="AJ10" s="81">
        <f t="shared" si="2"/>
        <v>2.2410466331045182E-4</v>
      </c>
      <c r="AK10" s="81">
        <f t="shared" si="2"/>
        <v>1.650898848459835E-4</v>
      </c>
      <c r="AL10" s="81">
        <f t="shared" si="2"/>
        <v>0</v>
      </c>
      <c r="AM10" s="81">
        <f t="shared" si="2"/>
        <v>0</v>
      </c>
      <c r="AN10" s="81">
        <f t="shared" si="2"/>
        <v>2.2629150729267402</v>
      </c>
      <c r="AO10" s="81">
        <f t="shared" si="2"/>
        <v>2.0152886460308078E-5</v>
      </c>
      <c r="AP10" s="81">
        <f t="shared" si="2"/>
        <v>5.7966832508091375E-5</v>
      </c>
    </row>
    <row r="11" spans="1:42">
      <c r="A11" s="370"/>
      <c r="B11" s="371"/>
      <c r="C11" s="372"/>
      <c r="D11" s="372"/>
      <c r="E11" s="371"/>
      <c r="F11" s="371"/>
      <c r="G11" s="373"/>
      <c r="H11" s="373"/>
      <c r="I11" s="373"/>
      <c r="J11" s="373"/>
      <c r="K11" s="373"/>
      <c r="L11" s="373"/>
      <c r="M11" s="373"/>
      <c r="N11" s="373"/>
      <c r="O11" s="373"/>
      <c r="P11" s="373"/>
      <c r="Q11" s="373"/>
      <c r="R11" s="373"/>
      <c r="S11" s="373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</row>
    <row r="12" spans="1:42">
      <c r="A12" s="370"/>
      <c r="B12" s="371"/>
      <c r="C12" s="372"/>
      <c r="D12" s="372"/>
      <c r="E12" s="371"/>
      <c r="F12" s="371"/>
      <c r="G12" s="373"/>
      <c r="H12" s="373"/>
      <c r="I12" s="373"/>
      <c r="J12" s="373"/>
      <c r="K12" s="373"/>
      <c r="L12" s="373"/>
      <c r="M12" s="373"/>
      <c r="N12" s="373"/>
      <c r="O12" s="373"/>
      <c r="P12" s="373"/>
      <c r="Q12" s="373"/>
      <c r="R12" s="373"/>
      <c r="S12" s="373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</row>
    <row r="13" spans="1:42">
      <c r="A13" s="370"/>
      <c r="B13" s="371"/>
      <c r="C13" s="372"/>
      <c r="D13" s="372"/>
      <c r="E13" s="371"/>
      <c r="F13" s="371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</row>
    <row r="362" spans="1:1" ht="25.5">
      <c r="A362" s="82" t="s">
        <v>109</v>
      </c>
    </row>
    <row r="364" spans="1:1">
      <c r="A364" s="36" t="s">
        <v>81</v>
      </c>
    </row>
    <row r="365" spans="1:1">
      <c r="A365" s="36" t="s">
        <v>82</v>
      </c>
    </row>
    <row r="366" spans="1:1">
      <c r="A366" s="36" t="s">
        <v>83</v>
      </c>
    </row>
    <row r="367" spans="1:1">
      <c r="A367" s="37" t="s">
        <v>96</v>
      </c>
    </row>
    <row r="368" spans="1:1">
      <c r="A368" s="36" t="s">
        <v>85</v>
      </c>
    </row>
    <row r="369" spans="1:2">
      <c r="A369" s="36" t="s">
        <v>86</v>
      </c>
    </row>
    <row r="370" spans="1:2">
      <c r="A370" s="36" t="s">
        <v>87</v>
      </c>
    </row>
    <row r="371" spans="1:2">
      <c r="A371" s="36" t="s">
        <v>0</v>
      </c>
    </row>
    <row r="372" spans="1:2">
      <c r="A372" s="37" t="s">
        <v>97</v>
      </c>
      <c r="B372" s="36">
        <f>(0.016*(0.03/2)^0.65*(2/3)^1.5)-0.00047</f>
        <v>9.8123053326417428E-5</v>
      </c>
    </row>
    <row r="373" spans="1:2">
      <c r="A373" s="37" t="s">
        <v>98</v>
      </c>
      <c r="B373" s="36">
        <f>(0.016*(0.03/2)^0.65*(13/3)^1.5)-0.00047</f>
        <v>8.9448292388582783E-3</v>
      </c>
    </row>
    <row r="374" spans="1:2">
      <c r="A374" s="37" t="s">
        <v>99</v>
      </c>
      <c r="B374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B-8
Construction Truck Trip Emissions
TL 6910 Construction</oddHeader>
    <oddFooter>&amp;CB-8</oddFooter>
  </headerFooter>
</worksheet>
</file>

<file path=xl/worksheets/sheet29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815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415</v>
      </c>
      <c r="B4" s="45" t="s">
        <v>102</v>
      </c>
      <c r="C4" s="46">
        <v>12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43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435" t="s">
        <v>55</v>
      </c>
      <c r="G87" s="435" t="s">
        <v>73</v>
      </c>
      <c r="H87" s="435" t="s">
        <v>74</v>
      </c>
      <c r="I87" s="435" t="s">
        <v>58</v>
      </c>
      <c r="J87" s="435" t="s">
        <v>59</v>
      </c>
      <c r="K87" s="435" t="s">
        <v>60</v>
      </c>
      <c r="L87" s="434" t="s">
        <v>75</v>
      </c>
      <c r="M87" s="434" t="s">
        <v>76</v>
      </c>
      <c r="N87" s="434" t="s">
        <v>61</v>
      </c>
      <c r="O87" s="434" t="s">
        <v>62</v>
      </c>
      <c r="P87" s="434" t="s">
        <v>63</v>
      </c>
      <c r="AN87" s="38"/>
      <c r="AZ87" s="36"/>
    </row>
    <row r="88" spans="1:52" ht="25.5">
      <c r="A88" s="44" t="s">
        <v>415</v>
      </c>
      <c r="B88" s="45" t="str">
        <f>B4</f>
        <v>Light-Duty Truck, catalyst</v>
      </c>
      <c r="C88" s="46">
        <f>C4</f>
        <v>12</v>
      </c>
      <c r="D88" s="46">
        <v>35</v>
      </c>
      <c r="E88" s="46">
        <v>80</v>
      </c>
      <c r="F88" s="50">
        <f>C4*($E4*$F4+($G4))/453.59</f>
        <v>5.8286326305710405</v>
      </c>
      <c r="G88" s="50">
        <f>C4*($E4*$H4+($I4))/453.59</f>
        <v>0.52404788753253606</v>
      </c>
      <c r="H88" s="50">
        <f>C4*(($E4*$J4)+($K4)+($L4)+($E4*$N4)+(($M4+$O4)))/453.59</f>
        <v>0.60599976388743992</v>
      </c>
      <c r="I88" s="50">
        <f>C4*($E4*$P4+($Q4))/453.59</f>
        <v>8.7215643259273903E-3</v>
      </c>
      <c r="J88" s="50">
        <f>C4*(($E4*($R4+$T4+$U4))+($S4))/453.59</f>
        <v>0.10228908546249475</v>
      </c>
      <c r="K88" s="50">
        <f>$C4*(($E4*($V4+$X4+$Y4))+($W4))/453.59</f>
        <v>4.4544063891037704E-2</v>
      </c>
      <c r="L88" s="50">
        <f>$B$21*C4*(E4+6)</f>
        <v>0.10126299103286279</v>
      </c>
      <c r="M88" s="50">
        <f t="shared" ref="M88" si="52">0.41*L88</f>
        <v>4.1517826323473742E-2</v>
      </c>
      <c r="N88" s="50">
        <f>C4*($E4*$Z4+($AA4))/453.59</f>
        <v>665.08292071246683</v>
      </c>
      <c r="O88" s="50">
        <f>C4*($E4*$AB4+($AC4))/453.59</f>
        <v>3.804570466836299E-2</v>
      </c>
      <c r="P88" s="50">
        <f>C4*($E4*$AD4+($AE4))/453.59</f>
        <v>6.9253438966120323E-2</v>
      </c>
      <c r="AN88" s="38"/>
      <c r="AZ88" s="36"/>
    </row>
    <row r="89" spans="1:52">
      <c r="A89" s="61" t="s">
        <v>396</v>
      </c>
      <c r="B89" s="61"/>
      <c r="C89" s="61"/>
      <c r="D89" s="61"/>
      <c r="E89" s="61"/>
      <c r="F89" s="81">
        <f t="shared" ref="F89:P89" si="53">SUM(F88:F88)</f>
        <v>5.8286326305710405</v>
      </c>
      <c r="G89" s="81">
        <f t="shared" si="53"/>
        <v>0.52404788753253606</v>
      </c>
      <c r="H89" s="81">
        <f t="shared" si="53"/>
        <v>0.60599976388743992</v>
      </c>
      <c r="I89" s="81">
        <f t="shared" si="53"/>
        <v>8.7215643259273903E-3</v>
      </c>
      <c r="J89" s="81">
        <f t="shared" si="53"/>
        <v>0.10228908546249475</v>
      </c>
      <c r="K89" s="81">
        <f t="shared" si="53"/>
        <v>4.4544063891037704E-2</v>
      </c>
      <c r="L89" s="81">
        <f t="shared" si="53"/>
        <v>0.10126299103286279</v>
      </c>
      <c r="M89" s="81">
        <f t="shared" si="53"/>
        <v>4.1517826323473742E-2</v>
      </c>
      <c r="N89" s="81">
        <f t="shared" si="53"/>
        <v>665.08292071246683</v>
      </c>
      <c r="O89" s="81">
        <f t="shared" si="53"/>
        <v>3.804570466836299E-2</v>
      </c>
      <c r="P89" s="81">
        <f t="shared" si="53"/>
        <v>6.9253438966120323E-2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B-9
Construction Worker Commute Emission Calculations
TL 6910 Construction</oddHeader>
    <oddFooter>&amp;CB-9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C97" sqref="C97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521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24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21" t="s">
        <v>69</v>
      </c>
      <c r="S3" s="42" t="s">
        <v>118</v>
      </c>
      <c r="T3" s="421" t="s">
        <v>71</v>
      </c>
      <c r="U3" s="421" t="s">
        <v>72</v>
      </c>
      <c r="V3" s="421" t="s">
        <v>69</v>
      </c>
      <c r="W3" s="42" t="s">
        <v>118</v>
      </c>
      <c r="X3" s="421" t="s">
        <v>71</v>
      </c>
      <c r="Y3" s="421" t="s">
        <v>72</v>
      </c>
      <c r="Z3" s="41" t="s">
        <v>69</v>
      </c>
      <c r="AA3" s="42" t="s">
        <v>118</v>
      </c>
      <c r="AB3" s="421" t="s">
        <v>69</v>
      </c>
      <c r="AC3" s="42" t="s">
        <v>118</v>
      </c>
      <c r="AD3" s="421" t="s">
        <v>69</v>
      </c>
      <c r="AE3" s="42" t="s">
        <v>118</v>
      </c>
    </row>
    <row r="4" spans="1:67" ht="25.5">
      <c r="A4" s="44" t="s">
        <v>346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67" ht="25.5">
      <c r="A5" s="44" t="s">
        <v>329</v>
      </c>
      <c r="B5" s="45" t="s">
        <v>102</v>
      </c>
      <c r="C5" s="46">
        <v>18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330</v>
      </c>
      <c r="B6" s="45" t="s">
        <v>102</v>
      </c>
      <c r="C6" s="46">
        <v>18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423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2">AG$11*$AC16</f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>AR$11*$AC16</f>
        <v>#REF!</v>
      </c>
      <c r="AS16" s="36" t="e">
        <f t="shared" ref="AS16:BA24" si="3">AS$11*$AC16</f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4">AF$11*$AC17</f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ref="AR17:AR24" si="5">AR$11*$AC17</f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6">AF$11*$AC27</f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ref="AR27:BA35" si="7">AR$11*$AC27</f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8">AF$11*$AC38</f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ref="AR38:BA46" si="9">AR$11*$AC38</f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0">AF16+AF18+AF19</f>
        <v>#REF!</v>
      </c>
      <c r="AG51" s="70" t="e">
        <f t="shared" si="10"/>
        <v>#REF!</v>
      </c>
      <c r="AH51" s="70" t="e">
        <f t="shared" si="10"/>
        <v>#REF!</v>
      </c>
      <c r="AI51" s="70" t="e">
        <f t="shared" si="10"/>
        <v>#REF!</v>
      </c>
      <c r="AJ51" s="70" t="e">
        <f t="shared" si="10"/>
        <v>#REF!</v>
      </c>
      <c r="AK51" s="70" t="e">
        <f t="shared" si="10"/>
        <v>#REF!</v>
      </c>
      <c r="AL51" s="70" t="e">
        <f t="shared" si="10"/>
        <v>#REF!</v>
      </c>
      <c r="AM51" s="70" t="e">
        <f t="shared" si="10"/>
        <v>#REF!</v>
      </c>
      <c r="AN51" s="70" t="e">
        <f t="shared" si="10"/>
        <v>#REF!</v>
      </c>
      <c r="AO51" s="70" t="e">
        <f t="shared" si="10"/>
        <v>#REF!</v>
      </c>
      <c r="AP51" s="70"/>
      <c r="AQ51" s="70"/>
      <c r="AR51" s="70" t="e">
        <f t="shared" ref="AR51:BA51" si="11">AR16+AR18+AR19</f>
        <v>#REF!</v>
      </c>
      <c r="AS51" s="70" t="e">
        <f t="shared" si="11"/>
        <v>#REF!</v>
      </c>
      <c r="AT51" s="70" t="e">
        <f t="shared" si="11"/>
        <v>#REF!</v>
      </c>
      <c r="AU51" s="70" t="e">
        <f t="shared" si="11"/>
        <v>#REF!</v>
      </c>
      <c r="AV51" s="70" t="e">
        <f t="shared" si="11"/>
        <v>#REF!</v>
      </c>
      <c r="AW51" s="70" t="e">
        <f t="shared" si="11"/>
        <v>#REF!</v>
      </c>
      <c r="AX51" s="70" t="e">
        <f t="shared" si="11"/>
        <v>#REF!</v>
      </c>
      <c r="AY51" s="70" t="e">
        <f t="shared" si="11"/>
        <v>#REF!</v>
      </c>
      <c r="AZ51" s="70" t="e">
        <f t="shared" si="11"/>
        <v>#REF!</v>
      </c>
      <c r="BA51" s="70" t="e">
        <f t="shared" si="11"/>
        <v>#REF!</v>
      </c>
    </row>
    <row r="52" spans="27:53" hidden="1">
      <c r="AA52" s="71" t="s">
        <v>41</v>
      </c>
      <c r="AB52" s="35"/>
      <c r="AF52" s="70" t="e">
        <f t="shared" ref="AF52:AO52" si="12">AF27+AF29+AF30</f>
        <v>#REF!</v>
      </c>
      <c r="AG52" s="70" t="e">
        <f t="shared" si="12"/>
        <v>#REF!</v>
      </c>
      <c r="AH52" s="70" t="e">
        <f t="shared" si="12"/>
        <v>#REF!</v>
      </c>
      <c r="AI52" s="70" t="e">
        <f t="shared" si="12"/>
        <v>#REF!</v>
      </c>
      <c r="AJ52" s="70" t="e">
        <f t="shared" si="12"/>
        <v>#REF!</v>
      </c>
      <c r="AK52" s="70" t="e">
        <f t="shared" si="12"/>
        <v>#REF!</v>
      </c>
      <c r="AL52" s="70" t="e">
        <f t="shared" si="12"/>
        <v>#REF!</v>
      </c>
      <c r="AM52" s="70" t="e">
        <f t="shared" si="12"/>
        <v>#REF!</v>
      </c>
      <c r="AN52" s="70" t="e">
        <f t="shared" si="12"/>
        <v>#REF!</v>
      </c>
      <c r="AO52" s="70" t="e">
        <f t="shared" si="12"/>
        <v>#REF!</v>
      </c>
      <c r="AP52" s="70"/>
      <c r="AQ52" s="70"/>
      <c r="AR52" s="70" t="e">
        <f t="shared" ref="AR52:BA52" si="13">AR27+AR29+AR30</f>
        <v>#REF!</v>
      </c>
      <c r="AS52" s="70" t="e">
        <f t="shared" si="13"/>
        <v>#REF!</v>
      </c>
      <c r="AT52" s="70" t="e">
        <f t="shared" si="13"/>
        <v>#REF!</v>
      </c>
      <c r="AU52" s="70" t="e">
        <f t="shared" si="13"/>
        <v>#REF!</v>
      </c>
      <c r="AV52" s="70" t="e">
        <f t="shared" si="13"/>
        <v>#REF!</v>
      </c>
      <c r="AW52" s="70" t="e">
        <f t="shared" si="13"/>
        <v>#REF!</v>
      </c>
      <c r="AX52" s="70" t="e">
        <f t="shared" si="13"/>
        <v>#REF!</v>
      </c>
      <c r="AY52" s="70" t="e">
        <f t="shared" si="13"/>
        <v>#REF!</v>
      </c>
      <c r="AZ52" s="70" t="e">
        <f t="shared" si="13"/>
        <v>#REF!</v>
      </c>
      <c r="BA52" s="70" t="e">
        <f t="shared" si="13"/>
        <v>#REF!</v>
      </c>
    </row>
    <row r="53" spans="27:53" hidden="1">
      <c r="AA53" s="71" t="s">
        <v>42</v>
      </c>
      <c r="AB53" s="35"/>
      <c r="AF53" s="70" t="e">
        <f t="shared" ref="AF53:AO53" si="14">AF38+AF40+AF41</f>
        <v>#REF!</v>
      </c>
      <c r="AG53" s="70" t="e">
        <f t="shared" si="14"/>
        <v>#REF!</v>
      </c>
      <c r="AH53" s="70" t="e">
        <f t="shared" si="14"/>
        <v>#REF!</v>
      </c>
      <c r="AI53" s="70" t="e">
        <f t="shared" si="14"/>
        <v>#REF!</v>
      </c>
      <c r="AJ53" s="70" t="e">
        <f t="shared" si="14"/>
        <v>#REF!</v>
      </c>
      <c r="AK53" s="70" t="e">
        <f t="shared" si="14"/>
        <v>#REF!</v>
      </c>
      <c r="AL53" s="70" t="e">
        <f t="shared" si="14"/>
        <v>#REF!</v>
      </c>
      <c r="AM53" s="70" t="e">
        <f t="shared" si="14"/>
        <v>#REF!</v>
      </c>
      <c r="AN53" s="70" t="e">
        <f t="shared" si="14"/>
        <v>#REF!</v>
      </c>
      <c r="AO53" s="70" t="e">
        <f t="shared" si="14"/>
        <v>#REF!</v>
      </c>
      <c r="AP53" s="70"/>
      <c r="AQ53" s="70"/>
      <c r="AR53" s="70" t="e">
        <f t="shared" ref="AR53:BA53" si="15">AR38+AR40+AR41</f>
        <v>#REF!</v>
      </c>
      <c r="AS53" s="70" t="e">
        <f t="shared" si="15"/>
        <v>#REF!</v>
      </c>
      <c r="AT53" s="70" t="e">
        <f t="shared" si="15"/>
        <v>#REF!</v>
      </c>
      <c r="AU53" s="70" t="e">
        <f t="shared" si="15"/>
        <v>#REF!</v>
      </c>
      <c r="AV53" s="70" t="e">
        <f t="shared" si="15"/>
        <v>#REF!</v>
      </c>
      <c r="AW53" s="70" t="e">
        <f t="shared" si="15"/>
        <v>#REF!</v>
      </c>
      <c r="AX53" s="70" t="e">
        <f t="shared" si="15"/>
        <v>#REF!</v>
      </c>
      <c r="AY53" s="70" t="e">
        <f t="shared" si="15"/>
        <v>#REF!</v>
      </c>
      <c r="AZ53" s="70" t="e">
        <f t="shared" si="15"/>
        <v>#REF!</v>
      </c>
      <c r="BA53" s="70" t="e">
        <f t="shared" si="15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6">AF16+AF18+AF20+AF22</f>
        <v>#REF!</v>
      </c>
      <c r="AG55" s="70" t="e">
        <f t="shared" si="16"/>
        <v>#REF!</v>
      </c>
      <c r="AH55" s="70" t="e">
        <f t="shared" si="16"/>
        <v>#REF!</v>
      </c>
      <c r="AI55" s="70" t="e">
        <f t="shared" si="16"/>
        <v>#REF!</v>
      </c>
      <c r="AJ55" s="70" t="e">
        <f t="shared" si="16"/>
        <v>#REF!</v>
      </c>
      <c r="AK55" s="70" t="e">
        <f t="shared" si="16"/>
        <v>#REF!</v>
      </c>
      <c r="AL55" s="70" t="e">
        <f t="shared" si="16"/>
        <v>#REF!</v>
      </c>
      <c r="AM55" s="70" t="e">
        <f t="shared" si="16"/>
        <v>#REF!</v>
      </c>
      <c r="AN55" s="70" t="e">
        <f t="shared" si="16"/>
        <v>#REF!</v>
      </c>
      <c r="AO55" s="70" t="e">
        <f t="shared" si="16"/>
        <v>#REF!</v>
      </c>
      <c r="AP55" s="70"/>
      <c r="AQ55" s="70"/>
      <c r="AR55" s="70" t="e">
        <f t="shared" ref="AR55:BA55" si="17">AR16+AR18+AR20+AR22</f>
        <v>#REF!</v>
      </c>
      <c r="AS55" s="70" t="e">
        <f t="shared" si="17"/>
        <v>#REF!</v>
      </c>
      <c r="AT55" s="70" t="e">
        <f t="shared" si="17"/>
        <v>#REF!</v>
      </c>
      <c r="AU55" s="70" t="e">
        <f t="shared" si="17"/>
        <v>#REF!</v>
      </c>
      <c r="AV55" s="70" t="e">
        <f t="shared" si="17"/>
        <v>#REF!</v>
      </c>
      <c r="AW55" s="70" t="e">
        <f t="shared" si="17"/>
        <v>#REF!</v>
      </c>
      <c r="AX55" s="70" t="e">
        <f t="shared" si="17"/>
        <v>#REF!</v>
      </c>
      <c r="AY55" s="70" t="e">
        <f t="shared" si="17"/>
        <v>#REF!</v>
      </c>
      <c r="AZ55" s="70" t="e">
        <f t="shared" si="17"/>
        <v>#REF!</v>
      </c>
      <c r="BA55" s="70" t="e">
        <f t="shared" si="17"/>
        <v>#REF!</v>
      </c>
    </row>
    <row r="56" spans="27:53" hidden="1">
      <c r="AA56" s="71" t="s">
        <v>41</v>
      </c>
      <c r="AB56" s="35"/>
      <c r="AF56" s="70" t="e">
        <f t="shared" ref="AF56:AO56" si="18">AF27+AF29+AF31+AF33</f>
        <v>#REF!</v>
      </c>
      <c r="AG56" s="70" t="e">
        <f t="shared" si="18"/>
        <v>#REF!</v>
      </c>
      <c r="AH56" s="70" t="e">
        <f t="shared" si="18"/>
        <v>#REF!</v>
      </c>
      <c r="AI56" s="70" t="e">
        <f t="shared" si="18"/>
        <v>#REF!</v>
      </c>
      <c r="AJ56" s="70" t="e">
        <f t="shared" si="18"/>
        <v>#REF!</v>
      </c>
      <c r="AK56" s="70" t="e">
        <f t="shared" si="18"/>
        <v>#REF!</v>
      </c>
      <c r="AL56" s="70" t="e">
        <f t="shared" si="18"/>
        <v>#REF!</v>
      </c>
      <c r="AM56" s="70" t="e">
        <f t="shared" si="18"/>
        <v>#REF!</v>
      </c>
      <c r="AN56" s="70" t="e">
        <f t="shared" si="18"/>
        <v>#REF!</v>
      </c>
      <c r="AO56" s="70" t="e">
        <f t="shared" si="18"/>
        <v>#REF!</v>
      </c>
      <c r="AP56" s="70"/>
      <c r="AQ56" s="70"/>
      <c r="AR56" s="70" t="e">
        <f t="shared" ref="AR56:BA56" si="19">AR27+AR29+AR31+AR33</f>
        <v>#REF!</v>
      </c>
      <c r="AS56" s="70" t="e">
        <f t="shared" si="19"/>
        <v>#REF!</v>
      </c>
      <c r="AT56" s="70" t="e">
        <f t="shared" si="19"/>
        <v>#REF!</v>
      </c>
      <c r="AU56" s="70" t="e">
        <f t="shared" si="19"/>
        <v>#REF!</v>
      </c>
      <c r="AV56" s="70" t="e">
        <f t="shared" si="19"/>
        <v>#REF!</v>
      </c>
      <c r="AW56" s="70" t="e">
        <f t="shared" si="19"/>
        <v>#REF!</v>
      </c>
      <c r="AX56" s="70" t="e">
        <f t="shared" si="19"/>
        <v>#REF!</v>
      </c>
      <c r="AY56" s="70" t="e">
        <f t="shared" si="19"/>
        <v>#REF!</v>
      </c>
      <c r="AZ56" s="70" t="e">
        <f t="shared" si="19"/>
        <v>#REF!</v>
      </c>
      <c r="BA56" s="70" t="e">
        <f t="shared" si="19"/>
        <v>#REF!</v>
      </c>
    </row>
    <row r="57" spans="27:53" hidden="1">
      <c r="AA57" s="71" t="s">
        <v>42</v>
      </c>
      <c r="AB57" s="35"/>
      <c r="AF57" s="70" t="e">
        <f t="shared" ref="AF57:AO57" si="20">AF38+AF40+AF42+AF44</f>
        <v>#REF!</v>
      </c>
      <c r="AG57" s="70" t="e">
        <f t="shared" si="20"/>
        <v>#REF!</v>
      </c>
      <c r="AH57" s="70" t="e">
        <f t="shared" si="20"/>
        <v>#REF!</v>
      </c>
      <c r="AI57" s="70" t="e">
        <f t="shared" si="20"/>
        <v>#REF!</v>
      </c>
      <c r="AJ57" s="70" t="e">
        <f t="shared" si="20"/>
        <v>#REF!</v>
      </c>
      <c r="AK57" s="70" t="e">
        <f t="shared" si="20"/>
        <v>#REF!</v>
      </c>
      <c r="AL57" s="70" t="e">
        <f t="shared" si="20"/>
        <v>#REF!</v>
      </c>
      <c r="AM57" s="70" t="e">
        <f t="shared" si="20"/>
        <v>#REF!</v>
      </c>
      <c r="AN57" s="70" t="e">
        <f t="shared" si="20"/>
        <v>#REF!</v>
      </c>
      <c r="AO57" s="70" t="e">
        <f t="shared" si="20"/>
        <v>#REF!</v>
      </c>
      <c r="AP57" s="70"/>
      <c r="AQ57" s="70"/>
      <c r="AR57" s="70" t="e">
        <f t="shared" ref="AR57:BA57" si="21">AR38+AR40+AR42+AR44</f>
        <v>#REF!</v>
      </c>
      <c r="AS57" s="70" t="e">
        <f t="shared" si="21"/>
        <v>#REF!</v>
      </c>
      <c r="AT57" s="70" t="e">
        <f t="shared" si="21"/>
        <v>#REF!</v>
      </c>
      <c r="AU57" s="70" t="e">
        <f t="shared" si="21"/>
        <v>#REF!</v>
      </c>
      <c r="AV57" s="70" t="e">
        <f t="shared" si="21"/>
        <v>#REF!</v>
      </c>
      <c r="AW57" s="70" t="e">
        <f t="shared" si="21"/>
        <v>#REF!</v>
      </c>
      <c r="AX57" s="70" t="e">
        <f t="shared" si="21"/>
        <v>#REF!</v>
      </c>
      <c r="AY57" s="70" t="e">
        <f t="shared" si="21"/>
        <v>#REF!</v>
      </c>
      <c r="AZ57" s="70" t="e">
        <f t="shared" si="21"/>
        <v>#REF!</v>
      </c>
      <c r="BA57" s="70" t="e">
        <f t="shared" si="21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2">AF16+AF18+AF20+AF21+AF23</f>
        <v>#REF!</v>
      </c>
      <c r="AG59" s="70" t="e">
        <f t="shared" si="22"/>
        <v>#REF!</v>
      </c>
      <c r="AH59" s="70" t="e">
        <f t="shared" si="22"/>
        <v>#REF!</v>
      </c>
      <c r="AI59" s="70" t="e">
        <f t="shared" si="22"/>
        <v>#REF!</v>
      </c>
      <c r="AJ59" s="70" t="e">
        <f t="shared" si="22"/>
        <v>#REF!</v>
      </c>
      <c r="AK59" s="70" t="e">
        <f t="shared" si="22"/>
        <v>#REF!</v>
      </c>
      <c r="AL59" s="70" t="e">
        <f t="shared" si="22"/>
        <v>#REF!</v>
      </c>
      <c r="AM59" s="70" t="e">
        <f t="shared" si="22"/>
        <v>#REF!</v>
      </c>
      <c r="AN59" s="70" t="e">
        <f t="shared" si="22"/>
        <v>#REF!</v>
      </c>
      <c r="AO59" s="70" t="e">
        <f t="shared" si="22"/>
        <v>#REF!</v>
      </c>
      <c r="AP59" s="70"/>
      <c r="AQ59" s="70"/>
      <c r="AR59" s="70" t="e">
        <f t="shared" ref="AR59:BA59" si="23">AR16+AR18+AR20+AR21+AR23</f>
        <v>#REF!</v>
      </c>
      <c r="AS59" s="70" t="e">
        <f t="shared" si="23"/>
        <v>#REF!</v>
      </c>
      <c r="AT59" s="70" t="e">
        <f t="shared" si="23"/>
        <v>#REF!</v>
      </c>
      <c r="AU59" s="70" t="e">
        <f t="shared" si="23"/>
        <v>#REF!</v>
      </c>
      <c r="AV59" s="70" t="e">
        <f t="shared" si="23"/>
        <v>#REF!</v>
      </c>
      <c r="AW59" s="70" t="e">
        <f t="shared" si="23"/>
        <v>#REF!</v>
      </c>
      <c r="AX59" s="70" t="e">
        <f t="shared" si="23"/>
        <v>#REF!</v>
      </c>
      <c r="AY59" s="70" t="e">
        <f t="shared" si="23"/>
        <v>#REF!</v>
      </c>
      <c r="AZ59" s="70" t="e">
        <f t="shared" si="23"/>
        <v>#REF!</v>
      </c>
      <c r="BA59" s="70" t="e">
        <f t="shared" si="23"/>
        <v>#REF!</v>
      </c>
    </row>
    <row r="60" spans="27:53" hidden="1">
      <c r="AA60" s="71" t="s">
        <v>41</v>
      </c>
      <c r="AB60" s="35"/>
      <c r="AF60" s="70" t="e">
        <f t="shared" ref="AF60:AO60" si="24">AF27+AF29+AF31+AF32+AF34</f>
        <v>#REF!</v>
      </c>
      <c r="AG60" s="70" t="e">
        <f t="shared" si="24"/>
        <v>#REF!</v>
      </c>
      <c r="AH60" s="70" t="e">
        <f t="shared" si="24"/>
        <v>#REF!</v>
      </c>
      <c r="AI60" s="70" t="e">
        <f t="shared" si="24"/>
        <v>#REF!</v>
      </c>
      <c r="AJ60" s="70" t="e">
        <f t="shared" si="24"/>
        <v>#REF!</v>
      </c>
      <c r="AK60" s="70" t="e">
        <f t="shared" si="24"/>
        <v>#REF!</v>
      </c>
      <c r="AL60" s="70" t="e">
        <f t="shared" si="24"/>
        <v>#REF!</v>
      </c>
      <c r="AM60" s="70" t="e">
        <f t="shared" si="24"/>
        <v>#REF!</v>
      </c>
      <c r="AN60" s="70" t="e">
        <f t="shared" si="24"/>
        <v>#REF!</v>
      </c>
      <c r="AO60" s="70" t="e">
        <f t="shared" si="24"/>
        <v>#REF!</v>
      </c>
      <c r="AP60" s="70"/>
      <c r="AQ60" s="70"/>
      <c r="AR60" s="70" t="e">
        <f t="shared" ref="AR60:BA60" si="25">AR27+AR29+AR31+AR32+AR34</f>
        <v>#REF!</v>
      </c>
      <c r="AS60" s="70" t="e">
        <f t="shared" si="25"/>
        <v>#REF!</v>
      </c>
      <c r="AT60" s="70" t="e">
        <f t="shared" si="25"/>
        <v>#REF!</v>
      </c>
      <c r="AU60" s="70" t="e">
        <f t="shared" si="25"/>
        <v>#REF!</v>
      </c>
      <c r="AV60" s="70" t="e">
        <f t="shared" si="25"/>
        <v>#REF!</v>
      </c>
      <c r="AW60" s="70" t="e">
        <f t="shared" si="25"/>
        <v>#REF!</v>
      </c>
      <c r="AX60" s="70" t="e">
        <f t="shared" si="25"/>
        <v>#REF!</v>
      </c>
      <c r="AY60" s="70" t="e">
        <f t="shared" si="25"/>
        <v>#REF!</v>
      </c>
      <c r="AZ60" s="70" t="e">
        <f t="shared" si="25"/>
        <v>#REF!</v>
      </c>
      <c r="BA60" s="70" t="e">
        <f t="shared" si="25"/>
        <v>#REF!</v>
      </c>
    </row>
    <row r="61" spans="27:53" hidden="1">
      <c r="AA61" s="71" t="s">
        <v>42</v>
      </c>
      <c r="AB61" s="35"/>
      <c r="AF61" s="70" t="e">
        <f t="shared" ref="AF61:AO61" si="26">AF38+AF40+AF42+AF43+AF45</f>
        <v>#REF!</v>
      </c>
      <c r="AG61" s="70" t="e">
        <f t="shared" si="26"/>
        <v>#REF!</v>
      </c>
      <c r="AH61" s="70" t="e">
        <f t="shared" si="26"/>
        <v>#REF!</v>
      </c>
      <c r="AI61" s="70" t="e">
        <f t="shared" si="26"/>
        <v>#REF!</v>
      </c>
      <c r="AJ61" s="70" t="e">
        <f t="shared" si="26"/>
        <v>#REF!</v>
      </c>
      <c r="AK61" s="70" t="e">
        <f t="shared" si="26"/>
        <v>#REF!</v>
      </c>
      <c r="AL61" s="70" t="e">
        <f t="shared" si="26"/>
        <v>#REF!</v>
      </c>
      <c r="AM61" s="70" t="e">
        <f t="shared" si="26"/>
        <v>#REF!</v>
      </c>
      <c r="AN61" s="70" t="e">
        <f t="shared" si="26"/>
        <v>#REF!</v>
      </c>
      <c r="AO61" s="70" t="e">
        <f t="shared" si="26"/>
        <v>#REF!</v>
      </c>
      <c r="AP61" s="70"/>
      <c r="AQ61" s="70"/>
      <c r="AR61" s="70" t="e">
        <f t="shared" ref="AR61:BA61" si="27">AR38+AR40+AR42+AR43+AR45</f>
        <v>#REF!</v>
      </c>
      <c r="AS61" s="70" t="e">
        <f t="shared" si="27"/>
        <v>#REF!</v>
      </c>
      <c r="AT61" s="70" t="e">
        <f t="shared" si="27"/>
        <v>#REF!</v>
      </c>
      <c r="AU61" s="70" t="e">
        <f t="shared" si="27"/>
        <v>#REF!</v>
      </c>
      <c r="AV61" s="70" t="e">
        <f t="shared" si="27"/>
        <v>#REF!</v>
      </c>
      <c r="AW61" s="70" t="e">
        <f t="shared" si="27"/>
        <v>#REF!</v>
      </c>
      <c r="AX61" s="70" t="e">
        <f t="shared" si="27"/>
        <v>#REF!</v>
      </c>
      <c r="AY61" s="70" t="e">
        <f t="shared" si="27"/>
        <v>#REF!</v>
      </c>
      <c r="AZ61" s="70" t="e">
        <f t="shared" si="27"/>
        <v>#REF!</v>
      </c>
      <c r="BA61" s="70" t="e">
        <f t="shared" si="27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28">AF16+AF18+AF20+AF21+AF24</f>
        <v>#REF!</v>
      </c>
      <c r="AG63" s="70" t="e">
        <f t="shared" si="28"/>
        <v>#REF!</v>
      </c>
      <c r="AH63" s="70" t="e">
        <f t="shared" si="28"/>
        <v>#REF!</v>
      </c>
      <c r="AI63" s="70" t="e">
        <f t="shared" si="28"/>
        <v>#REF!</v>
      </c>
      <c r="AJ63" s="70" t="e">
        <f t="shared" si="28"/>
        <v>#REF!</v>
      </c>
      <c r="AK63" s="70" t="e">
        <f t="shared" si="28"/>
        <v>#REF!</v>
      </c>
      <c r="AL63" s="70" t="e">
        <f t="shared" si="28"/>
        <v>#REF!</v>
      </c>
      <c r="AM63" s="70" t="e">
        <f t="shared" si="28"/>
        <v>#REF!</v>
      </c>
      <c r="AN63" s="70" t="e">
        <f t="shared" si="28"/>
        <v>#REF!</v>
      </c>
      <c r="AO63" s="70" t="e">
        <f t="shared" si="28"/>
        <v>#REF!</v>
      </c>
      <c r="AP63" s="70"/>
      <c r="AQ63" s="70"/>
      <c r="AR63" s="70" t="e">
        <f t="shared" ref="AR63:BA63" si="29">AR16+AR18+AR20+AR21+AR24</f>
        <v>#REF!</v>
      </c>
      <c r="AS63" s="70" t="e">
        <f t="shared" si="29"/>
        <v>#REF!</v>
      </c>
      <c r="AT63" s="70" t="e">
        <f t="shared" si="29"/>
        <v>#REF!</v>
      </c>
      <c r="AU63" s="70" t="e">
        <f t="shared" si="29"/>
        <v>#REF!</v>
      </c>
      <c r="AV63" s="70" t="e">
        <f t="shared" si="29"/>
        <v>#REF!</v>
      </c>
      <c r="AW63" s="70" t="e">
        <f t="shared" si="29"/>
        <v>#REF!</v>
      </c>
      <c r="AX63" s="70" t="e">
        <f t="shared" si="29"/>
        <v>#REF!</v>
      </c>
      <c r="AY63" s="70" t="e">
        <f t="shared" si="29"/>
        <v>#REF!</v>
      </c>
      <c r="AZ63" s="70" t="e">
        <f t="shared" si="29"/>
        <v>#REF!</v>
      </c>
      <c r="BA63" s="70" t="e">
        <f t="shared" si="29"/>
        <v>#REF!</v>
      </c>
    </row>
    <row r="64" spans="27:53" hidden="1">
      <c r="AA64" s="71" t="s">
        <v>41</v>
      </c>
      <c r="AB64" s="35"/>
      <c r="AF64" s="70" t="e">
        <f t="shared" ref="AF64:AO64" si="30">AF27+AF29+AF31+AF32+AF35</f>
        <v>#REF!</v>
      </c>
      <c r="AG64" s="70" t="e">
        <f t="shared" si="30"/>
        <v>#REF!</v>
      </c>
      <c r="AH64" s="70" t="e">
        <f t="shared" si="30"/>
        <v>#REF!</v>
      </c>
      <c r="AI64" s="70" t="e">
        <f t="shared" si="30"/>
        <v>#REF!</v>
      </c>
      <c r="AJ64" s="70" t="e">
        <f t="shared" si="30"/>
        <v>#REF!</v>
      </c>
      <c r="AK64" s="70" t="e">
        <f t="shared" si="30"/>
        <v>#REF!</v>
      </c>
      <c r="AL64" s="70" t="e">
        <f t="shared" si="30"/>
        <v>#REF!</v>
      </c>
      <c r="AM64" s="70" t="e">
        <f t="shared" si="30"/>
        <v>#REF!</v>
      </c>
      <c r="AN64" s="70" t="e">
        <f t="shared" si="30"/>
        <v>#REF!</v>
      </c>
      <c r="AO64" s="70" t="e">
        <f t="shared" si="30"/>
        <v>#REF!</v>
      </c>
      <c r="AP64" s="70"/>
      <c r="AQ64" s="70"/>
      <c r="AR64" s="70" t="e">
        <f t="shared" ref="AR64:BA64" si="31">AR27+AR29+AR31+AR32+AR35</f>
        <v>#REF!</v>
      </c>
      <c r="AS64" s="70" t="e">
        <f t="shared" si="31"/>
        <v>#REF!</v>
      </c>
      <c r="AT64" s="70" t="e">
        <f t="shared" si="31"/>
        <v>#REF!</v>
      </c>
      <c r="AU64" s="70" t="e">
        <f t="shared" si="31"/>
        <v>#REF!</v>
      </c>
      <c r="AV64" s="70" t="e">
        <f t="shared" si="31"/>
        <v>#REF!</v>
      </c>
      <c r="AW64" s="70" t="e">
        <f t="shared" si="31"/>
        <v>#REF!</v>
      </c>
      <c r="AX64" s="70" t="e">
        <f t="shared" si="31"/>
        <v>#REF!</v>
      </c>
      <c r="AY64" s="70" t="e">
        <f t="shared" si="31"/>
        <v>#REF!</v>
      </c>
      <c r="AZ64" s="70" t="e">
        <f t="shared" si="31"/>
        <v>#REF!</v>
      </c>
      <c r="BA64" s="70" t="e">
        <f t="shared" si="31"/>
        <v>#REF!</v>
      </c>
    </row>
    <row r="65" spans="27:53" hidden="1">
      <c r="AA65" s="71" t="s">
        <v>42</v>
      </c>
      <c r="AB65" s="35"/>
      <c r="AF65" s="70" t="e">
        <f t="shared" ref="AF65:AO65" si="32">AF38+AF40+AF42+AF43+AF46</f>
        <v>#REF!</v>
      </c>
      <c r="AG65" s="70" t="e">
        <f t="shared" si="32"/>
        <v>#REF!</v>
      </c>
      <c r="AH65" s="70" t="e">
        <f t="shared" si="32"/>
        <v>#REF!</v>
      </c>
      <c r="AI65" s="70" t="e">
        <f t="shared" si="32"/>
        <v>#REF!</v>
      </c>
      <c r="AJ65" s="70" t="e">
        <f t="shared" si="32"/>
        <v>#REF!</v>
      </c>
      <c r="AK65" s="70" t="e">
        <f t="shared" si="32"/>
        <v>#REF!</v>
      </c>
      <c r="AL65" s="70" t="e">
        <f t="shared" si="32"/>
        <v>#REF!</v>
      </c>
      <c r="AM65" s="70" t="e">
        <f t="shared" si="32"/>
        <v>#REF!</v>
      </c>
      <c r="AN65" s="70" t="e">
        <f t="shared" si="32"/>
        <v>#REF!</v>
      </c>
      <c r="AO65" s="70" t="e">
        <f t="shared" si="32"/>
        <v>#REF!</v>
      </c>
      <c r="AP65" s="70"/>
      <c r="AQ65" s="70"/>
      <c r="AR65" s="70" t="e">
        <f t="shared" ref="AR65:BA65" si="33">AR38+AR40+AR42+AR43+AR46</f>
        <v>#REF!</v>
      </c>
      <c r="AS65" s="70" t="e">
        <f t="shared" si="33"/>
        <v>#REF!</v>
      </c>
      <c r="AT65" s="70" t="e">
        <f t="shared" si="33"/>
        <v>#REF!</v>
      </c>
      <c r="AU65" s="70" t="e">
        <f t="shared" si="33"/>
        <v>#REF!</v>
      </c>
      <c r="AV65" s="70" t="e">
        <f t="shared" si="33"/>
        <v>#REF!</v>
      </c>
      <c r="AW65" s="70" t="e">
        <f t="shared" si="33"/>
        <v>#REF!</v>
      </c>
      <c r="AX65" s="70" t="e">
        <f t="shared" si="33"/>
        <v>#REF!</v>
      </c>
      <c r="AY65" s="70" t="e">
        <f t="shared" si="33"/>
        <v>#REF!</v>
      </c>
      <c r="AZ65" s="70" t="e">
        <f t="shared" si="33"/>
        <v>#REF!</v>
      </c>
      <c r="BA65" s="70" t="e">
        <f t="shared" si="33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4">AF16+AF17+AF22</f>
        <v>#REF!</v>
      </c>
      <c r="AG67" s="70" t="e">
        <f t="shared" si="34"/>
        <v>#REF!</v>
      </c>
      <c r="AH67" s="70" t="e">
        <f t="shared" si="34"/>
        <v>#REF!</v>
      </c>
      <c r="AI67" s="70" t="e">
        <f t="shared" si="34"/>
        <v>#REF!</v>
      </c>
      <c r="AJ67" s="70" t="e">
        <f t="shared" si="34"/>
        <v>#REF!</v>
      </c>
      <c r="AK67" s="70" t="e">
        <f t="shared" si="34"/>
        <v>#REF!</v>
      </c>
      <c r="AL67" s="70" t="e">
        <f t="shared" si="34"/>
        <v>#REF!</v>
      </c>
      <c r="AM67" s="70" t="e">
        <f t="shared" si="34"/>
        <v>#REF!</v>
      </c>
      <c r="AN67" s="70" t="e">
        <f t="shared" si="34"/>
        <v>#REF!</v>
      </c>
      <c r="AO67" s="70" t="e">
        <f t="shared" si="34"/>
        <v>#REF!</v>
      </c>
      <c r="AP67" s="70"/>
      <c r="AQ67" s="70"/>
      <c r="AR67" s="70" t="e">
        <f t="shared" ref="AR67:BA67" si="35">AR16+AR17+AR22</f>
        <v>#REF!</v>
      </c>
      <c r="AS67" s="70" t="e">
        <f t="shared" si="35"/>
        <v>#REF!</v>
      </c>
      <c r="AT67" s="70" t="e">
        <f t="shared" si="35"/>
        <v>#REF!</v>
      </c>
      <c r="AU67" s="70" t="e">
        <f t="shared" si="35"/>
        <v>#REF!</v>
      </c>
      <c r="AV67" s="70" t="e">
        <f t="shared" si="35"/>
        <v>#REF!</v>
      </c>
      <c r="AW67" s="70" t="e">
        <f t="shared" si="35"/>
        <v>#REF!</v>
      </c>
      <c r="AX67" s="70" t="e">
        <f t="shared" si="35"/>
        <v>#REF!</v>
      </c>
      <c r="AY67" s="70" t="e">
        <f t="shared" si="35"/>
        <v>#REF!</v>
      </c>
      <c r="AZ67" s="70" t="e">
        <f t="shared" si="35"/>
        <v>#REF!</v>
      </c>
      <c r="BA67" s="70" t="e">
        <f t="shared" si="35"/>
        <v>#REF!</v>
      </c>
    </row>
    <row r="68" spans="27:53" hidden="1">
      <c r="AA68" s="71" t="s">
        <v>41</v>
      </c>
      <c r="AB68" s="35"/>
      <c r="AF68" s="70" t="e">
        <f t="shared" ref="AF68:AO68" si="36">AF27+AF28+AF33</f>
        <v>#REF!</v>
      </c>
      <c r="AG68" s="70" t="e">
        <f t="shared" si="36"/>
        <v>#REF!</v>
      </c>
      <c r="AH68" s="70" t="e">
        <f t="shared" si="36"/>
        <v>#REF!</v>
      </c>
      <c r="AI68" s="70" t="e">
        <f t="shared" si="36"/>
        <v>#REF!</v>
      </c>
      <c r="AJ68" s="70" t="e">
        <f t="shared" si="36"/>
        <v>#REF!</v>
      </c>
      <c r="AK68" s="70" t="e">
        <f t="shared" si="36"/>
        <v>#REF!</v>
      </c>
      <c r="AL68" s="70" t="e">
        <f t="shared" si="36"/>
        <v>#REF!</v>
      </c>
      <c r="AM68" s="70" t="e">
        <f t="shared" si="36"/>
        <v>#REF!</v>
      </c>
      <c r="AN68" s="70" t="e">
        <f t="shared" si="36"/>
        <v>#REF!</v>
      </c>
      <c r="AO68" s="70" t="e">
        <f t="shared" si="36"/>
        <v>#REF!</v>
      </c>
      <c r="AP68" s="70"/>
      <c r="AQ68" s="70"/>
      <c r="AR68" s="70" t="e">
        <f t="shared" ref="AR68:BA68" si="37">AR27+AR28+AR33</f>
        <v>#REF!</v>
      </c>
      <c r="AS68" s="70" t="e">
        <f t="shared" si="37"/>
        <v>#REF!</v>
      </c>
      <c r="AT68" s="70" t="e">
        <f t="shared" si="37"/>
        <v>#REF!</v>
      </c>
      <c r="AU68" s="70" t="e">
        <f t="shared" si="37"/>
        <v>#REF!</v>
      </c>
      <c r="AV68" s="70" t="e">
        <f t="shared" si="37"/>
        <v>#REF!</v>
      </c>
      <c r="AW68" s="70" t="e">
        <f t="shared" si="37"/>
        <v>#REF!</v>
      </c>
      <c r="AX68" s="70" t="e">
        <f t="shared" si="37"/>
        <v>#REF!</v>
      </c>
      <c r="AY68" s="70" t="e">
        <f t="shared" si="37"/>
        <v>#REF!</v>
      </c>
      <c r="AZ68" s="70" t="e">
        <f t="shared" si="37"/>
        <v>#REF!</v>
      </c>
      <c r="BA68" s="70" t="e">
        <f t="shared" si="37"/>
        <v>#REF!</v>
      </c>
    </row>
    <row r="69" spans="27:53" hidden="1">
      <c r="AA69" s="71" t="s">
        <v>42</v>
      </c>
      <c r="AB69" s="35"/>
      <c r="AF69" s="70" t="e">
        <f t="shared" ref="AF69:AO69" si="38">AF38+AF39+AF44</f>
        <v>#REF!</v>
      </c>
      <c r="AG69" s="70" t="e">
        <f t="shared" si="38"/>
        <v>#REF!</v>
      </c>
      <c r="AH69" s="70" t="e">
        <f t="shared" si="38"/>
        <v>#REF!</v>
      </c>
      <c r="AI69" s="70" t="e">
        <f t="shared" si="38"/>
        <v>#REF!</v>
      </c>
      <c r="AJ69" s="70" t="e">
        <f t="shared" si="38"/>
        <v>#REF!</v>
      </c>
      <c r="AK69" s="70" t="e">
        <f t="shared" si="38"/>
        <v>#REF!</v>
      </c>
      <c r="AL69" s="70" t="e">
        <f t="shared" si="38"/>
        <v>#REF!</v>
      </c>
      <c r="AM69" s="70" t="e">
        <f t="shared" si="38"/>
        <v>#REF!</v>
      </c>
      <c r="AN69" s="70" t="e">
        <f t="shared" si="38"/>
        <v>#REF!</v>
      </c>
      <c r="AO69" s="70" t="e">
        <f t="shared" si="38"/>
        <v>#REF!</v>
      </c>
      <c r="AP69" s="70"/>
      <c r="AQ69" s="70"/>
      <c r="AR69" s="70" t="e">
        <f t="shared" ref="AR69:BA69" si="39">AR38+AR39+AR44</f>
        <v>#REF!</v>
      </c>
      <c r="AS69" s="70" t="e">
        <f t="shared" si="39"/>
        <v>#REF!</v>
      </c>
      <c r="AT69" s="70" t="e">
        <f t="shared" si="39"/>
        <v>#REF!</v>
      </c>
      <c r="AU69" s="70" t="e">
        <f t="shared" si="39"/>
        <v>#REF!</v>
      </c>
      <c r="AV69" s="70" t="e">
        <f t="shared" si="39"/>
        <v>#REF!</v>
      </c>
      <c r="AW69" s="70" t="e">
        <f t="shared" si="39"/>
        <v>#REF!</v>
      </c>
      <c r="AX69" s="70" t="e">
        <f t="shared" si="39"/>
        <v>#REF!</v>
      </c>
      <c r="AY69" s="70" t="e">
        <f t="shared" si="39"/>
        <v>#REF!</v>
      </c>
      <c r="AZ69" s="70" t="e">
        <f t="shared" si="39"/>
        <v>#REF!</v>
      </c>
      <c r="BA69" s="70" t="e">
        <f t="shared" si="39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0">AF16+AF17+AF21+AF23</f>
        <v>#REF!</v>
      </c>
      <c r="AG71" s="70" t="e">
        <f t="shared" si="40"/>
        <v>#REF!</v>
      </c>
      <c r="AH71" s="70" t="e">
        <f t="shared" si="40"/>
        <v>#REF!</v>
      </c>
      <c r="AI71" s="70" t="e">
        <f t="shared" si="40"/>
        <v>#REF!</v>
      </c>
      <c r="AJ71" s="70" t="e">
        <f t="shared" si="40"/>
        <v>#REF!</v>
      </c>
      <c r="AK71" s="70" t="e">
        <f t="shared" si="40"/>
        <v>#REF!</v>
      </c>
      <c r="AL71" s="70" t="e">
        <f t="shared" si="40"/>
        <v>#REF!</v>
      </c>
      <c r="AM71" s="70" t="e">
        <f t="shared" si="40"/>
        <v>#REF!</v>
      </c>
      <c r="AN71" s="70" t="e">
        <f t="shared" si="40"/>
        <v>#REF!</v>
      </c>
      <c r="AO71" s="70" t="e">
        <f t="shared" si="40"/>
        <v>#REF!</v>
      </c>
      <c r="AP71" s="70"/>
      <c r="AQ71" s="70"/>
      <c r="AR71" s="70" t="e">
        <f t="shared" ref="AR71:BA71" si="41">AR16+AR17+AR21+AR23</f>
        <v>#REF!</v>
      </c>
      <c r="AS71" s="70" t="e">
        <f t="shared" si="41"/>
        <v>#REF!</v>
      </c>
      <c r="AT71" s="70" t="e">
        <f t="shared" si="41"/>
        <v>#REF!</v>
      </c>
      <c r="AU71" s="70" t="e">
        <f t="shared" si="41"/>
        <v>#REF!</v>
      </c>
      <c r="AV71" s="70" t="e">
        <f t="shared" si="41"/>
        <v>#REF!</v>
      </c>
      <c r="AW71" s="70" t="e">
        <f t="shared" si="41"/>
        <v>#REF!</v>
      </c>
      <c r="AX71" s="70" t="e">
        <f t="shared" si="41"/>
        <v>#REF!</v>
      </c>
      <c r="AY71" s="70" t="e">
        <f t="shared" si="41"/>
        <v>#REF!</v>
      </c>
      <c r="AZ71" s="70" t="e">
        <f t="shared" si="41"/>
        <v>#REF!</v>
      </c>
      <c r="BA71" s="70" t="e">
        <f t="shared" si="41"/>
        <v>#REF!</v>
      </c>
    </row>
    <row r="72" spans="27:53" hidden="1">
      <c r="AA72" s="71" t="s">
        <v>41</v>
      </c>
      <c r="AB72" s="35"/>
      <c r="AF72" s="70" t="e">
        <f t="shared" ref="AF72:AO72" si="42">AF27+AF28+AF32+AF34</f>
        <v>#REF!</v>
      </c>
      <c r="AG72" s="70" t="e">
        <f t="shared" si="42"/>
        <v>#REF!</v>
      </c>
      <c r="AH72" s="70" t="e">
        <f t="shared" si="42"/>
        <v>#REF!</v>
      </c>
      <c r="AI72" s="70" t="e">
        <f t="shared" si="42"/>
        <v>#REF!</v>
      </c>
      <c r="AJ72" s="70" t="e">
        <f t="shared" si="42"/>
        <v>#REF!</v>
      </c>
      <c r="AK72" s="70" t="e">
        <f t="shared" si="42"/>
        <v>#REF!</v>
      </c>
      <c r="AL72" s="70" t="e">
        <f t="shared" si="42"/>
        <v>#REF!</v>
      </c>
      <c r="AM72" s="70" t="e">
        <f t="shared" si="42"/>
        <v>#REF!</v>
      </c>
      <c r="AN72" s="70" t="e">
        <f t="shared" si="42"/>
        <v>#REF!</v>
      </c>
      <c r="AO72" s="70" t="e">
        <f t="shared" si="42"/>
        <v>#REF!</v>
      </c>
      <c r="AP72" s="70"/>
      <c r="AQ72" s="70"/>
      <c r="AR72" s="70" t="e">
        <f t="shared" ref="AR72:BA72" si="43">AR27+AR28+AR32+AR34</f>
        <v>#REF!</v>
      </c>
      <c r="AS72" s="70" t="e">
        <f t="shared" si="43"/>
        <v>#REF!</v>
      </c>
      <c r="AT72" s="70" t="e">
        <f t="shared" si="43"/>
        <v>#REF!</v>
      </c>
      <c r="AU72" s="70" t="e">
        <f t="shared" si="43"/>
        <v>#REF!</v>
      </c>
      <c r="AV72" s="70" t="e">
        <f t="shared" si="43"/>
        <v>#REF!</v>
      </c>
      <c r="AW72" s="70" t="e">
        <f t="shared" si="43"/>
        <v>#REF!</v>
      </c>
      <c r="AX72" s="70" t="e">
        <f t="shared" si="43"/>
        <v>#REF!</v>
      </c>
      <c r="AY72" s="70" t="e">
        <f t="shared" si="43"/>
        <v>#REF!</v>
      </c>
      <c r="AZ72" s="70" t="e">
        <f t="shared" si="43"/>
        <v>#REF!</v>
      </c>
      <c r="BA72" s="70" t="e">
        <f t="shared" si="43"/>
        <v>#REF!</v>
      </c>
    </row>
    <row r="73" spans="27:53" hidden="1">
      <c r="AA73" s="71" t="s">
        <v>42</v>
      </c>
      <c r="AB73" s="35"/>
      <c r="AF73" s="70" t="e">
        <f t="shared" ref="AF73:AO73" si="44">AF38+AF39+AF43+AF45</f>
        <v>#REF!</v>
      </c>
      <c r="AG73" s="70" t="e">
        <f t="shared" si="44"/>
        <v>#REF!</v>
      </c>
      <c r="AH73" s="70" t="e">
        <f t="shared" si="44"/>
        <v>#REF!</v>
      </c>
      <c r="AI73" s="70" t="e">
        <f t="shared" si="44"/>
        <v>#REF!</v>
      </c>
      <c r="AJ73" s="70" t="e">
        <f t="shared" si="44"/>
        <v>#REF!</v>
      </c>
      <c r="AK73" s="70" t="e">
        <f t="shared" si="44"/>
        <v>#REF!</v>
      </c>
      <c r="AL73" s="70" t="e">
        <f t="shared" si="44"/>
        <v>#REF!</v>
      </c>
      <c r="AM73" s="70" t="e">
        <f t="shared" si="44"/>
        <v>#REF!</v>
      </c>
      <c r="AN73" s="70" t="e">
        <f t="shared" si="44"/>
        <v>#REF!</v>
      </c>
      <c r="AO73" s="70" t="e">
        <f t="shared" si="44"/>
        <v>#REF!</v>
      </c>
      <c r="AP73" s="70"/>
      <c r="AQ73" s="70"/>
      <c r="AR73" s="70" t="e">
        <f t="shared" ref="AR73:BA73" si="45">AR38+AR39+AR43+AR45</f>
        <v>#REF!</v>
      </c>
      <c r="AS73" s="70" t="e">
        <f t="shared" si="45"/>
        <v>#REF!</v>
      </c>
      <c r="AT73" s="70" t="e">
        <f t="shared" si="45"/>
        <v>#REF!</v>
      </c>
      <c r="AU73" s="70" t="e">
        <f t="shared" si="45"/>
        <v>#REF!</v>
      </c>
      <c r="AV73" s="70" t="e">
        <f t="shared" si="45"/>
        <v>#REF!</v>
      </c>
      <c r="AW73" s="70" t="e">
        <f t="shared" si="45"/>
        <v>#REF!</v>
      </c>
      <c r="AX73" s="70" t="e">
        <f t="shared" si="45"/>
        <v>#REF!</v>
      </c>
      <c r="AY73" s="70" t="e">
        <f t="shared" si="45"/>
        <v>#REF!</v>
      </c>
      <c r="AZ73" s="70" t="e">
        <f t="shared" si="45"/>
        <v>#REF!</v>
      </c>
      <c r="BA73" s="70" t="e">
        <f t="shared" si="45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6">AF16+AF17+AF21+AF24</f>
        <v>#REF!</v>
      </c>
      <c r="AG75" s="70" t="e">
        <f t="shared" si="46"/>
        <v>#REF!</v>
      </c>
      <c r="AH75" s="70" t="e">
        <f t="shared" si="46"/>
        <v>#REF!</v>
      </c>
      <c r="AI75" s="70" t="e">
        <f t="shared" si="46"/>
        <v>#REF!</v>
      </c>
      <c r="AJ75" s="70" t="e">
        <f t="shared" si="46"/>
        <v>#REF!</v>
      </c>
      <c r="AK75" s="70" t="e">
        <f t="shared" si="46"/>
        <v>#REF!</v>
      </c>
      <c r="AL75" s="70" t="e">
        <f t="shared" si="46"/>
        <v>#REF!</v>
      </c>
      <c r="AM75" s="70" t="e">
        <f t="shared" si="46"/>
        <v>#REF!</v>
      </c>
      <c r="AN75" s="70" t="e">
        <f t="shared" si="46"/>
        <v>#REF!</v>
      </c>
      <c r="AO75" s="70" t="e">
        <f t="shared" si="46"/>
        <v>#REF!</v>
      </c>
      <c r="AP75" s="70"/>
      <c r="AQ75" s="70"/>
      <c r="AR75" s="70" t="e">
        <f t="shared" ref="AR75:BA75" si="47">AR16+AR17+AR21+AR24</f>
        <v>#REF!</v>
      </c>
      <c r="AS75" s="70" t="e">
        <f t="shared" si="47"/>
        <v>#REF!</v>
      </c>
      <c r="AT75" s="70" t="e">
        <f t="shared" si="47"/>
        <v>#REF!</v>
      </c>
      <c r="AU75" s="70" t="e">
        <f t="shared" si="47"/>
        <v>#REF!</v>
      </c>
      <c r="AV75" s="70" t="e">
        <f t="shared" si="47"/>
        <v>#REF!</v>
      </c>
      <c r="AW75" s="70" t="e">
        <f t="shared" si="47"/>
        <v>#REF!</v>
      </c>
      <c r="AX75" s="70" t="e">
        <f t="shared" si="47"/>
        <v>#REF!</v>
      </c>
      <c r="AY75" s="70" t="e">
        <f t="shared" si="47"/>
        <v>#REF!</v>
      </c>
      <c r="AZ75" s="70" t="e">
        <f t="shared" si="47"/>
        <v>#REF!</v>
      </c>
      <c r="BA75" s="70" t="e">
        <f t="shared" si="47"/>
        <v>#REF!</v>
      </c>
    </row>
    <row r="76" spans="27:53" hidden="1">
      <c r="AA76" s="71" t="s">
        <v>41</v>
      </c>
      <c r="AB76" s="35"/>
      <c r="AF76" s="70" t="e">
        <f t="shared" ref="AF76:AO76" si="48">AF27+AF28+AF32+AF35</f>
        <v>#REF!</v>
      </c>
      <c r="AG76" s="70" t="e">
        <f t="shared" si="48"/>
        <v>#REF!</v>
      </c>
      <c r="AH76" s="70" t="e">
        <f t="shared" si="48"/>
        <v>#REF!</v>
      </c>
      <c r="AI76" s="70" t="e">
        <f t="shared" si="48"/>
        <v>#REF!</v>
      </c>
      <c r="AJ76" s="70" t="e">
        <f t="shared" si="48"/>
        <v>#REF!</v>
      </c>
      <c r="AK76" s="70" t="e">
        <f t="shared" si="48"/>
        <v>#REF!</v>
      </c>
      <c r="AL76" s="70" t="e">
        <f t="shared" si="48"/>
        <v>#REF!</v>
      </c>
      <c r="AM76" s="70" t="e">
        <f t="shared" si="48"/>
        <v>#REF!</v>
      </c>
      <c r="AN76" s="70" t="e">
        <f t="shared" si="48"/>
        <v>#REF!</v>
      </c>
      <c r="AO76" s="70" t="e">
        <f t="shared" si="48"/>
        <v>#REF!</v>
      </c>
      <c r="AP76" s="70"/>
      <c r="AQ76" s="70"/>
      <c r="AR76" s="70" t="e">
        <f t="shared" ref="AR76:BA76" si="49">AR27+AR28+AR32+AR35</f>
        <v>#REF!</v>
      </c>
      <c r="AS76" s="70" t="e">
        <f t="shared" si="49"/>
        <v>#REF!</v>
      </c>
      <c r="AT76" s="70" t="e">
        <f t="shared" si="49"/>
        <v>#REF!</v>
      </c>
      <c r="AU76" s="70" t="e">
        <f t="shared" si="49"/>
        <v>#REF!</v>
      </c>
      <c r="AV76" s="70" t="e">
        <f t="shared" si="49"/>
        <v>#REF!</v>
      </c>
      <c r="AW76" s="70" t="e">
        <f t="shared" si="49"/>
        <v>#REF!</v>
      </c>
      <c r="AX76" s="70" t="e">
        <f t="shared" si="49"/>
        <v>#REF!</v>
      </c>
      <c r="AY76" s="70" t="e">
        <f t="shared" si="49"/>
        <v>#REF!</v>
      </c>
      <c r="AZ76" s="70" t="e">
        <f t="shared" si="49"/>
        <v>#REF!</v>
      </c>
      <c r="BA76" s="70" t="e">
        <f t="shared" si="49"/>
        <v>#REF!</v>
      </c>
    </row>
    <row r="77" spans="27:53" hidden="1">
      <c r="AA77" s="71" t="s">
        <v>42</v>
      </c>
      <c r="AB77" s="35"/>
      <c r="AF77" s="70" t="e">
        <f t="shared" ref="AF77:AO77" si="50">AF38+AF39+AF43+AF46</f>
        <v>#REF!</v>
      </c>
      <c r="AG77" s="70" t="e">
        <f t="shared" si="50"/>
        <v>#REF!</v>
      </c>
      <c r="AH77" s="70" t="e">
        <f t="shared" si="50"/>
        <v>#REF!</v>
      </c>
      <c r="AI77" s="70" t="e">
        <f t="shared" si="50"/>
        <v>#REF!</v>
      </c>
      <c r="AJ77" s="70" t="e">
        <f t="shared" si="50"/>
        <v>#REF!</v>
      </c>
      <c r="AK77" s="70" t="e">
        <f t="shared" si="50"/>
        <v>#REF!</v>
      </c>
      <c r="AL77" s="70" t="e">
        <f t="shared" si="50"/>
        <v>#REF!</v>
      </c>
      <c r="AM77" s="70" t="e">
        <f t="shared" si="50"/>
        <v>#REF!</v>
      </c>
      <c r="AN77" s="70" t="e">
        <f t="shared" si="50"/>
        <v>#REF!</v>
      </c>
      <c r="AO77" s="70" t="e">
        <f t="shared" si="50"/>
        <v>#REF!</v>
      </c>
      <c r="AP77" s="70"/>
      <c r="AQ77" s="70"/>
      <c r="AR77" s="70" t="e">
        <f t="shared" ref="AR77:BA77" si="51">AR38+AR39+AR43+AR46</f>
        <v>#REF!</v>
      </c>
      <c r="AS77" s="70" t="e">
        <f t="shared" si="51"/>
        <v>#REF!</v>
      </c>
      <c r="AT77" s="70" t="e">
        <f t="shared" si="51"/>
        <v>#REF!</v>
      </c>
      <c r="AU77" s="70" t="e">
        <f t="shared" si="51"/>
        <v>#REF!</v>
      </c>
      <c r="AV77" s="70" t="e">
        <f t="shared" si="51"/>
        <v>#REF!</v>
      </c>
      <c r="AW77" s="70" t="e">
        <f t="shared" si="51"/>
        <v>#REF!</v>
      </c>
      <c r="AX77" s="70" t="e">
        <f t="shared" si="51"/>
        <v>#REF!</v>
      </c>
      <c r="AY77" s="70" t="e">
        <f t="shared" si="51"/>
        <v>#REF!</v>
      </c>
      <c r="AZ77" s="70" t="e">
        <f t="shared" si="51"/>
        <v>#REF!</v>
      </c>
      <c r="BA77" s="70" t="e">
        <f t="shared" si="51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422" t="s">
        <v>55</v>
      </c>
      <c r="G89" s="422" t="s">
        <v>73</v>
      </c>
      <c r="H89" s="422" t="s">
        <v>74</v>
      </c>
      <c r="I89" s="422" t="s">
        <v>58</v>
      </c>
      <c r="J89" s="422" t="s">
        <v>59</v>
      </c>
      <c r="K89" s="422" t="s">
        <v>60</v>
      </c>
      <c r="L89" s="421" t="s">
        <v>75</v>
      </c>
      <c r="M89" s="421" t="s">
        <v>76</v>
      </c>
      <c r="N89" s="421" t="s">
        <v>61</v>
      </c>
      <c r="O89" s="421" t="s">
        <v>62</v>
      </c>
      <c r="P89" s="421" t="s">
        <v>63</v>
      </c>
      <c r="AN89" s="38"/>
      <c r="AZ89" s="36"/>
    </row>
    <row r="90" spans="1:52" ht="25.5">
      <c r="A90" s="44" t="str">
        <f t="shared" ref="A90:C91" si="52">A4</f>
        <v>General Construction</v>
      </c>
      <c r="B90" s="45" t="str">
        <f t="shared" si="52"/>
        <v>Light-Duty Truck, catalyst</v>
      </c>
      <c r="C90" s="46">
        <f t="shared" si="52"/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" si="53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si="52"/>
        <v>Demolition</v>
      </c>
      <c r="B91" s="45" t="str">
        <f t="shared" si="52"/>
        <v>Light-Duty Truck, catalyst</v>
      </c>
      <c r="C91" s="46">
        <f t="shared" si="52"/>
        <v>18</v>
      </c>
      <c r="D91" s="46">
        <v>35</v>
      </c>
      <c r="E91" s="46">
        <v>80</v>
      </c>
      <c r="F91" s="50">
        <f>C5*($E5*$F5+($G5))/453.59</f>
        <v>8.7429489458565612</v>
      </c>
      <c r="G91" s="50">
        <f>C5*($E5*$H5+($I5))/453.59</f>
        <v>0.7860718312988042</v>
      </c>
      <c r="H91" s="50">
        <f>C5*(($E5*$J5)+($K5)+($L5)+($E5*$N5)+(($M5+$O5)))/453.59</f>
        <v>0.90899964583115989</v>
      </c>
      <c r="I91" s="50">
        <f>C5*($E5*$P5+($Q5))/453.59</f>
        <v>1.3082346488891087E-2</v>
      </c>
      <c r="J91" s="50">
        <f>C5*(($E5*($R5+$T5+$U5))+($S5))/453.59</f>
        <v>0.15343362819374215</v>
      </c>
      <c r="K91" s="50">
        <f>$C5*(($E5*($V5+$X5+$Y5))+($W5))/453.59</f>
        <v>6.6816095836556552E-2</v>
      </c>
      <c r="L91" s="50">
        <f>$B$23*C5*(E5+6)</f>
        <v>0.15189448654929416</v>
      </c>
      <c r="M91" s="50">
        <f t="shared" ref="M91:M92" si="54">0.41*L91</f>
        <v>6.2276739485210605E-2</v>
      </c>
      <c r="N91" s="50">
        <f>C5*($E5*$Z5+($AA5))/453.59</f>
        <v>997.62438106870013</v>
      </c>
      <c r="O91" s="50">
        <f>C5*($E5*$AB5+($AC5))/453.59</f>
        <v>5.7068557002544491E-2</v>
      </c>
      <c r="P91" s="50">
        <f>C5*($E5*$AD5+($AE5))/453.59</f>
        <v>0.10388015844918047</v>
      </c>
      <c r="AN91" s="38"/>
      <c r="AZ91" s="36"/>
    </row>
    <row r="92" spans="1:52" ht="25.5">
      <c r="A92" s="44" t="str">
        <f>A6</f>
        <v>Site and Access Road Grading</v>
      </c>
      <c r="B92" s="45" t="str">
        <f>B6</f>
        <v>Light-Duty Truck, catalyst</v>
      </c>
      <c r="C92" s="46">
        <f>C6</f>
        <v>18</v>
      </c>
      <c r="D92" s="46">
        <v>35</v>
      </c>
      <c r="E92" s="46">
        <v>80</v>
      </c>
      <c r="F92" s="50">
        <f>C6*($E6*$F6+($G6))/453.59</f>
        <v>8.7429489458565612</v>
      </c>
      <c r="G92" s="50">
        <f>C6*($E6*$H6+($I6))/453.59</f>
        <v>0.7860718312988042</v>
      </c>
      <c r="H92" s="50">
        <f>C6*(($E6*$J6)+($K6)+($L6)+($E6*$N6)+(($M6+$O6)))/453.59</f>
        <v>0.90899964583115989</v>
      </c>
      <c r="I92" s="50">
        <f>C6*($E6*$P6+($Q6))/453.59</f>
        <v>1.3082346488891087E-2</v>
      </c>
      <c r="J92" s="50">
        <f>C6*(($E6*($R6+$T6+$U6))+($S6))/453.59</f>
        <v>0.15343362819374215</v>
      </c>
      <c r="K92" s="50">
        <f>$C6*(($E6*($V6+$X6+$Y6))+($W6))/453.59</f>
        <v>6.6816095836556552E-2</v>
      </c>
      <c r="L92" s="50">
        <f>$B$23*C6*(E6+6)</f>
        <v>0.15189448654929416</v>
      </c>
      <c r="M92" s="50">
        <f t="shared" si="54"/>
        <v>6.2276739485210605E-2</v>
      </c>
      <c r="N92" s="50">
        <f>C6*($E6*$Z6+($AA6))/453.59</f>
        <v>997.62438106870013</v>
      </c>
      <c r="O92" s="50">
        <f>C6*($E6*$AB6+($AC6))/453.59</f>
        <v>5.7068557002544491E-2</v>
      </c>
      <c r="P92" s="50">
        <f>C6*($E6*$AD6+($AE6))/453.59</f>
        <v>0.10388015844918047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 t="shared" ref="F93:P93" si="55">SUM(F90:F92)</f>
        <v>18.943056049355881</v>
      </c>
      <c r="G93" s="81">
        <f t="shared" si="55"/>
        <v>1.7031556344807424</v>
      </c>
      <c r="H93" s="81">
        <f t="shared" si="55"/>
        <v>1.9694992326341798</v>
      </c>
      <c r="I93" s="81">
        <f t="shared" si="55"/>
        <v>2.8345084059264024E-2</v>
      </c>
      <c r="J93" s="81">
        <f t="shared" si="55"/>
        <v>0.33243952775310798</v>
      </c>
      <c r="K93" s="81">
        <f t="shared" si="55"/>
        <v>0.14476820764587253</v>
      </c>
      <c r="L93" s="81">
        <f t="shared" si="55"/>
        <v>0.32910472085680403</v>
      </c>
      <c r="M93" s="81">
        <f t="shared" si="55"/>
        <v>0.13493293555128966</v>
      </c>
      <c r="N93" s="81">
        <f t="shared" si="55"/>
        <v>2161.5194923155168</v>
      </c>
      <c r="O93" s="81">
        <f t="shared" si="55"/>
        <v>0.12364854017217972</v>
      </c>
      <c r="P93" s="81">
        <f t="shared" si="55"/>
        <v>0.22507367663989103</v>
      </c>
      <c r="AN93" s="38"/>
      <c r="AZ93" s="36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548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346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67" ht="25.5">
      <c r="A5" s="44" t="s">
        <v>330</v>
      </c>
      <c r="B5" s="45" t="s">
        <v>102</v>
      </c>
      <c r="C5" s="46">
        <v>20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426</v>
      </c>
      <c r="B6" s="45" t="s">
        <v>102</v>
      </c>
      <c r="C6" s="46">
        <v>13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546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2">AG$11*$AC16</f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>AR$11*$AC16</f>
        <v>#REF!</v>
      </c>
      <c r="AS16" s="36" t="e">
        <f t="shared" ref="AS16:BA24" si="3">AS$11*$AC16</f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4">AF$11*$AC17</f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ref="AR17:AR24" si="5">AR$11*$AC17</f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6">AF$11*$AC27</f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ref="AR27:BA35" si="7">AR$11*$AC27</f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8">AF$11*$AC38</f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ref="AR38:BA46" si="9">AR$11*$AC38</f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0">AF16+AF18+AF19</f>
        <v>#REF!</v>
      </c>
      <c r="AG51" s="70" t="e">
        <f t="shared" si="10"/>
        <v>#REF!</v>
      </c>
      <c r="AH51" s="70" t="e">
        <f t="shared" si="10"/>
        <v>#REF!</v>
      </c>
      <c r="AI51" s="70" t="e">
        <f t="shared" si="10"/>
        <v>#REF!</v>
      </c>
      <c r="AJ51" s="70" t="e">
        <f t="shared" si="10"/>
        <v>#REF!</v>
      </c>
      <c r="AK51" s="70" t="e">
        <f t="shared" si="10"/>
        <v>#REF!</v>
      </c>
      <c r="AL51" s="70" t="e">
        <f t="shared" si="10"/>
        <v>#REF!</v>
      </c>
      <c r="AM51" s="70" t="e">
        <f t="shared" si="10"/>
        <v>#REF!</v>
      </c>
      <c r="AN51" s="70" t="e">
        <f t="shared" si="10"/>
        <v>#REF!</v>
      </c>
      <c r="AO51" s="70" t="e">
        <f t="shared" si="10"/>
        <v>#REF!</v>
      </c>
      <c r="AP51" s="70"/>
      <c r="AQ51" s="70"/>
      <c r="AR51" s="70" t="e">
        <f t="shared" ref="AR51:BA51" si="11">AR16+AR18+AR19</f>
        <v>#REF!</v>
      </c>
      <c r="AS51" s="70" t="e">
        <f t="shared" si="11"/>
        <v>#REF!</v>
      </c>
      <c r="AT51" s="70" t="e">
        <f t="shared" si="11"/>
        <v>#REF!</v>
      </c>
      <c r="AU51" s="70" t="e">
        <f t="shared" si="11"/>
        <v>#REF!</v>
      </c>
      <c r="AV51" s="70" t="e">
        <f t="shared" si="11"/>
        <v>#REF!</v>
      </c>
      <c r="AW51" s="70" t="e">
        <f t="shared" si="11"/>
        <v>#REF!</v>
      </c>
      <c r="AX51" s="70" t="e">
        <f t="shared" si="11"/>
        <v>#REF!</v>
      </c>
      <c r="AY51" s="70" t="e">
        <f t="shared" si="11"/>
        <v>#REF!</v>
      </c>
      <c r="AZ51" s="70" t="e">
        <f t="shared" si="11"/>
        <v>#REF!</v>
      </c>
      <c r="BA51" s="70" t="e">
        <f t="shared" si="11"/>
        <v>#REF!</v>
      </c>
    </row>
    <row r="52" spans="27:53" hidden="1">
      <c r="AA52" s="71" t="s">
        <v>41</v>
      </c>
      <c r="AB52" s="35"/>
      <c r="AF52" s="70" t="e">
        <f t="shared" ref="AF52:AO52" si="12">AF27+AF29+AF30</f>
        <v>#REF!</v>
      </c>
      <c r="AG52" s="70" t="e">
        <f t="shared" si="12"/>
        <v>#REF!</v>
      </c>
      <c r="AH52" s="70" t="e">
        <f t="shared" si="12"/>
        <v>#REF!</v>
      </c>
      <c r="AI52" s="70" t="e">
        <f t="shared" si="12"/>
        <v>#REF!</v>
      </c>
      <c r="AJ52" s="70" t="e">
        <f t="shared" si="12"/>
        <v>#REF!</v>
      </c>
      <c r="AK52" s="70" t="e">
        <f t="shared" si="12"/>
        <v>#REF!</v>
      </c>
      <c r="AL52" s="70" t="e">
        <f t="shared" si="12"/>
        <v>#REF!</v>
      </c>
      <c r="AM52" s="70" t="e">
        <f t="shared" si="12"/>
        <v>#REF!</v>
      </c>
      <c r="AN52" s="70" t="e">
        <f t="shared" si="12"/>
        <v>#REF!</v>
      </c>
      <c r="AO52" s="70" t="e">
        <f t="shared" si="12"/>
        <v>#REF!</v>
      </c>
      <c r="AP52" s="70"/>
      <c r="AQ52" s="70"/>
      <c r="AR52" s="70" t="e">
        <f t="shared" ref="AR52:BA52" si="13">AR27+AR29+AR30</f>
        <v>#REF!</v>
      </c>
      <c r="AS52" s="70" t="e">
        <f t="shared" si="13"/>
        <v>#REF!</v>
      </c>
      <c r="AT52" s="70" t="e">
        <f t="shared" si="13"/>
        <v>#REF!</v>
      </c>
      <c r="AU52" s="70" t="e">
        <f t="shared" si="13"/>
        <v>#REF!</v>
      </c>
      <c r="AV52" s="70" t="e">
        <f t="shared" si="13"/>
        <v>#REF!</v>
      </c>
      <c r="AW52" s="70" t="e">
        <f t="shared" si="13"/>
        <v>#REF!</v>
      </c>
      <c r="AX52" s="70" t="e">
        <f t="shared" si="13"/>
        <v>#REF!</v>
      </c>
      <c r="AY52" s="70" t="e">
        <f t="shared" si="13"/>
        <v>#REF!</v>
      </c>
      <c r="AZ52" s="70" t="e">
        <f t="shared" si="13"/>
        <v>#REF!</v>
      </c>
      <c r="BA52" s="70" t="e">
        <f t="shared" si="13"/>
        <v>#REF!</v>
      </c>
    </row>
    <row r="53" spans="27:53" hidden="1">
      <c r="AA53" s="71" t="s">
        <v>42</v>
      </c>
      <c r="AB53" s="35"/>
      <c r="AF53" s="70" t="e">
        <f t="shared" ref="AF53:AO53" si="14">AF38+AF40+AF41</f>
        <v>#REF!</v>
      </c>
      <c r="AG53" s="70" t="e">
        <f t="shared" si="14"/>
        <v>#REF!</v>
      </c>
      <c r="AH53" s="70" t="e">
        <f t="shared" si="14"/>
        <v>#REF!</v>
      </c>
      <c r="AI53" s="70" t="e">
        <f t="shared" si="14"/>
        <v>#REF!</v>
      </c>
      <c r="AJ53" s="70" t="e">
        <f t="shared" si="14"/>
        <v>#REF!</v>
      </c>
      <c r="AK53" s="70" t="e">
        <f t="shared" si="14"/>
        <v>#REF!</v>
      </c>
      <c r="AL53" s="70" t="e">
        <f t="shared" si="14"/>
        <v>#REF!</v>
      </c>
      <c r="AM53" s="70" t="e">
        <f t="shared" si="14"/>
        <v>#REF!</v>
      </c>
      <c r="AN53" s="70" t="e">
        <f t="shared" si="14"/>
        <v>#REF!</v>
      </c>
      <c r="AO53" s="70" t="e">
        <f t="shared" si="14"/>
        <v>#REF!</v>
      </c>
      <c r="AP53" s="70"/>
      <c r="AQ53" s="70"/>
      <c r="AR53" s="70" t="e">
        <f t="shared" ref="AR53:BA53" si="15">AR38+AR40+AR41</f>
        <v>#REF!</v>
      </c>
      <c r="AS53" s="70" t="e">
        <f t="shared" si="15"/>
        <v>#REF!</v>
      </c>
      <c r="AT53" s="70" t="e">
        <f t="shared" si="15"/>
        <v>#REF!</v>
      </c>
      <c r="AU53" s="70" t="e">
        <f t="shared" si="15"/>
        <v>#REF!</v>
      </c>
      <c r="AV53" s="70" t="e">
        <f t="shared" si="15"/>
        <v>#REF!</v>
      </c>
      <c r="AW53" s="70" t="e">
        <f t="shared" si="15"/>
        <v>#REF!</v>
      </c>
      <c r="AX53" s="70" t="e">
        <f t="shared" si="15"/>
        <v>#REF!</v>
      </c>
      <c r="AY53" s="70" t="e">
        <f t="shared" si="15"/>
        <v>#REF!</v>
      </c>
      <c r="AZ53" s="70" t="e">
        <f t="shared" si="15"/>
        <v>#REF!</v>
      </c>
      <c r="BA53" s="70" t="e">
        <f t="shared" si="15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6">AF16+AF18+AF20+AF22</f>
        <v>#REF!</v>
      </c>
      <c r="AG55" s="70" t="e">
        <f t="shared" si="16"/>
        <v>#REF!</v>
      </c>
      <c r="AH55" s="70" t="e">
        <f t="shared" si="16"/>
        <v>#REF!</v>
      </c>
      <c r="AI55" s="70" t="e">
        <f t="shared" si="16"/>
        <v>#REF!</v>
      </c>
      <c r="AJ55" s="70" t="e">
        <f t="shared" si="16"/>
        <v>#REF!</v>
      </c>
      <c r="AK55" s="70" t="e">
        <f t="shared" si="16"/>
        <v>#REF!</v>
      </c>
      <c r="AL55" s="70" t="e">
        <f t="shared" si="16"/>
        <v>#REF!</v>
      </c>
      <c r="AM55" s="70" t="e">
        <f t="shared" si="16"/>
        <v>#REF!</v>
      </c>
      <c r="AN55" s="70" t="e">
        <f t="shared" si="16"/>
        <v>#REF!</v>
      </c>
      <c r="AO55" s="70" t="e">
        <f t="shared" si="16"/>
        <v>#REF!</v>
      </c>
      <c r="AP55" s="70"/>
      <c r="AQ55" s="70"/>
      <c r="AR55" s="70" t="e">
        <f t="shared" ref="AR55:BA55" si="17">AR16+AR18+AR20+AR22</f>
        <v>#REF!</v>
      </c>
      <c r="AS55" s="70" t="e">
        <f t="shared" si="17"/>
        <v>#REF!</v>
      </c>
      <c r="AT55" s="70" t="e">
        <f t="shared" si="17"/>
        <v>#REF!</v>
      </c>
      <c r="AU55" s="70" t="e">
        <f t="shared" si="17"/>
        <v>#REF!</v>
      </c>
      <c r="AV55" s="70" t="e">
        <f t="shared" si="17"/>
        <v>#REF!</v>
      </c>
      <c r="AW55" s="70" t="e">
        <f t="shared" si="17"/>
        <v>#REF!</v>
      </c>
      <c r="AX55" s="70" t="e">
        <f t="shared" si="17"/>
        <v>#REF!</v>
      </c>
      <c r="AY55" s="70" t="e">
        <f t="shared" si="17"/>
        <v>#REF!</v>
      </c>
      <c r="AZ55" s="70" t="e">
        <f t="shared" si="17"/>
        <v>#REF!</v>
      </c>
      <c r="BA55" s="70" t="e">
        <f t="shared" si="17"/>
        <v>#REF!</v>
      </c>
    </row>
    <row r="56" spans="27:53" hidden="1">
      <c r="AA56" s="71" t="s">
        <v>41</v>
      </c>
      <c r="AB56" s="35"/>
      <c r="AF56" s="70" t="e">
        <f t="shared" ref="AF56:AO56" si="18">AF27+AF29+AF31+AF33</f>
        <v>#REF!</v>
      </c>
      <c r="AG56" s="70" t="e">
        <f t="shared" si="18"/>
        <v>#REF!</v>
      </c>
      <c r="AH56" s="70" t="e">
        <f t="shared" si="18"/>
        <v>#REF!</v>
      </c>
      <c r="AI56" s="70" t="e">
        <f t="shared" si="18"/>
        <v>#REF!</v>
      </c>
      <c r="AJ56" s="70" t="e">
        <f t="shared" si="18"/>
        <v>#REF!</v>
      </c>
      <c r="AK56" s="70" t="e">
        <f t="shared" si="18"/>
        <v>#REF!</v>
      </c>
      <c r="AL56" s="70" t="e">
        <f t="shared" si="18"/>
        <v>#REF!</v>
      </c>
      <c r="AM56" s="70" t="e">
        <f t="shared" si="18"/>
        <v>#REF!</v>
      </c>
      <c r="AN56" s="70" t="e">
        <f t="shared" si="18"/>
        <v>#REF!</v>
      </c>
      <c r="AO56" s="70" t="e">
        <f t="shared" si="18"/>
        <v>#REF!</v>
      </c>
      <c r="AP56" s="70"/>
      <c r="AQ56" s="70"/>
      <c r="AR56" s="70" t="e">
        <f t="shared" ref="AR56:BA56" si="19">AR27+AR29+AR31+AR33</f>
        <v>#REF!</v>
      </c>
      <c r="AS56" s="70" t="e">
        <f t="shared" si="19"/>
        <v>#REF!</v>
      </c>
      <c r="AT56" s="70" t="e">
        <f t="shared" si="19"/>
        <v>#REF!</v>
      </c>
      <c r="AU56" s="70" t="e">
        <f t="shared" si="19"/>
        <v>#REF!</v>
      </c>
      <c r="AV56" s="70" t="e">
        <f t="shared" si="19"/>
        <v>#REF!</v>
      </c>
      <c r="AW56" s="70" t="e">
        <f t="shared" si="19"/>
        <v>#REF!</v>
      </c>
      <c r="AX56" s="70" t="e">
        <f t="shared" si="19"/>
        <v>#REF!</v>
      </c>
      <c r="AY56" s="70" t="e">
        <f t="shared" si="19"/>
        <v>#REF!</v>
      </c>
      <c r="AZ56" s="70" t="e">
        <f t="shared" si="19"/>
        <v>#REF!</v>
      </c>
      <c r="BA56" s="70" t="e">
        <f t="shared" si="19"/>
        <v>#REF!</v>
      </c>
    </row>
    <row r="57" spans="27:53" hidden="1">
      <c r="AA57" s="71" t="s">
        <v>42</v>
      </c>
      <c r="AB57" s="35"/>
      <c r="AF57" s="70" t="e">
        <f t="shared" ref="AF57:AO57" si="20">AF38+AF40+AF42+AF44</f>
        <v>#REF!</v>
      </c>
      <c r="AG57" s="70" t="e">
        <f t="shared" si="20"/>
        <v>#REF!</v>
      </c>
      <c r="AH57" s="70" t="e">
        <f t="shared" si="20"/>
        <v>#REF!</v>
      </c>
      <c r="AI57" s="70" t="e">
        <f t="shared" si="20"/>
        <v>#REF!</v>
      </c>
      <c r="AJ57" s="70" t="e">
        <f t="shared" si="20"/>
        <v>#REF!</v>
      </c>
      <c r="AK57" s="70" t="e">
        <f t="shared" si="20"/>
        <v>#REF!</v>
      </c>
      <c r="AL57" s="70" t="e">
        <f t="shared" si="20"/>
        <v>#REF!</v>
      </c>
      <c r="AM57" s="70" t="e">
        <f t="shared" si="20"/>
        <v>#REF!</v>
      </c>
      <c r="AN57" s="70" t="e">
        <f t="shared" si="20"/>
        <v>#REF!</v>
      </c>
      <c r="AO57" s="70" t="e">
        <f t="shared" si="20"/>
        <v>#REF!</v>
      </c>
      <c r="AP57" s="70"/>
      <c r="AQ57" s="70"/>
      <c r="AR57" s="70" t="e">
        <f t="shared" ref="AR57:BA57" si="21">AR38+AR40+AR42+AR44</f>
        <v>#REF!</v>
      </c>
      <c r="AS57" s="70" t="e">
        <f t="shared" si="21"/>
        <v>#REF!</v>
      </c>
      <c r="AT57" s="70" t="e">
        <f t="shared" si="21"/>
        <v>#REF!</v>
      </c>
      <c r="AU57" s="70" t="e">
        <f t="shared" si="21"/>
        <v>#REF!</v>
      </c>
      <c r="AV57" s="70" t="e">
        <f t="shared" si="21"/>
        <v>#REF!</v>
      </c>
      <c r="AW57" s="70" t="e">
        <f t="shared" si="21"/>
        <v>#REF!</v>
      </c>
      <c r="AX57" s="70" t="e">
        <f t="shared" si="21"/>
        <v>#REF!</v>
      </c>
      <c r="AY57" s="70" t="e">
        <f t="shared" si="21"/>
        <v>#REF!</v>
      </c>
      <c r="AZ57" s="70" t="e">
        <f t="shared" si="21"/>
        <v>#REF!</v>
      </c>
      <c r="BA57" s="70" t="e">
        <f t="shared" si="21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2">AF16+AF18+AF20+AF21+AF23</f>
        <v>#REF!</v>
      </c>
      <c r="AG59" s="70" t="e">
        <f t="shared" si="22"/>
        <v>#REF!</v>
      </c>
      <c r="AH59" s="70" t="e">
        <f t="shared" si="22"/>
        <v>#REF!</v>
      </c>
      <c r="AI59" s="70" t="e">
        <f t="shared" si="22"/>
        <v>#REF!</v>
      </c>
      <c r="AJ59" s="70" t="e">
        <f t="shared" si="22"/>
        <v>#REF!</v>
      </c>
      <c r="AK59" s="70" t="e">
        <f t="shared" si="22"/>
        <v>#REF!</v>
      </c>
      <c r="AL59" s="70" t="e">
        <f t="shared" si="22"/>
        <v>#REF!</v>
      </c>
      <c r="AM59" s="70" t="e">
        <f t="shared" si="22"/>
        <v>#REF!</v>
      </c>
      <c r="AN59" s="70" t="e">
        <f t="shared" si="22"/>
        <v>#REF!</v>
      </c>
      <c r="AO59" s="70" t="e">
        <f t="shared" si="22"/>
        <v>#REF!</v>
      </c>
      <c r="AP59" s="70"/>
      <c r="AQ59" s="70"/>
      <c r="AR59" s="70" t="e">
        <f t="shared" ref="AR59:BA59" si="23">AR16+AR18+AR20+AR21+AR23</f>
        <v>#REF!</v>
      </c>
      <c r="AS59" s="70" t="e">
        <f t="shared" si="23"/>
        <v>#REF!</v>
      </c>
      <c r="AT59" s="70" t="e">
        <f t="shared" si="23"/>
        <v>#REF!</v>
      </c>
      <c r="AU59" s="70" t="e">
        <f t="shared" si="23"/>
        <v>#REF!</v>
      </c>
      <c r="AV59" s="70" t="e">
        <f t="shared" si="23"/>
        <v>#REF!</v>
      </c>
      <c r="AW59" s="70" t="e">
        <f t="shared" si="23"/>
        <v>#REF!</v>
      </c>
      <c r="AX59" s="70" t="e">
        <f t="shared" si="23"/>
        <v>#REF!</v>
      </c>
      <c r="AY59" s="70" t="e">
        <f t="shared" si="23"/>
        <v>#REF!</v>
      </c>
      <c r="AZ59" s="70" t="e">
        <f t="shared" si="23"/>
        <v>#REF!</v>
      </c>
      <c r="BA59" s="70" t="e">
        <f t="shared" si="23"/>
        <v>#REF!</v>
      </c>
    </row>
    <row r="60" spans="27:53" hidden="1">
      <c r="AA60" s="71" t="s">
        <v>41</v>
      </c>
      <c r="AB60" s="35"/>
      <c r="AF60" s="70" t="e">
        <f t="shared" ref="AF60:AO60" si="24">AF27+AF29+AF31+AF32+AF34</f>
        <v>#REF!</v>
      </c>
      <c r="AG60" s="70" t="e">
        <f t="shared" si="24"/>
        <v>#REF!</v>
      </c>
      <c r="AH60" s="70" t="e">
        <f t="shared" si="24"/>
        <v>#REF!</v>
      </c>
      <c r="AI60" s="70" t="e">
        <f t="shared" si="24"/>
        <v>#REF!</v>
      </c>
      <c r="AJ60" s="70" t="e">
        <f t="shared" si="24"/>
        <v>#REF!</v>
      </c>
      <c r="AK60" s="70" t="e">
        <f t="shared" si="24"/>
        <v>#REF!</v>
      </c>
      <c r="AL60" s="70" t="e">
        <f t="shared" si="24"/>
        <v>#REF!</v>
      </c>
      <c r="AM60" s="70" t="e">
        <f t="shared" si="24"/>
        <v>#REF!</v>
      </c>
      <c r="AN60" s="70" t="e">
        <f t="shared" si="24"/>
        <v>#REF!</v>
      </c>
      <c r="AO60" s="70" t="e">
        <f t="shared" si="24"/>
        <v>#REF!</v>
      </c>
      <c r="AP60" s="70"/>
      <c r="AQ60" s="70"/>
      <c r="AR60" s="70" t="e">
        <f t="shared" ref="AR60:BA60" si="25">AR27+AR29+AR31+AR32+AR34</f>
        <v>#REF!</v>
      </c>
      <c r="AS60" s="70" t="e">
        <f t="shared" si="25"/>
        <v>#REF!</v>
      </c>
      <c r="AT60" s="70" t="e">
        <f t="shared" si="25"/>
        <v>#REF!</v>
      </c>
      <c r="AU60" s="70" t="e">
        <f t="shared" si="25"/>
        <v>#REF!</v>
      </c>
      <c r="AV60" s="70" t="e">
        <f t="shared" si="25"/>
        <v>#REF!</v>
      </c>
      <c r="AW60" s="70" t="e">
        <f t="shared" si="25"/>
        <v>#REF!</v>
      </c>
      <c r="AX60" s="70" t="e">
        <f t="shared" si="25"/>
        <v>#REF!</v>
      </c>
      <c r="AY60" s="70" t="e">
        <f t="shared" si="25"/>
        <v>#REF!</v>
      </c>
      <c r="AZ60" s="70" t="e">
        <f t="shared" si="25"/>
        <v>#REF!</v>
      </c>
      <c r="BA60" s="70" t="e">
        <f t="shared" si="25"/>
        <v>#REF!</v>
      </c>
    </row>
    <row r="61" spans="27:53" hidden="1">
      <c r="AA61" s="71" t="s">
        <v>42</v>
      </c>
      <c r="AB61" s="35"/>
      <c r="AF61" s="70" t="e">
        <f t="shared" ref="AF61:AO61" si="26">AF38+AF40+AF42+AF43+AF45</f>
        <v>#REF!</v>
      </c>
      <c r="AG61" s="70" t="e">
        <f t="shared" si="26"/>
        <v>#REF!</v>
      </c>
      <c r="AH61" s="70" t="e">
        <f t="shared" si="26"/>
        <v>#REF!</v>
      </c>
      <c r="AI61" s="70" t="e">
        <f t="shared" si="26"/>
        <v>#REF!</v>
      </c>
      <c r="AJ61" s="70" t="e">
        <f t="shared" si="26"/>
        <v>#REF!</v>
      </c>
      <c r="AK61" s="70" t="e">
        <f t="shared" si="26"/>
        <v>#REF!</v>
      </c>
      <c r="AL61" s="70" t="e">
        <f t="shared" si="26"/>
        <v>#REF!</v>
      </c>
      <c r="AM61" s="70" t="e">
        <f t="shared" si="26"/>
        <v>#REF!</v>
      </c>
      <c r="AN61" s="70" t="e">
        <f t="shared" si="26"/>
        <v>#REF!</v>
      </c>
      <c r="AO61" s="70" t="e">
        <f t="shared" si="26"/>
        <v>#REF!</v>
      </c>
      <c r="AP61" s="70"/>
      <c r="AQ61" s="70"/>
      <c r="AR61" s="70" t="e">
        <f t="shared" ref="AR61:BA61" si="27">AR38+AR40+AR42+AR43+AR45</f>
        <v>#REF!</v>
      </c>
      <c r="AS61" s="70" t="e">
        <f t="shared" si="27"/>
        <v>#REF!</v>
      </c>
      <c r="AT61" s="70" t="e">
        <f t="shared" si="27"/>
        <v>#REF!</v>
      </c>
      <c r="AU61" s="70" t="e">
        <f t="shared" si="27"/>
        <v>#REF!</v>
      </c>
      <c r="AV61" s="70" t="e">
        <f t="shared" si="27"/>
        <v>#REF!</v>
      </c>
      <c r="AW61" s="70" t="e">
        <f t="shared" si="27"/>
        <v>#REF!</v>
      </c>
      <c r="AX61" s="70" t="e">
        <f t="shared" si="27"/>
        <v>#REF!</v>
      </c>
      <c r="AY61" s="70" t="e">
        <f t="shared" si="27"/>
        <v>#REF!</v>
      </c>
      <c r="AZ61" s="70" t="e">
        <f t="shared" si="27"/>
        <v>#REF!</v>
      </c>
      <c r="BA61" s="70" t="e">
        <f t="shared" si="27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28">AF16+AF18+AF20+AF21+AF24</f>
        <v>#REF!</v>
      </c>
      <c r="AG63" s="70" t="e">
        <f t="shared" si="28"/>
        <v>#REF!</v>
      </c>
      <c r="AH63" s="70" t="e">
        <f t="shared" si="28"/>
        <v>#REF!</v>
      </c>
      <c r="AI63" s="70" t="e">
        <f t="shared" si="28"/>
        <v>#REF!</v>
      </c>
      <c r="AJ63" s="70" t="e">
        <f t="shared" si="28"/>
        <v>#REF!</v>
      </c>
      <c r="AK63" s="70" t="e">
        <f t="shared" si="28"/>
        <v>#REF!</v>
      </c>
      <c r="AL63" s="70" t="e">
        <f t="shared" si="28"/>
        <v>#REF!</v>
      </c>
      <c r="AM63" s="70" t="e">
        <f t="shared" si="28"/>
        <v>#REF!</v>
      </c>
      <c r="AN63" s="70" t="e">
        <f t="shared" si="28"/>
        <v>#REF!</v>
      </c>
      <c r="AO63" s="70" t="e">
        <f t="shared" si="28"/>
        <v>#REF!</v>
      </c>
      <c r="AP63" s="70"/>
      <c r="AQ63" s="70"/>
      <c r="AR63" s="70" t="e">
        <f t="shared" ref="AR63:BA63" si="29">AR16+AR18+AR20+AR21+AR24</f>
        <v>#REF!</v>
      </c>
      <c r="AS63" s="70" t="e">
        <f t="shared" si="29"/>
        <v>#REF!</v>
      </c>
      <c r="AT63" s="70" t="e">
        <f t="shared" si="29"/>
        <v>#REF!</v>
      </c>
      <c r="AU63" s="70" t="e">
        <f t="shared" si="29"/>
        <v>#REF!</v>
      </c>
      <c r="AV63" s="70" t="e">
        <f t="shared" si="29"/>
        <v>#REF!</v>
      </c>
      <c r="AW63" s="70" t="e">
        <f t="shared" si="29"/>
        <v>#REF!</v>
      </c>
      <c r="AX63" s="70" t="e">
        <f t="shared" si="29"/>
        <v>#REF!</v>
      </c>
      <c r="AY63" s="70" t="e">
        <f t="shared" si="29"/>
        <v>#REF!</v>
      </c>
      <c r="AZ63" s="70" t="e">
        <f t="shared" si="29"/>
        <v>#REF!</v>
      </c>
      <c r="BA63" s="70" t="e">
        <f t="shared" si="29"/>
        <v>#REF!</v>
      </c>
    </row>
    <row r="64" spans="27:53" hidden="1">
      <c r="AA64" s="71" t="s">
        <v>41</v>
      </c>
      <c r="AB64" s="35"/>
      <c r="AF64" s="70" t="e">
        <f t="shared" ref="AF64:AO64" si="30">AF27+AF29+AF31+AF32+AF35</f>
        <v>#REF!</v>
      </c>
      <c r="AG64" s="70" t="e">
        <f t="shared" si="30"/>
        <v>#REF!</v>
      </c>
      <c r="AH64" s="70" t="e">
        <f t="shared" si="30"/>
        <v>#REF!</v>
      </c>
      <c r="AI64" s="70" t="e">
        <f t="shared" si="30"/>
        <v>#REF!</v>
      </c>
      <c r="AJ64" s="70" t="e">
        <f t="shared" si="30"/>
        <v>#REF!</v>
      </c>
      <c r="AK64" s="70" t="e">
        <f t="shared" si="30"/>
        <v>#REF!</v>
      </c>
      <c r="AL64" s="70" t="e">
        <f t="shared" si="30"/>
        <v>#REF!</v>
      </c>
      <c r="AM64" s="70" t="e">
        <f t="shared" si="30"/>
        <v>#REF!</v>
      </c>
      <c r="AN64" s="70" t="e">
        <f t="shared" si="30"/>
        <v>#REF!</v>
      </c>
      <c r="AO64" s="70" t="e">
        <f t="shared" si="30"/>
        <v>#REF!</v>
      </c>
      <c r="AP64" s="70"/>
      <c r="AQ64" s="70"/>
      <c r="AR64" s="70" t="e">
        <f t="shared" ref="AR64:BA64" si="31">AR27+AR29+AR31+AR32+AR35</f>
        <v>#REF!</v>
      </c>
      <c r="AS64" s="70" t="e">
        <f t="shared" si="31"/>
        <v>#REF!</v>
      </c>
      <c r="AT64" s="70" t="e">
        <f t="shared" si="31"/>
        <v>#REF!</v>
      </c>
      <c r="AU64" s="70" t="e">
        <f t="shared" si="31"/>
        <v>#REF!</v>
      </c>
      <c r="AV64" s="70" t="e">
        <f t="shared" si="31"/>
        <v>#REF!</v>
      </c>
      <c r="AW64" s="70" t="e">
        <f t="shared" si="31"/>
        <v>#REF!</v>
      </c>
      <c r="AX64" s="70" t="e">
        <f t="shared" si="31"/>
        <v>#REF!</v>
      </c>
      <c r="AY64" s="70" t="e">
        <f t="shared" si="31"/>
        <v>#REF!</v>
      </c>
      <c r="AZ64" s="70" t="e">
        <f t="shared" si="31"/>
        <v>#REF!</v>
      </c>
      <c r="BA64" s="70" t="e">
        <f t="shared" si="31"/>
        <v>#REF!</v>
      </c>
    </row>
    <row r="65" spans="27:53" hidden="1">
      <c r="AA65" s="71" t="s">
        <v>42</v>
      </c>
      <c r="AB65" s="35"/>
      <c r="AF65" s="70" t="e">
        <f t="shared" ref="AF65:AO65" si="32">AF38+AF40+AF42+AF43+AF46</f>
        <v>#REF!</v>
      </c>
      <c r="AG65" s="70" t="e">
        <f t="shared" si="32"/>
        <v>#REF!</v>
      </c>
      <c r="AH65" s="70" t="e">
        <f t="shared" si="32"/>
        <v>#REF!</v>
      </c>
      <c r="AI65" s="70" t="e">
        <f t="shared" si="32"/>
        <v>#REF!</v>
      </c>
      <c r="AJ65" s="70" t="e">
        <f t="shared" si="32"/>
        <v>#REF!</v>
      </c>
      <c r="AK65" s="70" t="e">
        <f t="shared" si="32"/>
        <v>#REF!</v>
      </c>
      <c r="AL65" s="70" t="e">
        <f t="shared" si="32"/>
        <v>#REF!</v>
      </c>
      <c r="AM65" s="70" t="e">
        <f t="shared" si="32"/>
        <v>#REF!</v>
      </c>
      <c r="AN65" s="70" t="e">
        <f t="shared" si="32"/>
        <v>#REF!</v>
      </c>
      <c r="AO65" s="70" t="e">
        <f t="shared" si="32"/>
        <v>#REF!</v>
      </c>
      <c r="AP65" s="70"/>
      <c r="AQ65" s="70"/>
      <c r="AR65" s="70" t="e">
        <f t="shared" ref="AR65:BA65" si="33">AR38+AR40+AR42+AR43+AR46</f>
        <v>#REF!</v>
      </c>
      <c r="AS65" s="70" t="e">
        <f t="shared" si="33"/>
        <v>#REF!</v>
      </c>
      <c r="AT65" s="70" t="e">
        <f t="shared" si="33"/>
        <v>#REF!</v>
      </c>
      <c r="AU65" s="70" t="e">
        <f t="shared" si="33"/>
        <v>#REF!</v>
      </c>
      <c r="AV65" s="70" t="e">
        <f t="shared" si="33"/>
        <v>#REF!</v>
      </c>
      <c r="AW65" s="70" t="e">
        <f t="shared" si="33"/>
        <v>#REF!</v>
      </c>
      <c r="AX65" s="70" t="e">
        <f t="shared" si="33"/>
        <v>#REF!</v>
      </c>
      <c r="AY65" s="70" t="e">
        <f t="shared" si="33"/>
        <v>#REF!</v>
      </c>
      <c r="AZ65" s="70" t="e">
        <f t="shared" si="33"/>
        <v>#REF!</v>
      </c>
      <c r="BA65" s="70" t="e">
        <f t="shared" si="33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4">AF16+AF17+AF22</f>
        <v>#REF!</v>
      </c>
      <c r="AG67" s="70" t="e">
        <f t="shared" si="34"/>
        <v>#REF!</v>
      </c>
      <c r="AH67" s="70" t="e">
        <f t="shared" si="34"/>
        <v>#REF!</v>
      </c>
      <c r="AI67" s="70" t="e">
        <f t="shared" si="34"/>
        <v>#REF!</v>
      </c>
      <c r="AJ67" s="70" t="e">
        <f t="shared" si="34"/>
        <v>#REF!</v>
      </c>
      <c r="AK67" s="70" t="e">
        <f t="shared" si="34"/>
        <v>#REF!</v>
      </c>
      <c r="AL67" s="70" t="e">
        <f t="shared" si="34"/>
        <v>#REF!</v>
      </c>
      <c r="AM67" s="70" t="e">
        <f t="shared" si="34"/>
        <v>#REF!</v>
      </c>
      <c r="AN67" s="70" t="e">
        <f t="shared" si="34"/>
        <v>#REF!</v>
      </c>
      <c r="AO67" s="70" t="e">
        <f t="shared" si="34"/>
        <v>#REF!</v>
      </c>
      <c r="AP67" s="70"/>
      <c r="AQ67" s="70"/>
      <c r="AR67" s="70" t="e">
        <f t="shared" ref="AR67:BA67" si="35">AR16+AR17+AR22</f>
        <v>#REF!</v>
      </c>
      <c r="AS67" s="70" t="e">
        <f t="shared" si="35"/>
        <v>#REF!</v>
      </c>
      <c r="AT67" s="70" t="e">
        <f t="shared" si="35"/>
        <v>#REF!</v>
      </c>
      <c r="AU67" s="70" t="e">
        <f t="shared" si="35"/>
        <v>#REF!</v>
      </c>
      <c r="AV67" s="70" t="e">
        <f t="shared" si="35"/>
        <v>#REF!</v>
      </c>
      <c r="AW67" s="70" t="e">
        <f t="shared" si="35"/>
        <v>#REF!</v>
      </c>
      <c r="AX67" s="70" t="e">
        <f t="shared" si="35"/>
        <v>#REF!</v>
      </c>
      <c r="AY67" s="70" t="e">
        <f t="shared" si="35"/>
        <v>#REF!</v>
      </c>
      <c r="AZ67" s="70" t="e">
        <f t="shared" si="35"/>
        <v>#REF!</v>
      </c>
      <c r="BA67" s="70" t="e">
        <f t="shared" si="35"/>
        <v>#REF!</v>
      </c>
    </row>
    <row r="68" spans="27:53" hidden="1">
      <c r="AA68" s="71" t="s">
        <v>41</v>
      </c>
      <c r="AB68" s="35"/>
      <c r="AF68" s="70" t="e">
        <f t="shared" ref="AF68:AO68" si="36">AF27+AF28+AF33</f>
        <v>#REF!</v>
      </c>
      <c r="AG68" s="70" t="e">
        <f t="shared" si="36"/>
        <v>#REF!</v>
      </c>
      <c r="AH68" s="70" t="e">
        <f t="shared" si="36"/>
        <v>#REF!</v>
      </c>
      <c r="AI68" s="70" t="e">
        <f t="shared" si="36"/>
        <v>#REF!</v>
      </c>
      <c r="AJ68" s="70" t="e">
        <f t="shared" si="36"/>
        <v>#REF!</v>
      </c>
      <c r="AK68" s="70" t="e">
        <f t="shared" si="36"/>
        <v>#REF!</v>
      </c>
      <c r="AL68" s="70" t="e">
        <f t="shared" si="36"/>
        <v>#REF!</v>
      </c>
      <c r="AM68" s="70" t="e">
        <f t="shared" si="36"/>
        <v>#REF!</v>
      </c>
      <c r="AN68" s="70" t="e">
        <f t="shared" si="36"/>
        <v>#REF!</v>
      </c>
      <c r="AO68" s="70" t="e">
        <f t="shared" si="36"/>
        <v>#REF!</v>
      </c>
      <c r="AP68" s="70"/>
      <c r="AQ68" s="70"/>
      <c r="AR68" s="70" t="e">
        <f t="shared" ref="AR68:BA68" si="37">AR27+AR28+AR33</f>
        <v>#REF!</v>
      </c>
      <c r="AS68" s="70" t="e">
        <f t="shared" si="37"/>
        <v>#REF!</v>
      </c>
      <c r="AT68" s="70" t="e">
        <f t="shared" si="37"/>
        <v>#REF!</v>
      </c>
      <c r="AU68" s="70" t="e">
        <f t="shared" si="37"/>
        <v>#REF!</v>
      </c>
      <c r="AV68" s="70" t="e">
        <f t="shared" si="37"/>
        <v>#REF!</v>
      </c>
      <c r="AW68" s="70" t="e">
        <f t="shared" si="37"/>
        <v>#REF!</v>
      </c>
      <c r="AX68" s="70" t="e">
        <f t="shared" si="37"/>
        <v>#REF!</v>
      </c>
      <c r="AY68" s="70" t="e">
        <f t="shared" si="37"/>
        <v>#REF!</v>
      </c>
      <c r="AZ68" s="70" t="e">
        <f t="shared" si="37"/>
        <v>#REF!</v>
      </c>
      <c r="BA68" s="70" t="e">
        <f t="shared" si="37"/>
        <v>#REF!</v>
      </c>
    </row>
    <row r="69" spans="27:53" hidden="1">
      <c r="AA69" s="71" t="s">
        <v>42</v>
      </c>
      <c r="AB69" s="35"/>
      <c r="AF69" s="70" t="e">
        <f t="shared" ref="AF69:AO69" si="38">AF38+AF39+AF44</f>
        <v>#REF!</v>
      </c>
      <c r="AG69" s="70" t="e">
        <f t="shared" si="38"/>
        <v>#REF!</v>
      </c>
      <c r="AH69" s="70" t="e">
        <f t="shared" si="38"/>
        <v>#REF!</v>
      </c>
      <c r="AI69" s="70" t="e">
        <f t="shared" si="38"/>
        <v>#REF!</v>
      </c>
      <c r="AJ69" s="70" t="e">
        <f t="shared" si="38"/>
        <v>#REF!</v>
      </c>
      <c r="AK69" s="70" t="e">
        <f t="shared" si="38"/>
        <v>#REF!</v>
      </c>
      <c r="AL69" s="70" t="e">
        <f t="shared" si="38"/>
        <v>#REF!</v>
      </c>
      <c r="AM69" s="70" t="e">
        <f t="shared" si="38"/>
        <v>#REF!</v>
      </c>
      <c r="AN69" s="70" t="e">
        <f t="shared" si="38"/>
        <v>#REF!</v>
      </c>
      <c r="AO69" s="70" t="e">
        <f t="shared" si="38"/>
        <v>#REF!</v>
      </c>
      <c r="AP69" s="70"/>
      <c r="AQ69" s="70"/>
      <c r="AR69" s="70" t="e">
        <f t="shared" ref="AR69:BA69" si="39">AR38+AR39+AR44</f>
        <v>#REF!</v>
      </c>
      <c r="AS69" s="70" t="e">
        <f t="shared" si="39"/>
        <v>#REF!</v>
      </c>
      <c r="AT69" s="70" t="e">
        <f t="shared" si="39"/>
        <v>#REF!</v>
      </c>
      <c r="AU69" s="70" t="e">
        <f t="shared" si="39"/>
        <v>#REF!</v>
      </c>
      <c r="AV69" s="70" t="e">
        <f t="shared" si="39"/>
        <v>#REF!</v>
      </c>
      <c r="AW69" s="70" t="e">
        <f t="shared" si="39"/>
        <v>#REF!</v>
      </c>
      <c r="AX69" s="70" t="e">
        <f t="shared" si="39"/>
        <v>#REF!</v>
      </c>
      <c r="AY69" s="70" t="e">
        <f t="shared" si="39"/>
        <v>#REF!</v>
      </c>
      <c r="AZ69" s="70" t="e">
        <f t="shared" si="39"/>
        <v>#REF!</v>
      </c>
      <c r="BA69" s="70" t="e">
        <f t="shared" si="39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0">AF16+AF17+AF21+AF23</f>
        <v>#REF!</v>
      </c>
      <c r="AG71" s="70" t="e">
        <f t="shared" si="40"/>
        <v>#REF!</v>
      </c>
      <c r="AH71" s="70" t="e">
        <f t="shared" si="40"/>
        <v>#REF!</v>
      </c>
      <c r="AI71" s="70" t="e">
        <f t="shared" si="40"/>
        <v>#REF!</v>
      </c>
      <c r="AJ71" s="70" t="e">
        <f t="shared" si="40"/>
        <v>#REF!</v>
      </c>
      <c r="AK71" s="70" t="e">
        <f t="shared" si="40"/>
        <v>#REF!</v>
      </c>
      <c r="AL71" s="70" t="e">
        <f t="shared" si="40"/>
        <v>#REF!</v>
      </c>
      <c r="AM71" s="70" t="e">
        <f t="shared" si="40"/>
        <v>#REF!</v>
      </c>
      <c r="AN71" s="70" t="e">
        <f t="shared" si="40"/>
        <v>#REF!</v>
      </c>
      <c r="AO71" s="70" t="e">
        <f t="shared" si="40"/>
        <v>#REF!</v>
      </c>
      <c r="AP71" s="70"/>
      <c r="AQ71" s="70"/>
      <c r="AR71" s="70" t="e">
        <f t="shared" ref="AR71:BA71" si="41">AR16+AR17+AR21+AR23</f>
        <v>#REF!</v>
      </c>
      <c r="AS71" s="70" t="e">
        <f t="shared" si="41"/>
        <v>#REF!</v>
      </c>
      <c r="AT71" s="70" t="e">
        <f t="shared" si="41"/>
        <v>#REF!</v>
      </c>
      <c r="AU71" s="70" t="e">
        <f t="shared" si="41"/>
        <v>#REF!</v>
      </c>
      <c r="AV71" s="70" t="e">
        <f t="shared" si="41"/>
        <v>#REF!</v>
      </c>
      <c r="AW71" s="70" t="e">
        <f t="shared" si="41"/>
        <v>#REF!</v>
      </c>
      <c r="AX71" s="70" t="e">
        <f t="shared" si="41"/>
        <v>#REF!</v>
      </c>
      <c r="AY71" s="70" t="e">
        <f t="shared" si="41"/>
        <v>#REF!</v>
      </c>
      <c r="AZ71" s="70" t="e">
        <f t="shared" si="41"/>
        <v>#REF!</v>
      </c>
      <c r="BA71" s="70" t="e">
        <f t="shared" si="41"/>
        <v>#REF!</v>
      </c>
    </row>
    <row r="72" spans="27:53" hidden="1">
      <c r="AA72" s="71" t="s">
        <v>41</v>
      </c>
      <c r="AB72" s="35"/>
      <c r="AF72" s="70" t="e">
        <f t="shared" ref="AF72:AO72" si="42">AF27+AF28+AF32+AF34</f>
        <v>#REF!</v>
      </c>
      <c r="AG72" s="70" t="e">
        <f t="shared" si="42"/>
        <v>#REF!</v>
      </c>
      <c r="AH72" s="70" t="e">
        <f t="shared" si="42"/>
        <v>#REF!</v>
      </c>
      <c r="AI72" s="70" t="e">
        <f t="shared" si="42"/>
        <v>#REF!</v>
      </c>
      <c r="AJ72" s="70" t="e">
        <f t="shared" si="42"/>
        <v>#REF!</v>
      </c>
      <c r="AK72" s="70" t="e">
        <f t="shared" si="42"/>
        <v>#REF!</v>
      </c>
      <c r="AL72" s="70" t="e">
        <f t="shared" si="42"/>
        <v>#REF!</v>
      </c>
      <c r="AM72" s="70" t="e">
        <f t="shared" si="42"/>
        <v>#REF!</v>
      </c>
      <c r="AN72" s="70" t="e">
        <f t="shared" si="42"/>
        <v>#REF!</v>
      </c>
      <c r="AO72" s="70" t="e">
        <f t="shared" si="42"/>
        <v>#REF!</v>
      </c>
      <c r="AP72" s="70"/>
      <c r="AQ72" s="70"/>
      <c r="AR72" s="70" t="e">
        <f t="shared" ref="AR72:BA72" si="43">AR27+AR28+AR32+AR34</f>
        <v>#REF!</v>
      </c>
      <c r="AS72" s="70" t="e">
        <f t="shared" si="43"/>
        <v>#REF!</v>
      </c>
      <c r="AT72" s="70" t="e">
        <f t="shared" si="43"/>
        <v>#REF!</v>
      </c>
      <c r="AU72" s="70" t="e">
        <f t="shared" si="43"/>
        <v>#REF!</v>
      </c>
      <c r="AV72" s="70" t="e">
        <f t="shared" si="43"/>
        <v>#REF!</v>
      </c>
      <c r="AW72" s="70" t="e">
        <f t="shared" si="43"/>
        <v>#REF!</v>
      </c>
      <c r="AX72" s="70" t="e">
        <f t="shared" si="43"/>
        <v>#REF!</v>
      </c>
      <c r="AY72" s="70" t="e">
        <f t="shared" si="43"/>
        <v>#REF!</v>
      </c>
      <c r="AZ72" s="70" t="e">
        <f t="shared" si="43"/>
        <v>#REF!</v>
      </c>
      <c r="BA72" s="70" t="e">
        <f t="shared" si="43"/>
        <v>#REF!</v>
      </c>
    </row>
    <row r="73" spans="27:53" hidden="1">
      <c r="AA73" s="71" t="s">
        <v>42</v>
      </c>
      <c r="AB73" s="35"/>
      <c r="AF73" s="70" t="e">
        <f t="shared" ref="AF73:AO73" si="44">AF38+AF39+AF43+AF45</f>
        <v>#REF!</v>
      </c>
      <c r="AG73" s="70" t="e">
        <f t="shared" si="44"/>
        <v>#REF!</v>
      </c>
      <c r="AH73" s="70" t="e">
        <f t="shared" si="44"/>
        <v>#REF!</v>
      </c>
      <c r="AI73" s="70" t="e">
        <f t="shared" si="44"/>
        <v>#REF!</v>
      </c>
      <c r="AJ73" s="70" t="e">
        <f t="shared" si="44"/>
        <v>#REF!</v>
      </c>
      <c r="AK73" s="70" t="e">
        <f t="shared" si="44"/>
        <v>#REF!</v>
      </c>
      <c r="AL73" s="70" t="e">
        <f t="shared" si="44"/>
        <v>#REF!</v>
      </c>
      <c r="AM73" s="70" t="e">
        <f t="shared" si="44"/>
        <v>#REF!</v>
      </c>
      <c r="AN73" s="70" t="e">
        <f t="shared" si="44"/>
        <v>#REF!</v>
      </c>
      <c r="AO73" s="70" t="e">
        <f t="shared" si="44"/>
        <v>#REF!</v>
      </c>
      <c r="AP73" s="70"/>
      <c r="AQ73" s="70"/>
      <c r="AR73" s="70" t="e">
        <f t="shared" ref="AR73:BA73" si="45">AR38+AR39+AR43+AR45</f>
        <v>#REF!</v>
      </c>
      <c r="AS73" s="70" t="e">
        <f t="shared" si="45"/>
        <v>#REF!</v>
      </c>
      <c r="AT73" s="70" t="e">
        <f t="shared" si="45"/>
        <v>#REF!</v>
      </c>
      <c r="AU73" s="70" t="e">
        <f t="shared" si="45"/>
        <v>#REF!</v>
      </c>
      <c r="AV73" s="70" t="e">
        <f t="shared" si="45"/>
        <v>#REF!</v>
      </c>
      <c r="AW73" s="70" t="e">
        <f t="shared" si="45"/>
        <v>#REF!</v>
      </c>
      <c r="AX73" s="70" t="e">
        <f t="shared" si="45"/>
        <v>#REF!</v>
      </c>
      <c r="AY73" s="70" t="e">
        <f t="shared" si="45"/>
        <v>#REF!</v>
      </c>
      <c r="AZ73" s="70" t="e">
        <f t="shared" si="45"/>
        <v>#REF!</v>
      </c>
      <c r="BA73" s="70" t="e">
        <f t="shared" si="45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6">AF16+AF17+AF21+AF24</f>
        <v>#REF!</v>
      </c>
      <c r="AG75" s="70" t="e">
        <f t="shared" si="46"/>
        <v>#REF!</v>
      </c>
      <c r="AH75" s="70" t="e">
        <f t="shared" si="46"/>
        <v>#REF!</v>
      </c>
      <c r="AI75" s="70" t="e">
        <f t="shared" si="46"/>
        <v>#REF!</v>
      </c>
      <c r="AJ75" s="70" t="e">
        <f t="shared" si="46"/>
        <v>#REF!</v>
      </c>
      <c r="AK75" s="70" t="e">
        <f t="shared" si="46"/>
        <v>#REF!</v>
      </c>
      <c r="AL75" s="70" t="e">
        <f t="shared" si="46"/>
        <v>#REF!</v>
      </c>
      <c r="AM75" s="70" t="e">
        <f t="shared" si="46"/>
        <v>#REF!</v>
      </c>
      <c r="AN75" s="70" t="e">
        <f t="shared" si="46"/>
        <v>#REF!</v>
      </c>
      <c r="AO75" s="70" t="e">
        <f t="shared" si="46"/>
        <v>#REF!</v>
      </c>
      <c r="AP75" s="70"/>
      <c r="AQ75" s="70"/>
      <c r="AR75" s="70" t="e">
        <f t="shared" ref="AR75:BA75" si="47">AR16+AR17+AR21+AR24</f>
        <v>#REF!</v>
      </c>
      <c r="AS75" s="70" t="e">
        <f t="shared" si="47"/>
        <v>#REF!</v>
      </c>
      <c r="AT75" s="70" t="e">
        <f t="shared" si="47"/>
        <v>#REF!</v>
      </c>
      <c r="AU75" s="70" t="e">
        <f t="shared" si="47"/>
        <v>#REF!</v>
      </c>
      <c r="AV75" s="70" t="e">
        <f t="shared" si="47"/>
        <v>#REF!</v>
      </c>
      <c r="AW75" s="70" t="e">
        <f t="shared" si="47"/>
        <v>#REF!</v>
      </c>
      <c r="AX75" s="70" t="e">
        <f t="shared" si="47"/>
        <v>#REF!</v>
      </c>
      <c r="AY75" s="70" t="e">
        <f t="shared" si="47"/>
        <v>#REF!</v>
      </c>
      <c r="AZ75" s="70" t="e">
        <f t="shared" si="47"/>
        <v>#REF!</v>
      </c>
      <c r="BA75" s="70" t="e">
        <f t="shared" si="47"/>
        <v>#REF!</v>
      </c>
    </row>
    <row r="76" spans="27:53" hidden="1">
      <c r="AA76" s="71" t="s">
        <v>41</v>
      </c>
      <c r="AB76" s="35"/>
      <c r="AF76" s="70" t="e">
        <f t="shared" ref="AF76:AO76" si="48">AF27+AF28+AF32+AF35</f>
        <v>#REF!</v>
      </c>
      <c r="AG76" s="70" t="e">
        <f t="shared" si="48"/>
        <v>#REF!</v>
      </c>
      <c r="AH76" s="70" t="e">
        <f t="shared" si="48"/>
        <v>#REF!</v>
      </c>
      <c r="AI76" s="70" t="e">
        <f t="shared" si="48"/>
        <v>#REF!</v>
      </c>
      <c r="AJ76" s="70" t="e">
        <f t="shared" si="48"/>
        <v>#REF!</v>
      </c>
      <c r="AK76" s="70" t="e">
        <f t="shared" si="48"/>
        <v>#REF!</v>
      </c>
      <c r="AL76" s="70" t="e">
        <f t="shared" si="48"/>
        <v>#REF!</v>
      </c>
      <c r="AM76" s="70" t="e">
        <f t="shared" si="48"/>
        <v>#REF!</v>
      </c>
      <c r="AN76" s="70" t="e">
        <f t="shared" si="48"/>
        <v>#REF!</v>
      </c>
      <c r="AO76" s="70" t="e">
        <f t="shared" si="48"/>
        <v>#REF!</v>
      </c>
      <c r="AP76" s="70"/>
      <c r="AQ76" s="70"/>
      <c r="AR76" s="70" t="e">
        <f t="shared" ref="AR76:BA76" si="49">AR27+AR28+AR32+AR35</f>
        <v>#REF!</v>
      </c>
      <c r="AS76" s="70" t="e">
        <f t="shared" si="49"/>
        <v>#REF!</v>
      </c>
      <c r="AT76" s="70" t="e">
        <f t="shared" si="49"/>
        <v>#REF!</v>
      </c>
      <c r="AU76" s="70" t="e">
        <f t="shared" si="49"/>
        <v>#REF!</v>
      </c>
      <c r="AV76" s="70" t="e">
        <f t="shared" si="49"/>
        <v>#REF!</v>
      </c>
      <c r="AW76" s="70" t="e">
        <f t="shared" si="49"/>
        <v>#REF!</v>
      </c>
      <c r="AX76" s="70" t="e">
        <f t="shared" si="49"/>
        <v>#REF!</v>
      </c>
      <c r="AY76" s="70" t="e">
        <f t="shared" si="49"/>
        <v>#REF!</v>
      </c>
      <c r="AZ76" s="70" t="e">
        <f t="shared" si="49"/>
        <v>#REF!</v>
      </c>
      <c r="BA76" s="70" t="e">
        <f t="shared" si="49"/>
        <v>#REF!</v>
      </c>
    </row>
    <row r="77" spans="27:53" hidden="1">
      <c r="AA77" s="71" t="s">
        <v>42</v>
      </c>
      <c r="AB77" s="35"/>
      <c r="AF77" s="70" t="e">
        <f t="shared" ref="AF77:AO77" si="50">AF38+AF39+AF43+AF46</f>
        <v>#REF!</v>
      </c>
      <c r="AG77" s="70" t="e">
        <f t="shared" si="50"/>
        <v>#REF!</v>
      </c>
      <c r="AH77" s="70" t="e">
        <f t="shared" si="50"/>
        <v>#REF!</v>
      </c>
      <c r="AI77" s="70" t="e">
        <f t="shared" si="50"/>
        <v>#REF!</v>
      </c>
      <c r="AJ77" s="70" t="e">
        <f t="shared" si="50"/>
        <v>#REF!</v>
      </c>
      <c r="AK77" s="70" t="e">
        <f t="shared" si="50"/>
        <v>#REF!</v>
      </c>
      <c r="AL77" s="70" t="e">
        <f t="shared" si="50"/>
        <v>#REF!</v>
      </c>
      <c r="AM77" s="70" t="e">
        <f t="shared" si="50"/>
        <v>#REF!</v>
      </c>
      <c r="AN77" s="70" t="e">
        <f t="shared" si="50"/>
        <v>#REF!</v>
      </c>
      <c r="AO77" s="70" t="e">
        <f t="shared" si="50"/>
        <v>#REF!</v>
      </c>
      <c r="AP77" s="70"/>
      <c r="AQ77" s="70"/>
      <c r="AR77" s="70" t="e">
        <f t="shared" ref="AR77:BA77" si="51">AR38+AR39+AR43+AR46</f>
        <v>#REF!</v>
      </c>
      <c r="AS77" s="70" t="e">
        <f t="shared" si="51"/>
        <v>#REF!</v>
      </c>
      <c r="AT77" s="70" t="e">
        <f t="shared" si="51"/>
        <v>#REF!</v>
      </c>
      <c r="AU77" s="70" t="e">
        <f t="shared" si="51"/>
        <v>#REF!</v>
      </c>
      <c r="AV77" s="70" t="e">
        <f t="shared" si="51"/>
        <v>#REF!</v>
      </c>
      <c r="AW77" s="70" t="e">
        <f t="shared" si="51"/>
        <v>#REF!</v>
      </c>
      <c r="AX77" s="70" t="e">
        <f t="shared" si="51"/>
        <v>#REF!</v>
      </c>
      <c r="AY77" s="70" t="e">
        <f t="shared" si="51"/>
        <v>#REF!</v>
      </c>
      <c r="AZ77" s="70" t="e">
        <f t="shared" si="51"/>
        <v>#REF!</v>
      </c>
      <c r="BA77" s="70" t="e">
        <f t="shared" si="51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45" t="s">
        <v>55</v>
      </c>
      <c r="G89" s="545" t="s">
        <v>73</v>
      </c>
      <c r="H89" s="545" t="s">
        <v>74</v>
      </c>
      <c r="I89" s="545" t="s">
        <v>58</v>
      </c>
      <c r="J89" s="545" t="s">
        <v>59</v>
      </c>
      <c r="K89" s="545" t="s">
        <v>60</v>
      </c>
      <c r="L89" s="544" t="s">
        <v>75</v>
      </c>
      <c r="M89" s="544" t="s">
        <v>76</v>
      </c>
      <c r="N89" s="544" t="s">
        <v>61</v>
      </c>
      <c r="O89" s="544" t="s">
        <v>62</v>
      </c>
      <c r="P89" s="544" t="s">
        <v>63</v>
      </c>
      <c r="AN89" s="38"/>
      <c r="AZ89" s="36"/>
    </row>
    <row r="90" spans="1:52" ht="25.5">
      <c r="A90" s="44" t="str">
        <f t="shared" ref="A90:C92" si="52">A4</f>
        <v>General Construction</v>
      </c>
      <c r="B90" s="45" t="str">
        <f t="shared" si="52"/>
        <v>Light-Duty Truck, catalyst</v>
      </c>
      <c r="C90" s="46">
        <f t="shared" si="52"/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" si="53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si="52"/>
        <v>Site and Access Road Grading</v>
      </c>
      <c r="B91" s="45" t="str">
        <f t="shared" si="52"/>
        <v>Light-Duty Truck, catalyst</v>
      </c>
      <c r="C91" s="46">
        <f t="shared" si="52"/>
        <v>20</v>
      </c>
      <c r="D91" s="46">
        <v>35</v>
      </c>
      <c r="E91" s="46">
        <v>80</v>
      </c>
      <c r="F91" s="50">
        <f>C5*($E5*$F5+($G5))/453.59</f>
        <v>9.7143877176184024</v>
      </c>
      <c r="G91" s="50">
        <f>C5*($E5*$H5+($I5))/453.59</f>
        <v>0.87341314588756025</v>
      </c>
      <c r="H91" s="50">
        <f>C5*(($E5*$J5)+($K5)+($L5)+($E5*$N5)+(($M5+$O5)))/453.59</f>
        <v>1.0099996064790666</v>
      </c>
      <c r="I91" s="50">
        <f>C5*($E5*$P5+($Q5))/453.59</f>
        <v>1.453594054321232E-2</v>
      </c>
      <c r="J91" s="50">
        <f>C5*(($E5*($R5+$T5+$U5))+($S5))/453.59</f>
        <v>0.17048180910415792</v>
      </c>
      <c r="K91" s="50">
        <f>$C5*(($E5*($V5+$X5+$Y5))+($W5))/453.59</f>
        <v>7.4240106485062823E-2</v>
      </c>
      <c r="L91" s="50">
        <f>$B$23*C5*(E5+6)</f>
        <v>0.16877165172143796</v>
      </c>
      <c r="M91" s="50">
        <f t="shared" ref="M91" si="54">0.41*L91</f>
        <v>6.9196377205789555E-2</v>
      </c>
      <c r="N91" s="50">
        <f>C5*($E5*$Z5+($AA5))/453.59</f>
        <v>1108.4715345207778</v>
      </c>
      <c r="O91" s="50">
        <f>C5*($E5*$AB5+($AC5))/453.59</f>
        <v>6.3409507780604987E-2</v>
      </c>
      <c r="P91" s="50">
        <f>C5*($E5*$AD5+($AE5))/453.59</f>
        <v>0.11542239827686719</v>
      </c>
      <c r="AN91" s="38"/>
      <c r="AZ91" s="36"/>
    </row>
    <row r="92" spans="1:52" ht="25.5">
      <c r="A92" s="44" t="str">
        <f t="shared" si="52"/>
        <v>Storm Drain and Erosion Control</v>
      </c>
      <c r="B92" s="45" t="str">
        <f t="shared" si="52"/>
        <v>Light-Duty Truck, catalyst</v>
      </c>
      <c r="C92" s="46">
        <f t="shared" si="52"/>
        <v>13</v>
      </c>
      <c r="D92" s="46">
        <v>35</v>
      </c>
      <c r="E92" s="46">
        <v>80</v>
      </c>
      <c r="F92" s="50">
        <f>C6*($E6*$F6+($G6))/453.59</f>
        <v>6.3143520164519611</v>
      </c>
      <c r="G92" s="50">
        <f>C6*($E6*$H6+($I6))/453.59</f>
        <v>0.56771854482691408</v>
      </c>
      <c r="H92" s="50">
        <f>C6*(($E6*$J6)+($K6)+($L6)+($E6*$N6)+(($M6+$O6)))/453.59</f>
        <v>0.65649974421139334</v>
      </c>
      <c r="I92" s="50">
        <f>C6*($E6*$P6+($Q6))/453.59</f>
        <v>9.4483613530880074E-3</v>
      </c>
      <c r="J92" s="50">
        <f>C6*(($E6*($R6+$T6+$U6))+($S6))/453.59</f>
        <v>0.11081317591770266</v>
      </c>
      <c r="K92" s="50">
        <f>$C6*(($E6*($V6+$X6+$Y6))+($W6))/453.59</f>
        <v>4.8256069215290839E-2</v>
      </c>
      <c r="L92" s="50">
        <f>$B$23*C6*(E6+6)</f>
        <v>0.10970157361893468</v>
      </c>
      <c r="M92" s="50">
        <f t="shared" ref="M92" si="55">0.41*L92</f>
        <v>4.4977645183763217E-2</v>
      </c>
      <c r="N92" s="50">
        <f>C6*($E6*$Z6+($AA6))/453.59</f>
        <v>720.50649743850568</v>
      </c>
      <c r="O92" s="50">
        <f>C6*($E6*$AB6+($AC6))/453.59</f>
        <v>4.1216180057393241E-2</v>
      </c>
      <c r="P92" s="50">
        <f>C6*($E6*$AD6+($AE6))/453.59</f>
        <v>7.5024558879963676E-2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>SUM(F90:F92)</f>
        <v>17.485897891713122</v>
      </c>
      <c r="G93" s="81">
        <f t="shared" ref="G93:P93" si="56">SUM(G90:G92)</f>
        <v>1.5721436625976084</v>
      </c>
      <c r="H93" s="81">
        <f t="shared" si="56"/>
        <v>1.81799929166232</v>
      </c>
      <c r="I93" s="81">
        <f t="shared" si="56"/>
        <v>2.6164692977782171E-2</v>
      </c>
      <c r="J93" s="81">
        <f t="shared" si="56"/>
        <v>0.30686725638748424</v>
      </c>
      <c r="K93" s="81">
        <f t="shared" si="56"/>
        <v>0.13363219167311308</v>
      </c>
      <c r="L93" s="81">
        <f t="shared" si="56"/>
        <v>0.30378897309858832</v>
      </c>
      <c r="M93" s="81">
        <f t="shared" si="56"/>
        <v>0.12455347897042121</v>
      </c>
      <c r="N93" s="81">
        <f t="shared" si="56"/>
        <v>1995.2487621374003</v>
      </c>
      <c r="O93" s="81">
        <f t="shared" si="56"/>
        <v>0.11413711400508897</v>
      </c>
      <c r="P93" s="81">
        <f t="shared" si="56"/>
        <v>0.20776031689836094</v>
      </c>
      <c r="AN93" s="38"/>
      <c r="AZ93" s="36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30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1"/>
  <sheetViews>
    <sheetView zoomScale="75" zoomScaleNormal="75" workbookViewId="0">
      <selection activeCell="I34" sqref="I34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816</v>
      </c>
    </row>
    <row r="2" spans="1:25">
      <c r="A2" s="83"/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27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271</v>
      </c>
      <c r="B7" s="29"/>
      <c r="C7" s="97"/>
      <c r="D7" s="12"/>
      <c r="E7" s="102"/>
      <c r="F7" s="102"/>
      <c r="G7" s="102"/>
      <c r="H7" s="102"/>
      <c r="I7" s="102"/>
      <c r="J7" s="100"/>
      <c r="K7" s="103"/>
      <c r="L7" s="102"/>
      <c r="M7" s="104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32" t="s">
        <v>51</v>
      </c>
      <c r="B8" s="29" t="s">
        <v>27</v>
      </c>
      <c r="C8" s="97">
        <v>381</v>
      </c>
      <c r="D8" s="97"/>
      <c r="E8" s="102">
        <v>0.18553470911077993</v>
      </c>
      <c r="F8" s="102">
        <v>0.57956772121140698</v>
      </c>
      <c r="G8" s="102">
        <v>1.2523979210769924</v>
      </c>
      <c r="H8" s="102">
        <v>2.6730457491231348E-3</v>
      </c>
      <c r="I8" s="102">
        <v>4.4827947982520766E-2</v>
      </c>
      <c r="J8" s="100">
        <f t="shared" ref="J8" si="0">0.89*I8</f>
        <v>3.9896873704443482E-2</v>
      </c>
      <c r="K8" s="103">
        <v>272.33380251586107</v>
      </c>
      <c r="L8" s="102">
        <v>1.6740496842659349E-2</v>
      </c>
      <c r="M8" s="102">
        <f t="shared" ref="M8" si="1">0.095*G8</f>
        <v>0.11897780250231428</v>
      </c>
      <c r="N8" s="87">
        <v>4</v>
      </c>
      <c r="O8" s="87">
        <v>8</v>
      </c>
      <c r="P8" s="88">
        <v>15</v>
      </c>
      <c r="Q8" s="34">
        <f t="shared" ref="Q8:Y10" si="2">(E8*$N8*$O8)</f>
        <v>5.9371106915449579</v>
      </c>
      <c r="R8" s="26">
        <f t="shared" si="2"/>
        <v>18.546167078765023</v>
      </c>
      <c r="S8" s="26">
        <f t="shared" si="2"/>
        <v>40.076733474463758</v>
      </c>
      <c r="T8" s="26">
        <f t="shared" si="2"/>
        <v>8.5537463971940314E-2</v>
      </c>
      <c r="U8" s="26">
        <f t="shared" si="2"/>
        <v>1.4344943354406645</v>
      </c>
      <c r="V8" s="26">
        <f t="shared" si="2"/>
        <v>1.2766999585421914</v>
      </c>
      <c r="W8" s="26">
        <f t="shared" si="2"/>
        <v>8714.6816805075541</v>
      </c>
      <c r="X8" s="26">
        <f t="shared" si="2"/>
        <v>0.53569589896509917</v>
      </c>
      <c r="Y8" s="26">
        <f t="shared" si="2"/>
        <v>3.807289680074057</v>
      </c>
    </row>
    <row r="9" spans="1:25" s="3" customFormat="1">
      <c r="A9" s="32" t="s">
        <v>125</v>
      </c>
      <c r="B9" s="29" t="s">
        <v>27</v>
      </c>
      <c r="C9" s="97">
        <v>87</v>
      </c>
      <c r="D9" s="22">
        <v>0.37</v>
      </c>
      <c r="E9" s="413">
        <v>5.2437519504869065E-2</v>
      </c>
      <c r="F9" s="397">
        <v>0.26257275132275132</v>
      </c>
      <c r="G9" s="397">
        <v>0.33506412037037031</v>
      </c>
      <c r="H9" s="413">
        <v>6.0679618797898508E-4</v>
      </c>
      <c r="I9" s="397">
        <v>2.1289682539682539E-2</v>
      </c>
      <c r="J9" s="100">
        <f t="shared" ref="J9:J10" si="3">0.89*I9</f>
        <v>1.894781746031746E-2</v>
      </c>
      <c r="K9" s="413">
        <v>51.728016924248784</v>
      </c>
      <c r="L9" s="413">
        <v>5.7223017989158831E-3</v>
      </c>
      <c r="M9" s="102">
        <f t="shared" ref="M9:M10" si="4">0.095*G9</f>
        <v>3.1831091435185178E-2</v>
      </c>
      <c r="N9" s="87">
        <v>2</v>
      </c>
      <c r="O9" s="87">
        <v>8</v>
      </c>
      <c r="P9" s="88">
        <v>15</v>
      </c>
      <c r="Q9" s="34">
        <f t="shared" si="2"/>
        <v>0.83900031207790504</v>
      </c>
      <c r="R9" s="26">
        <f t="shared" si="2"/>
        <v>4.2011640211640211</v>
      </c>
      <c r="S9" s="26">
        <f t="shared" si="2"/>
        <v>5.361025925925925</v>
      </c>
      <c r="T9" s="26">
        <f t="shared" si="2"/>
        <v>9.7087390076637612E-3</v>
      </c>
      <c r="U9" s="26">
        <f t="shared" si="2"/>
        <v>0.34063492063492062</v>
      </c>
      <c r="V9" s="26">
        <f t="shared" si="2"/>
        <v>0.30316507936507936</v>
      </c>
      <c r="W9" s="26">
        <f t="shared" si="2"/>
        <v>827.64827078798055</v>
      </c>
      <c r="X9" s="26">
        <f t="shared" si="2"/>
        <v>9.1556828782654129E-2</v>
      </c>
      <c r="Y9" s="26">
        <f t="shared" si="2"/>
        <v>0.50929746296296285</v>
      </c>
    </row>
    <row r="10" spans="1:25" s="3" customFormat="1">
      <c r="A10" s="32" t="s">
        <v>112</v>
      </c>
      <c r="B10" s="29" t="s">
        <v>27</v>
      </c>
      <c r="C10" s="97">
        <v>235</v>
      </c>
      <c r="D10" s="97"/>
      <c r="E10" s="102">
        <v>0.11792220738547983</v>
      </c>
      <c r="F10" s="102">
        <v>0.36512193352152528</v>
      </c>
      <c r="G10" s="102">
        <v>0.86781464282266541</v>
      </c>
      <c r="H10" s="102">
        <v>1.8739217498104396E-3</v>
      </c>
      <c r="I10" s="102">
        <v>2.9041712295589866E-2</v>
      </c>
      <c r="J10" s="100">
        <f t="shared" si="3"/>
        <v>2.5847123943074982E-2</v>
      </c>
      <c r="K10" s="103">
        <v>166.54541562452522</v>
      </c>
      <c r="L10" s="102">
        <v>1.063993297769634E-2</v>
      </c>
      <c r="M10" s="104">
        <f t="shared" si="4"/>
        <v>8.2442391068153209E-2</v>
      </c>
      <c r="N10" s="87">
        <v>4</v>
      </c>
      <c r="O10" s="87">
        <v>4</v>
      </c>
      <c r="P10" s="88">
        <v>15</v>
      </c>
      <c r="Q10" s="34">
        <f t="shared" si="2"/>
        <v>1.8867553181676773</v>
      </c>
      <c r="R10" s="26">
        <f t="shared" si="2"/>
        <v>5.8419509363444044</v>
      </c>
      <c r="S10" s="26">
        <f t="shared" si="2"/>
        <v>13.885034285162646</v>
      </c>
      <c r="T10" s="26">
        <f t="shared" si="2"/>
        <v>2.9982747996967034E-2</v>
      </c>
      <c r="U10" s="26">
        <f t="shared" si="2"/>
        <v>0.46466739672943785</v>
      </c>
      <c r="V10" s="26">
        <f t="shared" si="2"/>
        <v>0.41355398308919972</v>
      </c>
      <c r="W10" s="26">
        <f t="shared" si="2"/>
        <v>2664.7266499924035</v>
      </c>
      <c r="X10" s="26">
        <f t="shared" si="2"/>
        <v>0.17023892764314144</v>
      </c>
      <c r="Y10" s="26">
        <f t="shared" si="2"/>
        <v>1.3190782570904513</v>
      </c>
    </row>
    <row r="11" spans="1:25" s="3" customFormat="1">
      <c r="A11" s="17" t="s">
        <v>28</v>
      </c>
      <c r="B11" s="29"/>
      <c r="C11" s="97"/>
      <c r="D11" s="12"/>
      <c r="E11" s="102"/>
      <c r="F11" s="102"/>
      <c r="G11" s="102"/>
      <c r="H11" s="102"/>
      <c r="I11" s="102"/>
      <c r="J11" s="100"/>
      <c r="K11" s="103"/>
      <c r="L11" s="102"/>
      <c r="M11" s="104"/>
      <c r="N11" s="98"/>
      <c r="O11" s="98"/>
      <c r="P11" s="99"/>
      <c r="Q11" s="101">
        <f t="shared" ref="Q11:Y11" si="5">SUM(Q8:Q10)</f>
        <v>8.6628663217905402</v>
      </c>
      <c r="R11" s="101">
        <f t="shared" si="5"/>
        <v>28.589282036273449</v>
      </c>
      <c r="S11" s="101">
        <f t="shared" si="5"/>
        <v>59.322793685552327</v>
      </c>
      <c r="T11" s="101">
        <f t="shared" si="5"/>
        <v>0.12522895097657111</v>
      </c>
      <c r="U11" s="101">
        <f t="shared" si="5"/>
        <v>2.239796652805023</v>
      </c>
      <c r="V11" s="101">
        <f t="shared" si="5"/>
        <v>1.9934190209964704</v>
      </c>
      <c r="W11" s="101">
        <f t="shared" si="5"/>
        <v>12207.056601287939</v>
      </c>
      <c r="X11" s="101">
        <f t="shared" si="5"/>
        <v>0.79749165539089473</v>
      </c>
      <c r="Y11" s="101">
        <f t="shared" si="5"/>
        <v>5.6356654001274711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B-7
Construction Heavy Equipment Emissions
TL 6910 Construction
</oddHeader>
    <oddFooter>&amp;CB-7</oddFooter>
  </headerFooter>
</worksheet>
</file>

<file path=xl/worksheets/sheet30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375"/>
  <sheetViews>
    <sheetView zoomScale="75" workbookViewId="0">
      <selection activeCell="B20" sqref="B20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42">
      <c r="A1" s="3" t="s">
        <v>817</v>
      </c>
    </row>
    <row r="2" spans="1:42">
      <c r="A2" s="83"/>
    </row>
    <row r="6" spans="1:42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32" t="s">
        <v>55</v>
      </c>
      <c r="H6" s="532" t="s">
        <v>56</v>
      </c>
      <c r="I6" s="528" t="s">
        <v>57</v>
      </c>
      <c r="J6" s="532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32" t="s">
        <v>61</v>
      </c>
      <c r="R6" s="528" t="s">
        <v>62</v>
      </c>
      <c r="S6" s="528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42" ht="63.75">
      <c r="A7" s="592"/>
      <c r="B7" s="592"/>
      <c r="C7" s="593"/>
      <c r="D7" s="593"/>
      <c r="E7" s="74" t="s">
        <v>67</v>
      </c>
      <c r="F7" s="74" t="s">
        <v>68</v>
      </c>
      <c r="G7" s="531" t="s">
        <v>69</v>
      </c>
      <c r="H7" s="41" t="s">
        <v>69</v>
      </c>
      <c r="I7" s="41" t="s">
        <v>69</v>
      </c>
      <c r="J7" s="41" t="s">
        <v>69</v>
      </c>
      <c r="K7" s="528" t="s">
        <v>69</v>
      </c>
      <c r="L7" s="528" t="s">
        <v>71</v>
      </c>
      <c r="M7" s="528" t="s">
        <v>72</v>
      </c>
      <c r="N7" s="528" t="s">
        <v>69</v>
      </c>
      <c r="O7" s="528" t="s">
        <v>71</v>
      </c>
      <c r="P7" s="528" t="s">
        <v>72</v>
      </c>
      <c r="Q7" s="41" t="s">
        <v>69</v>
      </c>
      <c r="R7" s="528" t="s">
        <v>69</v>
      </c>
      <c r="S7" s="528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42" ht="25.5">
      <c r="A8" s="114" t="s">
        <v>338</v>
      </c>
      <c r="B8" s="74"/>
      <c r="C8" s="112"/>
      <c r="D8" s="112"/>
      <c r="E8" s="74"/>
      <c r="F8" s="74"/>
      <c r="G8" s="531"/>
      <c r="H8" s="41"/>
      <c r="I8" s="41"/>
      <c r="J8" s="41"/>
      <c r="K8" s="528"/>
      <c r="L8" s="528"/>
      <c r="M8" s="528"/>
      <c r="N8" s="528"/>
      <c r="O8" s="528"/>
      <c r="P8" s="528"/>
      <c r="Q8" s="41"/>
      <c r="R8" s="528"/>
      <c r="S8" s="528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  <c r="AE8" s="43"/>
      <c r="AF8" s="61"/>
      <c r="AG8" s="61"/>
      <c r="AH8" s="61"/>
      <c r="AI8" s="61"/>
      <c r="AJ8" s="61"/>
      <c r="AK8" s="61"/>
      <c r="AL8" s="62"/>
      <c r="AM8" s="62"/>
      <c r="AN8" s="63"/>
      <c r="AO8" s="61"/>
      <c r="AP8" s="61"/>
    </row>
    <row r="9" spans="1:42">
      <c r="A9" s="78" t="s">
        <v>331</v>
      </c>
      <c r="B9" s="76" t="s">
        <v>105</v>
      </c>
      <c r="C9" s="374">
        <v>1</v>
      </c>
      <c r="D9" s="77"/>
      <c r="E9" s="77">
        <v>35</v>
      </c>
      <c r="F9" s="77">
        <v>80</v>
      </c>
      <c r="G9" s="106">
        <v>1.08263976628415</v>
      </c>
      <c r="H9" s="106">
        <v>4.9712718909585103</v>
      </c>
      <c r="I9" s="106">
        <v>0.26248012575016899</v>
      </c>
      <c r="J9" s="106">
        <v>1.0711818E-2</v>
      </c>
      <c r="K9" s="106">
        <v>7.1679901072141505E-2</v>
      </c>
      <c r="L9" s="556">
        <v>3.59998119015979E-2</v>
      </c>
      <c r="M9" s="556">
        <v>6.1739677411240299E-2</v>
      </c>
      <c r="N9" s="106">
        <v>6.5945508986370194E-2</v>
      </c>
      <c r="O9" s="556">
        <v>2.9999843251331498E-3</v>
      </c>
      <c r="P9" s="556">
        <v>5.5859708133979398E-2</v>
      </c>
      <c r="Q9" s="106">
        <v>1710.7260798814</v>
      </c>
      <c r="R9" s="47">
        <v>1.5235246282551899E-2</v>
      </c>
      <c r="S9" s="80">
        <f>0.000025616*Q9</f>
        <v>4.3821959262241944E-2</v>
      </c>
      <c r="T9" s="50">
        <f>C9*($F9*$G9)/453.59</f>
        <v>0.19094596728925242</v>
      </c>
      <c r="U9" s="50">
        <f>C9*($F9*$H9)/453.59</f>
        <v>0.87678685878586582</v>
      </c>
      <c r="V9" s="50">
        <f>C9*(($F9*$I9))/453.59</f>
        <v>4.6293811724274173E-2</v>
      </c>
      <c r="W9" s="50">
        <f>C9*($F9*$J9)/453.59</f>
        <v>1.8892511739676801E-3</v>
      </c>
      <c r="X9" s="50">
        <f>C9*(($F9*($K9+$L9+$M9)))/453.59</f>
        <v>2.9880621774726907E-2</v>
      </c>
      <c r="Y9" s="50">
        <f>C9*(($F9*($N9+$O9+$P9)))/453.59</f>
        <v>2.2011984646131133E-2</v>
      </c>
      <c r="Z9" s="50">
        <f>C9*(F9)*$B$398</f>
        <v>0</v>
      </c>
      <c r="AA9" s="50">
        <f>Z9*0.21</f>
        <v>0</v>
      </c>
      <c r="AB9" s="50">
        <f>C9*(($F9*($Q9)))/453.59</f>
        <v>301.72200972356535</v>
      </c>
      <c r="AC9" s="50">
        <f>C9*(($F9*($R9)))/453.59</f>
        <v>2.6870515280410772E-3</v>
      </c>
      <c r="AD9" s="50">
        <f>C9*(($F9*($S9)))/453.59</f>
        <v>7.7289110010788503E-3</v>
      </c>
      <c r="AE9" s="51">
        <v>15</v>
      </c>
      <c r="AF9" s="50">
        <f t="shared" ref="AF9:AP10" si="0">T9*$AE9/2000</f>
        <v>1.4320947546693932E-3</v>
      </c>
      <c r="AG9" s="50">
        <f t="shared" si="0"/>
        <v>6.5759014408939935E-3</v>
      </c>
      <c r="AH9" s="50">
        <f t="shared" si="0"/>
        <v>3.4720358793205631E-4</v>
      </c>
      <c r="AI9" s="50">
        <f t="shared" si="0"/>
        <v>1.4169383804757601E-5</v>
      </c>
      <c r="AJ9" s="50">
        <f t="shared" si="0"/>
        <v>2.2410466331045182E-4</v>
      </c>
      <c r="AK9" s="50">
        <f t="shared" si="0"/>
        <v>1.650898848459835E-4</v>
      </c>
      <c r="AL9" s="50">
        <f t="shared" si="0"/>
        <v>0</v>
      </c>
      <c r="AM9" s="50">
        <f t="shared" si="0"/>
        <v>0</v>
      </c>
      <c r="AN9" s="50">
        <f t="shared" si="0"/>
        <v>2.2629150729267402</v>
      </c>
      <c r="AO9" s="50">
        <f t="shared" si="0"/>
        <v>2.0152886460308078E-5</v>
      </c>
      <c r="AP9" s="50">
        <f t="shared" si="0"/>
        <v>5.7966832508091375E-5</v>
      </c>
    </row>
    <row r="10" spans="1:42">
      <c r="A10" s="78" t="s">
        <v>112</v>
      </c>
      <c r="B10" s="76" t="s">
        <v>105</v>
      </c>
      <c r="C10" s="374">
        <v>4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6">
        <v>3.59998119015979E-2</v>
      </c>
      <c r="M10" s="556">
        <v>6.1739677411240299E-2</v>
      </c>
      <c r="N10" s="106">
        <v>6.5945508986370194E-2</v>
      </c>
      <c r="O10" s="556">
        <v>2.9999843251331498E-3</v>
      </c>
      <c r="P10" s="55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0.76378386915700969</v>
      </c>
      <c r="U10" s="50">
        <f>C10*($F10*$H10)/453.59</f>
        <v>3.5071474351434633</v>
      </c>
      <c r="V10" s="50">
        <f>C10*(($F10*$I10))/453.59</f>
        <v>0.18517524689709669</v>
      </c>
      <c r="W10" s="50">
        <f>C10*($F10*$J10)/453.59</f>
        <v>7.5570046958707204E-3</v>
      </c>
      <c r="X10" s="50">
        <f>C10*(($F10*($K10+$L10+$M10)))/453.59</f>
        <v>0.11952248709890763</v>
      </c>
      <c r="Y10" s="50">
        <f>C10*(($F10*($N10+$O10+$P10)))/453.59</f>
        <v>8.8047938584524532E-2</v>
      </c>
      <c r="Z10" s="50">
        <f>C10*(F10)*$B$398</f>
        <v>0</v>
      </c>
      <c r="AA10" s="50">
        <f>Z10*0.21</f>
        <v>0</v>
      </c>
      <c r="AB10" s="50">
        <f>C10*(($F10*($Q10)))/453.59</f>
        <v>1206.8880388942614</v>
      </c>
      <c r="AC10" s="50">
        <f>C10*(($F10*($R10)))/453.59</f>
        <v>1.0748206112164309E-2</v>
      </c>
      <c r="AD10" s="50">
        <f>C10*(($F10*($S10)))/453.59</f>
        <v>3.0915644004315401E-2</v>
      </c>
      <c r="AE10" s="51">
        <v>5</v>
      </c>
      <c r="AF10" s="50">
        <f t="shared" si="0"/>
        <v>1.9094596728925241E-3</v>
      </c>
      <c r="AG10" s="50">
        <f t="shared" si="0"/>
        <v>8.7678685878586574E-3</v>
      </c>
      <c r="AH10" s="50">
        <f t="shared" si="0"/>
        <v>4.629381172427417E-4</v>
      </c>
      <c r="AI10" s="50">
        <f t="shared" si="0"/>
        <v>1.8892511739676799E-5</v>
      </c>
      <c r="AJ10" s="50">
        <f t="shared" si="0"/>
        <v>2.9880621774726904E-4</v>
      </c>
      <c r="AK10" s="50">
        <f t="shared" si="0"/>
        <v>2.2011984646131132E-4</v>
      </c>
      <c r="AL10" s="50">
        <f t="shared" si="0"/>
        <v>0</v>
      </c>
      <c r="AM10" s="50">
        <f t="shared" si="0"/>
        <v>0</v>
      </c>
      <c r="AN10" s="50">
        <f t="shared" si="0"/>
        <v>3.0172200972356538</v>
      </c>
      <c r="AO10" s="50">
        <f t="shared" si="0"/>
        <v>2.6870515280410773E-5</v>
      </c>
      <c r="AP10" s="50">
        <f t="shared" si="0"/>
        <v>7.7289110010788509E-5</v>
      </c>
    </row>
    <row r="11" spans="1:42">
      <c r="A11" s="75" t="s">
        <v>28</v>
      </c>
      <c r="B11" s="74"/>
      <c r="C11" s="112"/>
      <c r="D11" s="112"/>
      <c r="E11" s="74"/>
      <c r="F11" s="74"/>
      <c r="G11" s="531"/>
      <c r="H11" s="41"/>
      <c r="I11" s="41"/>
      <c r="J11" s="41"/>
      <c r="K11" s="528"/>
      <c r="L11" s="528"/>
      <c r="M11" s="528"/>
      <c r="N11" s="528"/>
      <c r="O11" s="528"/>
      <c r="P11" s="528"/>
      <c r="Q11" s="41"/>
      <c r="R11" s="528"/>
      <c r="S11" s="528"/>
      <c r="T11" s="81">
        <f t="shared" ref="T11:AD11" si="1">SUM(T9:T10)</f>
        <v>0.95472983644626208</v>
      </c>
      <c r="U11" s="81">
        <f t="shared" si="1"/>
        <v>4.3839342939293289</v>
      </c>
      <c r="V11" s="81">
        <f t="shared" si="1"/>
        <v>0.23146905862137085</v>
      </c>
      <c r="W11" s="81">
        <f t="shared" si="1"/>
        <v>9.4462558698383998E-3</v>
      </c>
      <c r="X11" s="81">
        <f t="shared" si="1"/>
        <v>0.14940310887363453</v>
      </c>
      <c r="Y11" s="81">
        <f t="shared" si="1"/>
        <v>0.11005992323065567</v>
      </c>
      <c r="Z11" s="81">
        <f t="shared" si="1"/>
        <v>0</v>
      </c>
      <c r="AA11" s="81">
        <f t="shared" si="1"/>
        <v>0</v>
      </c>
      <c r="AB11" s="81">
        <f t="shared" si="1"/>
        <v>1508.6100486178268</v>
      </c>
      <c r="AC11" s="81">
        <f t="shared" si="1"/>
        <v>1.3435257640205386E-2</v>
      </c>
      <c r="AD11" s="81">
        <f t="shared" si="1"/>
        <v>3.8644555005394252E-2</v>
      </c>
      <c r="AE11" s="56"/>
      <c r="AF11" s="81">
        <f t="shared" ref="AF11:AP11" si="2">SUM(AF9:AF10)</f>
        <v>3.3415544275619173E-3</v>
      </c>
      <c r="AG11" s="81">
        <f t="shared" si="2"/>
        <v>1.5343770028752651E-2</v>
      </c>
      <c r="AH11" s="81">
        <f t="shared" si="2"/>
        <v>8.1014170517479801E-4</v>
      </c>
      <c r="AI11" s="81">
        <f t="shared" si="2"/>
        <v>3.30618955444344E-5</v>
      </c>
      <c r="AJ11" s="81">
        <f t="shared" si="2"/>
        <v>5.2291088105772083E-4</v>
      </c>
      <c r="AK11" s="81">
        <f t="shared" si="2"/>
        <v>3.8520973130729485E-4</v>
      </c>
      <c r="AL11" s="81">
        <f t="shared" si="2"/>
        <v>0</v>
      </c>
      <c r="AM11" s="81">
        <f t="shared" si="2"/>
        <v>0</v>
      </c>
      <c r="AN11" s="81">
        <f t="shared" si="2"/>
        <v>5.280135170162394</v>
      </c>
      <c r="AO11" s="81">
        <f t="shared" si="2"/>
        <v>4.7023401740718851E-5</v>
      </c>
      <c r="AP11" s="81">
        <f t="shared" si="2"/>
        <v>1.3525594251887987E-4</v>
      </c>
    </row>
    <row r="12" spans="1:42">
      <c r="A12" s="370"/>
      <c r="B12" s="371"/>
      <c r="C12" s="372"/>
      <c r="D12" s="372"/>
      <c r="E12" s="371"/>
      <c r="F12" s="371"/>
      <c r="G12" s="373"/>
      <c r="H12" s="373"/>
      <c r="I12" s="373"/>
      <c r="J12" s="373"/>
      <c r="K12" s="373"/>
      <c r="L12" s="373"/>
      <c r="M12" s="373"/>
      <c r="N12" s="373"/>
      <c r="O12" s="373"/>
      <c r="P12" s="373"/>
      <c r="Q12" s="373"/>
      <c r="R12" s="373"/>
      <c r="S12" s="373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</row>
    <row r="13" spans="1:42">
      <c r="A13" s="370"/>
      <c r="B13" s="371"/>
      <c r="C13" s="372"/>
      <c r="D13" s="372"/>
      <c r="E13" s="371"/>
      <c r="F13" s="371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</row>
    <row r="14" spans="1:42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</row>
    <row r="363" spans="1:1" ht="25.5">
      <c r="A363" s="82" t="s">
        <v>109</v>
      </c>
    </row>
    <row r="365" spans="1:1">
      <c r="A365" s="36" t="s">
        <v>81</v>
      </c>
    </row>
    <row r="366" spans="1:1">
      <c r="A366" s="36" t="s">
        <v>82</v>
      </c>
    </row>
    <row r="367" spans="1:1">
      <c r="A367" s="36" t="s">
        <v>83</v>
      </c>
    </row>
    <row r="368" spans="1:1">
      <c r="A368" s="37" t="s">
        <v>96</v>
      </c>
    </row>
    <row r="369" spans="1:2">
      <c r="A369" s="36" t="s">
        <v>85</v>
      </c>
    </row>
    <row r="370" spans="1:2">
      <c r="A370" s="36" t="s">
        <v>86</v>
      </c>
    </row>
    <row r="371" spans="1:2">
      <c r="A371" s="36" t="s">
        <v>87</v>
      </c>
    </row>
    <row r="372" spans="1:2">
      <c r="A372" s="36" t="s">
        <v>0</v>
      </c>
    </row>
    <row r="373" spans="1:2">
      <c r="A373" s="37" t="s">
        <v>97</v>
      </c>
      <c r="B373" s="36">
        <f>(0.016*(0.03/2)^0.65*(2/3)^1.5)-0.00047</f>
        <v>9.8123053326417428E-5</v>
      </c>
    </row>
    <row r="374" spans="1:2">
      <c r="A374" s="37" t="s">
        <v>98</v>
      </c>
      <c r="B374" s="36">
        <f>(0.016*(0.03/2)^0.65*(13/3)^1.5)-0.00047</f>
        <v>8.9448292388582783E-3</v>
      </c>
    </row>
    <row r="375" spans="1:2">
      <c r="A375" s="37" t="s">
        <v>99</v>
      </c>
      <c r="B375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B-8
Construction Truck Trip Emissions
TL 6910 Construction</oddHeader>
    <oddFooter>&amp;CB-8</oddFooter>
  </headerFooter>
</worksheet>
</file>

<file path=xl/worksheets/sheet30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818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31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28" t="s">
        <v>69</v>
      </c>
      <c r="S3" s="42" t="s">
        <v>118</v>
      </c>
      <c r="T3" s="528" t="s">
        <v>71</v>
      </c>
      <c r="U3" s="528" t="s">
        <v>72</v>
      </c>
      <c r="V3" s="528" t="s">
        <v>69</v>
      </c>
      <c r="W3" s="42" t="s">
        <v>118</v>
      </c>
      <c r="X3" s="528" t="s">
        <v>71</v>
      </c>
      <c r="Y3" s="528" t="s">
        <v>72</v>
      </c>
      <c r="Z3" s="41" t="s">
        <v>69</v>
      </c>
      <c r="AA3" s="42" t="s">
        <v>118</v>
      </c>
      <c r="AB3" s="528" t="s">
        <v>69</v>
      </c>
      <c r="AC3" s="42" t="s">
        <v>118</v>
      </c>
      <c r="AD3" s="528" t="s">
        <v>69</v>
      </c>
      <c r="AE3" s="42" t="s">
        <v>118</v>
      </c>
    </row>
    <row r="4" spans="1:67" ht="25.5">
      <c r="A4" s="44" t="s">
        <v>415</v>
      </c>
      <c r="B4" s="45" t="s">
        <v>102</v>
      </c>
      <c r="C4" s="46">
        <v>11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530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529" t="s">
        <v>55</v>
      </c>
      <c r="G87" s="529" t="s">
        <v>73</v>
      </c>
      <c r="H87" s="529" t="s">
        <v>74</v>
      </c>
      <c r="I87" s="529" t="s">
        <v>58</v>
      </c>
      <c r="J87" s="529" t="s">
        <v>59</v>
      </c>
      <c r="K87" s="529" t="s">
        <v>60</v>
      </c>
      <c r="L87" s="528" t="s">
        <v>75</v>
      </c>
      <c r="M87" s="528" t="s">
        <v>76</v>
      </c>
      <c r="N87" s="528" t="s">
        <v>61</v>
      </c>
      <c r="O87" s="528" t="s">
        <v>62</v>
      </c>
      <c r="P87" s="528" t="s">
        <v>63</v>
      </c>
      <c r="AN87" s="38"/>
      <c r="AZ87" s="36"/>
    </row>
    <row r="88" spans="1:52" ht="25.5">
      <c r="A88" s="44" t="s">
        <v>415</v>
      </c>
      <c r="B88" s="45" t="str">
        <f>B4</f>
        <v>Light-Duty Truck, catalyst</v>
      </c>
      <c r="C88" s="46">
        <f>C4</f>
        <v>11</v>
      </c>
      <c r="D88" s="46">
        <v>35</v>
      </c>
      <c r="E88" s="46">
        <v>80</v>
      </c>
      <c r="F88" s="50">
        <f>C4*($E4*$F4+($G4))/453.59</f>
        <v>5.34291324469012</v>
      </c>
      <c r="G88" s="50">
        <f>C4*($E4*$H4+($I4))/453.59</f>
        <v>0.48037723023815809</v>
      </c>
      <c r="H88" s="50">
        <f>C4*(($E4*$J4)+($K4)+($L4)+($E4*$N4)+(($M4+$O4)))/453.59</f>
        <v>0.55549978356348662</v>
      </c>
      <c r="I88" s="50">
        <f>C4*($E4*$P4+($Q4))/453.59</f>
        <v>7.9947672987667768E-3</v>
      </c>
      <c r="J88" s="50">
        <f>C4*(($E4*($R4+$T4+$U4))+($S4))/453.59</f>
        <v>9.3764995007286869E-2</v>
      </c>
      <c r="K88" s="50">
        <f>$C4*(($E4*($V4+$X4+$Y4))+($W4))/453.59</f>
        <v>4.0832058566784561E-2</v>
      </c>
      <c r="L88" s="50">
        <f>$B$21*C4*(E4+6)</f>
        <v>9.2824408446790893E-2</v>
      </c>
      <c r="M88" s="50">
        <f t="shared" ref="M88" si="52">0.41*L88</f>
        <v>3.8058007463184267E-2</v>
      </c>
      <c r="N88" s="50">
        <f>C4*($E4*$Z4+($AA4))/453.59</f>
        <v>609.65934398642787</v>
      </c>
      <c r="O88" s="50">
        <f>C4*($E4*$AB4+($AC4))/453.59</f>
        <v>3.4875229279332738E-2</v>
      </c>
      <c r="P88" s="50">
        <f>C4*($E4*$AD4+($AE4))/453.59</f>
        <v>6.3482319052276956E-2</v>
      </c>
      <c r="AN88" s="38"/>
      <c r="AZ88" s="36"/>
    </row>
    <row r="89" spans="1:52">
      <c r="A89" s="61" t="s">
        <v>396</v>
      </c>
      <c r="B89" s="61"/>
      <c r="C89" s="61"/>
      <c r="D89" s="61"/>
      <c r="E89" s="61"/>
      <c r="F89" s="81">
        <f t="shared" ref="F89:P89" si="53">SUM(F88:F88)</f>
        <v>5.34291324469012</v>
      </c>
      <c r="G89" s="81">
        <f t="shared" si="53"/>
        <v>0.48037723023815809</v>
      </c>
      <c r="H89" s="81">
        <f t="shared" si="53"/>
        <v>0.55549978356348662</v>
      </c>
      <c r="I89" s="81">
        <f t="shared" si="53"/>
        <v>7.9947672987667768E-3</v>
      </c>
      <c r="J89" s="81">
        <f t="shared" si="53"/>
        <v>9.3764995007286869E-2</v>
      </c>
      <c r="K89" s="81">
        <f t="shared" si="53"/>
        <v>4.0832058566784561E-2</v>
      </c>
      <c r="L89" s="81">
        <f t="shared" si="53"/>
        <v>9.2824408446790893E-2</v>
      </c>
      <c r="M89" s="81">
        <f t="shared" si="53"/>
        <v>3.8058007463184267E-2</v>
      </c>
      <c r="N89" s="81">
        <f t="shared" si="53"/>
        <v>609.65934398642787</v>
      </c>
      <c r="O89" s="81">
        <f t="shared" si="53"/>
        <v>3.4875229279332738E-2</v>
      </c>
      <c r="P89" s="81">
        <f t="shared" si="53"/>
        <v>6.3482319052276956E-2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B-9
Construction Worker Commute Emission Calculations
TL 6910 Construction</oddHeader>
    <oddFooter>&amp;CB-9</oddFooter>
  </headerFooter>
</worksheet>
</file>

<file path=xl/worksheets/sheet30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9"/>
  <sheetViews>
    <sheetView zoomScale="75" zoomScaleNormal="75" workbookViewId="0">
      <selection activeCell="A2" sqref="A2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819</v>
      </c>
    </row>
    <row r="2" spans="1:25">
      <c r="A2" s="83"/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27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271</v>
      </c>
      <c r="B7" s="29"/>
      <c r="C7" s="97"/>
      <c r="D7" s="12"/>
      <c r="E7" s="102"/>
      <c r="F7" s="102"/>
      <c r="G7" s="102"/>
      <c r="H7" s="102"/>
      <c r="I7" s="102"/>
      <c r="J7" s="100"/>
      <c r="K7" s="103"/>
      <c r="L7" s="102"/>
      <c r="M7" s="104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32" t="s">
        <v>112</v>
      </c>
      <c r="B8" s="29" t="s">
        <v>27</v>
      </c>
      <c r="C8" s="97">
        <v>235</v>
      </c>
      <c r="D8" s="97"/>
      <c r="E8" s="102">
        <v>0.11792220738547983</v>
      </c>
      <c r="F8" s="102">
        <v>0.36512193352152528</v>
      </c>
      <c r="G8" s="102">
        <v>0.86781464282266541</v>
      </c>
      <c r="H8" s="102">
        <v>1.8739217498104396E-3</v>
      </c>
      <c r="I8" s="102">
        <v>2.9041712295589866E-2</v>
      </c>
      <c r="J8" s="100">
        <f t="shared" ref="J8" si="0">0.89*I8</f>
        <v>2.5847123943074982E-2</v>
      </c>
      <c r="K8" s="103">
        <v>166.54541562452522</v>
      </c>
      <c r="L8" s="102">
        <v>1.063993297769634E-2</v>
      </c>
      <c r="M8" s="104">
        <f t="shared" ref="M8" si="1">0.095*G8</f>
        <v>8.2442391068153209E-2</v>
      </c>
      <c r="N8" s="87">
        <v>4</v>
      </c>
      <c r="O8" s="87">
        <v>4</v>
      </c>
      <c r="P8" s="88">
        <v>15</v>
      </c>
      <c r="Q8" s="34">
        <f t="shared" ref="Q8:Y8" si="2">(E8*$N8*$O8)</f>
        <v>1.8867553181676773</v>
      </c>
      <c r="R8" s="26">
        <f t="shared" si="2"/>
        <v>5.8419509363444044</v>
      </c>
      <c r="S8" s="26">
        <f t="shared" si="2"/>
        <v>13.885034285162646</v>
      </c>
      <c r="T8" s="26">
        <f t="shared" si="2"/>
        <v>2.9982747996967034E-2</v>
      </c>
      <c r="U8" s="26">
        <f t="shared" si="2"/>
        <v>0.46466739672943785</v>
      </c>
      <c r="V8" s="26">
        <f t="shared" si="2"/>
        <v>0.41355398308919972</v>
      </c>
      <c r="W8" s="26">
        <f t="shared" si="2"/>
        <v>2664.7266499924035</v>
      </c>
      <c r="X8" s="26">
        <f t="shared" si="2"/>
        <v>0.17023892764314144</v>
      </c>
      <c r="Y8" s="26">
        <f t="shared" si="2"/>
        <v>1.3190782570904513</v>
      </c>
    </row>
    <row r="9" spans="1:25" s="3" customFormat="1">
      <c r="A9" s="17" t="s">
        <v>28</v>
      </c>
      <c r="B9" s="29"/>
      <c r="C9" s="97"/>
      <c r="D9" s="12"/>
      <c r="E9" s="102"/>
      <c r="F9" s="102"/>
      <c r="G9" s="102"/>
      <c r="H9" s="102"/>
      <c r="I9" s="102"/>
      <c r="J9" s="100"/>
      <c r="K9" s="103"/>
      <c r="L9" s="102"/>
      <c r="M9" s="104"/>
      <c r="N9" s="98"/>
      <c r="O9" s="98"/>
      <c r="P9" s="99"/>
      <c r="Q9" s="101">
        <f t="shared" ref="Q9:Y9" si="3">SUM(Q8:Q8)</f>
        <v>1.8867553181676773</v>
      </c>
      <c r="R9" s="101">
        <f t="shared" si="3"/>
        <v>5.8419509363444044</v>
      </c>
      <c r="S9" s="101">
        <f t="shared" si="3"/>
        <v>13.885034285162646</v>
      </c>
      <c r="T9" s="101">
        <f t="shared" si="3"/>
        <v>2.9982747996967034E-2</v>
      </c>
      <c r="U9" s="101">
        <f t="shared" si="3"/>
        <v>0.46466739672943785</v>
      </c>
      <c r="V9" s="101">
        <f t="shared" si="3"/>
        <v>0.41355398308919972</v>
      </c>
      <c r="W9" s="101">
        <f t="shared" si="3"/>
        <v>2664.7266499924035</v>
      </c>
      <c r="X9" s="101">
        <f t="shared" si="3"/>
        <v>0.17023892764314144</v>
      </c>
      <c r="Y9" s="101">
        <f t="shared" si="3"/>
        <v>1.3190782570904513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B-7
Construction Heavy Equipment Emissions
TL 6910 Construction
</oddHeader>
    <oddFooter>&amp;CB-7</oddFooter>
  </headerFooter>
</worksheet>
</file>

<file path=xl/worksheets/sheet30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374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42">
      <c r="A1" s="3" t="s">
        <v>820</v>
      </c>
    </row>
    <row r="2" spans="1:42">
      <c r="A2" s="83"/>
    </row>
    <row r="6" spans="1:42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32" t="s">
        <v>55</v>
      </c>
      <c r="H6" s="532" t="s">
        <v>56</v>
      </c>
      <c r="I6" s="528" t="s">
        <v>57</v>
      </c>
      <c r="J6" s="532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32" t="s">
        <v>61</v>
      </c>
      <c r="R6" s="528" t="s">
        <v>62</v>
      </c>
      <c r="S6" s="528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42" ht="63.75">
      <c r="A7" s="592"/>
      <c r="B7" s="592"/>
      <c r="C7" s="593"/>
      <c r="D7" s="593"/>
      <c r="E7" s="74" t="s">
        <v>67</v>
      </c>
      <c r="F7" s="74" t="s">
        <v>68</v>
      </c>
      <c r="G7" s="531" t="s">
        <v>69</v>
      </c>
      <c r="H7" s="41" t="s">
        <v>69</v>
      </c>
      <c r="I7" s="41" t="s">
        <v>69</v>
      </c>
      <c r="J7" s="41" t="s">
        <v>69</v>
      </c>
      <c r="K7" s="528" t="s">
        <v>69</v>
      </c>
      <c r="L7" s="528" t="s">
        <v>71</v>
      </c>
      <c r="M7" s="528" t="s">
        <v>72</v>
      </c>
      <c r="N7" s="528" t="s">
        <v>69</v>
      </c>
      <c r="O7" s="528" t="s">
        <v>71</v>
      </c>
      <c r="P7" s="528" t="s">
        <v>72</v>
      </c>
      <c r="Q7" s="41" t="s">
        <v>69</v>
      </c>
      <c r="R7" s="528" t="s">
        <v>69</v>
      </c>
      <c r="S7" s="528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42" ht="25.5">
      <c r="A8" s="114" t="s">
        <v>338</v>
      </c>
      <c r="B8" s="74"/>
      <c r="C8" s="112"/>
      <c r="D8" s="112"/>
      <c r="E8" s="74"/>
      <c r="F8" s="74"/>
      <c r="G8" s="531"/>
      <c r="H8" s="41"/>
      <c r="I8" s="41"/>
      <c r="J8" s="41"/>
      <c r="K8" s="528"/>
      <c r="L8" s="528"/>
      <c r="M8" s="528"/>
      <c r="N8" s="528"/>
      <c r="O8" s="528"/>
      <c r="P8" s="528"/>
      <c r="Q8" s="41"/>
      <c r="R8" s="528"/>
      <c r="S8" s="528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  <c r="AE8" s="43"/>
      <c r="AF8" s="61"/>
      <c r="AG8" s="61"/>
      <c r="AH8" s="61"/>
      <c r="AI8" s="61"/>
      <c r="AJ8" s="61"/>
      <c r="AK8" s="61"/>
      <c r="AL8" s="62"/>
      <c r="AM8" s="62"/>
      <c r="AN8" s="63"/>
      <c r="AO8" s="61"/>
      <c r="AP8" s="61"/>
    </row>
    <row r="9" spans="1:42">
      <c r="A9" s="78" t="s">
        <v>112</v>
      </c>
      <c r="B9" s="76" t="s">
        <v>105</v>
      </c>
      <c r="C9" s="374">
        <v>4</v>
      </c>
      <c r="D9" s="77"/>
      <c r="E9" s="77">
        <v>35</v>
      </c>
      <c r="F9" s="77">
        <v>80</v>
      </c>
      <c r="G9" s="106">
        <v>1.08263976628415</v>
      </c>
      <c r="H9" s="106">
        <v>4.9712718909585103</v>
      </c>
      <c r="I9" s="106">
        <v>0.26248012575016899</v>
      </c>
      <c r="J9" s="106">
        <v>1.0711818E-2</v>
      </c>
      <c r="K9" s="106">
        <v>7.1679901072141505E-2</v>
      </c>
      <c r="L9" s="556">
        <v>3.59998119015979E-2</v>
      </c>
      <c r="M9" s="556">
        <v>6.1739677411240299E-2</v>
      </c>
      <c r="N9" s="106">
        <v>6.5945508986370194E-2</v>
      </c>
      <c r="O9" s="556">
        <v>2.9999843251331498E-3</v>
      </c>
      <c r="P9" s="556">
        <v>5.5859708133979398E-2</v>
      </c>
      <c r="Q9" s="106">
        <v>1710.7260798814</v>
      </c>
      <c r="R9" s="47">
        <v>1.5235246282551899E-2</v>
      </c>
      <c r="S9" s="80">
        <f>0.000025616*Q9</f>
        <v>4.3821959262241944E-2</v>
      </c>
      <c r="T9" s="50">
        <f>C9*($F9*$G9)/453.59</f>
        <v>0.76378386915700969</v>
      </c>
      <c r="U9" s="50">
        <f>C9*($F9*$H9)/453.59</f>
        <v>3.5071474351434633</v>
      </c>
      <c r="V9" s="50">
        <f>C9*(($F9*$I9))/453.59</f>
        <v>0.18517524689709669</v>
      </c>
      <c r="W9" s="50">
        <f>C9*($F9*$J9)/453.59</f>
        <v>7.5570046958707204E-3</v>
      </c>
      <c r="X9" s="50">
        <f>C9*(($F9*($K9+$L9+$M9)))/453.59</f>
        <v>0.11952248709890763</v>
      </c>
      <c r="Y9" s="50">
        <f>C9*(($F9*($N9+$O9+$P9)))/453.59</f>
        <v>8.8047938584524532E-2</v>
      </c>
      <c r="Z9" s="50">
        <f>C9*(F9)*$B$397</f>
        <v>0</v>
      </c>
      <c r="AA9" s="50">
        <f>Z9*0.21</f>
        <v>0</v>
      </c>
      <c r="AB9" s="50">
        <f>C9*(($F9*($Q9)))/453.59</f>
        <v>1206.8880388942614</v>
      </c>
      <c r="AC9" s="50">
        <f>C9*(($F9*($R9)))/453.59</f>
        <v>1.0748206112164309E-2</v>
      </c>
      <c r="AD9" s="50">
        <f>C9*(($F9*($S9)))/453.59</f>
        <v>3.0915644004315401E-2</v>
      </c>
      <c r="AE9" s="51">
        <v>5</v>
      </c>
      <c r="AF9" s="50">
        <f t="shared" ref="AF9:AP9" si="0">T9*$AE9/2000</f>
        <v>1.9094596728925241E-3</v>
      </c>
      <c r="AG9" s="50">
        <f t="shared" si="0"/>
        <v>8.7678685878586574E-3</v>
      </c>
      <c r="AH9" s="50">
        <f t="shared" si="0"/>
        <v>4.629381172427417E-4</v>
      </c>
      <c r="AI9" s="50">
        <f t="shared" si="0"/>
        <v>1.8892511739676799E-5</v>
      </c>
      <c r="AJ9" s="50">
        <f t="shared" si="0"/>
        <v>2.9880621774726904E-4</v>
      </c>
      <c r="AK9" s="50">
        <f t="shared" si="0"/>
        <v>2.2011984646131132E-4</v>
      </c>
      <c r="AL9" s="50">
        <f t="shared" si="0"/>
        <v>0</v>
      </c>
      <c r="AM9" s="50">
        <f t="shared" si="0"/>
        <v>0</v>
      </c>
      <c r="AN9" s="50">
        <f t="shared" si="0"/>
        <v>3.0172200972356538</v>
      </c>
      <c r="AO9" s="50">
        <f t="shared" si="0"/>
        <v>2.6870515280410773E-5</v>
      </c>
      <c r="AP9" s="50">
        <f t="shared" si="0"/>
        <v>7.7289110010788509E-5</v>
      </c>
    </row>
    <row r="10" spans="1:42">
      <c r="A10" s="75" t="s">
        <v>28</v>
      </c>
      <c r="B10" s="74"/>
      <c r="C10" s="112"/>
      <c r="D10" s="112"/>
      <c r="E10" s="74"/>
      <c r="F10" s="74"/>
      <c r="G10" s="531"/>
      <c r="H10" s="41"/>
      <c r="I10" s="41"/>
      <c r="J10" s="41"/>
      <c r="K10" s="528"/>
      <c r="L10" s="528"/>
      <c r="M10" s="528"/>
      <c r="N10" s="528"/>
      <c r="O10" s="528"/>
      <c r="P10" s="528"/>
      <c r="Q10" s="41"/>
      <c r="R10" s="528"/>
      <c r="S10" s="528"/>
      <c r="T10" s="81">
        <f t="shared" ref="T10:AD10" si="1">SUM(T9:T9)</f>
        <v>0.76378386915700969</v>
      </c>
      <c r="U10" s="81">
        <f t="shared" si="1"/>
        <v>3.5071474351434633</v>
      </c>
      <c r="V10" s="81">
        <f t="shared" si="1"/>
        <v>0.18517524689709669</v>
      </c>
      <c r="W10" s="81">
        <f t="shared" si="1"/>
        <v>7.5570046958707204E-3</v>
      </c>
      <c r="X10" s="81">
        <f t="shared" si="1"/>
        <v>0.11952248709890763</v>
      </c>
      <c r="Y10" s="81">
        <f t="shared" si="1"/>
        <v>8.8047938584524532E-2</v>
      </c>
      <c r="Z10" s="81">
        <f t="shared" si="1"/>
        <v>0</v>
      </c>
      <c r="AA10" s="81">
        <f t="shared" si="1"/>
        <v>0</v>
      </c>
      <c r="AB10" s="81">
        <f t="shared" si="1"/>
        <v>1206.8880388942614</v>
      </c>
      <c r="AC10" s="81">
        <f t="shared" si="1"/>
        <v>1.0748206112164309E-2</v>
      </c>
      <c r="AD10" s="81">
        <f t="shared" si="1"/>
        <v>3.0915644004315401E-2</v>
      </c>
      <c r="AE10" s="56"/>
      <c r="AF10" s="81">
        <f t="shared" ref="AF10:AP10" si="2">SUM(AF9:AF9)</f>
        <v>1.9094596728925241E-3</v>
      </c>
      <c r="AG10" s="81">
        <f t="shared" si="2"/>
        <v>8.7678685878586574E-3</v>
      </c>
      <c r="AH10" s="81">
        <f t="shared" si="2"/>
        <v>4.629381172427417E-4</v>
      </c>
      <c r="AI10" s="81">
        <f t="shared" si="2"/>
        <v>1.8892511739676799E-5</v>
      </c>
      <c r="AJ10" s="81">
        <f t="shared" si="2"/>
        <v>2.9880621774726904E-4</v>
      </c>
      <c r="AK10" s="81">
        <f t="shared" si="2"/>
        <v>2.2011984646131132E-4</v>
      </c>
      <c r="AL10" s="81">
        <f t="shared" si="2"/>
        <v>0</v>
      </c>
      <c r="AM10" s="81">
        <f t="shared" si="2"/>
        <v>0</v>
      </c>
      <c r="AN10" s="81">
        <f t="shared" si="2"/>
        <v>3.0172200972356538</v>
      </c>
      <c r="AO10" s="81">
        <f t="shared" si="2"/>
        <v>2.6870515280410773E-5</v>
      </c>
      <c r="AP10" s="81">
        <f t="shared" si="2"/>
        <v>7.7289110010788509E-5</v>
      </c>
    </row>
    <row r="11" spans="1:42">
      <c r="A11" s="370"/>
      <c r="B11" s="371"/>
      <c r="C11" s="372"/>
      <c r="D11" s="372"/>
      <c r="E11" s="371"/>
      <c r="F11" s="371"/>
      <c r="G11" s="373"/>
      <c r="H11" s="373"/>
      <c r="I11" s="373"/>
      <c r="J11" s="373"/>
      <c r="K11" s="373"/>
      <c r="L11" s="373"/>
      <c r="M11" s="373"/>
      <c r="N11" s="373"/>
      <c r="O11" s="373"/>
      <c r="P11" s="373"/>
      <c r="Q11" s="373"/>
      <c r="R11" s="373"/>
      <c r="S11" s="373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</row>
    <row r="12" spans="1:42">
      <c r="A12" s="370"/>
      <c r="B12" s="371"/>
      <c r="C12" s="372"/>
      <c r="D12" s="372"/>
      <c r="E12" s="371"/>
      <c r="F12" s="371"/>
      <c r="G12" s="373"/>
      <c r="H12" s="373"/>
      <c r="I12" s="373"/>
      <c r="J12" s="373"/>
      <c r="K12" s="373"/>
      <c r="L12" s="373"/>
      <c r="M12" s="373"/>
      <c r="N12" s="373"/>
      <c r="O12" s="373"/>
      <c r="P12" s="373"/>
      <c r="Q12" s="373"/>
      <c r="R12" s="373"/>
      <c r="S12" s="373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</row>
    <row r="13" spans="1:42">
      <c r="A13" s="370"/>
      <c r="B13" s="371"/>
      <c r="C13" s="372"/>
      <c r="D13" s="372"/>
      <c r="E13" s="371"/>
      <c r="F13" s="371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</row>
    <row r="362" spans="1:1" ht="25.5">
      <c r="A362" s="82" t="s">
        <v>109</v>
      </c>
    </row>
    <row r="364" spans="1:1">
      <c r="A364" s="36" t="s">
        <v>81</v>
      </c>
    </row>
    <row r="365" spans="1:1">
      <c r="A365" s="36" t="s">
        <v>82</v>
      </c>
    </row>
    <row r="366" spans="1:1">
      <c r="A366" s="36" t="s">
        <v>83</v>
      </c>
    </row>
    <row r="367" spans="1:1">
      <c r="A367" s="37" t="s">
        <v>96</v>
      </c>
    </row>
    <row r="368" spans="1:1">
      <c r="A368" s="36" t="s">
        <v>85</v>
      </c>
    </row>
    <row r="369" spans="1:2">
      <c r="A369" s="36" t="s">
        <v>86</v>
      </c>
    </row>
    <row r="370" spans="1:2">
      <c r="A370" s="36" t="s">
        <v>87</v>
      </c>
    </row>
    <row r="371" spans="1:2">
      <c r="A371" s="36" t="s">
        <v>0</v>
      </c>
    </row>
    <row r="372" spans="1:2">
      <c r="A372" s="37" t="s">
        <v>97</v>
      </c>
      <c r="B372" s="36">
        <f>(0.016*(0.03/2)^0.65*(2/3)^1.5)-0.00047</f>
        <v>9.8123053326417428E-5</v>
      </c>
    </row>
    <row r="373" spans="1:2">
      <c r="A373" s="37" t="s">
        <v>98</v>
      </c>
      <c r="B373" s="36">
        <f>(0.016*(0.03/2)^0.65*(13/3)^1.5)-0.00047</f>
        <v>8.9448292388582783E-3</v>
      </c>
    </row>
    <row r="374" spans="1:2">
      <c r="A374" s="37" t="s">
        <v>99</v>
      </c>
      <c r="B374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B-8
Construction Truck Trip Emissions
TL 6910 Construction</oddHeader>
    <oddFooter>&amp;CB-8</oddFooter>
  </headerFooter>
</worksheet>
</file>

<file path=xl/worksheets/sheet30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821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31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28" t="s">
        <v>69</v>
      </c>
      <c r="S3" s="42" t="s">
        <v>118</v>
      </c>
      <c r="T3" s="528" t="s">
        <v>71</v>
      </c>
      <c r="U3" s="528" t="s">
        <v>72</v>
      </c>
      <c r="V3" s="528" t="s">
        <v>69</v>
      </c>
      <c r="W3" s="42" t="s">
        <v>118</v>
      </c>
      <c r="X3" s="528" t="s">
        <v>71</v>
      </c>
      <c r="Y3" s="528" t="s">
        <v>72</v>
      </c>
      <c r="Z3" s="41" t="s">
        <v>69</v>
      </c>
      <c r="AA3" s="42" t="s">
        <v>118</v>
      </c>
      <c r="AB3" s="528" t="s">
        <v>69</v>
      </c>
      <c r="AC3" s="42" t="s">
        <v>118</v>
      </c>
      <c r="AD3" s="528" t="s">
        <v>69</v>
      </c>
      <c r="AE3" s="42" t="s">
        <v>118</v>
      </c>
    </row>
    <row r="4" spans="1:67" ht="25.5">
      <c r="A4" s="44" t="s">
        <v>415</v>
      </c>
      <c r="B4" s="45" t="s">
        <v>102</v>
      </c>
      <c r="C4" s="46">
        <v>4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530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529" t="s">
        <v>55</v>
      </c>
      <c r="G87" s="529" t="s">
        <v>73</v>
      </c>
      <c r="H87" s="529" t="s">
        <v>74</v>
      </c>
      <c r="I87" s="529" t="s">
        <v>58</v>
      </c>
      <c r="J87" s="529" t="s">
        <v>59</v>
      </c>
      <c r="K87" s="529" t="s">
        <v>60</v>
      </c>
      <c r="L87" s="528" t="s">
        <v>75</v>
      </c>
      <c r="M87" s="528" t="s">
        <v>76</v>
      </c>
      <c r="N87" s="528" t="s">
        <v>61</v>
      </c>
      <c r="O87" s="528" t="s">
        <v>62</v>
      </c>
      <c r="P87" s="528" t="s">
        <v>63</v>
      </c>
      <c r="AN87" s="38"/>
      <c r="AZ87" s="36"/>
    </row>
    <row r="88" spans="1:52" ht="25.5">
      <c r="A88" s="44" t="s">
        <v>415</v>
      </c>
      <c r="B88" s="45" t="str">
        <f>B4</f>
        <v>Light-Duty Truck, catalyst</v>
      </c>
      <c r="C88" s="46">
        <f>C4</f>
        <v>4</v>
      </c>
      <c r="D88" s="46">
        <v>35</v>
      </c>
      <c r="E88" s="46">
        <v>80</v>
      </c>
      <c r="F88" s="50">
        <f>C4*($E4*$F4+($G4))/453.59</f>
        <v>1.9428775435236803</v>
      </c>
      <c r="G88" s="50">
        <f>C4*($E4*$H4+($I4))/453.59</f>
        <v>0.17468262917751204</v>
      </c>
      <c r="H88" s="50">
        <f>C4*(($E4*$J4)+($K4)+($L4)+($E4*$N4)+(($M4+$O4)))/453.59</f>
        <v>0.20199992129581332</v>
      </c>
      <c r="I88" s="50">
        <f>C4*($E4*$P4+($Q4))/453.59</f>
        <v>2.9071881086424637E-3</v>
      </c>
      <c r="J88" s="50">
        <f>C4*(($E4*($R4+$T4+$U4))+($S4))/453.59</f>
        <v>3.4096361820831589E-2</v>
      </c>
      <c r="K88" s="50">
        <f>$C4*(($E4*($V4+$X4+$Y4))+($W4))/453.59</f>
        <v>1.4848021297012567E-2</v>
      </c>
      <c r="L88" s="50">
        <f>$B$21*C4*(E4+6)</f>
        <v>3.3754330344287597E-2</v>
      </c>
      <c r="M88" s="50">
        <f t="shared" ref="M88" si="52">0.41*L88</f>
        <v>1.3839275441157914E-2</v>
      </c>
      <c r="N88" s="50">
        <f>C4*($E4*$Z4+($AA4))/453.59</f>
        <v>221.69430690415558</v>
      </c>
      <c r="O88" s="50">
        <f>C4*($E4*$AB4+($AC4))/453.59</f>
        <v>1.2681901556120997E-2</v>
      </c>
      <c r="P88" s="50">
        <f>C4*($E4*$AD4+($AE4))/453.59</f>
        <v>2.3084479655373441E-2</v>
      </c>
      <c r="AN88" s="38"/>
      <c r="AZ88" s="36"/>
    </row>
    <row r="89" spans="1:52">
      <c r="A89" s="61" t="s">
        <v>396</v>
      </c>
      <c r="B89" s="61"/>
      <c r="C89" s="61"/>
      <c r="D89" s="61"/>
      <c r="E89" s="61"/>
      <c r="F89" s="81">
        <f t="shared" ref="F89:P89" si="53">SUM(F88:F88)</f>
        <v>1.9428775435236803</v>
      </c>
      <c r="G89" s="81">
        <f t="shared" si="53"/>
        <v>0.17468262917751204</v>
      </c>
      <c r="H89" s="81">
        <f t="shared" si="53"/>
        <v>0.20199992129581332</v>
      </c>
      <c r="I89" s="81">
        <f t="shared" si="53"/>
        <v>2.9071881086424637E-3</v>
      </c>
      <c r="J89" s="81">
        <f t="shared" si="53"/>
        <v>3.4096361820831589E-2</v>
      </c>
      <c r="K89" s="81">
        <f t="shared" si="53"/>
        <v>1.4848021297012567E-2</v>
      </c>
      <c r="L89" s="81">
        <f t="shared" si="53"/>
        <v>3.3754330344287597E-2</v>
      </c>
      <c r="M89" s="81">
        <f t="shared" si="53"/>
        <v>1.3839275441157914E-2</v>
      </c>
      <c r="N89" s="81">
        <f t="shared" si="53"/>
        <v>221.69430690415558</v>
      </c>
      <c r="O89" s="81">
        <f t="shared" si="53"/>
        <v>1.2681901556120997E-2</v>
      </c>
      <c r="P89" s="81">
        <f t="shared" si="53"/>
        <v>2.3084479655373441E-2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B-9
Construction Worker Commute Emission Calculations
TL 6910 Construction</oddHeader>
    <oddFooter>&amp;CB-9</oddFooter>
  </headerFooter>
</worksheet>
</file>

<file path=xl/worksheets/sheet30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4"/>
  <sheetViews>
    <sheetView zoomScale="75" zoomScaleNormal="75" workbookViewId="0">
      <selection activeCell="A2" sqref="A2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822</v>
      </c>
    </row>
    <row r="2" spans="1:25">
      <c r="A2" s="83"/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299</v>
      </c>
      <c r="B7" s="29"/>
      <c r="C7" s="97"/>
      <c r="D7" s="12"/>
      <c r="E7" s="102"/>
      <c r="F7" s="102"/>
      <c r="G7" s="102"/>
      <c r="H7" s="102"/>
      <c r="I7" s="102"/>
      <c r="J7" s="100"/>
      <c r="K7" s="103"/>
      <c r="L7" s="102"/>
      <c r="M7" s="104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 t="s">
        <v>114</v>
      </c>
      <c r="B8" s="90" t="s">
        <v>27</v>
      </c>
      <c r="C8" s="97">
        <v>34</v>
      </c>
      <c r="D8" s="97">
        <v>0.31</v>
      </c>
      <c r="E8" s="102">
        <v>4.2958246826547246E-2</v>
      </c>
      <c r="F8" s="397">
        <v>9.5268959435626091E-2</v>
      </c>
      <c r="G8" s="397">
        <v>0.12361728395061726</v>
      </c>
      <c r="H8" s="102">
        <v>2.5354407605791113E-4</v>
      </c>
      <c r="I8" s="397">
        <v>1.0456349206349205E-2</v>
      </c>
      <c r="J8" s="100">
        <f t="shared" ref="J8:J13" si="0">0.89*I8</f>
        <v>9.3061507936507935E-3</v>
      </c>
      <c r="K8" s="103">
        <v>19.61276416423032</v>
      </c>
      <c r="L8" s="102">
        <v>4.8141782348593348E-3</v>
      </c>
      <c r="M8" s="104">
        <f t="shared" ref="M8:M13" si="1">0.095*G8</f>
        <v>1.174364197530864E-2</v>
      </c>
      <c r="N8" s="87">
        <v>2</v>
      </c>
      <c r="O8" s="87">
        <v>8</v>
      </c>
      <c r="P8" s="88">
        <v>10</v>
      </c>
      <c r="Q8" s="34">
        <f t="shared" ref="Q8:Y13" si="2">(E8*$N8*$O8)</f>
        <v>0.68733194922475593</v>
      </c>
      <c r="R8" s="26">
        <f t="shared" si="2"/>
        <v>1.5243033509700175</v>
      </c>
      <c r="S8" s="26">
        <f t="shared" si="2"/>
        <v>1.9778765432098762</v>
      </c>
      <c r="T8" s="26">
        <f t="shared" si="2"/>
        <v>4.0567052169265781E-3</v>
      </c>
      <c r="U8" s="26">
        <f t="shared" si="2"/>
        <v>0.16730158730158728</v>
      </c>
      <c r="V8" s="26">
        <f t="shared" si="2"/>
        <v>0.1488984126984127</v>
      </c>
      <c r="W8" s="26">
        <f t="shared" si="2"/>
        <v>313.80422662768513</v>
      </c>
      <c r="X8" s="26">
        <f t="shared" si="2"/>
        <v>7.7026851757749357E-2</v>
      </c>
      <c r="Y8" s="26">
        <f t="shared" si="2"/>
        <v>0.18789827160493824</v>
      </c>
    </row>
    <row r="9" spans="1:25" s="3" customFormat="1">
      <c r="A9" s="24" t="s">
        <v>131</v>
      </c>
      <c r="B9" s="29" t="s">
        <v>27</v>
      </c>
      <c r="C9" s="97">
        <v>300</v>
      </c>
      <c r="D9" s="97"/>
      <c r="E9" s="102">
        <v>0.12431762378554365</v>
      </c>
      <c r="F9" s="102">
        <v>0.4868439847761532</v>
      </c>
      <c r="G9" s="102">
        <v>1.0415214118246066</v>
      </c>
      <c r="H9" s="102">
        <v>2.4954334272364047E-3</v>
      </c>
      <c r="I9" s="102">
        <v>3.5011591348186828E-2</v>
      </c>
      <c r="J9" s="100">
        <f t="shared" si="0"/>
        <v>3.1160316299886276E-2</v>
      </c>
      <c r="K9" s="103">
        <v>254.23851177178003</v>
      </c>
      <c r="L9" s="102">
        <v>1.1216977037398481E-2</v>
      </c>
      <c r="M9" s="104">
        <f t="shared" si="1"/>
        <v>9.8944534123337619E-2</v>
      </c>
      <c r="N9" s="98">
        <v>1</v>
      </c>
      <c r="O9" s="87">
        <v>8</v>
      </c>
      <c r="P9" s="88">
        <v>4</v>
      </c>
      <c r="Q9" s="34">
        <f t="shared" si="2"/>
        <v>0.99454099028434917</v>
      </c>
      <c r="R9" s="26">
        <f t="shared" si="2"/>
        <v>3.8947518782092256</v>
      </c>
      <c r="S9" s="26">
        <f t="shared" si="2"/>
        <v>8.3321712945968525</v>
      </c>
      <c r="T9" s="26">
        <f t="shared" si="2"/>
        <v>1.9963467417891238E-2</v>
      </c>
      <c r="U9" s="26">
        <f t="shared" si="2"/>
        <v>0.28009273078549463</v>
      </c>
      <c r="V9" s="26">
        <f t="shared" si="2"/>
        <v>0.24928253039909021</v>
      </c>
      <c r="W9" s="26">
        <f t="shared" si="2"/>
        <v>2033.9080941742402</v>
      </c>
      <c r="X9" s="26">
        <f t="shared" si="2"/>
        <v>8.9735816299187851E-2</v>
      </c>
      <c r="Y9" s="26">
        <f t="shared" si="2"/>
        <v>0.79155627298670095</v>
      </c>
    </row>
    <row r="10" spans="1:25" s="3" customFormat="1">
      <c r="A10" s="24" t="s">
        <v>132</v>
      </c>
      <c r="B10" s="29" t="s">
        <v>27</v>
      </c>
      <c r="C10" s="22">
        <v>300</v>
      </c>
      <c r="D10" s="22"/>
      <c r="E10" s="102">
        <v>0.12431762378554365</v>
      </c>
      <c r="F10" s="102">
        <v>0.4868439847761532</v>
      </c>
      <c r="G10" s="102">
        <v>1.0415214118246066</v>
      </c>
      <c r="H10" s="102">
        <v>2.4954334272364047E-3</v>
      </c>
      <c r="I10" s="102">
        <v>3.5011591348186828E-2</v>
      </c>
      <c r="J10" s="100">
        <f t="shared" si="0"/>
        <v>3.1160316299886276E-2</v>
      </c>
      <c r="K10" s="103">
        <v>254.23851177178003</v>
      </c>
      <c r="L10" s="102">
        <v>1.1216977037398481E-2</v>
      </c>
      <c r="M10" s="104">
        <f t="shared" si="1"/>
        <v>9.8944534123337619E-2</v>
      </c>
      <c r="N10" s="98">
        <v>1</v>
      </c>
      <c r="O10" s="87">
        <v>8</v>
      </c>
      <c r="P10" s="88">
        <v>4</v>
      </c>
      <c r="Q10" s="34">
        <f t="shared" si="2"/>
        <v>0.99454099028434917</v>
      </c>
      <c r="R10" s="26">
        <f t="shared" si="2"/>
        <v>3.8947518782092256</v>
      </c>
      <c r="S10" s="26">
        <f t="shared" si="2"/>
        <v>8.3321712945968525</v>
      </c>
      <c r="T10" s="26">
        <f t="shared" si="2"/>
        <v>1.9963467417891238E-2</v>
      </c>
      <c r="U10" s="26">
        <f t="shared" si="2"/>
        <v>0.28009273078549463</v>
      </c>
      <c r="V10" s="26">
        <f t="shared" si="2"/>
        <v>0.24928253039909021</v>
      </c>
      <c r="W10" s="26">
        <f t="shared" si="2"/>
        <v>2033.9080941742402</v>
      </c>
      <c r="X10" s="26">
        <f t="shared" si="2"/>
        <v>8.9735816299187851E-2</v>
      </c>
      <c r="Y10" s="26">
        <f t="shared" si="2"/>
        <v>0.79155627298670095</v>
      </c>
    </row>
    <row r="11" spans="1:25" s="3" customFormat="1">
      <c r="A11" s="24" t="s">
        <v>133</v>
      </c>
      <c r="B11" s="29" t="s">
        <v>27</v>
      </c>
      <c r="C11" s="22">
        <v>300</v>
      </c>
      <c r="D11" s="22"/>
      <c r="E11" s="102">
        <v>0.12431762378554365</v>
      </c>
      <c r="F11" s="102">
        <v>0.4868439847761532</v>
      </c>
      <c r="G11" s="102">
        <v>1.0415214118246066</v>
      </c>
      <c r="H11" s="102">
        <v>2.4954334272364047E-3</v>
      </c>
      <c r="I11" s="102">
        <v>3.5011591348186828E-2</v>
      </c>
      <c r="J11" s="100">
        <f t="shared" si="0"/>
        <v>3.1160316299886276E-2</v>
      </c>
      <c r="K11" s="103">
        <v>254.23851177178003</v>
      </c>
      <c r="L11" s="102">
        <v>1.1216977037398481E-2</v>
      </c>
      <c r="M11" s="104">
        <f t="shared" si="1"/>
        <v>9.8944534123337619E-2</v>
      </c>
      <c r="N11" s="98">
        <v>1</v>
      </c>
      <c r="O11" s="87">
        <v>8</v>
      </c>
      <c r="P11" s="88">
        <v>10</v>
      </c>
      <c r="Q11" s="34">
        <f t="shared" si="2"/>
        <v>0.99454099028434917</v>
      </c>
      <c r="R11" s="26">
        <f t="shared" si="2"/>
        <v>3.8947518782092256</v>
      </c>
      <c r="S11" s="26">
        <f t="shared" si="2"/>
        <v>8.3321712945968525</v>
      </c>
      <c r="T11" s="26">
        <f t="shared" si="2"/>
        <v>1.9963467417891238E-2</v>
      </c>
      <c r="U11" s="26">
        <f t="shared" si="2"/>
        <v>0.28009273078549463</v>
      </c>
      <c r="V11" s="26">
        <f t="shared" si="2"/>
        <v>0.24928253039909021</v>
      </c>
      <c r="W11" s="26">
        <f t="shared" si="2"/>
        <v>2033.9080941742402</v>
      </c>
      <c r="X11" s="26">
        <f t="shared" si="2"/>
        <v>8.9735816299187851E-2</v>
      </c>
      <c r="Y11" s="26">
        <f t="shared" si="2"/>
        <v>0.79155627298670095</v>
      </c>
    </row>
    <row r="12" spans="1:25" s="3" customFormat="1">
      <c r="A12" s="24" t="s">
        <v>297</v>
      </c>
      <c r="B12" s="29" t="s">
        <v>27</v>
      </c>
      <c r="C12" s="22">
        <v>235</v>
      </c>
      <c r="D12" s="22"/>
      <c r="E12" s="102">
        <v>0.11792220738547983</v>
      </c>
      <c r="F12" s="102">
        <v>0.36512193352152528</v>
      </c>
      <c r="G12" s="102">
        <v>0.86781464282266541</v>
      </c>
      <c r="H12" s="102">
        <v>1.8739217498104396E-3</v>
      </c>
      <c r="I12" s="102">
        <v>2.9041712295589866E-2</v>
      </c>
      <c r="J12" s="100">
        <f t="shared" si="0"/>
        <v>2.5847123943074982E-2</v>
      </c>
      <c r="K12" s="103">
        <v>166.54541562452522</v>
      </c>
      <c r="L12" s="102">
        <v>1.063993297769634E-2</v>
      </c>
      <c r="M12" s="104">
        <f t="shared" si="1"/>
        <v>8.2442391068153209E-2</v>
      </c>
      <c r="N12" s="98">
        <v>1</v>
      </c>
      <c r="O12" s="87">
        <v>8</v>
      </c>
      <c r="P12" s="88">
        <v>10</v>
      </c>
      <c r="Q12" s="34">
        <f t="shared" si="2"/>
        <v>0.94337765908383864</v>
      </c>
      <c r="R12" s="26">
        <f t="shared" si="2"/>
        <v>2.9209754681722022</v>
      </c>
      <c r="S12" s="26">
        <f t="shared" si="2"/>
        <v>6.9425171425813232</v>
      </c>
      <c r="T12" s="26">
        <f t="shared" si="2"/>
        <v>1.4991373998483517E-2</v>
      </c>
      <c r="U12" s="26">
        <f t="shared" si="2"/>
        <v>0.23233369836471893</v>
      </c>
      <c r="V12" s="26">
        <f t="shared" si="2"/>
        <v>0.20677699154459986</v>
      </c>
      <c r="W12" s="26">
        <f t="shared" si="2"/>
        <v>1332.3633249962018</v>
      </c>
      <c r="X12" s="26">
        <f t="shared" si="2"/>
        <v>8.5119463821570721E-2</v>
      </c>
      <c r="Y12" s="26">
        <f t="shared" si="2"/>
        <v>0.65953912854522567</v>
      </c>
    </row>
    <row r="13" spans="1:25" s="3" customFormat="1">
      <c r="A13" s="24" t="s">
        <v>129</v>
      </c>
      <c r="B13" s="29" t="s">
        <v>27</v>
      </c>
      <c r="C13" s="22">
        <v>399</v>
      </c>
      <c r="D13" s="22">
        <v>0.28999999999999998</v>
      </c>
      <c r="E13" s="107">
        <v>0.13249726882716423</v>
      </c>
      <c r="F13" s="397">
        <v>0.66324074074074058</v>
      </c>
      <c r="G13" s="397">
        <v>1.1632222222222219</v>
      </c>
      <c r="H13" s="107">
        <v>1.7677529729271738E-3</v>
      </c>
      <c r="I13" s="397">
        <v>3.8263888888888889E-2</v>
      </c>
      <c r="J13" s="100">
        <f t="shared" si="0"/>
        <v>3.4054861111111112E-2</v>
      </c>
      <c r="K13" s="103">
        <v>180.10131655574588</v>
      </c>
      <c r="L13" s="102">
        <v>1.3243614024502522E-2</v>
      </c>
      <c r="M13" s="104">
        <f t="shared" si="1"/>
        <v>0.11050611111111108</v>
      </c>
      <c r="N13" s="87">
        <v>1</v>
      </c>
      <c r="O13" s="87">
        <v>8</v>
      </c>
      <c r="P13" s="88">
        <v>10</v>
      </c>
      <c r="Q13" s="34">
        <f t="shared" si="2"/>
        <v>1.0599781506173138</v>
      </c>
      <c r="R13" s="26">
        <f t="shared" si="2"/>
        <v>5.3059259259259246</v>
      </c>
      <c r="S13" s="26">
        <f t="shared" si="2"/>
        <v>9.3057777777777755</v>
      </c>
      <c r="T13" s="26">
        <f t="shared" si="2"/>
        <v>1.414202378341739E-2</v>
      </c>
      <c r="U13" s="26">
        <f t="shared" si="2"/>
        <v>0.30611111111111111</v>
      </c>
      <c r="V13" s="26">
        <f t="shared" si="2"/>
        <v>0.2724388888888889</v>
      </c>
      <c r="W13" s="26">
        <f t="shared" si="2"/>
        <v>1440.8105324459671</v>
      </c>
      <c r="X13" s="26">
        <f t="shared" si="2"/>
        <v>0.10594891219602018</v>
      </c>
      <c r="Y13" s="26">
        <f t="shared" si="2"/>
        <v>0.88404888888888866</v>
      </c>
    </row>
    <row r="14" spans="1:25" s="3" customFormat="1">
      <c r="A14" s="30" t="s">
        <v>28</v>
      </c>
      <c r="B14" s="116"/>
      <c r="C14" s="117"/>
      <c r="D14" s="115"/>
      <c r="E14" s="118"/>
      <c r="F14" s="118"/>
      <c r="G14" s="118"/>
      <c r="H14" s="118"/>
      <c r="I14" s="118"/>
      <c r="J14" s="109"/>
      <c r="K14" s="119"/>
      <c r="L14" s="118"/>
      <c r="M14" s="120"/>
      <c r="N14" s="98"/>
      <c r="O14" s="98"/>
      <c r="P14" s="99"/>
      <c r="Q14" s="121">
        <f t="shared" ref="Q14:Y14" si="3">SUM(Q8:Q13)</f>
        <v>5.6743107297789557</v>
      </c>
      <c r="R14" s="121">
        <f t="shared" si="3"/>
        <v>21.435460379695819</v>
      </c>
      <c r="S14" s="121">
        <f t="shared" si="3"/>
        <v>43.222685347359537</v>
      </c>
      <c r="T14" s="121">
        <f t="shared" si="3"/>
        <v>9.3080505252501194E-2</v>
      </c>
      <c r="U14" s="121">
        <f t="shared" si="3"/>
        <v>1.5460245891339013</v>
      </c>
      <c r="V14" s="121">
        <f t="shared" si="3"/>
        <v>1.3759618843291721</v>
      </c>
      <c r="W14" s="121">
        <f t="shared" si="3"/>
        <v>9188.7023665925735</v>
      </c>
      <c r="X14" s="121">
        <f t="shared" si="3"/>
        <v>0.53730267667290377</v>
      </c>
      <c r="Y14" s="121">
        <f t="shared" si="3"/>
        <v>4.1061551079991556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B-7
Construction Heavy Equipment Emissions
TL 6910 Construction
</oddHeader>
    <oddFooter>&amp;CB-7</oddFooter>
  </headerFooter>
</worksheet>
</file>

<file path=xl/worksheets/sheet30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375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42">
      <c r="A1" s="3" t="s">
        <v>823</v>
      </c>
    </row>
    <row r="2" spans="1:42">
      <c r="A2" s="83"/>
    </row>
    <row r="6" spans="1:42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42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42">
      <c r="A8" s="114" t="s">
        <v>344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  <c r="AE8" s="43"/>
      <c r="AF8" s="61"/>
      <c r="AG8" s="61"/>
      <c r="AH8" s="61"/>
      <c r="AI8" s="61"/>
      <c r="AJ8" s="61"/>
      <c r="AK8" s="61"/>
      <c r="AL8" s="62"/>
      <c r="AM8" s="62"/>
      <c r="AN8" s="63"/>
      <c r="AO8" s="61"/>
      <c r="AP8" s="61"/>
    </row>
    <row r="9" spans="1:42">
      <c r="A9" s="78" t="s">
        <v>327</v>
      </c>
      <c r="B9" s="76" t="s">
        <v>105</v>
      </c>
      <c r="C9" s="374">
        <v>1</v>
      </c>
      <c r="D9" s="77"/>
      <c r="E9" s="77">
        <v>35</v>
      </c>
      <c r="F9" s="77">
        <v>80</v>
      </c>
      <c r="G9" s="106">
        <v>1.08263976628415</v>
      </c>
      <c r="H9" s="106">
        <v>4.9712718909585103</v>
      </c>
      <c r="I9" s="106">
        <v>0.26248012575016899</v>
      </c>
      <c r="J9" s="106">
        <v>1.0711818E-2</v>
      </c>
      <c r="K9" s="106">
        <v>7.1679901072141505E-2</v>
      </c>
      <c r="L9" s="556">
        <v>3.59998119015979E-2</v>
      </c>
      <c r="M9" s="556">
        <v>6.1739677411240299E-2</v>
      </c>
      <c r="N9" s="106">
        <v>6.5945508986370194E-2</v>
      </c>
      <c r="O9" s="556">
        <v>2.9999843251331498E-3</v>
      </c>
      <c r="P9" s="556">
        <v>5.5859708133979398E-2</v>
      </c>
      <c r="Q9" s="106">
        <v>1710.7260798814</v>
      </c>
      <c r="R9" s="47">
        <v>1.5235246282551899E-2</v>
      </c>
      <c r="S9" s="80">
        <f>0.000025616*Q9</f>
        <v>4.3821959262241944E-2</v>
      </c>
      <c r="T9" s="50">
        <f>C9*($F9*$G9)/453.59</f>
        <v>0.19094596728925242</v>
      </c>
      <c r="U9" s="50">
        <f>C9*($F9*$H9)/453.59</f>
        <v>0.87678685878586582</v>
      </c>
      <c r="V9" s="50">
        <f>C9*(($F9*$I9))/453.59</f>
        <v>4.6293811724274173E-2</v>
      </c>
      <c r="W9" s="50">
        <f>C9*($F9*$J9)/453.59</f>
        <v>1.8892511739676801E-3</v>
      </c>
      <c r="X9" s="50">
        <f>C9*(($F9*($K9+$L9+$M9)))/453.59</f>
        <v>2.9880621774726907E-2</v>
      </c>
      <c r="Y9" s="50">
        <f>C9*(($F9*($N9+$O9+$P9)))/453.59</f>
        <v>2.2011984646131133E-2</v>
      </c>
      <c r="Z9" s="50">
        <f>C9*(F9)*$B$399</f>
        <v>0</v>
      </c>
      <c r="AA9" s="50">
        <f>Z9*0.21</f>
        <v>0</v>
      </c>
      <c r="AB9" s="50">
        <f>C9*(($F9*($Q9)))/453.59</f>
        <v>301.72200972356535</v>
      </c>
      <c r="AC9" s="50">
        <f>C9*(($F9*($R9)))/453.59</f>
        <v>2.6870515280410772E-3</v>
      </c>
      <c r="AD9" s="50">
        <f>C9*(($F9*($S9)))/453.59</f>
        <v>7.7289110010788503E-3</v>
      </c>
      <c r="AE9" s="51">
        <v>4</v>
      </c>
      <c r="AF9" s="50">
        <f t="shared" ref="AF9:AP11" si="0">T9*$AE9/2000</f>
        <v>3.8189193457850484E-4</v>
      </c>
      <c r="AG9" s="50">
        <f t="shared" si="0"/>
        <v>1.7535737175717317E-3</v>
      </c>
      <c r="AH9" s="50">
        <f t="shared" si="0"/>
        <v>9.2587623448548348E-5</v>
      </c>
      <c r="AI9" s="50">
        <f t="shared" si="0"/>
        <v>3.7785023479353603E-6</v>
      </c>
      <c r="AJ9" s="50">
        <f t="shared" si="0"/>
        <v>5.9761243549453817E-5</v>
      </c>
      <c r="AK9" s="50">
        <f t="shared" si="0"/>
        <v>4.4023969292262267E-5</v>
      </c>
      <c r="AL9" s="50">
        <f t="shared" si="0"/>
        <v>0</v>
      </c>
      <c r="AM9" s="50">
        <f t="shared" si="0"/>
        <v>0</v>
      </c>
      <c r="AN9" s="50">
        <f t="shared" si="0"/>
        <v>0.60344401944713066</v>
      </c>
      <c r="AO9" s="50">
        <f t="shared" si="0"/>
        <v>5.3741030560821546E-6</v>
      </c>
      <c r="AP9" s="50">
        <f t="shared" si="0"/>
        <v>1.5457822002157701E-5</v>
      </c>
    </row>
    <row r="10" spans="1:42">
      <c r="A10" s="78" t="s">
        <v>342</v>
      </c>
      <c r="B10" s="76" t="s">
        <v>95</v>
      </c>
      <c r="C10" s="79">
        <v>1</v>
      </c>
      <c r="D10" s="77"/>
      <c r="E10" s="77">
        <v>35</v>
      </c>
      <c r="F10" s="77">
        <v>60</v>
      </c>
      <c r="G10" s="106">
        <v>0.25172046482947802</v>
      </c>
      <c r="H10" s="106">
        <v>0.464701387165456</v>
      </c>
      <c r="I10" s="106">
        <v>5.6776043658582402E-2</v>
      </c>
      <c r="J10" s="106">
        <v>3.5023733638119199E-3</v>
      </c>
      <c r="K10" s="106">
        <v>4.6899256897933901E-2</v>
      </c>
      <c r="L10" s="47">
        <v>7.99995847163921E-3</v>
      </c>
      <c r="M10" s="47">
        <v>3.6749815577381599E-2</v>
      </c>
      <c r="N10" s="106">
        <v>4.3147317248333997E-2</v>
      </c>
      <c r="O10" s="47">
        <v>1.9999896145790402E-3</v>
      </c>
      <c r="P10" s="47">
        <v>1.57499200131354E-2</v>
      </c>
      <c r="Q10" s="106">
        <v>243.966167526025</v>
      </c>
      <c r="R10" s="47">
        <f>0.000057143*Q10</f>
        <v>1.3940958710939646E-2</v>
      </c>
      <c r="S10" s="80">
        <f>0.000025616*Q10</f>
        <v>6.2494373473466567E-3</v>
      </c>
      <c r="T10" s="50">
        <f>C10*($F10*$G10)/453.59</f>
        <v>3.3297091844548342E-2</v>
      </c>
      <c r="U10" s="50">
        <f>C10*($F10*$H10)/453.59</f>
        <v>6.1469792609906218E-2</v>
      </c>
      <c r="V10" s="50">
        <f>C10*(($F10*$I10))/453.59</f>
        <v>7.5102242543154491E-3</v>
      </c>
      <c r="W10" s="50">
        <f>C10*($F10*$J10)/453.59</f>
        <v>4.6328711353582576E-4</v>
      </c>
      <c r="X10" s="50">
        <f>C10*(($F10*($K10+$L10+$M10)))/453.59</f>
        <v>1.2123154956717041E-2</v>
      </c>
      <c r="Y10" s="50">
        <f>C10*(($F10*($N10+$O10+$P10)))/453.59</f>
        <v>8.0553663276591338E-3</v>
      </c>
      <c r="Z10" s="50">
        <f>C10*(F10)*$B$399</f>
        <v>0</v>
      </c>
      <c r="AA10" s="50">
        <f>Z10*0.21</f>
        <v>0</v>
      </c>
      <c r="AB10" s="50">
        <f>C10*(($F10*($Q10)))/453.59</f>
        <v>32.271368530085546</v>
      </c>
      <c r="AC10" s="50">
        <f>C10*(($F10*($R10)))/453.59</f>
        <v>1.844082811914678E-3</v>
      </c>
      <c r="AD10" s="50">
        <f>C10*(($F10*($S10)))/453.59</f>
        <v>8.2666337626667119E-4</v>
      </c>
      <c r="AE10" s="51">
        <v>10</v>
      </c>
      <c r="AF10" s="50">
        <f t="shared" si="0"/>
        <v>1.6648545922274172E-4</v>
      </c>
      <c r="AG10" s="50">
        <f t="shared" si="0"/>
        <v>3.0734896304953106E-4</v>
      </c>
      <c r="AH10" s="50">
        <f t="shared" si="0"/>
        <v>3.7551121271577246E-5</v>
      </c>
      <c r="AI10" s="50">
        <f t="shared" si="0"/>
        <v>2.3164355676791289E-6</v>
      </c>
      <c r="AJ10" s="50">
        <f t="shared" si="0"/>
        <v>6.0615774783585205E-5</v>
      </c>
      <c r="AK10" s="50">
        <f t="shared" si="0"/>
        <v>4.0276831638295662E-5</v>
      </c>
      <c r="AL10" s="50">
        <f t="shared" si="0"/>
        <v>0</v>
      </c>
      <c r="AM10" s="50">
        <f t="shared" si="0"/>
        <v>0</v>
      </c>
      <c r="AN10" s="50">
        <f t="shared" si="0"/>
        <v>0.16135684265042771</v>
      </c>
      <c r="AO10" s="50">
        <f t="shared" si="0"/>
        <v>9.2204140595733898E-6</v>
      </c>
      <c r="AP10" s="50">
        <f t="shared" si="0"/>
        <v>4.1333168813333562E-6</v>
      </c>
    </row>
    <row r="11" spans="1:42">
      <c r="A11" s="78" t="s">
        <v>343</v>
      </c>
      <c r="B11" s="76" t="s">
        <v>95</v>
      </c>
      <c r="C11" s="79">
        <v>1</v>
      </c>
      <c r="D11" s="77"/>
      <c r="E11" s="77">
        <v>35</v>
      </c>
      <c r="F11" s="77">
        <v>60</v>
      </c>
      <c r="G11" s="106">
        <v>0.25172046482947802</v>
      </c>
      <c r="H11" s="106">
        <v>0.464701387165456</v>
      </c>
      <c r="I11" s="106">
        <v>5.6776043658582402E-2</v>
      </c>
      <c r="J11" s="106">
        <v>3.5023733638119199E-3</v>
      </c>
      <c r="K11" s="106">
        <v>4.6899256897933901E-2</v>
      </c>
      <c r="L11" s="47">
        <v>7.99995847163921E-3</v>
      </c>
      <c r="M11" s="47">
        <v>3.6749815577381599E-2</v>
      </c>
      <c r="N11" s="106">
        <v>4.3147317248333997E-2</v>
      </c>
      <c r="O11" s="47">
        <v>1.9999896145790402E-3</v>
      </c>
      <c r="P11" s="47">
        <v>1.57499200131354E-2</v>
      </c>
      <c r="Q11" s="106">
        <v>243.966167526025</v>
      </c>
      <c r="R11" s="47">
        <f>0.000057143*Q11</f>
        <v>1.3940958710939646E-2</v>
      </c>
      <c r="S11" s="80">
        <f>0.000025616*Q11</f>
        <v>6.2494373473466567E-3</v>
      </c>
      <c r="T11" s="50">
        <f>C11*($F11*$G11)/453.59</f>
        <v>3.3297091844548342E-2</v>
      </c>
      <c r="U11" s="50">
        <f>C11*($F11*$H11)/453.59</f>
        <v>6.1469792609906218E-2</v>
      </c>
      <c r="V11" s="50">
        <f>C11*(($F11*$I11))/453.59</f>
        <v>7.5102242543154491E-3</v>
      </c>
      <c r="W11" s="50">
        <f>C11*($F11*$J11)/453.59</f>
        <v>4.6328711353582576E-4</v>
      </c>
      <c r="X11" s="50">
        <f>C11*(($F11*($K11+$L11+$M11)))/453.59</f>
        <v>1.2123154956717041E-2</v>
      </c>
      <c r="Y11" s="50">
        <f>C11*(($F11*($N11+$O11+$P11)))/453.59</f>
        <v>8.0553663276591338E-3</v>
      </c>
      <c r="Z11" s="50">
        <f>C11*(F11)*$B$399</f>
        <v>0</v>
      </c>
      <c r="AA11" s="50">
        <f>Z11*0.21</f>
        <v>0</v>
      </c>
      <c r="AB11" s="50">
        <f>C11*(($F11*($Q11)))/453.59</f>
        <v>32.271368530085546</v>
      </c>
      <c r="AC11" s="50">
        <f>C11*(($F11*($R11)))/453.59</f>
        <v>1.844082811914678E-3</v>
      </c>
      <c r="AD11" s="50">
        <f>C11*(($F11*($S11)))/453.59</f>
        <v>8.2666337626667119E-4</v>
      </c>
      <c r="AE11" s="51">
        <v>10</v>
      </c>
      <c r="AF11" s="50">
        <f t="shared" si="0"/>
        <v>1.6648545922274172E-4</v>
      </c>
      <c r="AG11" s="50">
        <f t="shared" si="0"/>
        <v>3.0734896304953106E-4</v>
      </c>
      <c r="AH11" s="50">
        <f t="shared" si="0"/>
        <v>3.7551121271577246E-5</v>
      </c>
      <c r="AI11" s="50">
        <f t="shared" si="0"/>
        <v>2.3164355676791289E-6</v>
      </c>
      <c r="AJ11" s="50">
        <f t="shared" si="0"/>
        <v>6.0615774783585205E-5</v>
      </c>
      <c r="AK11" s="50">
        <f t="shared" si="0"/>
        <v>4.0276831638295662E-5</v>
      </c>
      <c r="AL11" s="50">
        <f t="shared" si="0"/>
        <v>0</v>
      </c>
      <c r="AM11" s="50">
        <f t="shared" si="0"/>
        <v>0</v>
      </c>
      <c r="AN11" s="50">
        <f t="shared" si="0"/>
        <v>0.16135684265042771</v>
      </c>
      <c r="AO11" s="50">
        <f t="shared" si="0"/>
        <v>9.2204140595733898E-6</v>
      </c>
      <c r="AP11" s="50">
        <f t="shared" si="0"/>
        <v>4.1333168813333562E-6</v>
      </c>
    </row>
    <row r="12" spans="1:42">
      <c r="A12" s="75" t="s">
        <v>28</v>
      </c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81">
        <f>SUM(T9:T11)</f>
        <v>0.25754015097834909</v>
      </c>
      <c r="U12" s="81">
        <f t="shared" ref="U12:AD12" si="1">SUM(U9:U11)</f>
        <v>0.99972644400567834</v>
      </c>
      <c r="V12" s="81">
        <f t="shared" si="1"/>
        <v>6.1314260232905066E-2</v>
      </c>
      <c r="W12" s="81">
        <f t="shared" si="1"/>
        <v>2.8158254010393316E-3</v>
      </c>
      <c r="X12" s="81">
        <f t="shared" si="1"/>
        <v>5.412693168816099E-2</v>
      </c>
      <c r="Y12" s="81">
        <f t="shared" si="1"/>
        <v>3.8122717301449401E-2</v>
      </c>
      <c r="Z12" s="81">
        <f t="shared" si="1"/>
        <v>0</v>
      </c>
      <c r="AA12" s="81">
        <f t="shared" si="1"/>
        <v>0</v>
      </c>
      <c r="AB12" s="81">
        <f t="shared" si="1"/>
        <v>366.26474678373648</v>
      </c>
      <c r="AC12" s="81">
        <f t="shared" si="1"/>
        <v>6.3752171518704336E-3</v>
      </c>
      <c r="AD12" s="81">
        <f t="shared" si="1"/>
        <v>9.3822377536121916E-3</v>
      </c>
      <c r="AE12" s="56"/>
      <c r="AF12" s="81">
        <f t="shared" ref="AF12:AP12" si="2">SUM(AF9:AF11)</f>
        <v>7.1486285302398828E-4</v>
      </c>
      <c r="AG12" s="81">
        <f t="shared" si="2"/>
        <v>2.3682716436707937E-3</v>
      </c>
      <c r="AH12" s="81">
        <f t="shared" si="2"/>
        <v>1.6768986599170283E-4</v>
      </c>
      <c r="AI12" s="81">
        <f t="shared" si="2"/>
        <v>8.4113734832936181E-6</v>
      </c>
      <c r="AJ12" s="81">
        <f t="shared" si="2"/>
        <v>1.8099279311662423E-4</v>
      </c>
      <c r="AK12" s="81">
        <f t="shared" si="2"/>
        <v>1.2457763256885359E-4</v>
      </c>
      <c r="AL12" s="81">
        <f t="shared" si="2"/>
        <v>0</v>
      </c>
      <c r="AM12" s="81">
        <f t="shared" si="2"/>
        <v>0</v>
      </c>
      <c r="AN12" s="81">
        <f t="shared" si="2"/>
        <v>0.92615770474798609</v>
      </c>
      <c r="AO12" s="81">
        <f t="shared" si="2"/>
        <v>2.3814931175228934E-5</v>
      </c>
      <c r="AP12" s="81">
        <f t="shared" si="2"/>
        <v>2.3724455764824415E-5</v>
      </c>
    </row>
    <row r="13" spans="1:42">
      <c r="A13" s="370"/>
      <c r="B13" s="371"/>
      <c r="C13" s="372"/>
      <c r="D13" s="372"/>
      <c r="E13" s="371"/>
      <c r="F13" s="371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</row>
    <row r="14" spans="1:42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</row>
    <row r="363" spans="1:1" ht="25.5">
      <c r="A363" s="82" t="s">
        <v>109</v>
      </c>
    </row>
    <row r="365" spans="1:1">
      <c r="A365" s="36" t="s">
        <v>81</v>
      </c>
    </row>
    <row r="366" spans="1:1">
      <c r="A366" s="36" t="s">
        <v>82</v>
      </c>
    </row>
    <row r="367" spans="1:1">
      <c r="A367" s="36" t="s">
        <v>83</v>
      </c>
    </row>
    <row r="368" spans="1:1">
      <c r="A368" s="37" t="s">
        <v>96</v>
      </c>
    </row>
    <row r="369" spans="1:2">
      <c r="A369" s="36" t="s">
        <v>85</v>
      </c>
    </row>
    <row r="370" spans="1:2">
      <c r="A370" s="36" t="s">
        <v>86</v>
      </c>
    </row>
    <row r="371" spans="1:2">
      <c r="A371" s="36" t="s">
        <v>87</v>
      </c>
    </row>
    <row r="372" spans="1:2">
      <c r="A372" s="36" t="s">
        <v>0</v>
      </c>
    </row>
    <row r="373" spans="1:2">
      <c r="A373" s="37" t="s">
        <v>97</v>
      </c>
      <c r="B373" s="36">
        <f>(0.016*(0.03/2)^0.65*(2/3)^1.5)-0.00047</f>
        <v>9.8123053326417428E-5</v>
      </c>
    </row>
    <row r="374" spans="1:2">
      <c r="A374" s="37" t="s">
        <v>98</v>
      </c>
      <c r="B374" s="36">
        <f>(0.016*(0.03/2)^0.65*(13/3)^1.5)-0.00047</f>
        <v>8.9448292388582783E-3</v>
      </c>
    </row>
    <row r="375" spans="1:2">
      <c r="A375" s="37" t="s">
        <v>99</v>
      </c>
      <c r="B375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B-8
Construction Truck Trip Emissions
TL 6910 Construction</oddHeader>
    <oddFooter>&amp;CB-8</oddFooter>
  </headerFooter>
</worksheet>
</file>

<file path=xl/worksheets/sheet30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824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344</v>
      </c>
      <c r="B4" s="45" t="s">
        <v>102</v>
      </c>
      <c r="C4" s="46">
        <v>14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43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435" t="s">
        <v>55</v>
      </c>
      <c r="G87" s="435" t="s">
        <v>73</v>
      </c>
      <c r="H87" s="435" t="s">
        <v>74</v>
      </c>
      <c r="I87" s="435" t="s">
        <v>58</v>
      </c>
      <c r="J87" s="435" t="s">
        <v>59</v>
      </c>
      <c r="K87" s="435" t="s">
        <v>60</v>
      </c>
      <c r="L87" s="434" t="s">
        <v>75</v>
      </c>
      <c r="M87" s="434" t="s">
        <v>76</v>
      </c>
      <c r="N87" s="434" t="s">
        <v>61</v>
      </c>
      <c r="O87" s="434" t="s">
        <v>62</v>
      </c>
      <c r="P87" s="434" t="s">
        <v>63</v>
      </c>
      <c r="AN87" s="38"/>
      <c r="AZ87" s="36"/>
    </row>
    <row r="88" spans="1:52" ht="25.5">
      <c r="A88" s="44" t="str">
        <f>A4</f>
        <v>UG Cable Pulling</v>
      </c>
      <c r="B88" s="45" t="str">
        <f>B4</f>
        <v>Light-Duty Truck, catalyst</v>
      </c>
      <c r="C88" s="46">
        <f>C4</f>
        <v>14</v>
      </c>
      <c r="D88" s="46">
        <v>35</v>
      </c>
      <c r="E88" s="46">
        <v>80</v>
      </c>
      <c r="F88" s="50">
        <f>C4*($E4*$F4+($G4))/453.59</f>
        <v>6.8000714023328808</v>
      </c>
      <c r="G88" s="50">
        <f>C4*($E4*$H4+($I4))/453.59</f>
        <v>0.61138920212129211</v>
      </c>
      <c r="H88" s="50">
        <f>C4*(($E4*$J4)+($K4)+($L4)+($E4*$N4)+(($M4+$O4)))/453.59</f>
        <v>0.70699972453534654</v>
      </c>
      <c r="I88" s="50">
        <f>C4*($E4*$P4+($Q4))/453.59</f>
        <v>1.0175158380248623E-2</v>
      </c>
      <c r="J88" s="50">
        <f>C4*(($E4*($R4+$T4+$U4))+($S4))/453.59</f>
        <v>0.11933726637291055</v>
      </c>
      <c r="K88" s="50">
        <f>$C4*(($E4*($V4+$X4+$Y4))+($W4))/453.59</f>
        <v>5.1968074539543989E-2</v>
      </c>
      <c r="L88" s="50">
        <f>$B$21*C4*(E4+6)</f>
        <v>0.11814015620500659</v>
      </c>
      <c r="M88" s="50">
        <f t="shared" ref="M88" si="52">0.41*L88</f>
        <v>4.8437464044052699E-2</v>
      </c>
      <c r="N88" s="50">
        <f>C4*($E4*$Z4+($AA4))/453.59</f>
        <v>775.93007416454452</v>
      </c>
      <c r="O88" s="50">
        <f>C4*($E4*$AB4+($AC4))/453.59</f>
        <v>4.4386655446423486E-2</v>
      </c>
      <c r="P88" s="50">
        <f>C4*($E4*$AD4+($AE4))/453.59</f>
        <v>8.0795678793807044E-2</v>
      </c>
      <c r="AN88" s="38"/>
      <c r="AZ88" s="36"/>
    </row>
    <row r="89" spans="1:52">
      <c r="A89" s="61" t="s">
        <v>396</v>
      </c>
      <c r="B89" s="61"/>
      <c r="C89" s="61"/>
      <c r="D89" s="61"/>
      <c r="E89" s="61"/>
      <c r="F89" s="81">
        <f t="shared" ref="F89:P89" si="53">SUM(F88:F88)</f>
        <v>6.8000714023328808</v>
      </c>
      <c r="G89" s="81">
        <f t="shared" si="53"/>
        <v>0.61138920212129211</v>
      </c>
      <c r="H89" s="81">
        <f t="shared" si="53"/>
        <v>0.70699972453534654</v>
      </c>
      <c r="I89" s="81">
        <f t="shared" si="53"/>
        <v>1.0175158380248623E-2</v>
      </c>
      <c r="J89" s="81">
        <f t="shared" si="53"/>
        <v>0.11933726637291055</v>
      </c>
      <c r="K89" s="81">
        <f t="shared" si="53"/>
        <v>5.1968074539543989E-2</v>
      </c>
      <c r="L89" s="81">
        <f t="shared" si="53"/>
        <v>0.11814015620500659</v>
      </c>
      <c r="M89" s="81">
        <f t="shared" si="53"/>
        <v>4.8437464044052699E-2</v>
      </c>
      <c r="N89" s="81">
        <f t="shared" si="53"/>
        <v>775.93007416454452</v>
      </c>
      <c r="O89" s="81">
        <f t="shared" si="53"/>
        <v>4.4386655446423486E-2</v>
      </c>
      <c r="P89" s="81">
        <f t="shared" si="53"/>
        <v>8.0795678793807044E-2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B-9
Construction Worker Commute Emission Calculations
TL 6910 Construction</oddHeader>
    <oddFooter>&amp;CB-9</oddFooter>
  </headerFooter>
</worksheet>
</file>

<file path=xl/worksheets/sheet30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2"/>
  <sheetViews>
    <sheetView zoomScale="75" zoomScaleNormal="75" workbookViewId="0">
      <selection activeCell="A2" sqref="A2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825</v>
      </c>
    </row>
    <row r="2" spans="1:25">
      <c r="A2" s="83"/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27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299</v>
      </c>
      <c r="B7" s="29"/>
      <c r="C7" s="97"/>
      <c r="D7" s="12"/>
      <c r="E7" s="102"/>
      <c r="F7" s="102"/>
      <c r="G7" s="102"/>
      <c r="H7" s="102"/>
      <c r="I7" s="102"/>
      <c r="J7" s="100"/>
      <c r="K7" s="103"/>
      <c r="L7" s="102"/>
      <c r="M7" s="104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 t="s">
        <v>114</v>
      </c>
      <c r="B8" s="90" t="s">
        <v>27</v>
      </c>
      <c r="C8" s="97">
        <v>34</v>
      </c>
      <c r="D8" s="97">
        <v>0.31</v>
      </c>
      <c r="E8" s="102">
        <v>4.2958246826547246E-2</v>
      </c>
      <c r="F8" s="397">
        <v>9.5268959435626091E-2</v>
      </c>
      <c r="G8" s="397">
        <v>0.12361728395061726</v>
      </c>
      <c r="H8" s="102">
        <v>2.5354407605791113E-4</v>
      </c>
      <c r="I8" s="397">
        <v>1.0456349206349205E-2</v>
      </c>
      <c r="J8" s="100">
        <f t="shared" ref="J8:J11" si="0">0.89*I8</f>
        <v>9.3061507936507935E-3</v>
      </c>
      <c r="K8" s="103">
        <v>19.61276416423032</v>
      </c>
      <c r="L8" s="102">
        <v>4.8141782348593348E-3</v>
      </c>
      <c r="M8" s="104">
        <f t="shared" ref="M8:M11" si="1">0.095*G8</f>
        <v>1.174364197530864E-2</v>
      </c>
      <c r="N8" s="87">
        <v>2</v>
      </c>
      <c r="O8" s="87">
        <v>8</v>
      </c>
      <c r="P8" s="88">
        <v>10</v>
      </c>
      <c r="Q8" s="34">
        <f t="shared" ref="Q8:Y11" si="2">(E8*$N8*$O8)</f>
        <v>0.68733194922475593</v>
      </c>
      <c r="R8" s="26">
        <f t="shared" si="2"/>
        <v>1.5243033509700175</v>
      </c>
      <c r="S8" s="26">
        <f t="shared" si="2"/>
        <v>1.9778765432098762</v>
      </c>
      <c r="T8" s="26">
        <f t="shared" si="2"/>
        <v>4.0567052169265781E-3</v>
      </c>
      <c r="U8" s="26">
        <f t="shared" si="2"/>
        <v>0.16730158730158728</v>
      </c>
      <c r="V8" s="26">
        <f t="shared" si="2"/>
        <v>0.1488984126984127</v>
      </c>
      <c r="W8" s="26">
        <f t="shared" si="2"/>
        <v>313.80422662768513</v>
      </c>
      <c r="X8" s="26">
        <f t="shared" si="2"/>
        <v>7.7026851757749357E-2</v>
      </c>
      <c r="Y8" s="26">
        <f t="shared" si="2"/>
        <v>0.18789827160493824</v>
      </c>
    </row>
    <row r="9" spans="1:25" s="3" customFormat="1">
      <c r="A9" s="24" t="s">
        <v>133</v>
      </c>
      <c r="B9" s="29" t="s">
        <v>27</v>
      </c>
      <c r="C9" s="22">
        <v>300</v>
      </c>
      <c r="D9" s="22"/>
      <c r="E9" s="102">
        <v>0.12431762378554365</v>
      </c>
      <c r="F9" s="102">
        <v>0.4868439847761532</v>
      </c>
      <c r="G9" s="102">
        <v>1.0415214118246066</v>
      </c>
      <c r="H9" s="102">
        <v>2.4954334272364047E-3</v>
      </c>
      <c r="I9" s="102">
        <v>3.5011591348186828E-2</v>
      </c>
      <c r="J9" s="100">
        <f t="shared" si="0"/>
        <v>3.1160316299886276E-2</v>
      </c>
      <c r="K9" s="103">
        <v>254.23851177178003</v>
      </c>
      <c r="L9" s="102">
        <v>1.1216977037398481E-2</v>
      </c>
      <c r="M9" s="104">
        <f t="shared" si="1"/>
        <v>9.8944534123337619E-2</v>
      </c>
      <c r="N9" s="98">
        <v>1</v>
      </c>
      <c r="O9" s="87">
        <v>8</v>
      </c>
      <c r="P9" s="88">
        <v>10</v>
      </c>
      <c r="Q9" s="34">
        <f t="shared" si="2"/>
        <v>0.99454099028434917</v>
      </c>
      <c r="R9" s="26">
        <f t="shared" si="2"/>
        <v>3.8947518782092256</v>
      </c>
      <c r="S9" s="26">
        <f t="shared" si="2"/>
        <v>8.3321712945968525</v>
      </c>
      <c r="T9" s="26">
        <f t="shared" si="2"/>
        <v>1.9963467417891238E-2</v>
      </c>
      <c r="U9" s="26">
        <f t="shared" si="2"/>
        <v>0.28009273078549463</v>
      </c>
      <c r="V9" s="26">
        <f t="shared" si="2"/>
        <v>0.24928253039909021</v>
      </c>
      <c r="W9" s="26">
        <f t="shared" si="2"/>
        <v>2033.9080941742402</v>
      </c>
      <c r="X9" s="26">
        <f t="shared" si="2"/>
        <v>8.9735816299187851E-2</v>
      </c>
      <c r="Y9" s="26">
        <f t="shared" si="2"/>
        <v>0.79155627298670095</v>
      </c>
    </row>
    <row r="10" spans="1:25" s="3" customFormat="1">
      <c r="A10" s="24" t="s">
        <v>297</v>
      </c>
      <c r="B10" s="29" t="s">
        <v>27</v>
      </c>
      <c r="C10" s="22">
        <v>235</v>
      </c>
      <c r="D10" s="22"/>
      <c r="E10" s="102">
        <v>0.11792220738547983</v>
      </c>
      <c r="F10" s="102">
        <v>0.36512193352152528</v>
      </c>
      <c r="G10" s="102">
        <v>0.86781464282266541</v>
      </c>
      <c r="H10" s="102">
        <v>1.8739217498104396E-3</v>
      </c>
      <c r="I10" s="102">
        <v>2.9041712295589866E-2</v>
      </c>
      <c r="J10" s="100">
        <f t="shared" si="0"/>
        <v>2.5847123943074982E-2</v>
      </c>
      <c r="K10" s="103">
        <v>166.54541562452522</v>
      </c>
      <c r="L10" s="102">
        <v>1.063993297769634E-2</v>
      </c>
      <c r="M10" s="104">
        <f t="shared" si="1"/>
        <v>8.2442391068153209E-2</v>
      </c>
      <c r="N10" s="98">
        <v>1</v>
      </c>
      <c r="O10" s="87">
        <v>8</v>
      </c>
      <c r="P10" s="88">
        <v>10</v>
      </c>
      <c r="Q10" s="34">
        <f t="shared" si="2"/>
        <v>0.94337765908383864</v>
      </c>
      <c r="R10" s="26">
        <f t="shared" si="2"/>
        <v>2.9209754681722022</v>
      </c>
      <c r="S10" s="26">
        <f t="shared" si="2"/>
        <v>6.9425171425813232</v>
      </c>
      <c r="T10" s="26">
        <f t="shared" si="2"/>
        <v>1.4991373998483517E-2</v>
      </c>
      <c r="U10" s="26">
        <f t="shared" si="2"/>
        <v>0.23233369836471893</v>
      </c>
      <c r="V10" s="26">
        <f t="shared" si="2"/>
        <v>0.20677699154459986</v>
      </c>
      <c r="W10" s="26">
        <f t="shared" si="2"/>
        <v>1332.3633249962018</v>
      </c>
      <c r="X10" s="26">
        <f t="shared" si="2"/>
        <v>8.5119463821570721E-2</v>
      </c>
      <c r="Y10" s="26">
        <f t="shared" si="2"/>
        <v>0.65953912854522567</v>
      </c>
    </row>
    <row r="11" spans="1:25" s="3" customFormat="1">
      <c r="A11" s="24" t="s">
        <v>129</v>
      </c>
      <c r="B11" s="29" t="s">
        <v>27</v>
      </c>
      <c r="C11" s="22">
        <v>399</v>
      </c>
      <c r="D11" s="22">
        <v>0.28999999999999998</v>
      </c>
      <c r="E11" s="107">
        <v>0.13249726882716423</v>
      </c>
      <c r="F11" s="397">
        <v>0.66324074074074058</v>
      </c>
      <c r="G11" s="397">
        <v>1.1632222222222219</v>
      </c>
      <c r="H11" s="107">
        <v>1.7677529729271738E-3</v>
      </c>
      <c r="I11" s="397">
        <v>3.8263888888888889E-2</v>
      </c>
      <c r="J11" s="100">
        <f t="shared" si="0"/>
        <v>3.4054861111111112E-2</v>
      </c>
      <c r="K11" s="103">
        <v>180.10131655574588</v>
      </c>
      <c r="L11" s="102">
        <v>1.3243614024502522E-2</v>
      </c>
      <c r="M11" s="104">
        <f t="shared" si="1"/>
        <v>0.11050611111111108</v>
      </c>
      <c r="N11" s="87">
        <v>1</v>
      </c>
      <c r="O11" s="87">
        <v>8</v>
      </c>
      <c r="P11" s="88">
        <v>10</v>
      </c>
      <c r="Q11" s="34">
        <f t="shared" si="2"/>
        <v>1.0599781506173138</v>
      </c>
      <c r="R11" s="26">
        <f t="shared" si="2"/>
        <v>5.3059259259259246</v>
      </c>
      <c r="S11" s="26">
        <f t="shared" si="2"/>
        <v>9.3057777777777755</v>
      </c>
      <c r="T11" s="26">
        <f t="shared" si="2"/>
        <v>1.414202378341739E-2</v>
      </c>
      <c r="U11" s="26">
        <f t="shared" si="2"/>
        <v>0.30611111111111111</v>
      </c>
      <c r="V11" s="26">
        <f t="shared" si="2"/>
        <v>0.2724388888888889</v>
      </c>
      <c r="W11" s="26">
        <f t="shared" si="2"/>
        <v>1440.8105324459671</v>
      </c>
      <c r="X11" s="26">
        <f t="shared" si="2"/>
        <v>0.10594891219602018</v>
      </c>
      <c r="Y11" s="26">
        <f t="shared" si="2"/>
        <v>0.88404888888888866</v>
      </c>
    </row>
    <row r="12" spans="1:25" s="3" customFormat="1">
      <c r="A12" s="30" t="s">
        <v>28</v>
      </c>
      <c r="B12" s="116"/>
      <c r="C12" s="117"/>
      <c r="D12" s="115"/>
      <c r="E12" s="118"/>
      <c r="F12" s="118"/>
      <c r="G12" s="118"/>
      <c r="H12" s="118"/>
      <c r="I12" s="118"/>
      <c r="J12" s="109"/>
      <c r="K12" s="119"/>
      <c r="L12" s="118"/>
      <c r="M12" s="120"/>
      <c r="N12" s="98"/>
      <c r="O12" s="98"/>
      <c r="P12" s="99"/>
      <c r="Q12" s="121">
        <f t="shared" ref="Q12:Y12" si="3">SUM(Q8:Q11)</f>
        <v>3.6852287492102573</v>
      </c>
      <c r="R12" s="121">
        <f t="shared" si="3"/>
        <v>13.645956623277369</v>
      </c>
      <c r="S12" s="121">
        <f t="shared" si="3"/>
        <v>26.558342758165828</v>
      </c>
      <c r="T12" s="121">
        <f t="shared" si="3"/>
        <v>5.3153570416718726E-2</v>
      </c>
      <c r="U12" s="121">
        <f t="shared" si="3"/>
        <v>0.98583912756291192</v>
      </c>
      <c r="V12" s="121">
        <f t="shared" si="3"/>
        <v>0.87739682353099169</v>
      </c>
      <c r="W12" s="121">
        <f t="shared" si="3"/>
        <v>5120.8861782440945</v>
      </c>
      <c r="X12" s="121">
        <f t="shared" si="3"/>
        <v>0.35783104407452815</v>
      </c>
      <c r="Y12" s="121">
        <f t="shared" si="3"/>
        <v>2.5230425620257533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B-7
Construction Heavy Equipment Emissions
TL 6910 Construction
</oddHeader>
    <oddFooter>&amp;CB-7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8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549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314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8</v>
      </c>
      <c r="P8" s="88">
        <v>125</v>
      </c>
      <c r="Q8" s="34">
        <f t="shared" ref="Q8:Y10" si="2">(E8*$N8*$O8)</f>
        <v>0.49946184642775621</v>
      </c>
      <c r="R8" s="26">
        <f t="shared" si="2"/>
        <v>2.4431746031746027</v>
      </c>
      <c r="S8" s="26">
        <f t="shared" si="2"/>
        <v>3.1176888888888881</v>
      </c>
      <c r="T8" s="26">
        <f t="shared" si="2"/>
        <v>4.4060015200662857E-3</v>
      </c>
      <c r="U8" s="26">
        <f t="shared" si="2"/>
        <v>0.19809523809523807</v>
      </c>
      <c r="V8" s="26">
        <f t="shared" si="2"/>
        <v>0.17630476190476188</v>
      </c>
      <c r="W8" s="26">
        <f t="shared" si="2"/>
        <v>375.60183859341714</v>
      </c>
      <c r="X8" s="26">
        <f t="shared" si="2"/>
        <v>5.4697471816927752E-2</v>
      </c>
      <c r="Y8" s="26">
        <f t="shared" si="2"/>
        <v>0.29618044444444436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9</v>
      </c>
      <c r="P9" s="363">
        <v>125</v>
      </c>
      <c r="Q9" s="34">
        <f t="shared" si="2"/>
        <v>1.0612998664693185</v>
      </c>
      <c r="R9" s="26">
        <f t="shared" si="2"/>
        <v>3.2860974016937274</v>
      </c>
      <c r="S9" s="26">
        <f t="shared" si="2"/>
        <v>7.8103317854039886</v>
      </c>
      <c r="T9" s="26">
        <f t="shared" si="2"/>
        <v>1.6865295748293957E-2</v>
      </c>
      <c r="U9" s="26">
        <f t="shared" si="2"/>
        <v>0.26137541066030878</v>
      </c>
      <c r="V9" s="26">
        <f t="shared" si="2"/>
        <v>0.23262411548767484</v>
      </c>
      <c r="W9" s="26">
        <f t="shared" si="2"/>
        <v>1498.908740620727</v>
      </c>
      <c r="X9" s="26">
        <f t="shared" si="2"/>
        <v>9.5759396799267066E-2</v>
      </c>
      <c r="Y9" s="26">
        <f t="shared" si="2"/>
        <v>0.74198151961337888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3</v>
      </c>
      <c r="P10" s="363">
        <v>125</v>
      </c>
      <c r="Q10" s="34">
        <f t="shared" si="2"/>
        <v>3.9051121312432671E-2</v>
      </c>
      <c r="R10" s="26">
        <f t="shared" si="2"/>
        <v>0.1468253968253968</v>
      </c>
      <c r="S10" s="26">
        <f t="shared" si="2"/>
        <v>0.13018518518518515</v>
      </c>
      <c r="T10" s="26">
        <f t="shared" si="2"/>
        <v>4.7652059865273245E-4</v>
      </c>
      <c r="U10" s="26">
        <f t="shared" si="2"/>
        <v>1.4682539682539681E-2</v>
      </c>
      <c r="V10" s="26">
        <f t="shared" si="2"/>
        <v>1.3067460317460314E-2</v>
      </c>
      <c r="W10" s="26">
        <f t="shared" si="2"/>
        <v>30.622980859093083</v>
      </c>
      <c r="X10" s="26">
        <f t="shared" si="2"/>
        <v>3.8388136396804665E-3</v>
      </c>
      <c r="Y10" s="26">
        <f t="shared" si="2"/>
        <v>1.236759259259259E-2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1.5998128342095075</v>
      </c>
      <c r="R11" s="101">
        <f t="shared" ref="R11:Y11" si="3">SUM(R8:R10)</f>
        <v>5.8760974016937269</v>
      </c>
      <c r="S11" s="101">
        <f t="shared" si="3"/>
        <v>11.058205859478063</v>
      </c>
      <c r="T11" s="101">
        <f t="shared" si="3"/>
        <v>2.1747817867012974E-2</v>
      </c>
      <c r="U11" s="101">
        <f t="shared" si="3"/>
        <v>0.47415318843808657</v>
      </c>
      <c r="V11" s="101">
        <f t="shared" si="3"/>
        <v>0.42199633770989703</v>
      </c>
      <c r="W11" s="101">
        <f t="shared" si="3"/>
        <v>1905.1335600732373</v>
      </c>
      <c r="X11" s="101">
        <f t="shared" si="3"/>
        <v>0.15429568225587528</v>
      </c>
      <c r="Y11" s="101">
        <f t="shared" si="3"/>
        <v>1.0505295566504158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87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7" t="s">
        <v>281</v>
      </c>
      <c r="B13" s="90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30"/>
      <c r="O13" s="30"/>
      <c r="P13" s="30"/>
      <c r="Q13" s="20"/>
      <c r="R13" s="20"/>
      <c r="S13" s="27"/>
      <c r="T13" s="20"/>
      <c r="U13" s="20"/>
      <c r="V13" s="20"/>
      <c r="W13" s="21"/>
      <c r="X13" s="20"/>
      <c r="Y13" s="20"/>
    </row>
    <row r="14" spans="1:25" s="3" customFormat="1">
      <c r="A14" s="100" t="s">
        <v>120</v>
      </c>
      <c r="B14" s="29" t="s">
        <v>27</v>
      </c>
      <c r="C14" s="22">
        <v>358</v>
      </c>
      <c r="D14" s="22">
        <v>0.4</v>
      </c>
      <c r="E14" s="108">
        <v>0.27937428148624566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0.82081128747795418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1.2776243386243384</v>
      </c>
      <c r="H14" s="108">
        <v>2.5998088533883764E-3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4.735449735449735E-2</v>
      </c>
      <c r="J14" s="100">
        <f t="shared" ref="J14:J19" si="4">0.89*I14</f>
        <v>4.2145502645502646E-2</v>
      </c>
      <c r="K14" s="108">
        <v>264.8725636721183</v>
      </c>
      <c r="L14" s="108">
        <v>2.6451144743432839E-2</v>
      </c>
      <c r="M14" s="102">
        <f t="shared" ref="M14:M19" si="5">0.095*G14</f>
        <v>0.12137431216931216</v>
      </c>
      <c r="N14" s="98">
        <v>1</v>
      </c>
      <c r="O14" s="87">
        <v>8</v>
      </c>
      <c r="P14" s="363">
        <v>75</v>
      </c>
      <c r="Q14" s="34">
        <f t="shared" ref="Q14:Y19" si="6">(E14*$N14*$O14)</f>
        <v>2.2349942518899653</v>
      </c>
      <c r="R14" s="26">
        <f t="shared" si="6"/>
        <v>6.5664902998236334</v>
      </c>
      <c r="S14" s="26">
        <f t="shared" si="6"/>
        <v>10.220994708994708</v>
      </c>
      <c r="T14" s="26">
        <f t="shared" si="6"/>
        <v>2.0798470827107011E-2</v>
      </c>
      <c r="U14" s="26">
        <f t="shared" si="6"/>
        <v>0.3788359788359788</v>
      </c>
      <c r="V14" s="26">
        <f t="shared" si="6"/>
        <v>0.33716402116402117</v>
      </c>
      <c r="W14" s="26">
        <f t="shared" si="6"/>
        <v>2118.9805093769464</v>
      </c>
      <c r="X14" s="26">
        <f t="shared" si="6"/>
        <v>0.21160915794746271</v>
      </c>
      <c r="Y14" s="26">
        <f t="shared" si="6"/>
        <v>0.97099449735449728</v>
      </c>
    </row>
    <row r="15" spans="1:25">
      <c r="A15" s="100" t="s">
        <v>121</v>
      </c>
      <c r="B15" s="29" t="s">
        <v>27</v>
      </c>
      <c r="C15" s="22">
        <v>162</v>
      </c>
      <c r="D15" s="22">
        <v>0.41</v>
      </c>
      <c r="E15" s="108">
        <v>0.12153885438656534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0.5417857142857142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0.60233392857142853</v>
      </c>
      <c r="H15" s="108">
        <v>1.3943296443626662E-3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3.2214285714285709E-2</v>
      </c>
      <c r="J15" s="100">
        <f t="shared" si="4"/>
        <v>2.8670714285714282E-2</v>
      </c>
      <c r="K15" s="365">
        <v>123.92149503712022</v>
      </c>
      <c r="L15" s="23">
        <v>1.1720218383966691E-2</v>
      </c>
      <c r="M15" s="102">
        <f t="shared" si="5"/>
        <v>5.7221723214285709E-2</v>
      </c>
      <c r="N15" s="98">
        <v>1</v>
      </c>
      <c r="O15" s="87">
        <v>8</v>
      </c>
      <c r="P15" s="363">
        <v>75</v>
      </c>
      <c r="Q15" s="34">
        <f t="shared" si="6"/>
        <v>0.9723108350925227</v>
      </c>
      <c r="R15" s="26">
        <f t="shared" si="6"/>
        <v>4.3342857142857136</v>
      </c>
      <c r="S15" s="26">
        <f t="shared" si="6"/>
        <v>4.8186714285714283</v>
      </c>
      <c r="T15" s="26">
        <f t="shared" si="6"/>
        <v>1.115463715490133E-2</v>
      </c>
      <c r="U15" s="26">
        <f t="shared" si="6"/>
        <v>0.25771428571428567</v>
      </c>
      <c r="V15" s="26">
        <f t="shared" si="6"/>
        <v>0.22936571428571426</v>
      </c>
      <c r="W15" s="26">
        <f t="shared" si="6"/>
        <v>991.37196029696179</v>
      </c>
      <c r="X15" s="26">
        <f t="shared" si="6"/>
        <v>9.3761747071733528E-2</v>
      </c>
      <c r="Y15" s="26">
        <f t="shared" si="6"/>
        <v>0.45777378571428567</v>
      </c>
    </row>
    <row r="16" spans="1:25">
      <c r="A16" s="100" t="s">
        <v>123</v>
      </c>
      <c r="B16" s="29" t="s">
        <v>27</v>
      </c>
      <c r="C16" s="22">
        <v>84</v>
      </c>
      <c r="D16" s="22">
        <v>0.38</v>
      </c>
      <c r="E16" s="102">
        <v>7.9534395197012789E-2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0.26037037037037036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0.33225370370370361</v>
      </c>
      <c r="H16" s="102">
        <v>6.9196834691909377E-4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2.1111111111111112E-2</v>
      </c>
      <c r="J16" s="100">
        <f t="shared" si="4"/>
        <v>1.878888888888889E-2</v>
      </c>
      <c r="K16" s="103">
        <v>58.988746640295226</v>
      </c>
      <c r="L16" s="102">
        <v>7.7311979659905822E-3</v>
      </c>
      <c r="M16" s="102">
        <f t="shared" si="5"/>
        <v>3.1564101851851843E-2</v>
      </c>
      <c r="N16" s="363">
        <v>1</v>
      </c>
      <c r="O16" s="87">
        <v>8</v>
      </c>
      <c r="P16" s="363">
        <v>75</v>
      </c>
      <c r="Q16" s="34">
        <f t="shared" si="6"/>
        <v>0.63627516157610231</v>
      </c>
      <c r="R16" s="26">
        <f t="shared" si="6"/>
        <v>2.0829629629629629</v>
      </c>
      <c r="S16" s="26">
        <f t="shared" si="6"/>
        <v>2.6580296296296289</v>
      </c>
      <c r="T16" s="26">
        <f t="shared" si="6"/>
        <v>5.5357467753527501E-3</v>
      </c>
      <c r="U16" s="26">
        <f t="shared" si="6"/>
        <v>0.16888888888888889</v>
      </c>
      <c r="V16" s="26">
        <f t="shared" si="6"/>
        <v>0.15031111111111112</v>
      </c>
      <c r="W16" s="26">
        <f t="shared" si="6"/>
        <v>471.90997312236181</v>
      </c>
      <c r="X16" s="26">
        <f t="shared" si="6"/>
        <v>6.1849583727924658E-2</v>
      </c>
      <c r="Y16" s="26">
        <f t="shared" si="6"/>
        <v>0.25251281481481475</v>
      </c>
    </row>
    <row r="17" spans="1:25">
      <c r="A17" s="100" t="s">
        <v>282</v>
      </c>
      <c r="B17" s="29" t="s">
        <v>27</v>
      </c>
      <c r="C17" s="97">
        <v>37</v>
      </c>
      <c r="D17" s="22">
        <v>0.37</v>
      </c>
      <c r="E17" s="102">
        <v>3.2313389441625637E-2</v>
      </c>
      <c r="F17" s="397">
        <f>IF($C17&lt;11,'Offroad Tiers EF (2)'!$AN$4*$C17*$D17,IF($C17&lt;25,'Offroad Tiers EF (2)'!$AN$5*$C17*$D17,IF($C17&lt;50,'Offroad Tiers EF (2)'!$AN$6*$C17*$D17,IF($C17&lt;75,'Offroad Tiers EF (2)'!$AN$7*$C17*$D17,IF($C17&lt;100,'Offroad Tiers EF (2)'!$AN$8*$C17*$D17,IF($C17&lt;175,'Offroad Tiers EF (2)'!$AN$9*$C17*$D17,IF($C17&lt;300,'Offroad Tiers EF (2)'!$AN$10*$C17*$D17,IF($C17&lt;600,'Offroad Tiers EF (2)'!$AN$11*$C17*$D17,"!"))))))))</f>
        <v>0.12374118165784832</v>
      </c>
      <c r="G17" s="397">
        <f>IF($C17&lt;11,'Offroad Tiers EF (2)'!$AM$4*$C17*$D17,IF($C17&lt;25,'Offroad Tiers EF (2)'!$AM$5*$C17*$D17,IF($C17&lt;50,'Offroad Tiers EF (2)'!$AM$6*$C17*$D17,IF($C17&lt;75,'Offroad Tiers EF (2)'!$AM$7*$C17*$D17,IF($C17&lt;100,'Offroad Tiers EF (2)'!$AM$8*$C17*$D17,IF($C17&lt;175,'Offroad Tiers EF (2)'!$AM$9*$C17*$D17,IF($C17&lt;300,'Offroad Tiers EF (2)'!$AM$10*$C17*$D17,IF($C17&lt;600,'Offroad Tiers EF (2)'!$AM$11*$C17*$D17,"!"))))))))</f>
        <v>0.16056172839506169</v>
      </c>
      <c r="H17" s="102">
        <v>3.2989906092678058E-4</v>
      </c>
      <c r="I17" s="397">
        <f>IF($C17&lt;11,'Offroad Tiers EF (2)'!$AO$4*$C17*$D17,IF($C17&lt;25,'Offroad Tiers EF (2)'!$AO$5*$C17*$D17,IF($C17&lt;50,'Offroad Tiers EF (2)'!$AO$6*$C17*$D17,IF($C17&lt;75,'Offroad Tiers EF (2)'!$AO$7*$C17*$D17,IF($C17&lt;100,'Offroad Tiers EF (2)'!$AO$8*$C17*$D17,IF($C17&lt;175,'Offroad Tiers EF (2)'!$AO$9*$C17*$D17,IF($C17&lt;300,'Offroad Tiers EF (2)'!$AO$10*$C17*$D17,IF($C17&lt;600,'Offroad Tiers EF (2)'!$AO$11*$C17*$D17,"!"))))))))</f>
        <v>1.3581349206349205E-2</v>
      </c>
      <c r="J17" s="100">
        <f t="shared" si="4"/>
        <v>1.2087400793650793E-2</v>
      </c>
      <c r="K17" s="103">
        <v>25.519156990664225</v>
      </c>
      <c r="L17" s="102">
        <v>3.413848047070189E-3</v>
      </c>
      <c r="M17" s="104">
        <f t="shared" si="5"/>
        <v>1.5253364197530862E-2</v>
      </c>
      <c r="N17" s="87">
        <v>1</v>
      </c>
      <c r="O17" s="87">
        <v>8</v>
      </c>
      <c r="P17" s="363">
        <v>75</v>
      </c>
      <c r="Q17" s="34">
        <f t="shared" si="6"/>
        <v>0.25850711553300509</v>
      </c>
      <c r="R17" s="26">
        <f t="shared" si="6"/>
        <v>0.98992945326278659</v>
      </c>
      <c r="S17" s="26">
        <f t="shared" si="6"/>
        <v>1.2844938271604935</v>
      </c>
      <c r="T17" s="26">
        <f t="shared" si="6"/>
        <v>2.6391924874142447E-3</v>
      </c>
      <c r="U17" s="26">
        <f t="shared" si="6"/>
        <v>0.10865079365079364</v>
      </c>
      <c r="V17" s="26">
        <f t="shared" si="6"/>
        <v>9.669920634920634E-2</v>
      </c>
      <c r="W17" s="26">
        <f t="shared" si="6"/>
        <v>204.1532559253138</v>
      </c>
      <c r="X17" s="26">
        <f t="shared" si="6"/>
        <v>2.7310784376561512E-2</v>
      </c>
      <c r="Y17" s="26">
        <f t="shared" si="6"/>
        <v>0.12202691358024689</v>
      </c>
    </row>
    <row r="18" spans="1:25">
      <c r="A18" s="100" t="s">
        <v>283</v>
      </c>
      <c r="B18" s="29" t="s">
        <v>27</v>
      </c>
      <c r="C18" s="22">
        <v>88</v>
      </c>
      <c r="D18" s="22"/>
      <c r="E18" s="102">
        <v>7.7350469494183435E-2</v>
      </c>
      <c r="F18" s="102">
        <v>0.50168655138603524</v>
      </c>
      <c r="G18" s="102">
        <v>0.53236808560333904</v>
      </c>
      <c r="H18" s="102">
        <v>8.8025852246575076E-4</v>
      </c>
      <c r="I18" s="102">
        <v>3.9192407788964947E-2</v>
      </c>
      <c r="J18" s="100">
        <f t="shared" si="4"/>
        <v>3.4881242932178806E-2</v>
      </c>
      <c r="K18" s="103">
        <v>75.040091008231684</v>
      </c>
      <c r="L18" s="102">
        <v>6.9792086054076847E-3</v>
      </c>
      <c r="M18" s="102">
        <f t="shared" si="5"/>
        <v>5.0574968132317211E-2</v>
      </c>
      <c r="N18" s="98">
        <v>1</v>
      </c>
      <c r="O18" s="87">
        <v>8</v>
      </c>
      <c r="P18" s="363">
        <v>30</v>
      </c>
      <c r="Q18" s="34">
        <f t="shared" si="6"/>
        <v>0.61880375595346748</v>
      </c>
      <c r="R18" s="26">
        <f t="shared" si="6"/>
        <v>4.0134924110882819</v>
      </c>
      <c r="S18" s="26">
        <f t="shared" si="6"/>
        <v>4.2589446848267123</v>
      </c>
      <c r="T18" s="26">
        <f t="shared" si="6"/>
        <v>7.0420681797260061E-3</v>
      </c>
      <c r="U18" s="26">
        <f t="shared" si="6"/>
        <v>0.31353926231171958</v>
      </c>
      <c r="V18" s="26">
        <f t="shared" si="6"/>
        <v>0.27904994345743045</v>
      </c>
      <c r="W18" s="26">
        <f t="shared" si="6"/>
        <v>600.32072806585347</v>
      </c>
      <c r="X18" s="26">
        <f t="shared" si="6"/>
        <v>5.5833668843261477E-2</v>
      </c>
      <c r="Y18" s="26">
        <f t="shared" si="6"/>
        <v>0.40459974505853769</v>
      </c>
    </row>
    <row r="19" spans="1:25">
      <c r="A19" s="100" t="s">
        <v>126</v>
      </c>
      <c r="B19" s="29" t="s">
        <v>27</v>
      </c>
      <c r="C19" s="22">
        <v>175</v>
      </c>
      <c r="D19" s="22"/>
      <c r="E19" s="102">
        <v>0.11792220738547983</v>
      </c>
      <c r="F19" s="102">
        <v>0.36512193352152528</v>
      </c>
      <c r="G19" s="102">
        <v>0.86781464282266541</v>
      </c>
      <c r="H19" s="102">
        <v>1.8739217498104396E-3</v>
      </c>
      <c r="I19" s="102">
        <v>2.9041712295589866E-2</v>
      </c>
      <c r="J19" s="100">
        <f t="shared" si="4"/>
        <v>2.5847123943074982E-2</v>
      </c>
      <c r="K19" s="103">
        <v>166.54541562452522</v>
      </c>
      <c r="L19" s="102">
        <v>1.063993297769634E-2</v>
      </c>
      <c r="M19" s="104">
        <f t="shared" si="5"/>
        <v>8.2442391068153209E-2</v>
      </c>
      <c r="N19" s="98">
        <v>2</v>
      </c>
      <c r="O19" s="87">
        <v>8</v>
      </c>
      <c r="P19" s="363">
        <v>75</v>
      </c>
      <c r="Q19" s="34">
        <f t="shared" si="6"/>
        <v>1.8867553181676773</v>
      </c>
      <c r="R19" s="26">
        <f t="shared" si="6"/>
        <v>5.8419509363444044</v>
      </c>
      <c r="S19" s="26">
        <f t="shared" si="6"/>
        <v>13.885034285162646</v>
      </c>
      <c r="T19" s="26">
        <f t="shared" si="6"/>
        <v>2.9982747996967034E-2</v>
      </c>
      <c r="U19" s="26">
        <f t="shared" si="6"/>
        <v>0.46466739672943785</v>
      </c>
      <c r="V19" s="26">
        <f t="shared" si="6"/>
        <v>0.41355398308919972</v>
      </c>
      <c r="W19" s="26">
        <f t="shared" si="6"/>
        <v>2664.7266499924035</v>
      </c>
      <c r="X19" s="26">
        <f t="shared" si="6"/>
        <v>0.17023892764314144</v>
      </c>
      <c r="Y19" s="26">
        <f t="shared" si="6"/>
        <v>1.3190782570904513</v>
      </c>
    </row>
    <row r="20" spans="1:25">
      <c r="A20" s="11" t="s">
        <v>28</v>
      </c>
      <c r="B20" s="579"/>
      <c r="C20" s="18"/>
      <c r="D20" s="22"/>
      <c r="E20" s="19"/>
      <c r="F20" s="19"/>
      <c r="G20" s="19"/>
      <c r="H20" s="19"/>
      <c r="I20" s="19"/>
      <c r="J20" s="19"/>
      <c r="K20" s="19"/>
      <c r="L20" s="19"/>
      <c r="M20" s="19"/>
      <c r="N20" s="30"/>
      <c r="O20" s="30"/>
      <c r="P20" s="364"/>
      <c r="Q20" s="20">
        <f t="shared" ref="Q20:Y20" si="7">SUM(Q14:Q19)</f>
        <v>6.6076464382127398</v>
      </c>
      <c r="R20" s="20">
        <f t="shared" si="7"/>
        <v>23.829111777767782</v>
      </c>
      <c r="S20" s="27">
        <f t="shared" si="7"/>
        <v>37.126168564345619</v>
      </c>
      <c r="T20" s="20">
        <f t="shared" si="7"/>
        <v>7.7152863421468376E-2</v>
      </c>
      <c r="U20" s="20">
        <f t="shared" si="7"/>
        <v>1.6922966061311044</v>
      </c>
      <c r="V20" s="20">
        <f t="shared" si="7"/>
        <v>1.5061439794566829</v>
      </c>
      <c r="W20" s="20">
        <f t="shared" si="7"/>
        <v>7051.4630767798408</v>
      </c>
      <c r="X20" s="20">
        <f t="shared" si="7"/>
        <v>0.62060386961008529</v>
      </c>
      <c r="Y20" s="20">
        <f t="shared" si="7"/>
        <v>3.5269860136128335</v>
      </c>
    </row>
    <row r="21" spans="1:25">
      <c r="A21" s="11"/>
      <c r="B21" s="579"/>
      <c r="C21" s="18"/>
      <c r="D21" s="22"/>
      <c r="E21" s="19"/>
      <c r="F21" s="19"/>
      <c r="G21" s="19"/>
      <c r="H21" s="19"/>
      <c r="I21" s="19"/>
      <c r="J21" s="19"/>
      <c r="K21" s="19"/>
      <c r="L21" s="19"/>
      <c r="M21" s="19"/>
      <c r="N21" s="30"/>
      <c r="O21" s="375"/>
      <c r="P21" s="364"/>
      <c r="Q21" s="20"/>
      <c r="R21" s="20"/>
      <c r="S21" s="27"/>
      <c r="T21" s="20"/>
      <c r="U21" s="20"/>
      <c r="V21" s="20"/>
      <c r="W21" s="21"/>
      <c r="X21" s="20"/>
      <c r="Y21" s="20"/>
    </row>
    <row r="22" spans="1:25">
      <c r="A22" s="17" t="s">
        <v>285</v>
      </c>
      <c r="B22" s="90"/>
      <c r="C22" s="18"/>
      <c r="D22" s="22"/>
      <c r="E22" s="19"/>
      <c r="F22" s="19"/>
      <c r="G22" s="19"/>
      <c r="H22" s="19"/>
      <c r="I22" s="19"/>
      <c r="J22" s="19"/>
      <c r="K22" s="19"/>
      <c r="L22" s="19"/>
      <c r="M22" s="19"/>
      <c r="N22" s="30"/>
      <c r="O22" s="17"/>
      <c r="P22" s="533"/>
      <c r="Q22" s="20"/>
      <c r="R22" s="20"/>
      <c r="S22" s="20"/>
      <c r="T22" s="20"/>
      <c r="U22" s="20"/>
      <c r="V22" s="20"/>
      <c r="W22" s="21"/>
      <c r="X22" s="20"/>
      <c r="Y22" s="20"/>
    </row>
    <row r="23" spans="1:25">
      <c r="A23" s="100" t="s">
        <v>124</v>
      </c>
      <c r="B23" s="29" t="s">
        <v>27</v>
      </c>
      <c r="C23" s="97">
        <v>87</v>
      </c>
      <c r="D23" s="22">
        <v>0.37</v>
      </c>
      <c r="E23" s="102">
        <v>7.7253202863558038E-2</v>
      </c>
      <c r="F23" s="397">
        <f>IF($C23&lt;11,'Offroad Tiers EF (2)'!$AN$4*$C23*$D23,IF($C23&lt;25,'Offroad Tiers EF (2)'!$AN$5*$C23*$D23,IF($C23&lt;50,'Offroad Tiers EF (2)'!$AN$6*$C23*$D23,IF($C23&lt;75,'Offroad Tiers EF (2)'!$AN$7*$C23*$D23,IF($C23&lt;100,'Offroad Tiers EF (2)'!$AN$8*$C23*$D23,IF($C23&lt;175,'Offroad Tiers EF (2)'!$AN$9*$C23*$D23,IF($C23&lt;300,'Offroad Tiers EF (2)'!$AN$10*$C23*$D23,IF($C23&lt;600,'Offroad Tiers EF (2)'!$AN$11*$C23*$D23,"!"))))))))</f>
        <v>0.26257275132275132</v>
      </c>
      <c r="G23" s="397">
        <f>IF($C23&lt;11,'Offroad Tiers EF (2)'!$AM$4*$C23*$D23,IF($C23&lt;25,'Offroad Tiers EF (2)'!$AM$5*$C23*$D23,IF($C23&lt;50,'Offroad Tiers EF (2)'!$AM$6*$C23*$D23,IF($C23&lt;75,'Offroad Tiers EF (2)'!$AM$7*$C23*$D23,IF($C23&lt;100,'Offroad Tiers EF (2)'!$AM$8*$C23*$D23,IF($C23&lt;175,'Offroad Tiers EF (2)'!$AM$9*$C23*$D23,IF($C23&lt;300,'Offroad Tiers EF (2)'!$AM$10*$C23*$D23,IF($C23&lt;600,'Offroad Tiers EF (2)'!$AM$11*$C23*$D23,"!"))))))))</f>
        <v>0.33506412037037031</v>
      </c>
      <c r="H23" s="102">
        <v>6.910856115004858E-4</v>
      </c>
      <c r="I23" s="397">
        <f>IF($C23&lt;11,'Offroad Tiers EF (2)'!$AO$4*$C23*$D23,IF($C23&lt;25,'Offroad Tiers EF (2)'!$AO$5*$C23*$D23,IF($C23&lt;50,'Offroad Tiers EF (2)'!$AO$6*$C23*$D23,IF($C23&lt;75,'Offroad Tiers EF (2)'!$AO$7*$C23*$D23,IF($C23&lt;100,'Offroad Tiers EF (2)'!$AO$8*$C23*$D23,IF($C23&lt;175,'Offroad Tiers EF (2)'!$AO$9*$C23*$D23,IF($C23&lt;300,'Offroad Tiers EF (2)'!$AO$10*$C23*$D23,IF($C23&lt;600,'Offroad Tiers EF (2)'!$AO$11*$C23*$D23,"!"))))))))</f>
        <v>2.1289682539682539E-2</v>
      </c>
      <c r="J23" s="100">
        <f t="shared" ref="J23:J25" si="8">0.89*I23</f>
        <v>1.894781746031746E-2</v>
      </c>
      <c r="K23" s="103">
        <v>58.913505111712794</v>
      </c>
      <c r="L23" s="102">
        <v>7.5344751889799754E-3</v>
      </c>
      <c r="M23" s="102">
        <f t="shared" ref="M23:M25" si="9">0.095*G23</f>
        <v>3.1831091435185178E-2</v>
      </c>
      <c r="N23" s="98">
        <v>1</v>
      </c>
      <c r="O23" s="87">
        <v>8</v>
      </c>
      <c r="P23" s="363">
        <v>15</v>
      </c>
      <c r="Q23" s="34">
        <f t="shared" ref="Q23:Y25" si="10">(E23*$N23*$O23)</f>
        <v>0.6180256229084643</v>
      </c>
      <c r="R23" s="26">
        <f t="shared" si="10"/>
        <v>2.1005820105820106</v>
      </c>
      <c r="S23" s="26">
        <f t="shared" si="10"/>
        <v>2.6805129629629625</v>
      </c>
      <c r="T23" s="26">
        <f t="shared" si="10"/>
        <v>5.5286848920038864E-3</v>
      </c>
      <c r="U23" s="26">
        <f t="shared" si="10"/>
        <v>0.17031746031746031</v>
      </c>
      <c r="V23" s="26">
        <f t="shared" si="10"/>
        <v>0.15158253968253968</v>
      </c>
      <c r="W23" s="26">
        <f t="shared" si="10"/>
        <v>471.30804089370235</v>
      </c>
      <c r="X23" s="26">
        <f t="shared" si="10"/>
        <v>6.0275801511839804E-2</v>
      </c>
      <c r="Y23" s="26">
        <f t="shared" si="10"/>
        <v>0.25464873148148143</v>
      </c>
    </row>
    <row r="24" spans="1:25">
      <c r="A24" s="100" t="s">
        <v>126</v>
      </c>
      <c r="B24" s="29" t="s">
        <v>27</v>
      </c>
      <c r="C24" s="22">
        <v>175</v>
      </c>
      <c r="D24" s="22"/>
      <c r="E24" s="102">
        <v>0.11792220738547983</v>
      </c>
      <c r="F24" s="102">
        <v>0.36512193352152528</v>
      </c>
      <c r="G24" s="102">
        <v>0.86781464282266541</v>
      </c>
      <c r="H24" s="102">
        <v>1.8739217498104396E-3</v>
      </c>
      <c r="I24" s="102">
        <v>2.9041712295589866E-2</v>
      </c>
      <c r="J24" s="100">
        <f t="shared" si="8"/>
        <v>2.5847123943074982E-2</v>
      </c>
      <c r="K24" s="103">
        <v>166.54541562452522</v>
      </c>
      <c r="L24" s="102">
        <v>1.063993297769634E-2</v>
      </c>
      <c r="M24" s="104">
        <f t="shared" si="9"/>
        <v>8.2442391068153209E-2</v>
      </c>
      <c r="N24" s="98">
        <v>1</v>
      </c>
      <c r="O24" s="88">
        <v>8</v>
      </c>
      <c r="P24" s="367">
        <v>40</v>
      </c>
      <c r="Q24" s="26">
        <f t="shared" si="10"/>
        <v>0.94337765908383864</v>
      </c>
      <c r="R24" s="26">
        <f t="shared" si="10"/>
        <v>2.9209754681722022</v>
      </c>
      <c r="S24" s="26">
        <f t="shared" si="10"/>
        <v>6.9425171425813232</v>
      </c>
      <c r="T24" s="26">
        <f t="shared" si="10"/>
        <v>1.4991373998483517E-2</v>
      </c>
      <c r="U24" s="26">
        <f t="shared" si="10"/>
        <v>0.23233369836471893</v>
      </c>
      <c r="V24" s="26">
        <f t="shared" si="10"/>
        <v>0.20677699154459986</v>
      </c>
      <c r="W24" s="26">
        <f t="shared" si="10"/>
        <v>1332.3633249962018</v>
      </c>
      <c r="X24" s="26">
        <f t="shared" si="10"/>
        <v>8.5119463821570721E-2</v>
      </c>
      <c r="Y24" s="26">
        <f t="shared" si="10"/>
        <v>0.65953912854522567</v>
      </c>
    </row>
    <row r="25" spans="1:25">
      <c r="A25" s="100" t="s">
        <v>128</v>
      </c>
      <c r="B25" s="29" t="s">
        <v>27</v>
      </c>
      <c r="C25" s="22">
        <v>157</v>
      </c>
      <c r="D25" s="22">
        <v>0.38</v>
      </c>
      <c r="E25" s="550">
        <v>9.7211873502789536E-2</v>
      </c>
      <c r="F25" s="397">
        <f>IF($C25&lt;11,'Offroad Tiers EF (2)'!$AN$4*$C25*$D25,IF($C25&lt;25,'Offroad Tiers EF (2)'!$AN$5*$C25*$D25,IF($C25&lt;50,'Offroad Tiers EF (2)'!$AN$6*$C25*$D25,IF($C25&lt;75,'Offroad Tiers EF (2)'!$AN$7*$C25*$D25,IF($C25&lt;100,'Offroad Tiers EF (2)'!$AN$8*$C25*$D25,IF($C25&lt;175,'Offroad Tiers EF (2)'!$AN$9*$C25*$D25,IF($C25&lt;300,'Offroad Tiers EF (2)'!$AN$10*$C25*$D25,IF($C25&lt;600,'Offroad Tiers EF (2)'!$AN$11*$C25*$D25,"!"))))))))</f>
        <v>0.48664462081128745</v>
      </c>
      <c r="G25" s="397">
        <f>IF($C25&lt;11,'Offroad Tiers EF (2)'!$AM$4*$C25*$D25,IF($C25&lt;25,'Offroad Tiers EF (2)'!$AM$5*$C25*$D25,IF($C25&lt;50,'Offroad Tiers EF (2)'!$AM$6*$C25*$D25,IF($C25&lt;75,'Offroad Tiers EF (2)'!$AM$7*$C25*$D25,IF($C25&lt;100,'Offroad Tiers EF (2)'!$AM$8*$C25*$D25,IF($C25&lt;175,'Offroad Tiers EF (2)'!$AM$9*$C25*$D25,IF($C25&lt;300,'Offroad Tiers EF (2)'!$AM$10*$C25*$D25,IF($C25&lt;600,'Offroad Tiers EF (2)'!$AM$11*$C25*$D25,"!"))))))))</f>
        <v>0.54103044532627864</v>
      </c>
      <c r="H25" s="550">
        <v>1.2626852382997586E-3</v>
      </c>
      <c r="I25" s="397">
        <f>IF($C25&lt;11,'Offroad Tiers EF (2)'!$AO$4*$C25*$D25,IF($C25&lt;25,'Offroad Tiers EF (2)'!$AO$5*$C25*$D25,IF($C25&lt;50,'Offroad Tiers EF (2)'!$AO$6*$C25*$D25,IF($C25&lt;75,'Offroad Tiers EF (2)'!$AO$7*$C25*$D25,IF($C25&lt;100,'Offroad Tiers EF (2)'!$AO$8*$C25*$D25,IF($C25&lt;175,'Offroad Tiers EF (2)'!$AO$9*$C25*$D25,IF($C25&lt;300,'Offroad Tiers EF (2)'!$AO$10*$C25*$D25,IF($C25&lt;600,'Offroad Tiers EF (2)'!$AO$11*$C25*$D25,"!"))))))))</f>
        <v>2.8935626102292767E-2</v>
      </c>
      <c r="J25" s="551">
        <f t="shared" si="8"/>
        <v>2.5752707231040561E-2</v>
      </c>
      <c r="K25" s="552">
        <v>112.22156581723891</v>
      </c>
      <c r="L25" s="111">
        <v>9.4890670020510905E-3</v>
      </c>
      <c r="M25" s="553">
        <f t="shared" si="9"/>
        <v>5.1397892305996472E-2</v>
      </c>
      <c r="N25" s="554">
        <v>2</v>
      </c>
      <c r="O25" s="88">
        <v>2</v>
      </c>
      <c r="P25" s="88">
        <v>15</v>
      </c>
      <c r="Q25" s="26">
        <f t="shared" si="10"/>
        <v>0.38884749401115815</v>
      </c>
      <c r="R25" s="26">
        <f t="shared" si="10"/>
        <v>1.9465784832451498</v>
      </c>
      <c r="S25" s="26">
        <f t="shared" si="10"/>
        <v>2.1641217813051146</v>
      </c>
      <c r="T25" s="26">
        <f t="shared" si="10"/>
        <v>5.0507409531990342E-3</v>
      </c>
      <c r="U25" s="26">
        <f t="shared" si="10"/>
        <v>0.11574250440917107</v>
      </c>
      <c r="V25" s="26">
        <f t="shared" si="10"/>
        <v>0.10301082892416225</v>
      </c>
      <c r="W25" s="26">
        <f t="shared" si="10"/>
        <v>448.88626326895564</v>
      </c>
      <c r="X25" s="26">
        <f t="shared" si="10"/>
        <v>3.7956268008204362E-2</v>
      </c>
      <c r="Y25" s="26">
        <f t="shared" si="10"/>
        <v>0.20559156922398589</v>
      </c>
    </row>
    <row r="26" spans="1:25">
      <c r="A26" s="17" t="s">
        <v>28</v>
      </c>
      <c r="B26" s="579"/>
      <c r="C26" s="18"/>
      <c r="D26" s="22"/>
      <c r="E26" s="19"/>
      <c r="F26" s="19"/>
      <c r="G26" s="19"/>
      <c r="H26" s="19"/>
      <c r="I26" s="19"/>
      <c r="J26" s="19"/>
      <c r="K26" s="19"/>
      <c r="L26" s="19"/>
      <c r="M26" s="89"/>
      <c r="N26" s="105"/>
      <c r="O26" s="11"/>
      <c r="P26" s="11"/>
      <c r="Q26" s="27">
        <f t="shared" ref="Q26:Y26" si="11">SUM(Q23:Q25)</f>
        <v>1.9502507760034611</v>
      </c>
      <c r="R26" s="101">
        <f t="shared" si="11"/>
        <v>6.9681359619993621</v>
      </c>
      <c r="S26" s="101">
        <f t="shared" si="11"/>
        <v>11.787151886849401</v>
      </c>
      <c r="T26" s="101">
        <f t="shared" si="11"/>
        <v>2.5570799843686438E-2</v>
      </c>
      <c r="U26" s="101">
        <f t="shared" si="11"/>
        <v>0.51839366309135038</v>
      </c>
      <c r="V26" s="101">
        <f t="shared" si="11"/>
        <v>0.46137036015130178</v>
      </c>
      <c r="W26" s="101">
        <f t="shared" si="11"/>
        <v>2252.5576291588595</v>
      </c>
      <c r="X26" s="101">
        <f t="shared" si="11"/>
        <v>0.18335153334161489</v>
      </c>
      <c r="Y26" s="101">
        <f t="shared" si="11"/>
        <v>1.1197794292506928</v>
      </c>
    </row>
    <row r="27" spans="1:25">
      <c r="A27" s="17"/>
      <c r="B27" s="29"/>
      <c r="C27" s="22"/>
      <c r="D27" s="22"/>
      <c r="E27" s="23"/>
      <c r="F27" s="23"/>
      <c r="G27" s="23"/>
      <c r="H27" s="23"/>
      <c r="I27" s="23"/>
      <c r="J27" s="100"/>
      <c r="K27" s="365"/>
      <c r="L27" s="23"/>
      <c r="M27" s="102"/>
      <c r="N27" s="30"/>
      <c r="O27" s="98"/>
      <c r="P27" s="363"/>
      <c r="Q27" s="101"/>
      <c r="R27" s="101"/>
      <c r="S27" s="101"/>
      <c r="T27" s="101"/>
      <c r="U27" s="101"/>
      <c r="V27" s="101"/>
      <c r="W27" s="101"/>
      <c r="X27" s="101"/>
      <c r="Y27" s="101"/>
    </row>
    <row r="28" spans="1:25">
      <c r="A28" s="17" t="s">
        <v>365</v>
      </c>
      <c r="B28" s="549"/>
      <c r="C28" s="18"/>
      <c r="D28" s="22"/>
      <c r="E28" s="19"/>
      <c r="F28" s="19"/>
      <c r="G28" s="19"/>
      <c r="H28" s="19"/>
      <c r="I28" s="19"/>
      <c r="J28" s="19"/>
      <c r="K28" s="19"/>
      <c r="L28" s="19"/>
      <c r="M28" s="19"/>
      <c r="N28" s="17"/>
      <c r="O28" s="17"/>
      <c r="P28" s="533"/>
      <c r="Q28" s="20">
        <f>Q11+Q20+Q26</f>
        <v>10.157710048425708</v>
      </c>
      <c r="R28" s="20">
        <f t="shared" ref="R28:Y28" si="12">R11+R20+R26</f>
        <v>36.673345141460871</v>
      </c>
      <c r="S28" s="20">
        <f t="shared" si="12"/>
        <v>59.971526310673084</v>
      </c>
      <c r="T28" s="20">
        <f t="shared" si="12"/>
        <v>0.1244714811321678</v>
      </c>
      <c r="U28" s="20">
        <f t="shared" si="12"/>
        <v>2.6848434576605413</v>
      </c>
      <c r="V28" s="20">
        <f t="shared" si="12"/>
        <v>2.3895106773178818</v>
      </c>
      <c r="W28" s="20">
        <f t="shared" si="12"/>
        <v>11209.154266011938</v>
      </c>
      <c r="X28" s="20">
        <f t="shared" si="12"/>
        <v>0.95825108520757551</v>
      </c>
      <c r="Y28" s="20">
        <f t="shared" si="12"/>
        <v>5.6972949995139421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3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374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2" width="13.28515625" style="36" bestFit="1" customWidth="1"/>
    <col min="13" max="13" width="12.85546875" style="36" bestFit="1" customWidth="1"/>
    <col min="14" max="14" width="9.42578125" style="36" bestFit="1" customWidth="1"/>
    <col min="15" max="16" width="11.7109375" style="36" bestFit="1" customWidth="1"/>
    <col min="17" max="17" width="9.42578125" style="36" bestFit="1" customWidth="1"/>
    <col min="18" max="18" width="12.85546875" style="36" bestFit="1" customWidth="1"/>
    <col min="19" max="19" width="9.42578125" style="36" bestFit="1" customWidth="1"/>
    <col min="20" max="30" width="9.28515625" style="36" bestFit="1" customWidth="1"/>
    <col min="31" max="16384" width="9.140625" style="36"/>
  </cols>
  <sheetData>
    <row r="1" spans="1:42">
      <c r="A1" s="3" t="s">
        <v>826</v>
      </c>
    </row>
    <row r="2" spans="1:42">
      <c r="A2" s="83"/>
    </row>
    <row r="6" spans="1:42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32" t="s">
        <v>55</v>
      </c>
      <c r="H6" s="532" t="s">
        <v>56</v>
      </c>
      <c r="I6" s="528" t="s">
        <v>57</v>
      </c>
      <c r="J6" s="532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32" t="s">
        <v>61</v>
      </c>
      <c r="R6" s="528" t="s">
        <v>62</v>
      </c>
      <c r="S6" s="528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42" ht="63.75">
      <c r="A7" s="592"/>
      <c r="B7" s="592"/>
      <c r="C7" s="593"/>
      <c r="D7" s="593"/>
      <c r="E7" s="74" t="s">
        <v>67</v>
      </c>
      <c r="F7" s="74" t="s">
        <v>68</v>
      </c>
      <c r="G7" s="531" t="s">
        <v>69</v>
      </c>
      <c r="H7" s="41" t="s">
        <v>69</v>
      </c>
      <c r="I7" s="41" t="s">
        <v>69</v>
      </c>
      <c r="J7" s="41" t="s">
        <v>69</v>
      </c>
      <c r="K7" s="528" t="s">
        <v>69</v>
      </c>
      <c r="L7" s="528" t="s">
        <v>71</v>
      </c>
      <c r="M7" s="528" t="s">
        <v>72</v>
      </c>
      <c r="N7" s="528" t="s">
        <v>69</v>
      </c>
      <c r="O7" s="528" t="s">
        <v>71</v>
      </c>
      <c r="P7" s="528" t="s">
        <v>72</v>
      </c>
      <c r="Q7" s="41" t="s">
        <v>69</v>
      </c>
      <c r="R7" s="528" t="s">
        <v>69</v>
      </c>
      <c r="S7" s="528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42">
      <c r="A8" s="114" t="s">
        <v>344</v>
      </c>
      <c r="B8" s="74"/>
      <c r="C8" s="112"/>
      <c r="D8" s="112"/>
      <c r="E8" s="74"/>
      <c r="F8" s="74"/>
      <c r="G8" s="531"/>
      <c r="H8" s="41"/>
      <c r="I8" s="41"/>
      <c r="J8" s="41"/>
      <c r="K8" s="528"/>
      <c r="L8" s="528"/>
      <c r="M8" s="528"/>
      <c r="N8" s="528"/>
      <c r="O8" s="528"/>
      <c r="P8" s="528"/>
      <c r="Q8" s="41"/>
      <c r="R8" s="528"/>
      <c r="S8" s="528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  <c r="AE8" s="43"/>
      <c r="AF8" s="61"/>
      <c r="AG8" s="61"/>
      <c r="AH8" s="61"/>
      <c r="AI8" s="61"/>
      <c r="AJ8" s="61"/>
      <c r="AK8" s="61"/>
      <c r="AL8" s="62"/>
      <c r="AM8" s="62"/>
      <c r="AN8" s="63"/>
      <c r="AO8" s="61"/>
      <c r="AP8" s="61"/>
    </row>
    <row r="9" spans="1:42">
      <c r="A9" s="78" t="s">
        <v>342</v>
      </c>
      <c r="B9" s="76" t="s">
        <v>95</v>
      </c>
      <c r="C9" s="79">
        <v>1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3.3297091844548342E-2</v>
      </c>
      <c r="U9" s="50">
        <f>C9*($F9*$H9)/453.59</f>
        <v>6.1469792609906218E-2</v>
      </c>
      <c r="V9" s="50">
        <f>C9*(($F9*$I9))/453.59</f>
        <v>7.5102242543154491E-3</v>
      </c>
      <c r="W9" s="50">
        <f>C9*($F9*$J9)/453.59</f>
        <v>4.6328711353582576E-4</v>
      </c>
      <c r="X9" s="50">
        <f>C9*(($F9*($K9+$L9+$M9)))/453.59</f>
        <v>1.2123154956717041E-2</v>
      </c>
      <c r="Y9" s="50">
        <f>C9*(($F9*($N9+$O9+$P9)))/453.59</f>
        <v>8.0553663276591338E-3</v>
      </c>
      <c r="Z9" s="50">
        <f>C9*(F9)*$B$398</f>
        <v>0</v>
      </c>
      <c r="AA9" s="50">
        <f>Z9*0.21</f>
        <v>0</v>
      </c>
      <c r="AB9" s="50">
        <f>C9*(($F9*($Q9)))/453.59</f>
        <v>32.271368530085546</v>
      </c>
      <c r="AC9" s="50">
        <f>C9*(($F9*($R9)))/453.59</f>
        <v>1.844082811914678E-3</v>
      </c>
      <c r="AD9" s="50">
        <f>C9*(($F9*($S9)))/453.59</f>
        <v>8.2666337626667119E-4</v>
      </c>
      <c r="AE9" s="51">
        <v>10</v>
      </c>
      <c r="AF9" s="50">
        <f t="shared" ref="AF9:AP10" si="0">T9*$AE9/2000</f>
        <v>1.6648545922274172E-4</v>
      </c>
      <c r="AG9" s="50">
        <f t="shared" si="0"/>
        <v>3.0734896304953106E-4</v>
      </c>
      <c r="AH9" s="50">
        <f t="shared" si="0"/>
        <v>3.7551121271577246E-5</v>
      </c>
      <c r="AI9" s="50">
        <f t="shared" si="0"/>
        <v>2.3164355676791289E-6</v>
      </c>
      <c r="AJ9" s="50">
        <f t="shared" si="0"/>
        <v>6.0615774783585205E-5</v>
      </c>
      <c r="AK9" s="50">
        <f t="shared" si="0"/>
        <v>4.0276831638295662E-5</v>
      </c>
      <c r="AL9" s="50">
        <f t="shared" si="0"/>
        <v>0</v>
      </c>
      <c r="AM9" s="50">
        <f t="shared" si="0"/>
        <v>0</v>
      </c>
      <c r="AN9" s="50">
        <f t="shared" si="0"/>
        <v>0.16135684265042771</v>
      </c>
      <c r="AO9" s="50">
        <f t="shared" si="0"/>
        <v>9.2204140595733898E-6</v>
      </c>
      <c r="AP9" s="50">
        <f t="shared" si="0"/>
        <v>4.1333168813333562E-6</v>
      </c>
    </row>
    <row r="10" spans="1:42">
      <c r="A10" s="78" t="s">
        <v>343</v>
      </c>
      <c r="B10" s="76" t="s">
        <v>95</v>
      </c>
      <c r="C10" s="79">
        <v>1</v>
      </c>
      <c r="D10" s="77"/>
      <c r="E10" s="77">
        <v>35</v>
      </c>
      <c r="F10" s="77">
        <v>60</v>
      </c>
      <c r="G10" s="106">
        <v>0.25172046482947802</v>
      </c>
      <c r="H10" s="106">
        <v>0.464701387165456</v>
      </c>
      <c r="I10" s="106">
        <v>5.6776043658582402E-2</v>
      </c>
      <c r="J10" s="106">
        <v>3.5023733638119199E-3</v>
      </c>
      <c r="K10" s="106">
        <v>4.6899256897933901E-2</v>
      </c>
      <c r="L10" s="47">
        <v>7.99995847163921E-3</v>
      </c>
      <c r="M10" s="47">
        <v>3.6749815577381599E-2</v>
      </c>
      <c r="N10" s="106">
        <v>4.3147317248333997E-2</v>
      </c>
      <c r="O10" s="47">
        <v>1.9999896145790402E-3</v>
      </c>
      <c r="P10" s="47">
        <v>1.57499200131354E-2</v>
      </c>
      <c r="Q10" s="106">
        <v>243.966167526025</v>
      </c>
      <c r="R10" s="47">
        <f>0.000057143*Q10</f>
        <v>1.3940958710939646E-2</v>
      </c>
      <c r="S10" s="80">
        <f>0.000025616*Q10</f>
        <v>6.2494373473466567E-3</v>
      </c>
      <c r="T10" s="50">
        <f>C10*($F10*$G10)/453.59</f>
        <v>3.3297091844548342E-2</v>
      </c>
      <c r="U10" s="50">
        <f>C10*($F10*$H10)/453.59</f>
        <v>6.1469792609906218E-2</v>
      </c>
      <c r="V10" s="50">
        <f>C10*(($F10*$I10))/453.59</f>
        <v>7.5102242543154491E-3</v>
      </c>
      <c r="W10" s="50">
        <f>C10*($F10*$J10)/453.59</f>
        <v>4.6328711353582576E-4</v>
      </c>
      <c r="X10" s="50">
        <f>C10*(($F10*($K10+$L10+$M10)))/453.59</f>
        <v>1.2123154956717041E-2</v>
      </c>
      <c r="Y10" s="50">
        <f>C10*(($F10*($N10+$O10+$P10)))/453.59</f>
        <v>8.0553663276591338E-3</v>
      </c>
      <c r="Z10" s="50">
        <f>C10*(F10)*$B$398</f>
        <v>0</v>
      </c>
      <c r="AA10" s="50">
        <f>Z10*0.21</f>
        <v>0</v>
      </c>
      <c r="AB10" s="50">
        <f>C10*(($F10*($Q10)))/453.59</f>
        <v>32.271368530085546</v>
      </c>
      <c r="AC10" s="50">
        <f>C10*(($F10*($R10)))/453.59</f>
        <v>1.844082811914678E-3</v>
      </c>
      <c r="AD10" s="50">
        <f>C10*(($F10*($S10)))/453.59</f>
        <v>8.2666337626667119E-4</v>
      </c>
      <c r="AE10" s="51">
        <v>10</v>
      </c>
      <c r="AF10" s="50">
        <f t="shared" si="0"/>
        <v>1.6648545922274172E-4</v>
      </c>
      <c r="AG10" s="50">
        <f t="shared" si="0"/>
        <v>3.0734896304953106E-4</v>
      </c>
      <c r="AH10" s="50">
        <f t="shared" si="0"/>
        <v>3.7551121271577246E-5</v>
      </c>
      <c r="AI10" s="50">
        <f t="shared" si="0"/>
        <v>2.3164355676791289E-6</v>
      </c>
      <c r="AJ10" s="50">
        <f t="shared" si="0"/>
        <v>6.0615774783585205E-5</v>
      </c>
      <c r="AK10" s="50">
        <f t="shared" si="0"/>
        <v>4.0276831638295662E-5</v>
      </c>
      <c r="AL10" s="50">
        <f t="shared" si="0"/>
        <v>0</v>
      </c>
      <c r="AM10" s="50">
        <f t="shared" si="0"/>
        <v>0</v>
      </c>
      <c r="AN10" s="50">
        <f t="shared" si="0"/>
        <v>0.16135684265042771</v>
      </c>
      <c r="AO10" s="50">
        <f t="shared" si="0"/>
        <v>9.2204140595733898E-6</v>
      </c>
      <c r="AP10" s="50">
        <f t="shared" si="0"/>
        <v>4.1333168813333562E-6</v>
      </c>
    </row>
    <row r="11" spans="1:42">
      <c r="A11" s="75" t="s">
        <v>28</v>
      </c>
      <c r="B11" s="74"/>
      <c r="C11" s="112"/>
      <c r="D11" s="112"/>
      <c r="E11" s="74"/>
      <c r="F11" s="74"/>
      <c r="G11" s="106">
        <v>0.25172046482947802</v>
      </c>
      <c r="H11" s="106">
        <v>0.464701387165456</v>
      </c>
      <c r="I11" s="106">
        <v>5.6776043658582402E-2</v>
      </c>
      <c r="J11" s="106">
        <v>3.5023733638119199E-3</v>
      </c>
      <c r="K11" s="106">
        <v>4.6899256897933901E-2</v>
      </c>
      <c r="L11" s="47">
        <v>7.99995847163921E-3</v>
      </c>
      <c r="M11" s="47">
        <v>3.6749815577381599E-2</v>
      </c>
      <c r="N11" s="106">
        <v>4.3147317248333997E-2</v>
      </c>
      <c r="O11" s="47">
        <v>1.9999896145790402E-3</v>
      </c>
      <c r="P11" s="47">
        <v>1.57499200131354E-2</v>
      </c>
      <c r="Q11" s="106">
        <v>243.966167526025</v>
      </c>
      <c r="R11" s="47">
        <f>0.000057143*Q11</f>
        <v>1.3940958710939646E-2</v>
      </c>
      <c r="S11" s="80">
        <f>0.000025616*Q11</f>
        <v>6.2494373473466567E-3</v>
      </c>
      <c r="T11" s="81">
        <f t="shared" ref="T11:AD11" si="1">SUM(T9:T10)</f>
        <v>6.6594183689096684E-2</v>
      </c>
      <c r="U11" s="81">
        <f t="shared" si="1"/>
        <v>0.12293958521981244</v>
      </c>
      <c r="V11" s="81">
        <f t="shared" si="1"/>
        <v>1.5020448508630898E-2</v>
      </c>
      <c r="W11" s="81">
        <f t="shared" si="1"/>
        <v>9.2657422707165152E-4</v>
      </c>
      <c r="X11" s="81">
        <f t="shared" si="1"/>
        <v>2.4246309913434082E-2</v>
      </c>
      <c r="Y11" s="81">
        <f t="shared" si="1"/>
        <v>1.6110732655318268E-2</v>
      </c>
      <c r="Z11" s="81">
        <f t="shared" si="1"/>
        <v>0</v>
      </c>
      <c r="AA11" s="81">
        <f t="shared" si="1"/>
        <v>0</v>
      </c>
      <c r="AB11" s="81">
        <f t="shared" si="1"/>
        <v>64.542737060171092</v>
      </c>
      <c r="AC11" s="81">
        <f t="shared" si="1"/>
        <v>3.688165623829356E-3</v>
      </c>
      <c r="AD11" s="81">
        <f t="shared" si="1"/>
        <v>1.6533267525333424E-3</v>
      </c>
      <c r="AE11" s="56"/>
      <c r="AF11" s="81">
        <f t="shared" ref="AF11:AP11" si="2">SUM(AF9:AF10)</f>
        <v>3.3297091844548344E-4</v>
      </c>
      <c r="AG11" s="81">
        <f t="shared" si="2"/>
        <v>6.1469792609906212E-4</v>
      </c>
      <c r="AH11" s="81">
        <f t="shared" si="2"/>
        <v>7.5102242543154493E-5</v>
      </c>
      <c r="AI11" s="81">
        <f t="shared" si="2"/>
        <v>4.6328711353582578E-6</v>
      </c>
      <c r="AJ11" s="81">
        <f t="shared" si="2"/>
        <v>1.2123154956717041E-4</v>
      </c>
      <c r="AK11" s="81">
        <f t="shared" si="2"/>
        <v>8.0553663276591324E-5</v>
      </c>
      <c r="AL11" s="81">
        <f t="shared" si="2"/>
        <v>0</v>
      </c>
      <c r="AM11" s="81">
        <f t="shared" si="2"/>
        <v>0</v>
      </c>
      <c r="AN11" s="81">
        <f t="shared" si="2"/>
        <v>0.32271368530085542</v>
      </c>
      <c r="AO11" s="81">
        <f t="shared" si="2"/>
        <v>1.844082811914678E-5</v>
      </c>
      <c r="AP11" s="81">
        <f t="shared" si="2"/>
        <v>8.2666337626667124E-6</v>
      </c>
    </row>
    <row r="12" spans="1:42">
      <c r="A12" s="370"/>
      <c r="B12" s="371"/>
      <c r="C12" s="372"/>
      <c r="D12" s="372"/>
      <c r="E12" s="371"/>
      <c r="F12" s="371"/>
      <c r="G12" s="373"/>
      <c r="H12" s="373"/>
      <c r="I12" s="373"/>
      <c r="J12" s="373"/>
      <c r="K12" s="373"/>
      <c r="L12" s="373"/>
      <c r="M12" s="373"/>
      <c r="N12" s="373"/>
      <c r="O12" s="373"/>
      <c r="P12" s="373"/>
      <c r="Q12" s="373"/>
      <c r="R12" s="373"/>
      <c r="S12" s="373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</row>
    <row r="13" spans="1:42">
      <c r="A13" s="370"/>
      <c r="B13" s="371"/>
      <c r="C13" s="372"/>
      <c r="D13" s="372"/>
      <c r="E13" s="371"/>
      <c r="F13" s="371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</row>
    <row r="362" spans="1:1" ht="25.5">
      <c r="A362" s="82" t="s">
        <v>109</v>
      </c>
    </row>
    <row r="364" spans="1:1">
      <c r="A364" s="36" t="s">
        <v>81</v>
      </c>
    </row>
    <row r="365" spans="1:1">
      <c r="A365" s="36" t="s">
        <v>82</v>
      </c>
    </row>
    <row r="366" spans="1:1">
      <c r="A366" s="36" t="s">
        <v>83</v>
      </c>
    </row>
    <row r="367" spans="1:1">
      <c r="A367" s="37" t="s">
        <v>96</v>
      </c>
    </row>
    <row r="368" spans="1:1">
      <c r="A368" s="36" t="s">
        <v>85</v>
      </c>
    </row>
    <row r="369" spans="1:2">
      <c r="A369" s="36" t="s">
        <v>86</v>
      </c>
    </row>
    <row r="370" spans="1:2">
      <c r="A370" s="36" t="s">
        <v>87</v>
      </c>
    </row>
    <row r="371" spans="1:2">
      <c r="A371" s="36" t="s">
        <v>0</v>
      </c>
    </row>
    <row r="372" spans="1:2">
      <c r="A372" s="37" t="s">
        <v>97</v>
      </c>
      <c r="B372" s="36">
        <f>(0.016*(0.03/2)^0.65*(2/3)^1.5)-0.00047</f>
        <v>9.8123053326417428E-5</v>
      </c>
    </row>
    <row r="373" spans="1:2">
      <c r="A373" s="37" t="s">
        <v>98</v>
      </c>
      <c r="B373" s="36">
        <f>(0.016*(0.03/2)^0.65*(13/3)^1.5)-0.00047</f>
        <v>8.9448292388582783E-3</v>
      </c>
    </row>
    <row r="374" spans="1:2">
      <c r="A374" s="37" t="s">
        <v>99</v>
      </c>
      <c r="B374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B-8
Construction Truck Trip Emissions
TL 6910 Construction</oddHeader>
    <oddFooter>&amp;CB-8</oddFooter>
  </headerFooter>
</worksheet>
</file>

<file path=xl/worksheets/sheet3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A2" sqref="A2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827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31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28" t="s">
        <v>69</v>
      </c>
      <c r="S3" s="42" t="s">
        <v>118</v>
      </c>
      <c r="T3" s="528" t="s">
        <v>71</v>
      </c>
      <c r="U3" s="528" t="s">
        <v>72</v>
      </c>
      <c r="V3" s="528" t="s">
        <v>69</v>
      </c>
      <c r="W3" s="42" t="s">
        <v>118</v>
      </c>
      <c r="X3" s="528" t="s">
        <v>71</v>
      </c>
      <c r="Y3" s="528" t="s">
        <v>72</v>
      </c>
      <c r="Z3" s="41" t="s">
        <v>69</v>
      </c>
      <c r="AA3" s="42" t="s">
        <v>118</v>
      </c>
      <c r="AB3" s="528" t="s">
        <v>69</v>
      </c>
      <c r="AC3" s="42" t="s">
        <v>118</v>
      </c>
      <c r="AD3" s="528" t="s">
        <v>69</v>
      </c>
      <c r="AE3" s="42" t="s">
        <v>118</v>
      </c>
    </row>
    <row r="4" spans="1:67" ht="25.5">
      <c r="A4" s="44" t="s">
        <v>344</v>
      </c>
      <c r="B4" s="45" t="s">
        <v>102</v>
      </c>
      <c r="C4" s="46">
        <v>10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530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529" t="s">
        <v>55</v>
      </c>
      <c r="G87" s="529" t="s">
        <v>73</v>
      </c>
      <c r="H87" s="529" t="s">
        <v>74</v>
      </c>
      <c r="I87" s="529" t="s">
        <v>58</v>
      </c>
      <c r="J87" s="529" t="s">
        <v>59</v>
      </c>
      <c r="K87" s="529" t="s">
        <v>60</v>
      </c>
      <c r="L87" s="528" t="s">
        <v>75</v>
      </c>
      <c r="M87" s="528" t="s">
        <v>76</v>
      </c>
      <c r="N87" s="528" t="s">
        <v>61</v>
      </c>
      <c r="O87" s="528" t="s">
        <v>62</v>
      </c>
      <c r="P87" s="528" t="s">
        <v>63</v>
      </c>
      <c r="AN87" s="38"/>
      <c r="AZ87" s="36"/>
    </row>
    <row r="88" spans="1:52" ht="25.5">
      <c r="A88" s="44" t="str">
        <f>A4</f>
        <v>UG Cable Pulling</v>
      </c>
      <c r="B88" s="45" t="str">
        <f>B4</f>
        <v>Light-Duty Truck, catalyst</v>
      </c>
      <c r="C88" s="46">
        <f>C4</f>
        <v>10</v>
      </c>
      <c r="D88" s="46">
        <v>35</v>
      </c>
      <c r="E88" s="46">
        <v>80</v>
      </c>
      <c r="F88" s="50">
        <f>C4*($E4*$F4+($G4))/453.59</f>
        <v>4.8571938588092012</v>
      </c>
      <c r="G88" s="50">
        <f>C4*($E4*$H4+($I4))/453.59</f>
        <v>0.43670657294378012</v>
      </c>
      <c r="H88" s="50">
        <f>C4*(($E4*$J4)+($K4)+($L4)+($E4*$N4)+(($M4+$O4)))/453.59</f>
        <v>0.50499980323953331</v>
      </c>
      <c r="I88" s="50">
        <f>C4*($E4*$P4+($Q4))/453.59</f>
        <v>7.2679702716061598E-3</v>
      </c>
      <c r="J88" s="50">
        <f>C4*(($E4*($R4+$T4+$U4))+($S4))/453.59</f>
        <v>8.5240904552078958E-2</v>
      </c>
      <c r="K88" s="50">
        <f>$C4*(($E4*($V4+$X4+$Y4))+($W4))/453.59</f>
        <v>3.7120053242531412E-2</v>
      </c>
      <c r="L88" s="50">
        <f>$B$21*C4*(E4+6)</f>
        <v>8.438582586071898E-2</v>
      </c>
      <c r="M88" s="50">
        <f t="shared" ref="M88" si="52">0.41*L88</f>
        <v>3.4598188602894778E-2</v>
      </c>
      <c r="N88" s="50">
        <f>C4*($E4*$Z4+($AA4))/453.59</f>
        <v>554.23576726038891</v>
      </c>
      <c r="O88" s="50">
        <f>C4*($E4*$AB4+($AC4))/453.59</f>
        <v>3.1704753890302494E-2</v>
      </c>
      <c r="P88" s="50">
        <f>C4*($E4*$AD4+($AE4))/453.59</f>
        <v>5.7711199138433596E-2</v>
      </c>
      <c r="AN88" s="38"/>
      <c r="AZ88" s="36"/>
    </row>
    <row r="89" spans="1:52">
      <c r="A89" s="61" t="s">
        <v>396</v>
      </c>
      <c r="B89" s="61"/>
      <c r="C89" s="61"/>
      <c r="D89" s="61"/>
      <c r="E89" s="61"/>
      <c r="F89" s="81">
        <f t="shared" ref="F89:P89" si="53">SUM(F88:F88)</f>
        <v>4.8571938588092012</v>
      </c>
      <c r="G89" s="81">
        <f t="shared" si="53"/>
        <v>0.43670657294378012</v>
      </c>
      <c r="H89" s="81">
        <f t="shared" si="53"/>
        <v>0.50499980323953331</v>
      </c>
      <c r="I89" s="81">
        <f t="shared" si="53"/>
        <v>7.2679702716061598E-3</v>
      </c>
      <c r="J89" s="81">
        <f t="shared" si="53"/>
        <v>8.5240904552078958E-2</v>
      </c>
      <c r="K89" s="81">
        <f t="shared" si="53"/>
        <v>3.7120053242531412E-2</v>
      </c>
      <c r="L89" s="81">
        <f t="shared" si="53"/>
        <v>8.438582586071898E-2</v>
      </c>
      <c r="M89" s="81">
        <f t="shared" si="53"/>
        <v>3.4598188602894778E-2</v>
      </c>
      <c r="N89" s="81">
        <f t="shared" si="53"/>
        <v>554.23576726038891</v>
      </c>
      <c r="O89" s="81">
        <f t="shared" si="53"/>
        <v>3.1704753890302494E-2</v>
      </c>
      <c r="P89" s="81">
        <f t="shared" si="53"/>
        <v>5.7711199138433596E-2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B-9
Construction Worker Commute Emission Calculations
TL 6910 Construction</oddHeader>
    <oddFooter>&amp;CB-9</oddFooter>
  </headerFooter>
</worksheet>
</file>

<file path=xl/worksheets/sheet3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1"/>
  <sheetViews>
    <sheetView zoomScale="75" zoomScaleNormal="75" workbookViewId="0">
      <selection activeCell="I49" sqref="I49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828</v>
      </c>
    </row>
    <row r="2" spans="1:25">
      <c r="A2" s="83"/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271</v>
      </c>
      <c r="B7" s="29"/>
      <c r="C7" s="97"/>
      <c r="D7" s="12"/>
      <c r="E7" s="102"/>
      <c r="F7" s="102"/>
      <c r="G7" s="102"/>
      <c r="H7" s="102"/>
      <c r="I7" s="102"/>
      <c r="J7" s="100"/>
      <c r="K7" s="103"/>
      <c r="L7" s="102"/>
      <c r="M7" s="104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 t="s">
        <v>129</v>
      </c>
      <c r="B8" s="29" t="s">
        <v>27</v>
      </c>
      <c r="C8" s="97">
        <v>399</v>
      </c>
      <c r="D8" s="97">
        <v>0.28999999999999998</v>
      </c>
      <c r="E8" s="107">
        <v>0.13249726882716423</v>
      </c>
      <c r="F8" s="397">
        <v>0.66324074074074058</v>
      </c>
      <c r="G8" s="397">
        <v>1.1632222222222219</v>
      </c>
      <c r="H8" s="418">
        <v>1.7677529729271738E-3</v>
      </c>
      <c r="I8" s="397">
        <v>3.8263888888888889E-2</v>
      </c>
      <c r="J8" s="100">
        <f t="shared" ref="J8:J9" si="0">0.89*I8</f>
        <v>3.4054861111111112E-2</v>
      </c>
      <c r="K8" s="103">
        <v>180.10131655574588</v>
      </c>
      <c r="L8" s="102">
        <v>1.3243614024502522E-2</v>
      </c>
      <c r="M8" s="104">
        <f t="shared" ref="M8:M9" si="1">0.095*G8</f>
        <v>0.11050611111111108</v>
      </c>
      <c r="N8" s="88">
        <v>1</v>
      </c>
      <c r="O8" s="88">
        <v>6</v>
      </c>
      <c r="P8" s="88">
        <v>2</v>
      </c>
      <c r="Q8" s="26">
        <f t="shared" ref="Q8:Y8" si="2">(E8*$N8*$O8)</f>
        <v>0.79498361296298536</v>
      </c>
      <c r="R8" s="26">
        <f t="shared" si="2"/>
        <v>3.9794444444444435</v>
      </c>
      <c r="S8" s="26">
        <f t="shared" si="2"/>
        <v>6.9793333333333312</v>
      </c>
      <c r="T8" s="26">
        <f t="shared" si="2"/>
        <v>1.0606517837563043E-2</v>
      </c>
      <c r="U8" s="26">
        <f t="shared" si="2"/>
        <v>0.22958333333333333</v>
      </c>
      <c r="V8" s="26">
        <f t="shared" si="2"/>
        <v>0.20432916666666667</v>
      </c>
      <c r="W8" s="26">
        <f t="shared" si="2"/>
        <v>1080.6078993344754</v>
      </c>
      <c r="X8" s="26">
        <f t="shared" si="2"/>
        <v>7.9461684147015127E-2</v>
      </c>
      <c r="Y8" s="26">
        <f t="shared" si="2"/>
        <v>0.6630366666666665</v>
      </c>
    </row>
    <row r="9" spans="1:25" s="3" customFormat="1">
      <c r="A9" s="24" t="s">
        <v>297</v>
      </c>
      <c r="B9" s="29" t="s">
        <v>27</v>
      </c>
      <c r="C9" s="22">
        <v>235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88">
        <v>1</v>
      </c>
      <c r="O9" s="88">
        <v>6</v>
      </c>
      <c r="P9" s="88">
        <v>10</v>
      </c>
      <c r="Q9" s="26">
        <f t="shared" ref="Q9" si="3">(E9*$N9*$O9)</f>
        <v>0.70753324431287901</v>
      </c>
      <c r="R9" s="26">
        <f t="shared" ref="R9" si="4">(F9*$N9*$O9)</f>
        <v>2.1907316011291518</v>
      </c>
      <c r="S9" s="26">
        <f t="shared" ref="S9" si="5">(G9*$N9*$O9)</f>
        <v>5.2068878569359924</v>
      </c>
      <c r="T9" s="26">
        <f t="shared" ref="T9" si="6">(H9*$N9*$O9)</f>
        <v>1.1243530498862637E-2</v>
      </c>
      <c r="U9" s="26">
        <f t="shared" ref="U9" si="7">(I9*$N9*$O9)</f>
        <v>0.17425027377353919</v>
      </c>
      <c r="V9" s="26">
        <f t="shared" ref="V9" si="8">(J9*$N9*$O9)</f>
        <v>0.1550827436584499</v>
      </c>
      <c r="W9" s="26">
        <f t="shared" ref="W9" si="9">(K9*$N9*$O9)</f>
        <v>999.27249374715132</v>
      </c>
      <c r="X9" s="26">
        <f t="shared" ref="X9" si="10">(L9*$N9*$O9)</f>
        <v>6.3839597866178044E-2</v>
      </c>
      <c r="Y9" s="26">
        <f t="shared" ref="Y9" si="11">(M9*$N9*$O9)</f>
        <v>0.49465434640891925</v>
      </c>
    </row>
    <row r="10" spans="1:25" s="3" customFormat="1">
      <c r="A10" s="24" t="s">
        <v>279</v>
      </c>
      <c r="B10" s="29" t="s">
        <v>27</v>
      </c>
      <c r="C10" s="97">
        <v>37</v>
      </c>
      <c r="D10" s="22">
        <v>0.37</v>
      </c>
      <c r="E10" s="102">
        <v>3.2313389441625637E-2</v>
      </c>
      <c r="F10" s="397">
        <v>0.12374118165784832</v>
      </c>
      <c r="G10" s="397">
        <v>0.16056172839506169</v>
      </c>
      <c r="H10" s="102">
        <v>3.2989906092678058E-4</v>
      </c>
      <c r="I10" s="397">
        <v>1.3581349206349205E-2</v>
      </c>
      <c r="J10" s="100">
        <f t="shared" ref="J10:J11" si="12">0.89*I10</f>
        <v>1.2087400793650793E-2</v>
      </c>
      <c r="K10" s="103">
        <v>25.519156990664225</v>
      </c>
      <c r="L10" s="102">
        <v>3.998068291994953E-3</v>
      </c>
      <c r="M10" s="104">
        <f t="shared" ref="M10:M11" si="13">0.095*G10</f>
        <v>1.5253364197530862E-2</v>
      </c>
      <c r="N10" s="88">
        <v>2</v>
      </c>
      <c r="O10" s="88">
        <v>6</v>
      </c>
      <c r="P10" s="367">
        <v>15</v>
      </c>
      <c r="Q10" s="26">
        <f t="shared" ref="Q10:Y11" si="14">(E10*$N10*$O10)</f>
        <v>0.38776067329950764</v>
      </c>
      <c r="R10" s="26">
        <f t="shared" si="14"/>
        <v>1.4848941798941799</v>
      </c>
      <c r="S10" s="26">
        <f t="shared" si="14"/>
        <v>1.9267407407407404</v>
      </c>
      <c r="T10" s="26">
        <f t="shared" si="14"/>
        <v>3.958788731121367E-3</v>
      </c>
      <c r="U10" s="26">
        <f t="shared" si="14"/>
        <v>0.16297619047619044</v>
      </c>
      <c r="V10" s="26">
        <f t="shared" si="14"/>
        <v>0.1450488095238095</v>
      </c>
      <c r="W10" s="26">
        <f t="shared" si="14"/>
        <v>306.22988388797069</v>
      </c>
      <c r="X10" s="26">
        <f t="shared" si="14"/>
        <v>4.7976819503939436E-2</v>
      </c>
      <c r="Y10" s="26">
        <f t="shared" si="14"/>
        <v>0.18304037037037035</v>
      </c>
    </row>
    <row r="11" spans="1:25" s="3" customFormat="1">
      <c r="A11" s="32" t="s">
        <v>125</v>
      </c>
      <c r="B11" s="29" t="s">
        <v>27</v>
      </c>
      <c r="C11" s="97">
        <v>87</v>
      </c>
      <c r="D11" s="22">
        <v>0.37</v>
      </c>
      <c r="E11" s="413">
        <v>5.2437519504869065E-2</v>
      </c>
      <c r="F11" s="397">
        <v>0.26257275132275132</v>
      </c>
      <c r="G11" s="397">
        <v>0.33506412037037031</v>
      </c>
      <c r="H11" s="413">
        <v>6.0679618797898508E-4</v>
      </c>
      <c r="I11" s="397">
        <v>2.1289682539682539E-2</v>
      </c>
      <c r="J11" s="100">
        <f t="shared" si="12"/>
        <v>1.894781746031746E-2</v>
      </c>
      <c r="K11" s="413">
        <v>51.728016924248784</v>
      </c>
      <c r="L11" s="413">
        <v>5.7223017989158831E-3</v>
      </c>
      <c r="M11" s="102">
        <f t="shared" si="13"/>
        <v>3.1831091435185178E-2</v>
      </c>
      <c r="N11" s="88">
        <v>3</v>
      </c>
      <c r="O11" s="88">
        <v>6</v>
      </c>
      <c r="P11" s="88">
        <v>15</v>
      </c>
      <c r="Q11" s="26">
        <f t="shared" si="14"/>
        <v>0.94387535108764309</v>
      </c>
      <c r="R11" s="26">
        <f t="shared" si="14"/>
        <v>4.7263095238095234</v>
      </c>
      <c r="S11" s="26">
        <f t="shared" si="14"/>
        <v>6.0311541666666653</v>
      </c>
      <c r="T11" s="26">
        <f t="shared" si="14"/>
        <v>1.0922331383621732E-2</v>
      </c>
      <c r="U11" s="26">
        <f t="shared" si="14"/>
        <v>0.38321428571428573</v>
      </c>
      <c r="V11" s="26">
        <f t="shared" si="14"/>
        <v>0.34106071428571427</v>
      </c>
      <c r="W11" s="26">
        <f t="shared" si="14"/>
        <v>931.10430463647822</v>
      </c>
      <c r="X11" s="26">
        <f t="shared" si="14"/>
        <v>0.1030014323804859</v>
      </c>
      <c r="Y11" s="26">
        <f t="shared" si="14"/>
        <v>0.57295964583333325</v>
      </c>
    </row>
    <row r="12" spans="1:25" s="3" customFormat="1">
      <c r="A12" s="32" t="s">
        <v>125</v>
      </c>
      <c r="B12" s="29" t="s">
        <v>27</v>
      </c>
      <c r="C12" s="97">
        <v>87</v>
      </c>
      <c r="D12" s="22">
        <v>0.37</v>
      </c>
      <c r="E12" s="413">
        <v>5.2437519504869065E-2</v>
      </c>
      <c r="F12" s="397">
        <v>0.26257275132275132</v>
      </c>
      <c r="G12" s="397">
        <v>0.33506412037037031</v>
      </c>
      <c r="H12" s="413">
        <v>6.0679618797898508E-4</v>
      </c>
      <c r="I12" s="397">
        <v>2.1289682539682539E-2</v>
      </c>
      <c r="J12" s="100">
        <f t="shared" ref="J12:J15" si="15">0.89*I12</f>
        <v>1.894781746031746E-2</v>
      </c>
      <c r="K12" s="413">
        <v>51.728016924248784</v>
      </c>
      <c r="L12" s="413">
        <v>5.7223017989158831E-3</v>
      </c>
      <c r="M12" s="102">
        <f t="shared" ref="M12:M15" si="16">0.095*G12</f>
        <v>3.1831091435185178E-2</v>
      </c>
      <c r="N12" s="88">
        <v>1</v>
      </c>
      <c r="O12" s="88">
        <v>6</v>
      </c>
      <c r="P12" s="88">
        <v>15</v>
      </c>
      <c r="Q12" s="26">
        <f t="shared" ref="Q12:Q14" si="17">(E12*$N12*$O12)</f>
        <v>0.31462511702921436</v>
      </c>
      <c r="R12" s="26">
        <f t="shared" ref="R12:R14" si="18">(F12*$N12*$O12)</f>
        <v>1.5754365079365078</v>
      </c>
      <c r="S12" s="26">
        <f t="shared" ref="S12:S14" si="19">(G12*$N12*$O12)</f>
        <v>2.0103847222222218</v>
      </c>
      <c r="T12" s="26">
        <f t="shared" ref="T12:T14" si="20">(H12*$N12*$O12)</f>
        <v>3.6407771278739107E-3</v>
      </c>
      <c r="U12" s="26">
        <f t="shared" ref="U12:U14" si="21">(I12*$N12*$O12)</f>
        <v>0.12773809523809523</v>
      </c>
      <c r="V12" s="26">
        <f t="shared" ref="V12:V14" si="22">(J12*$N12*$O12)</f>
        <v>0.11368690476190477</v>
      </c>
      <c r="W12" s="26">
        <f t="shared" ref="W12:W14" si="23">(K12*$N12*$O12)</f>
        <v>310.36810154549272</v>
      </c>
      <c r="X12" s="26">
        <f t="shared" ref="X12:X14" si="24">(L12*$N12*$O12)</f>
        <v>3.4333810793495297E-2</v>
      </c>
      <c r="Y12" s="26">
        <f t="shared" ref="Y12:Y14" si="25">(M12*$N12*$O12)</f>
        <v>0.19098654861111108</v>
      </c>
    </row>
    <row r="13" spans="1:25" s="3" customFormat="1">
      <c r="A13" s="32" t="s">
        <v>51</v>
      </c>
      <c r="B13" s="29" t="s">
        <v>27</v>
      </c>
      <c r="C13" s="97">
        <v>381</v>
      </c>
      <c r="D13" s="97"/>
      <c r="E13" s="102">
        <v>0.18553470911077993</v>
      </c>
      <c r="F13" s="102">
        <v>0.57956772121140698</v>
      </c>
      <c r="G13" s="102">
        <v>1.2523979210769924</v>
      </c>
      <c r="H13" s="102">
        <v>2.6730457491231348E-3</v>
      </c>
      <c r="I13" s="102">
        <v>4.4827947982520766E-2</v>
      </c>
      <c r="J13" s="100">
        <f t="shared" si="15"/>
        <v>3.9896873704443482E-2</v>
      </c>
      <c r="K13" s="103">
        <v>272.33380251586107</v>
      </c>
      <c r="L13" s="102">
        <v>1.6740496842659349E-2</v>
      </c>
      <c r="M13" s="102">
        <f t="shared" si="16"/>
        <v>0.11897780250231428</v>
      </c>
      <c r="N13" s="88">
        <v>1</v>
      </c>
      <c r="O13" s="88">
        <v>6</v>
      </c>
      <c r="P13" s="88">
        <v>15</v>
      </c>
      <c r="Q13" s="26">
        <f t="shared" si="17"/>
        <v>1.1132082546646795</v>
      </c>
      <c r="R13" s="26">
        <f t="shared" si="18"/>
        <v>3.4774063272684419</v>
      </c>
      <c r="S13" s="26">
        <f t="shared" si="19"/>
        <v>7.5143875264619542</v>
      </c>
      <c r="T13" s="26">
        <f t="shared" si="20"/>
        <v>1.6038274494738811E-2</v>
      </c>
      <c r="U13" s="26">
        <f t="shared" si="21"/>
        <v>0.2689676878951246</v>
      </c>
      <c r="V13" s="26">
        <f t="shared" si="22"/>
        <v>0.23938124222666091</v>
      </c>
      <c r="W13" s="26">
        <f t="shared" si="23"/>
        <v>1634.0028150951664</v>
      </c>
      <c r="X13" s="26">
        <f t="shared" si="24"/>
        <v>0.10044298105595609</v>
      </c>
      <c r="Y13" s="26">
        <f t="shared" si="25"/>
        <v>0.71386681501388571</v>
      </c>
    </row>
    <row r="14" spans="1:25" s="3" customFormat="1">
      <c r="A14" s="32" t="s">
        <v>51</v>
      </c>
      <c r="B14" s="29" t="s">
        <v>27</v>
      </c>
      <c r="C14" s="97">
        <v>381</v>
      </c>
      <c r="D14" s="97"/>
      <c r="E14" s="102">
        <v>0.18553470911077993</v>
      </c>
      <c r="F14" s="102">
        <v>0.57956772121140698</v>
      </c>
      <c r="G14" s="102">
        <v>1.2523979210769924</v>
      </c>
      <c r="H14" s="102">
        <v>2.6730457491231348E-3</v>
      </c>
      <c r="I14" s="102">
        <v>4.4827947982520766E-2</v>
      </c>
      <c r="J14" s="100">
        <f t="shared" si="15"/>
        <v>3.9896873704443482E-2</v>
      </c>
      <c r="K14" s="103">
        <v>272.33380251586107</v>
      </c>
      <c r="L14" s="102">
        <v>1.6740496842659349E-2</v>
      </c>
      <c r="M14" s="102">
        <f t="shared" si="16"/>
        <v>0.11897780250231428</v>
      </c>
      <c r="N14" s="88">
        <v>1</v>
      </c>
      <c r="O14" s="88">
        <v>6</v>
      </c>
      <c r="P14" s="88">
        <v>15</v>
      </c>
      <c r="Q14" s="26">
        <f t="shared" si="17"/>
        <v>1.1132082546646795</v>
      </c>
      <c r="R14" s="26">
        <f t="shared" si="18"/>
        <v>3.4774063272684419</v>
      </c>
      <c r="S14" s="26">
        <f t="shared" si="19"/>
        <v>7.5143875264619542</v>
      </c>
      <c r="T14" s="26">
        <f t="shared" si="20"/>
        <v>1.6038274494738811E-2</v>
      </c>
      <c r="U14" s="26">
        <f t="shared" si="21"/>
        <v>0.2689676878951246</v>
      </c>
      <c r="V14" s="26">
        <f t="shared" si="22"/>
        <v>0.23938124222666091</v>
      </c>
      <c r="W14" s="26">
        <f t="shared" si="23"/>
        <v>1634.0028150951664</v>
      </c>
      <c r="X14" s="26">
        <f t="shared" si="24"/>
        <v>0.10044298105595609</v>
      </c>
      <c r="Y14" s="26">
        <f t="shared" si="25"/>
        <v>0.71386681501388571</v>
      </c>
    </row>
    <row r="15" spans="1:25" s="3" customFormat="1">
      <c r="A15" s="32" t="s">
        <v>51</v>
      </c>
      <c r="B15" s="29" t="s">
        <v>27</v>
      </c>
      <c r="C15" s="97">
        <v>381</v>
      </c>
      <c r="D15" s="97"/>
      <c r="E15" s="102">
        <v>0.18553470911077993</v>
      </c>
      <c r="F15" s="102">
        <v>0.57956772121140698</v>
      </c>
      <c r="G15" s="102">
        <v>1.2523979210769924</v>
      </c>
      <c r="H15" s="102">
        <v>2.6730457491231348E-3</v>
      </c>
      <c r="I15" s="102">
        <v>4.4827947982520766E-2</v>
      </c>
      <c r="J15" s="100">
        <f t="shared" si="15"/>
        <v>3.9896873704443482E-2</v>
      </c>
      <c r="K15" s="103">
        <v>272.33380251586107</v>
      </c>
      <c r="L15" s="102">
        <v>1.6740496842659349E-2</v>
      </c>
      <c r="M15" s="102">
        <f t="shared" si="16"/>
        <v>0.11897780250231428</v>
      </c>
      <c r="N15" s="88">
        <v>1</v>
      </c>
      <c r="O15" s="88">
        <v>6</v>
      </c>
      <c r="P15" s="88">
        <v>15</v>
      </c>
      <c r="Q15" s="26">
        <f t="shared" ref="Q15:Q17" si="26">(E15*$N15*$O15)</f>
        <v>1.1132082546646795</v>
      </c>
      <c r="R15" s="26">
        <f t="shared" ref="R15:R17" si="27">(F15*$N15*$O15)</f>
        <v>3.4774063272684419</v>
      </c>
      <c r="S15" s="26">
        <f t="shared" ref="S15:S17" si="28">(G15*$N15*$O15)</f>
        <v>7.5143875264619542</v>
      </c>
      <c r="T15" s="26">
        <f t="shared" ref="T15:T17" si="29">(H15*$N15*$O15)</f>
        <v>1.6038274494738811E-2</v>
      </c>
      <c r="U15" s="26">
        <f t="shared" ref="U15:U17" si="30">(I15*$N15*$O15)</f>
        <v>0.2689676878951246</v>
      </c>
      <c r="V15" s="26">
        <f t="shared" ref="V15:V17" si="31">(J15*$N15*$O15)</f>
        <v>0.23938124222666091</v>
      </c>
      <c r="W15" s="26">
        <f t="shared" ref="W15:W17" si="32">(K15*$N15*$O15)</f>
        <v>1634.0028150951664</v>
      </c>
      <c r="X15" s="26">
        <f t="shared" ref="X15:X17" si="33">(L15*$N15*$O15)</f>
        <v>0.10044298105595609</v>
      </c>
      <c r="Y15" s="26">
        <f t="shared" ref="Y15:Y17" si="34">(M15*$N15*$O15)</f>
        <v>0.71386681501388571</v>
      </c>
    </row>
    <row r="16" spans="1:25" s="3" customFormat="1">
      <c r="A16" s="100" t="s">
        <v>123</v>
      </c>
      <c r="B16" s="29" t="s">
        <v>27</v>
      </c>
      <c r="C16" s="22">
        <v>84</v>
      </c>
      <c r="D16" s="22">
        <v>0.38</v>
      </c>
      <c r="E16" s="102">
        <v>7.9534395197012789E-2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0.26037037037037036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0.33225370370370361</v>
      </c>
      <c r="H16" s="102">
        <v>6.9196834691909377E-4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2.1111111111111112E-2</v>
      </c>
      <c r="J16" s="100">
        <f t="shared" ref="J16:J17" si="35">0.89*I16</f>
        <v>1.878888888888889E-2</v>
      </c>
      <c r="K16" s="103">
        <v>58.988746640295226</v>
      </c>
      <c r="L16" s="102">
        <v>8.3100677993644661E-3</v>
      </c>
      <c r="M16" s="102">
        <f t="shared" ref="M16:M17" si="36">0.095*G16</f>
        <v>3.1564101851851843E-2</v>
      </c>
      <c r="N16" s="367">
        <v>1</v>
      </c>
      <c r="O16" s="88">
        <v>6</v>
      </c>
      <c r="P16" s="367">
        <v>10</v>
      </c>
      <c r="Q16" s="26">
        <f t="shared" si="26"/>
        <v>0.47720637118207676</v>
      </c>
      <c r="R16" s="26">
        <f t="shared" si="27"/>
        <v>1.5622222222222222</v>
      </c>
      <c r="S16" s="26">
        <f t="shared" si="28"/>
        <v>1.9935222222222215</v>
      </c>
      <c r="T16" s="26">
        <f t="shared" si="29"/>
        <v>4.151810081514563E-3</v>
      </c>
      <c r="U16" s="26">
        <f t="shared" si="30"/>
        <v>0.12666666666666668</v>
      </c>
      <c r="V16" s="26">
        <f t="shared" si="31"/>
        <v>0.11273333333333334</v>
      </c>
      <c r="W16" s="26">
        <f t="shared" si="32"/>
        <v>353.93247984177134</v>
      </c>
      <c r="X16" s="26">
        <f t="shared" si="33"/>
        <v>4.9860406796186793E-2</v>
      </c>
      <c r="Y16" s="26">
        <f t="shared" si="34"/>
        <v>0.18938461111111105</v>
      </c>
    </row>
    <row r="17" spans="1:25" s="3" customFormat="1">
      <c r="A17" s="24" t="s">
        <v>112</v>
      </c>
      <c r="B17" s="29" t="s">
        <v>27</v>
      </c>
      <c r="C17" s="22">
        <v>235</v>
      </c>
      <c r="D17" s="22"/>
      <c r="E17" s="102">
        <v>0.11792220738547983</v>
      </c>
      <c r="F17" s="102">
        <v>0.36512193352152528</v>
      </c>
      <c r="G17" s="102">
        <v>0.86781464282266541</v>
      </c>
      <c r="H17" s="102">
        <v>1.8739217498104396E-3</v>
      </c>
      <c r="I17" s="102">
        <v>2.9041712295589866E-2</v>
      </c>
      <c r="J17" s="100">
        <f t="shared" si="35"/>
        <v>2.5847123943074982E-2</v>
      </c>
      <c r="K17" s="103">
        <v>166.54541562452522</v>
      </c>
      <c r="L17" s="102">
        <v>1.063993297769634E-2</v>
      </c>
      <c r="M17" s="104">
        <f t="shared" si="36"/>
        <v>8.2442391068153209E-2</v>
      </c>
      <c r="N17" s="88">
        <v>2</v>
      </c>
      <c r="O17" s="88">
        <v>6</v>
      </c>
      <c r="P17" s="88">
        <v>10</v>
      </c>
      <c r="Q17" s="26">
        <f t="shared" si="26"/>
        <v>1.415066488625758</v>
      </c>
      <c r="R17" s="26">
        <f t="shared" si="27"/>
        <v>4.3814632022583035</v>
      </c>
      <c r="S17" s="26">
        <f t="shared" si="28"/>
        <v>10.413775713871985</v>
      </c>
      <c r="T17" s="26">
        <f t="shared" si="29"/>
        <v>2.2487060997725274E-2</v>
      </c>
      <c r="U17" s="26">
        <f t="shared" si="30"/>
        <v>0.34850054754707838</v>
      </c>
      <c r="V17" s="26">
        <f t="shared" si="31"/>
        <v>0.3101654873168998</v>
      </c>
      <c r="W17" s="26">
        <f t="shared" si="32"/>
        <v>1998.5449874943026</v>
      </c>
      <c r="X17" s="26">
        <f t="shared" si="33"/>
        <v>0.12767919573235609</v>
      </c>
      <c r="Y17" s="26">
        <f t="shared" si="34"/>
        <v>0.98930869281783851</v>
      </c>
    </row>
    <row r="18" spans="1:25" s="3" customFormat="1">
      <c r="A18" s="395" t="s">
        <v>380</v>
      </c>
      <c r="B18" s="29" t="s">
        <v>27</v>
      </c>
      <c r="C18" s="22">
        <v>84</v>
      </c>
      <c r="D18" s="22">
        <v>0.3</v>
      </c>
      <c r="E18" s="102">
        <v>7.7350469494183435E-2</v>
      </c>
      <c r="F18" s="397">
        <f>IF($C18&lt;11,'Offroad Tiers EF (2)'!$AN$4*$C18*$D18,IF($C18&lt;25,'Offroad Tiers EF (2)'!$AN$5*$C18*$D18,IF($C18&lt;50,'Offroad Tiers EF (2)'!$AN$6*$C18*$D18,IF($C18&lt;75,'Offroad Tiers EF (2)'!$AN$7*$C18*$D18,IF($C18&lt;100,'Offroad Tiers EF (2)'!$AN$8*$C18*$D18,IF($C18&lt;175,'Offroad Tiers EF (2)'!$AN$9*$C18*$D18,IF($C18&lt;300,'Offroad Tiers EF (2)'!$AN$10*$C18*$D18,IF($C18&lt;600,'Offroad Tiers EF (2)'!$AN$11*$C18*$D18,"!"))))))))</f>
        <v>0.20555555555555552</v>
      </c>
      <c r="G18" s="397">
        <f>IF($C18&lt;11,'Offroad Tiers EF (2)'!$AM$4*$C18*$D18,IF($C18&lt;25,'Offroad Tiers EF (2)'!$AM$5*$C18*$D18,IF($C18&lt;50,'Offroad Tiers EF (2)'!$AM$6*$C18*$D18,IF($C18&lt;75,'Offroad Tiers EF (2)'!$AM$7*$C18*$D18,IF($C18&lt;100,'Offroad Tiers EF (2)'!$AM$8*$C18*$D18,IF($C18&lt;175,'Offroad Tiers EF (2)'!$AM$9*$C18*$D18,IF($C18&lt;300,'Offroad Tiers EF (2)'!$AM$10*$C18*$D18,IF($C18&lt;600,'Offroad Tiers EF (2)'!$AM$11*$C18*$D18,"!"))))))))</f>
        <v>0.26230555555555546</v>
      </c>
      <c r="H18" s="102">
        <v>6.9196834691909377E-4</v>
      </c>
      <c r="I18" s="397">
        <f>IF($C18&lt;11,'Offroad Tiers EF (2)'!$AO$4*$C18*$D18,IF($C18&lt;25,'Offroad Tiers EF (2)'!$AO$5*$C18*$D18,IF($C18&lt;50,'Offroad Tiers EF (2)'!$AO$6*$C18*$D18,IF($C18&lt;75,'Offroad Tiers EF (2)'!$AO$7*$C18*$D18,IF($C18&lt;100,'Offroad Tiers EF (2)'!$AO$8*$C18*$D18,IF($C18&lt;175,'Offroad Tiers EF (2)'!$AO$9*$C18*$D18,IF($C18&lt;300,'Offroad Tiers EF (2)'!$AO$10*$C18*$D18,IF($C18&lt;600,'Offroad Tiers EF (2)'!$AO$11*$C18*$D18,"!"))))))))</f>
        <v>1.6666666666666666E-2</v>
      </c>
      <c r="J18" s="100">
        <f t="shared" ref="J18" si="37">0.89*I18</f>
        <v>1.4833333333333334E-2</v>
      </c>
      <c r="K18" s="103">
        <v>58.988746640295226</v>
      </c>
      <c r="L18" s="102">
        <v>8.3100677993644661E-3</v>
      </c>
      <c r="M18" s="102">
        <f t="shared" ref="M18" si="38">0.095*G18</f>
        <v>2.4919027777777769E-2</v>
      </c>
      <c r="N18" s="367">
        <v>1</v>
      </c>
      <c r="O18" s="88">
        <v>6</v>
      </c>
      <c r="P18" s="367">
        <v>10</v>
      </c>
      <c r="Q18" s="26">
        <f t="shared" ref="Q18:Y18" si="39">(E18*$N18*$O18)</f>
        <v>0.46410281696510058</v>
      </c>
      <c r="R18" s="26">
        <f t="shared" si="39"/>
        <v>1.2333333333333332</v>
      </c>
      <c r="S18" s="26">
        <f t="shared" si="39"/>
        <v>1.5738333333333328</v>
      </c>
      <c r="T18" s="26">
        <f t="shared" si="39"/>
        <v>4.151810081514563E-3</v>
      </c>
      <c r="U18" s="26">
        <f t="shared" si="39"/>
        <v>0.1</v>
      </c>
      <c r="V18" s="26">
        <f t="shared" si="39"/>
        <v>8.8999999999999996E-2</v>
      </c>
      <c r="W18" s="26">
        <f t="shared" si="39"/>
        <v>353.93247984177134</v>
      </c>
      <c r="X18" s="26">
        <f t="shared" si="39"/>
        <v>4.9860406796186793E-2</v>
      </c>
      <c r="Y18" s="26">
        <f t="shared" si="39"/>
        <v>0.14951416666666661</v>
      </c>
    </row>
    <row r="19" spans="1:25" s="3" customFormat="1">
      <c r="A19" s="395" t="s">
        <v>380</v>
      </c>
      <c r="B19" s="29" t="s">
        <v>27</v>
      </c>
      <c r="C19" s="97">
        <v>87</v>
      </c>
      <c r="D19" s="97">
        <v>0.3</v>
      </c>
      <c r="E19" s="107">
        <v>5.2437519504869065E-2</v>
      </c>
      <c r="F19" s="397">
        <v>0.21289682539682539</v>
      </c>
      <c r="G19" s="397">
        <v>0.27167361111111105</v>
      </c>
      <c r="H19" s="413">
        <v>6.0679618797898508E-4</v>
      </c>
      <c r="I19" s="397">
        <v>1.726190476190476E-2</v>
      </c>
      <c r="J19" s="100">
        <f t="shared" ref="J19" si="40">0.89*I19</f>
        <v>1.5363095238095236E-2</v>
      </c>
      <c r="K19" s="413">
        <v>51.728016924248784</v>
      </c>
      <c r="L19" s="413">
        <v>5.7223017989158831E-3</v>
      </c>
      <c r="M19" s="102">
        <f t="shared" ref="M19" si="41">0.095*G19</f>
        <v>2.5808993055555549E-2</v>
      </c>
      <c r="N19" s="88">
        <v>2</v>
      </c>
      <c r="O19" s="88">
        <v>6</v>
      </c>
      <c r="P19" s="88">
        <v>15</v>
      </c>
      <c r="Q19" s="26">
        <f t="shared" ref="Q19:Y19" si="42">(E19*$N19*$O19)</f>
        <v>0.62925023405842873</v>
      </c>
      <c r="R19" s="26">
        <f t="shared" si="42"/>
        <v>2.5547619047619046</v>
      </c>
      <c r="S19" s="26">
        <f t="shared" si="42"/>
        <v>3.2600833333333323</v>
      </c>
      <c r="T19" s="26">
        <f t="shared" si="42"/>
        <v>7.2815542557478213E-3</v>
      </c>
      <c r="U19" s="26">
        <f t="shared" si="42"/>
        <v>0.20714285714285713</v>
      </c>
      <c r="V19" s="26">
        <f t="shared" si="42"/>
        <v>0.18435714285714283</v>
      </c>
      <c r="W19" s="26">
        <f t="shared" si="42"/>
        <v>620.73620309098544</v>
      </c>
      <c r="X19" s="26">
        <f t="shared" si="42"/>
        <v>6.8667621586990593E-2</v>
      </c>
      <c r="Y19" s="26">
        <f t="shared" si="42"/>
        <v>0.30970791666666658</v>
      </c>
    </row>
    <row r="20" spans="1:25" s="3" customFormat="1">
      <c r="A20" s="17" t="s">
        <v>28</v>
      </c>
      <c r="B20" s="29"/>
      <c r="C20" s="97"/>
      <c r="D20" s="12"/>
      <c r="E20" s="102"/>
      <c r="F20" s="102"/>
      <c r="G20" s="102"/>
      <c r="H20" s="102"/>
      <c r="I20" s="102"/>
      <c r="J20" s="100"/>
      <c r="K20" s="103"/>
      <c r="L20" s="102"/>
      <c r="M20" s="104"/>
      <c r="N20" s="88"/>
      <c r="O20" s="88"/>
      <c r="P20" s="88"/>
      <c r="Q20" s="27">
        <f>SUM(Q8:Q19)</f>
        <v>9.4740286735176316</v>
      </c>
      <c r="R20" s="101">
        <f t="shared" ref="R20:Y20" si="43">SUM(R8:R19)</f>
        <v>34.120815901594895</v>
      </c>
      <c r="S20" s="101">
        <f t="shared" si="43"/>
        <v>61.938878002045684</v>
      </c>
      <c r="T20" s="101">
        <f t="shared" si="43"/>
        <v>0.12655900447976134</v>
      </c>
      <c r="U20" s="101">
        <f t="shared" si="43"/>
        <v>2.6669753135774203</v>
      </c>
      <c r="V20" s="101">
        <f t="shared" si="43"/>
        <v>2.3736080290839037</v>
      </c>
      <c r="W20" s="101">
        <f t="shared" si="43"/>
        <v>11856.737278705898</v>
      </c>
      <c r="X20" s="101">
        <f t="shared" si="43"/>
        <v>0.92600991877070216</v>
      </c>
      <c r="Y20" s="101">
        <f t="shared" si="43"/>
        <v>5.8841934101943396</v>
      </c>
    </row>
    <row r="21" spans="1:25">
      <c r="A21" s="3" t="s">
        <v>103</v>
      </c>
      <c r="Q21" s="86">
        <f>Q20</f>
        <v>9.4740286735176316</v>
      </c>
      <c r="R21" s="86">
        <f t="shared" ref="R21:Y21" si="44">R20</f>
        <v>34.120815901594895</v>
      </c>
      <c r="S21" s="86">
        <f t="shared" si="44"/>
        <v>61.938878002045684</v>
      </c>
      <c r="T21" s="86">
        <f t="shared" si="44"/>
        <v>0.12655900447976134</v>
      </c>
      <c r="U21" s="86">
        <f t="shared" si="44"/>
        <v>2.6669753135774203</v>
      </c>
      <c r="V21" s="86">
        <f t="shared" si="44"/>
        <v>2.3736080290839037</v>
      </c>
      <c r="W21" s="86">
        <f t="shared" si="44"/>
        <v>11856.737278705898</v>
      </c>
      <c r="X21" s="86">
        <f t="shared" si="44"/>
        <v>0.92600991877070216</v>
      </c>
      <c r="Y21" s="86">
        <f t="shared" si="44"/>
        <v>5.8841934101943396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B-7
Construction Heavy Equipment Emissions
TL 6910 Construction
</oddHeader>
    <oddFooter>&amp;CB-7</oddFooter>
  </headerFooter>
</worksheet>
</file>

<file path=xl/worksheets/sheet3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72"/>
  <sheetViews>
    <sheetView zoomScale="75" workbookViewId="0">
      <selection activeCell="I38" sqref="I38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829</v>
      </c>
    </row>
    <row r="2" spans="1:30">
      <c r="A2" s="83"/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>
      <c r="A8" s="114" t="s">
        <v>418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320</v>
      </c>
      <c r="B9" s="76" t="s">
        <v>95</v>
      </c>
      <c r="C9" s="79">
        <v>2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6.6594183689096684E-2</v>
      </c>
      <c r="U9" s="50">
        <f>C9*($F9*$H9)/453.59</f>
        <v>0.12293958521981244</v>
      </c>
      <c r="V9" s="50">
        <f>C9*(($F9*$I9))/453.59</f>
        <v>1.5020448508630898E-2</v>
      </c>
      <c r="W9" s="50">
        <f>C9*($F9*$J9)/453.59</f>
        <v>9.2657422707165152E-4</v>
      </c>
      <c r="X9" s="50">
        <f>C9*(($F9*($K9+$L9+$M9)))/453.59</f>
        <v>2.4246309913434082E-2</v>
      </c>
      <c r="Y9" s="50">
        <f>C9*(($F9*($N9+$O9+$P9)))/453.59</f>
        <v>1.6110732655318268E-2</v>
      </c>
      <c r="Z9" s="50">
        <f>C9*(F9)*$B$345</f>
        <v>0</v>
      </c>
      <c r="AA9" s="50">
        <f>Z9*0.21</f>
        <v>0</v>
      </c>
      <c r="AB9" s="50">
        <f>C9*(($F9*($Q9)))/453.59</f>
        <v>64.542737060171092</v>
      </c>
      <c r="AC9" s="50">
        <f>C9*(($F9*($R9)))/453.59</f>
        <v>3.688165623829356E-3</v>
      </c>
      <c r="AD9" s="50">
        <f>C9*(($F9*($S9)))/453.59</f>
        <v>1.6533267525333424E-3</v>
      </c>
    </row>
    <row r="10" spans="1:30">
      <c r="A10" s="78" t="s">
        <v>331</v>
      </c>
      <c r="B10" s="76" t="s">
        <v>105</v>
      </c>
      <c r="C10" s="374">
        <v>3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6">
        <v>3.59998119015979E-2</v>
      </c>
      <c r="M10" s="556">
        <v>6.1739677411240299E-2</v>
      </c>
      <c r="N10" s="106">
        <v>6.5945508986370194E-2</v>
      </c>
      <c r="O10" s="556">
        <v>2.9999843251331498E-3</v>
      </c>
      <c r="P10" s="55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0.57283790186775729</v>
      </c>
      <c r="U10" s="50">
        <f>C10*($F10*$H10)/453.59</f>
        <v>2.6303605763575972</v>
      </c>
      <c r="V10" s="50">
        <f>C10*(($F10*$I10))/453.59</f>
        <v>0.1388814351728225</v>
      </c>
      <c r="W10" s="50">
        <f>C10*($F10*$J10)/453.59</f>
        <v>5.6677535219030401E-3</v>
      </c>
      <c r="X10" s="50">
        <f>C10*(($F10*($K10+$L10+$M10)))/453.59</f>
        <v>8.9641865324180711E-2</v>
      </c>
      <c r="Y10" s="50">
        <f>C10*(($F10*($N10+$O10+$P10)))/453.59</f>
        <v>6.6035953938393399E-2</v>
      </c>
      <c r="Z10" s="50">
        <f>C10*(F10)*$B$380</f>
        <v>0</v>
      </c>
      <c r="AA10" s="50">
        <f>Z10*0.21</f>
        <v>0</v>
      </c>
      <c r="AB10" s="50">
        <f>C10*(($F10*($Q10)))/453.59</f>
        <v>905.16602917069611</v>
      </c>
      <c r="AC10" s="50">
        <f>C10*(($F10*($R10)))/453.59</f>
        <v>8.0611545841232316E-3</v>
      </c>
      <c r="AD10" s="50">
        <f>C10*(($F10*($S10)))/453.59</f>
        <v>2.3186733003236551E-2</v>
      </c>
    </row>
    <row r="11" spans="1:30">
      <c r="A11" s="78" t="s">
        <v>112</v>
      </c>
      <c r="B11" s="76" t="s">
        <v>105</v>
      </c>
      <c r="C11" s="374">
        <v>2</v>
      </c>
      <c r="D11" s="77"/>
      <c r="E11" s="77">
        <v>35</v>
      </c>
      <c r="F11" s="77">
        <v>80</v>
      </c>
      <c r="G11" s="106">
        <v>1.08263976628415</v>
      </c>
      <c r="H11" s="106">
        <v>4.9712718909585103</v>
      </c>
      <c r="I11" s="106">
        <v>0.26248012575016899</v>
      </c>
      <c r="J11" s="106">
        <v>1.0711818E-2</v>
      </c>
      <c r="K11" s="106">
        <v>7.1679901072141505E-2</v>
      </c>
      <c r="L11" s="556">
        <v>3.59998119015979E-2</v>
      </c>
      <c r="M11" s="556">
        <v>6.1739677411240299E-2</v>
      </c>
      <c r="N11" s="106">
        <v>6.5945508986370194E-2</v>
      </c>
      <c r="O11" s="556">
        <v>2.9999843251331498E-3</v>
      </c>
      <c r="P11" s="556">
        <v>5.5859708133979398E-2</v>
      </c>
      <c r="Q11" s="106">
        <v>1710.7260798814</v>
      </c>
      <c r="R11" s="47">
        <v>1.5235246282551899E-2</v>
      </c>
      <c r="S11" s="80">
        <f>0.000025616*Q11</f>
        <v>4.3821959262241944E-2</v>
      </c>
      <c r="T11" s="50">
        <f>C11*($F11*$G11)/453.59</f>
        <v>0.38189193457850484</v>
      </c>
      <c r="U11" s="50">
        <f>C11*($F11*$H11)/453.59</f>
        <v>1.7535737175717316</v>
      </c>
      <c r="V11" s="50">
        <f>C11*(($F11*$I11))/453.59</f>
        <v>9.2587623448548345E-2</v>
      </c>
      <c r="W11" s="50">
        <f>C11*($F11*$J11)/453.59</f>
        <v>3.7785023479353602E-3</v>
      </c>
      <c r="X11" s="50">
        <f>C11*(($F11*($K11+$L11+$M11)))/453.59</f>
        <v>5.9761243549453814E-2</v>
      </c>
      <c r="Y11" s="50">
        <f>C11*(($F11*($N11+$O11+$P11)))/453.59</f>
        <v>4.4023969292262266E-2</v>
      </c>
      <c r="Z11" s="50">
        <f>C11*(F11)*$B$380</f>
        <v>0</v>
      </c>
      <c r="AA11" s="50">
        <f>Z11*0.21</f>
        <v>0</v>
      </c>
      <c r="AB11" s="50">
        <f>C11*(($F11*($Q11)))/453.59</f>
        <v>603.4440194471307</v>
      </c>
      <c r="AC11" s="50">
        <f>C11*(($F11*($R11)))/453.59</f>
        <v>5.3741030560821544E-3</v>
      </c>
      <c r="AD11" s="50">
        <f>C11*(($F11*($S11)))/453.59</f>
        <v>1.5457822002157701E-2</v>
      </c>
    </row>
    <row r="12" spans="1:30">
      <c r="A12" s="75" t="s">
        <v>28</v>
      </c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81">
        <f>SUM(T9:T11)</f>
        <v>1.0213240201353588</v>
      </c>
      <c r="U12" s="81">
        <f t="shared" ref="U12:AD12" si="0">SUM(U9:U11)</f>
        <v>4.5068738791491416</v>
      </c>
      <c r="V12" s="81">
        <f t="shared" si="0"/>
        <v>0.24648950713000176</v>
      </c>
      <c r="W12" s="81">
        <f t="shared" si="0"/>
        <v>1.0372830096910052E-2</v>
      </c>
      <c r="X12" s="81">
        <f t="shared" si="0"/>
        <v>0.1736494187870686</v>
      </c>
      <c r="Y12" s="81">
        <f t="shared" si="0"/>
        <v>0.12617065588597393</v>
      </c>
      <c r="Z12" s="81">
        <f t="shared" si="0"/>
        <v>0</v>
      </c>
      <c r="AA12" s="81">
        <f t="shared" si="0"/>
        <v>0</v>
      </c>
      <c r="AB12" s="81">
        <f t="shared" si="0"/>
        <v>1573.1527856779981</v>
      </c>
      <c r="AC12" s="81">
        <f t="shared" si="0"/>
        <v>1.7123423264034744E-2</v>
      </c>
      <c r="AD12" s="81">
        <f t="shared" si="0"/>
        <v>4.0297881757927589E-2</v>
      </c>
    </row>
    <row r="360" spans="1:1" ht="25.5">
      <c r="A360" s="82" t="s">
        <v>109</v>
      </c>
    </row>
    <row r="362" spans="1:1">
      <c r="A362" s="36" t="s">
        <v>81</v>
      </c>
    </row>
    <row r="363" spans="1:1">
      <c r="A363" s="36" t="s">
        <v>82</v>
      </c>
    </row>
    <row r="364" spans="1:1">
      <c r="A364" s="36" t="s">
        <v>83</v>
      </c>
    </row>
    <row r="365" spans="1:1">
      <c r="A365" s="37" t="s">
        <v>96</v>
      </c>
    </row>
    <row r="366" spans="1:1">
      <c r="A366" s="36" t="s">
        <v>85</v>
      </c>
    </row>
    <row r="367" spans="1:1">
      <c r="A367" s="36" t="s">
        <v>86</v>
      </c>
    </row>
    <row r="368" spans="1:1">
      <c r="A368" s="36" t="s">
        <v>87</v>
      </c>
    </row>
    <row r="369" spans="1:2">
      <c r="A369" s="36" t="s">
        <v>0</v>
      </c>
    </row>
    <row r="370" spans="1:2">
      <c r="A370" s="37" t="s">
        <v>97</v>
      </c>
      <c r="B370" s="36">
        <f>(0.016*(0.03/2)^0.65*(2/3)^1.5)-0.00047</f>
        <v>9.8123053326417428E-5</v>
      </c>
    </row>
    <row r="371" spans="1:2">
      <c r="A371" s="37" t="s">
        <v>98</v>
      </c>
      <c r="B371" s="36">
        <f>(0.016*(0.03/2)^0.65*(13/3)^1.5)-0.00047</f>
        <v>8.9448292388582783E-3</v>
      </c>
    </row>
    <row r="372" spans="1:2">
      <c r="A372" s="37" t="s">
        <v>99</v>
      </c>
      <c r="B372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B-8
Construction Truck Trip Emissions
TL 6910 Construction</oddHeader>
    <oddFooter>&amp;CB-8</oddFooter>
  </headerFooter>
</worksheet>
</file>

<file path=xl/worksheets/sheet3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I38" sqref="I38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830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418</v>
      </c>
      <c r="B4" s="45" t="s">
        <v>102</v>
      </c>
      <c r="C4" s="46">
        <v>34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43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435" t="s">
        <v>55</v>
      </c>
      <c r="G87" s="435" t="s">
        <v>73</v>
      </c>
      <c r="H87" s="435" t="s">
        <v>74</v>
      </c>
      <c r="I87" s="435" t="s">
        <v>58</v>
      </c>
      <c r="J87" s="435" t="s">
        <v>59</v>
      </c>
      <c r="K87" s="435" t="s">
        <v>60</v>
      </c>
      <c r="L87" s="434" t="s">
        <v>75</v>
      </c>
      <c r="M87" s="434" t="s">
        <v>76</v>
      </c>
      <c r="N87" s="434" t="s">
        <v>61</v>
      </c>
      <c r="O87" s="434" t="s">
        <v>62</v>
      </c>
      <c r="P87" s="434" t="s">
        <v>63</v>
      </c>
      <c r="AN87" s="38"/>
      <c r="AZ87" s="36"/>
    </row>
    <row r="88" spans="1:52" ht="25.5">
      <c r="A88" s="44" t="str">
        <f>A4</f>
        <v>UG Conduit</v>
      </c>
      <c r="B88" s="45" t="str">
        <f>B4</f>
        <v>Light-Duty Truck, catalyst</v>
      </c>
      <c r="C88" s="46">
        <f>C4</f>
        <v>34</v>
      </c>
      <c r="D88" s="46">
        <v>35</v>
      </c>
      <c r="E88" s="46">
        <v>80</v>
      </c>
      <c r="F88" s="50">
        <f>C4*($E4*$F4+($G4))/453.59</f>
        <v>16.514459119951283</v>
      </c>
      <c r="G88" s="50">
        <f>C4*($E4*$H4+($I4))/453.59</f>
        <v>1.4848023480088521</v>
      </c>
      <c r="H88" s="50">
        <f>C4*(($E4*$J4)+($K4)+($L4)+($E4*$N4)+(($M4+$O4)))/453.59</f>
        <v>1.7169993310144129</v>
      </c>
      <c r="I88" s="50">
        <f>C4*($E4*$P4+($Q4))/453.59</f>
        <v>2.471109892346094E-2</v>
      </c>
      <c r="J88" s="50">
        <f>C4*(($E4*($R4+$T4+$U4))+($S4))/453.59</f>
        <v>0.28981907547706848</v>
      </c>
      <c r="K88" s="50">
        <f>$C4*(($E4*($V4+$X4+$Y4))+($W4))/453.59</f>
        <v>0.12620818102460682</v>
      </c>
      <c r="L88" s="50">
        <f>$B$21*C4*(E4+6)</f>
        <v>0.28691180792644455</v>
      </c>
      <c r="M88" s="50">
        <f t="shared" ref="M88" si="52">0.41*L88</f>
        <v>0.11763384124984226</v>
      </c>
      <c r="N88" s="50">
        <f>C4*($E4*$Z4+($AA4))/453.59</f>
        <v>1884.4016086853226</v>
      </c>
      <c r="O88" s="50">
        <f>C4*($E4*$AB4+($AC4))/453.59</f>
        <v>0.10779616322702847</v>
      </c>
      <c r="P88" s="50">
        <f>C4*($E4*$AD4+($AE4))/453.59</f>
        <v>0.19621807707067426</v>
      </c>
      <c r="AN88" s="38"/>
      <c r="AZ88" s="36"/>
    </row>
    <row r="89" spans="1:52">
      <c r="A89" s="61" t="s">
        <v>396</v>
      </c>
      <c r="B89" s="61"/>
      <c r="C89" s="61"/>
      <c r="D89" s="61"/>
      <c r="E89" s="61"/>
      <c r="F89" s="81">
        <f>F88</f>
        <v>16.514459119951283</v>
      </c>
      <c r="G89" s="81">
        <f t="shared" ref="G89:P89" si="53">G88</f>
        <v>1.4848023480088521</v>
      </c>
      <c r="H89" s="81">
        <f t="shared" si="53"/>
        <v>1.7169993310144129</v>
      </c>
      <c r="I89" s="81">
        <f t="shared" si="53"/>
        <v>2.471109892346094E-2</v>
      </c>
      <c r="J89" s="81">
        <f t="shared" si="53"/>
        <v>0.28981907547706848</v>
      </c>
      <c r="K89" s="81">
        <f t="shared" si="53"/>
        <v>0.12620818102460682</v>
      </c>
      <c r="L89" s="81">
        <f t="shared" si="53"/>
        <v>0.28691180792644455</v>
      </c>
      <c r="M89" s="81">
        <f t="shared" si="53"/>
        <v>0.11763384124984226</v>
      </c>
      <c r="N89" s="81">
        <f t="shared" si="53"/>
        <v>1884.4016086853226</v>
      </c>
      <c r="O89" s="81">
        <f t="shared" si="53"/>
        <v>0.10779616322702847</v>
      </c>
      <c r="P89" s="81">
        <f t="shared" si="53"/>
        <v>0.19621807707067426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B-9
Construction Worker Commute Emission Calculations
TL 6910 Construction</oddHeader>
    <oddFooter>&amp;CB-9</oddFooter>
  </headerFooter>
</worksheet>
</file>

<file path=xl/worksheets/sheet3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4"/>
  <sheetViews>
    <sheetView zoomScale="75" zoomScaleNormal="75" workbookViewId="0">
      <selection activeCell="I38" sqref="I38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32">
      <c r="A1" s="3" t="s">
        <v>831</v>
      </c>
    </row>
    <row r="2" spans="1:32">
      <c r="A2" s="83"/>
    </row>
    <row r="3" spans="1:32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27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32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32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32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32" s="3" customFormat="1">
      <c r="A7" s="17" t="s">
        <v>416</v>
      </c>
      <c r="B7" s="29"/>
      <c r="C7" s="97"/>
      <c r="D7" s="12"/>
      <c r="E7" s="102"/>
      <c r="F7" s="102"/>
      <c r="G7" s="102"/>
      <c r="H7" s="102"/>
      <c r="I7" s="102"/>
      <c r="J7" s="100"/>
      <c r="K7" s="103"/>
      <c r="L7" s="102"/>
      <c r="M7" s="104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32" s="3" customFormat="1">
      <c r="A8" s="24" t="s">
        <v>301</v>
      </c>
      <c r="B8" s="29" t="s">
        <v>27</v>
      </c>
      <c r="C8" s="97">
        <v>300</v>
      </c>
      <c r="D8" s="97"/>
      <c r="E8" s="102">
        <v>0.12431762378554365</v>
      </c>
      <c r="F8" s="102">
        <v>0.4868439847761532</v>
      </c>
      <c r="G8" s="102">
        <v>1.0415214118246066</v>
      </c>
      <c r="H8" s="102">
        <v>2.4954334272364047E-3</v>
      </c>
      <c r="I8" s="102">
        <v>3.5011591348186828E-2</v>
      </c>
      <c r="J8" s="100">
        <f t="shared" ref="J8:J10" si="0">0.89*I8</f>
        <v>3.1160316299886276E-2</v>
      </c>
      <c r="K8" s="103">
        <v>254.23851177178003</v>
      </c>
      <c r="L8" s="102">
        <v>1.1216977037398481E-2</v>
      </c>
      <c r="M8" s="104">
        <f t="shared" ref="M8:M10" si="1">0.095*G8</f>
        <v>9.8944534123337619E-2</v>
      </c>
      <c r="N8" s="98">
        <v>1</v>
      </c>
      <c r="O8" s="87">
        <v>8</v>
      </c>
      <c r="P8" s="88">
        <v>4</v>
      </c>
      <c r="Q8" s="34">
        <f t="shared" ref="Q8:Y12" si="2">(E8*$N8*$O8)</f>
        <v>0.99454099028434917</v>
      </c>
      <c r="R8" s="26">
        <f t="shared" si="2"/>
        <v>3.8947518782092256</v>
      </c>
      <c r="S8" s="26">
        <f t="shared" si="2"/>
        <v>8.3321712945968525</v>
      </c>
      <c r="T8" s="26">
        <f t="shared" si="2"/>
        <v>1.9963467417891238E-2</v>
      </c>
      <c r="U8" s="26">
        <f t="shared" si="2"/>
        <v>0.28009273078549463</v>
      </c>
      <c r="V8" s="26">
        <f t="shared" si="2"/>
        <v>0.24928253039909021</v>
      </c>
      <c r="W8" s="26">
        <f t="shared" si="2"/>
        <v>2033.9080941742402</v>
      </c>
      <c r="X8" s="26">
        <f t="shared" si="2"/>
        <v>8.9735816299187851E-2</v>
      </c>
      <c r="Y8" s="26">
        <f t="shared" si="2"/>
        <v>0.79155627298670095</v>
      </c>
    </row>
    <row r="9" spans="1:32" s="3" customFormat="1">
      <c r="A9" s="24" t="s">
        <v>131</v>
      </c>
      <c r="B9" s="29" t="s">
        <v>27</v>
      </c>
      <c r="C9" s="97">
        <v>300</v>
      </c>
      <c r="D9" s="97"/>
      <c r="E9" s="102">
        <v>0.12431762378554365</v>
      </c>
      <c r="F9" s="102">
        <v>0.4868439847761532</v>
      </c>
      <c r="G9" s="102">
        <v>1.0415214118246066</v>
      </c>
      <c r="H9" s="102">
        <v>2.4954334272364047E-3</v>
      </c>
      <c r="I9" s="102">
        <v>3.5011591348186828E-2</v>
      </c>
      <c r="J9" s="100">
        <f t="shared" si="0"/>
        <v>3.1160316299886276E-2</v>
      </c>
      <c r="K9" s="103">
        <v>254.23851177178003</v>
      </c>
      <c r="L9" s="102">
        <v>1.1216977037398481E-2</v>
      </c>
      <c r="M9" s="104">
        <f t="shared" si="1"/>
        <v>9.8944534123337619E-2</v>
      </c>
      <c r="N9" s="98">
        <v>1</v>
      </c>
      <c r="O9" s="87">
        <v>8</v>
      </c>
      <c r="P9" s="88">
        <v>4</v>
      </c>
      <c r="Q9" s="34">
        <f t="shared" si="2"/>
        <v>0.99454099028434917</v>
      </c>
      <c r="R9" s="26">
        <f t="shared" si="2"/>
        <v>3.8947518782092256</v>
      </c>
      <c r="S9" s="26">
        <f t="shared" si="2"/>
        <v>8.3321712945968525</v>
      </c>
      <c r="T9" s="26">
        <f t="shared" si="2"/>
        <v>1.9963467417891238E-2</v>
      </c>
      <c r="U9" s="26">
        <f t="shared" si="2"/>
        <v>0.28009273078549463</v>
      </c>
      <c r="V9" s="26">
        <f t="shared" si="2"/>
        <v>0.24928253039909021</v>
      </c>
      <c r="W9" s="26">
        <f t="shared" si="2"/>
        <v>2033.9080941742402</v>
      </c>
      <c r="X9" s="26">
        <f t="shared" si="2"/>
        <v>8.9735816299187851E-2</v>
      </c>
      <c r="Y9" s="26">
        <f t="shared" si="2"/>
        <v>0.79155627298670095</v>
      </c>
    </row>
    <row r="10" spans="1:32" s="3" customFormat="1">
      <c r="A10" s="24" t="s">
        <v>132</v>
      </c>
      <c r="B10" s="29" t="s">
        <v>27</v>
      </c>
      <c r="C10" s="22">
        <v>300</v>
      </c>
      <c r="D10" s="22"/>
      <c r="E10" s="102">
        <v>0.12431762378554365</v>
      </c>
      <c r="F10" s="102">
        <v>0.4868439847761532</v>
      </c>
      <c r="G10" s="102">
        <v>1.0415214118246066</v>
      </c>
      <c r="H10" s="102">
        <v>2.4954334272364047E-3</v>
      </c>
      <c r="I10" s="102">
        <v>3.5011591348186828E-2</v>
      </c>
      <c r="J10" s="100">
        <f t="shared" si="0"/>
        <v>3.1160316299886276E-2</v>
      </c>
      <c r="K10" s="103">
        <v>254.23851177178003</v>
      </c>
      <c r="L10" s="102">
        <v>1.1216977037398481E-2</v>
      </c>
      <c r="M10" s="104">
        <f t="shared" si="1"/>
        <v>9.8944534123337619E-2</v>
      </c>
      <c r="N10" s="98">
        <v>1</v>
      </c>
      <c r="O10" s="87">
        <v>8</v>
      </c>
      <c r="P10" s="88">
        <v>4</v>
      </c>
      <c r="Q10" s="34">
        <f t="shared" si="2"/>
        <v>0.99454099028434917</v>
      </c>
      <c r="R10" s="26">
        <f t="shared" si="2"/>
        <v>3.8947518782092256</v>
      </c>
      <c r="S10" s="26">
        <f t="shared" si="2"/>
        <v>8.3321712945968525</v>
      </c>
      <c r="T10" s="26">
        <f t="shared" si="2"/>
        <v>1.9963467417891238E-2</v>
      </c>
      <c r="U10" s="26">
        <f t="shared" si="2"/>
        <v>0.28009273078549463</v>
      </c>
      <c r="V10" s="26">
        <f t="shared" si="2"/>
        <v>0.24928253039909021</v>
      </c>
      <c r="W10" s="26">
        <f t="shared" si="2"/>
        <v>2033.9080941742402</v>
      </c>
      <c r="X10" s="26">
        <f t="shared" si="2"/>
        <v>8.9735816299187851E-2</v>
      </c>
      <c r="Y10" s="26">
        <f t="shared" si="2"/>
        <v>0.79155627298670095</v>
      </c>
    </row>
    <row r="11" spans="1:32" s="3" customFormat="1">
      <c r="A11" s="24" t="s">
        <v>302</v>
      </c>
      <c r="B11" s="29" t="s">
        <v>27</v>
      </c>
      <c r="C11" s="22">
        <v>235</v>
      </c>
      <c r="D11" s="22"/>
      <c r="E11" s="102">
        <v>0.11792220738547983</v>
      </c>
      <c r="F11" s="102">
        <v>0.36512193352152528</v>
      </c>
      <c r="G11" s="102">
        <v>0.86781464282266541</v>
      </c>
      <c r="H11" s="102">
        <v>1.8739217498104396E-3</v>
      </c>
      <c r="I11" s="102">
        <v>2.9041712295589866E-2</v>
      </c>
      <c r="J11" s="100">
        <f t="shared" ref="J11:J12" si="3">0.89*I11</f>
        <v>2.5847123943074982E-2</v>
      </c>
      <c r="K11" s="103">
        <v>166.54541562452522</v>
      </c>
      <c r="L11" s="102">
        <v>1.063993297769634E-2</v>
      </c>
      <c r="M11" s="104">
        <f t="shared" ref="M11:M12" si="4">0.095*G11</f>
        <v>8.2442391068153209E-2</v>
      </c>
      <c r="N11" s="98">
        <v>1</v>
      </c>
      <c r="O11" s="87">
        <v>8</v>
      </c>
      <c r="P11" s="88">
        <v>10</v>
      </c>
      <c r="Q11" s="34">
        <f t="shared" si="2"/>
        <v>0.94337765908383864</v>
      </c>
      <c r="R11" s="26">
        <f t="shared" si="2"/>
        <v>2.9209754681722022</v>
      </c>
      <c r="S11" s="26">
        <f t="shared" si="2"/>
        <v>6.9425171425813232</v>
      </c>
      <c r="T11" s="26">
        <f t="shared" si="2"/>
        <v>1.4991373998483517E-2</v>
      </c>
      <c r="U11" s="26">
        <f t="shared" si="2"/>
        <v>0.23233369836471893</v>
      </c>
      <c r="V11" s="26">
        <f t="shared" si="2"/>
        <v>0.20677699154459986</v>
      </c>
      <c r="W11" s="26">
        <f t="shared" si="2"/>
        <v>1332.3633249962018</v>
      </c>
      <c r="X11" s="26">
        <f t="shared" si="2"/>
        <v>8.5119463821570721E-2</v>
      </c>
      <c r="Y11" s="26">
        <f t="shared" si="2"/>
        <v>0.65953912854522567</v>
      </c>
    </row>
    <row r="12" spans="1:32" s="3" customFormat="1">
      <c r="A12" s="24" t="s">
        <v>303</v>
      </c>
      <c r="B12" s="29" t="s">
        <v>27</v>
      </c>
      <c r="C12" s="22">
        <v>235</v>
      </c>
      <c r="D12" s="22"/>
      <c r="E12" s="102">
        <v>0.11792220738547983</v>
      </c>
      <c r="F12" s="102">
        <v>0.36512193352152528</v>
      </c>
      <c r="G12" s="102">
        <v>0.86781464282266541</v>
      </c>
      <c r="H12" s="102">
        <v>1.8739217498104396E-3</v>
      </c>
      <c r="I12" s="102">
        <v>2.9041712295589866E-2</v>
      </c>
      <c r="J12" s="100">
        <f t="shared" si="3"/>
        <v>2.5847123943074982E-2</v>
      </c>
      <c r="K12" s="103">
        <v>166.54541562452522</v>
      </c>
      <c r="L12" s="102">
        <v>1.063993297769634E-2</v>
      </c>
      <c r="M12" s="104">
        <f t="shared" si="4"/>
        <v>8.2442391068153209E-2</v>
      </c>
      <c r="N12" s="98">
        <v>1</v>
      </c>
      <c r="O12" s="87">
        <v>8</v>
      </c>
      <c r="P12" s="88">
        <v>10</v>
      </c>
      <c r="Q12" s="34">
        <f t="shared" si="2"/>
        <v>0.94337765908383864</v>
      </c>
      <c r="R12" s="26">
        <f t="shared" si="2"/>
        <v>2.9209754681722022</v>
      </c>
      <c r="S12" s="26">
        <f t="shared" si="2"/>
        <v>6.9425171425813232</v>
      </c>
      <c r="T12" s="26">
        <f t="shared" si="2"/>
        <v>1.4991373998483517E-2</v>
      </c>
      <c r="U12" s="26">
        <f t="shared" si="2"/>
        <v>0.23233369836471893</v>
      </c>
      <c r="V12" s="26">
        <f t="shared" si="2"/>
        <v>0.20677699154459986</v>
      </c>
      <c r="W12" s="26">
        <f t="shared" si="2"/>
        <v>1332.3633249962018</v>
      </c>
      <c r="X12" s="26">
        <f t="shared" si="2"/>
        <v>8.5119463821570721E-2</v>
      </c>
      <c r="Y12" s="26">
        <f t="shared" si="2"/>
        <v>0.65953912854522567</v>
      </c>
    </row>
    <row r="13" spans="1:32" s="3" customFormat="1">
      <c r="A13" s="30" t="s">
        <v>28</v>
      </c>
      <c r="B13" s="116"/>
      <c r="C13" s="117"/>
      <c r="D13" s="115"/>
      <c r="E13" s="118"/>
      <c r="F13" s="118"/>
      <c r="G13" s="118"/>
      <c r="H13" s="118"/>
      <c r="I13" s="118"/>
      <c r="J13" s="109"/>
      <c r="K13" s="119"/>
      <c r="L13" s="118"/>
      <c r="M13" s="120"/>
      <c r="N13" s="98"/>
      <c r="O13" s="98"/>
      <c r="P13" s="99"/>
      <c r="Q13" s="121">
        <f t="shared" ref="Q13:Y13" si="5">SUM(Q8:Q12)</f>
        <v>4.8703782890207243</v>
      </c>
      <c r="R13" s="121">
        <f t="shared" si="5"/>
        <v>17.526206570972082</v>
      </c>
      <c r="S13" s="121">
        <f t="shared" si="5"/>
        <v>38.881548168953202</v>
      </c>
      <c r="T13" s="121">
        <f t="shared" si="5"/>
        <v>8.9873150250640757E-2</v>
      </c>
      <c r="U13" s="121">
        <f t="shared" si="5"/>
        <v>1.3049455890859216</v>
      </c>
      <c r="V13" s="121">
        <f t="shared" si="5"/>
        <v>1.1614015742864703</v>
      </c>
      <c r="W13" s="121">
        <f t="shared" si="5"/>
        <v>8766.4509325151248</v>
      </c>
      <c r="X13" s="121">
        <f t="shared" si="5"/>
        <v>0.43944637654070495</v>
      </c>
      <c r="Y13" s="121">
        <f t="shared" si="5"/>
        <v>3.6937470760505544</v>
      </c>
    </row>
    <row r="14" spans="1:32" s="6" customFormat="1">
      <c r="A14" s="3" t="s">
        <v>103</v>
      </c>
      <c r="B14" s="1"/>
      <c r="C14" s="1"/>
      <c r="D14" s="1"/>
      <c r="E14" s="2"/>
      <c r="F14" s="2"/>
      <c r="G14" s="2"/>
      <c r="H14" s="2"/>
      <c r="I14" s="2"/>
      <c r="J14" s="2"/>
      <c r="K14" s="2"/>
      <c r="L14" s="2"/>
      <c r="M14" s="2"/>
      <c r="N14" s="3"/>
      <c r="O14"/>
      <c r="P14"/>
      <c r="Q14" s="86">
        <f>Q13</f>
        <v>4.8703782890207243</v>
      </c>
      <c r="R14" s="86">
        <f t="shared" ref="R14:Y14" si="6">R13</f>
        <v>17.526206570972082</v>
      </c>
      <c r="S14" s="86">
        <f t="shared" si="6"/>
        <v>38.881548168953202</v>
      </c>
      <c r="T14" s="86">
        <f t="shared" si="6"/>
        <v>8.9873150250640757E-2</v>
      </c>
      <c r="U14" s="86">
        <f t="shared" si="6"/>
        <v>1.3049455890859216</v>
      </c>
      <c r="V14" s="86">
        <f t="shared" si="6"/>
        <v>1.1614015742864703</v>
      </c>
      <c r="W14" s="86">
        <f t="shared" si="6"/>
        <v>8766.4509325151248</v>
      </c>
      <c r="X14" s="86">
        <f t="shared" si="6"/>
        <v>0.43944637654070495</v>
      </c>
      <c r="Y14" s="86">
        <f t="shared" si="6"/>
        <v>3.6937470760505544</v>
      </c>
      <c r="AF14" s="7"/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 xml:space="preserve">&amp;CTable B-7
Construction Heavy Equipment Emissions
TL 6910 Construction
</oddHeader>
    <oddFooter>&amp;CB-7</oddFooter>
  </headerFooter>
</worksheet>
</file>

<file path=xl/worksheets/sheet3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372"/>
  <sheetViews>
    <sheetView zoomScale="75" workbookViewId="0">
      <selection activeCell="C30" sqref="C30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42">
      <c r="A1" s="3" t="s">
        <v>832</v>
      </c>
    </row>
    <row r="2" spans="1:42">
      <c r="A2" s="83"/>
    </row>
    <row r="6" spans="1:42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32" t="s">
        <v>55</v>
      </c>
      <c r="H6" s="532" t="s">
        <v>56</v>
      </c>
      <c r="I6" s="528" t="s">
        <v>57</v>
      </c>
      <c r="J6" s="532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32" t="s">
        <v>61</v>
      </c>
      <c r="R6" s="528" t="s">
        <v>62</v>
      </c>
      <c r="S6" s="528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42" ht="63.75">
      <c r="A7" s="592"/>
      <c r="B7" s="592"/>
      <c r="C7" s="593"/>
      <c r="D7" s="593"/>
      <c r="E7" s="74" t="s">
        <v>67</v>
      </c>
      <c r="F7" s="74" t="s">
        <v>68</v>
      </c>
      <c r="G7" s="531" t="s">
        <v>69</v>
      </c>
      <c r="H7" s="41" t="s">
        <v>69</v>
      </c>
      <c r="I7" s="41" t="s">
        <v>69</v>
      </c>
      <c r="J7" s="41" t="s">
        <v>69</v>
      </c>
      <c r="K7" s="528" t="s">
        <v>69</v>
      </c>
      <c r="L7" s="528" t="s">
        <v>71</v>
      </c>
      <c r="M7" s="528" t="s">
        <v>72</v>
      </c>
      <c r="N7" s="528" t="s">
        <v>69</v>
      </c>
      <c r="O7" s="528" t="s">
        <v>71</v>
      </c>
      <c r="P7" s="528" t="s">
        <v>72</v>
      </c>
      <c r="Q7" s="41" t="s">
        <v>69</v>
      </c>
      <c r="R7" s="528" t="s">
        <v>69</v>
      </c>
      <c r="S7" s="528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42">
      <c r="A8" s="114" t="s">
        <v>417</v>
      </c>
      <c r="B8" s="74"/>
      <c r="C8" s="112"/>
      <c r="D8" s="112"/>
      <c r="E8" s="74"/>
      <c r="F8" s="74"/>
      <c r="G8" s="531"/>
      <c r="H8" s="41"/>
      <c r="I8" s="41"/>
      <c r="J8" s="41"/>
      <c r="K8" s="528"/>
      <c r="L8" s="528"/>
      <c r="M8" s="528"/>
      <c r="N8" s="528"/>
      <c r="O8" s="528"/>
      <c r="P8" s="528"/>
      <c r="Q8" s="41"/>
      <c r="R8" s="528"/>
      <c r="S8" s="528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  <c r="AE8" s="43"/>
      <c r="AF8" s="61"/>
      <c r="AG8" s="61"/>
      <c r="AH8" s="61"/>
      <c r="AI8" s="61"/>
      <c r="AJ8" s="61"/>
      <c r="AK8" s="61"/>
      <c r="AL8" s="62"/>
      <c r="AM8" s="62"/>
      <c r="AN8" s="63"/>
      <c r="AO8" s="61"/>
      <c r="AP8" s="61"/>
    </row>
    <row r="9" spans="1:42">
      <c r="A9" s="78" t="s">
        <v>302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C9*(F9)*$B$345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  <c r="AE9" s="43"/>
      <c r="AF9" s="61"/>
      <c r="AG9" s="61"/>
      <c r="AH9" s="61"/>
      <c r="AI9" s="61"/>
      <c r="AJ9" s="61"/>
      <c r="AK9" s="61"/>
      <c r="AL9" s="62"/>
      <c r="AM9" s="62"/>
      <c r="AN9" s="63"/>
      <c r="AO9" s="61"/>
      <c r="AP9" s="61"/>
    </row>
    <row r="10" spans="1:42">
      <c r="A10" s="78" t="s">
        <v>483</v>
      </c>
      <c r="B10" s="76" t="s">
        <v>95</v>
      </c>
      <c r="C10" s="79">
        <v>3</v>
      </c>
      <c r="D10" s="77"/>
      <c r="E10" s="77">
        <v>35</v>
      </c>
      <c r="F10" s="77">
        <v>60</v>
      </c>
      <c r="G10" s="106">
        <v>0.25172046482947802</v>
      </c>
      <c r="H10" s="106">
        <v>0.464701387165456</v>
      </c>
      <c r="I10" s="106">
        <v>5.6776043658582402E-2</v>
      </c>
      <c r="J10" s="106">
        <v>3.5023733638119199E-3</v>
      </c>
      <c r="K10" s="106">
        <v>4.6899256897933901E-2</v>
      </c>
      <c r="L10" s="47">
        <v>7.99995847163921E-3</v>
      </c>
      <c r="M10" s="47">
        <v>3.6749815577381599E-2</v>
      </c>
      <c r="N10" s="106">
        <v>4.3147317248333997E-2</v>
      </c>
      <c r="O10" s="47">
        <v>1.9999896145790402E-3</v>
      </c>
      <c r="P10" s="47">
        <v>1.57499200131354E-2</v>
      </c>
      <c r="Q10" s="106">
        <v>243.966167526025</v>
      </c>
      <c r="R10" s="47">
        <f>0.000057143*Q10</f>
        <v>1.3940958710939646E-2</v>
      </c>
      <c r="S10" s="80">
        <f>0.000025616*Q10</f>
        <v>6.2494373473466567E-3</v>
      </c>
      <c r="T10" s="50">
        <f>C10*($F10*$G10)/453.59</f>
        <v>9.9891275533645019E-2</v>
      </c>
      <c r="U10" s="50">
        <f>C10*($F10*$H10)/453.59</f>
        <v>0.18440937782971867</v>
      </c>
      <c r="V10" s="50">
        <f>C10*(($F10*$I10))/453.59</f>
        <v>2.253067276294635E-2</v>
      </c>
      <c r="W10" s="50">
        <f>C10*($F10*$J10)/453.59</f>
        <v>1.3898613406074772E-3</v>
      </c>
      <c r="X10" s="50">
        <f>C10*(($F10*($K10+$L10+$M10)))/453.59</f>
        <v>3.6369464870151122E-2</v>
      </c>
      <c r="Y10" s="50">
        <f>C10*(($F10*($N10+$O10+$P10)))/453.59</f>
        <v>2.4166098982977401E-2</v>
      </c>
      <c r="Z10" s="50">
        <f>C10*(F10)*$B$345</f>
        <v>0</v>
      </c>
      <c r="AA10" s="50">
        <f>Z10*0.21</f>
        <v>0</v>
      </c>
      <c r="AB10" s="50">
        <f>C10*(($F10*($Q10)))/453.59</f>
        <v>96.814105590256631</v>
      </c>
      <c r="AC10" s="50">
        <f>C10*(($F10*($R10)))/453.59</f>
        <v>5.5322484357440338E-3</v>
      </c>
      <c r="AD10" s="50">
        <f>C10*(($F10*($S10)))/453.59</f>
        <v>2.4799901288000137E-3</v>
      </c>
      <c r="AE10" s="43"/>
      <c r="AF10" s="61"/>
      <c r="AG10" s="61"/>
      <c r="AH10" s="61"/>
      <c r="AI10" s="61"/>
      <c r="AJ10" s="61"/>
      <c r="AK10" s="61"/>
      <c r="AL10" s="62"/>
      <c r="AM10" s="62"/>
      <c r="AN10" s="63"/>
      <c r="AO10" s="61"/>
      <c r="AP10" s="61"/>
    </row>
    <row r="11" spans="1:42">
      <c r="A11" s="75" t="s">
        <v>28</v>
      </c>
      <c r="B11" s="74"/>
      <c r="C11" s="112"/>
      <c r="D11" s="112"/>
      <c r="E11" s="74"/>
      <c r="F11" s="74"/>
      <c r="G11" s="531"/>
      <c r="H11" s="41"/>
      <c r="I11" s="41"/>
      <c r="J11" s="41"/>
      <c r="K11" s="528"/>
      <c r="L11" s="528"/>
      <c r="M11" s="528"/>
      <c r="N11" s="528"/>
      <c r="O11" s="528"/>
      <c r="P11" s="528"/>
      <c r="Q11" s="41"/>
      <c r="R11" s="528"/>
      <c r="S11" s="528"/>
      <c r="T11" s="81">
        <f>SUM(T9:T10)</f>
        <v>0.19978255106729004</v>
      </c>
      <c r="U11" s="81">
        <f t="shared" ref="U11:AD11" si="0">SUM(U9:U10)</f>
        <v>0.36881875565943734</v>
      </c>
      <c r="V11" s="81">
        <f t="shared" si="0"/>
        <v>4.50613455258927E-2</v>
      </c>
      <c r="W11" s="81">
        <f t="shared" si="0"/>
        <v>2.7797226812149543E-3</v>
      </c>
      <c r="X11" s="81">
        <f t="shared" si="0"/>
        <v>7.2738929740302244E-2</v>
      </c>
      <c r="Y11" s="81">
        <f t="shared" si="0"/>
        <v>4.8332197965954803E-2</v>
      </c>
      <c r="Z11" s="81">
        <f t="shared" si="0"/>
        <v>0</v>
      </c>
      <c r="AA11" s="81">
        <f t="shared" si="0"/>
        <v>0</v>
      </c>
      <c r="AB11" s="81">
        <f t="shared" si="0"/>
        <v>193.62821118051326</v>
      </c>
      <c r="AC11" s="81">
        <f t="shared" si="0"/>
        <v>1.1064496871488068E-2</v>
      </c>
      <c r="AD11" s="81">
        <f t="shared" si="0"/>
        <v>4.9599802576000274E-3</v>
      </c>
      <c r="AE11" s="56"/>
      <c r="AF11" s="81" t="e">
        <f>SUM(#REF!)</f>
        <v>#REF!</v>
      </c>
      <c r="AG11" s="81" t="e">
        <f>SUM(#REF!)</f>
        <v>#REF!</v>
      </c>
      <c r="AH11" s="81" t="e">
        <f>SUM(#REF!)</f>
        <v>#REF!</v>
      </c>
      <c r="AI11" s="81" t="e">
        <f>SUM(#REF!)</f>
        <v>#REF!</v>
      </c>
      <c r="AJ11" s="81" t="e">
        <f>SUM(#REF!)</f>
        <v>#REF!</v>
      </c>
      <c r="AK11" s="81" t="e">
        <f>SUM(#REF!)</f>
        <v>#REF!</v>
      </c>
      <c r="AL11" s="81" t="e">
        <f>SUM(#REF!)</f>
        <v>#REF!</v>
      </c>
      <c r="AM11" s="81" t="e">
        <f>SUM(#REF!)</f>
        <v>#REF!</v>
      </c>
      <c r="AN11" s="81" t="e">
        <f>SUM(#REF!)</f>
        <v>#REF!</v>
      </c>
      <c r="AO11" s="81" t="e">
        <f>SUM(#REF!)</f>
        <v>#REF!</v>
      </c>
      <c r="AP11" s="81" t="e">
        <f>SUM(#REF!)</f>
        <v>#REF!</v>
      </c>
    </row>
    <row r="12" spans="1:42">
      <c r="A12" s="75" t="s">
        <v>103</v>
      </c>
      <c r="B12" s="74"/>
      <c r="C12" s="112"/>
      <c r="D12" s="112"/>
      <c r="E12" s="74"/>
      <c r="F12" s="74"/>
      <c r="G12" s="531"/>
      <c r="H12" s="41"/>
      <c r="I12" s="41"/>
      <c r="J12" s="41"/>
      <c r="K12" s="528"/>
      <c r="L12" s="528"/>
      <c r="M12" s="528"/>
      <c r="N12" s="528"/>
      <c r="O12" s="528"/>
      <c r="P12" s="528"/>
      <c r="Q12" s="41"/>
      <c r="R12" s="528"/>
      <c r="S12" s="528"/>
      <c r="T12" s="81">
        <f>T11</f>
        <v>0.19978255106729004</v>
      </c>
      <c r="U12" s="81">
        <f t="shared" ref="U12:AD12" si="1">U11</f>
        <v>0.36881875565943734</v>
      </c>
      <c r="V12" s="81">
        <f t="shared" si="1"/>
        <v>4.50613455258927E-2</v>
      </c>
      <c r="W12" s="81">
        <f t="shared" si="1"/>
        <v>2.7797226812149543E-3</v>
      </c>
      <c r="X12" s="81">
        <f t="shared" si="1"/>
        <v>7.2738929740302244E-2</v>
      </c>
      <c r="Y12" s="81">
        <f t="shared" si="1"/>
        <v>4.8332197965954803E-2</v>
      </c>
      <c r="Z12" s="81">
        <f t="shared" si="1"/>
        <v>0</v>
      </c>
      <c r="AA12" s="81">
        <f t="shared" si="1"/>
        <v>0</v>
      </c>
      <c r="AB12" s="81">
        <f t="shared" si="1"/>
        <v>193.62821118051326</v>
      </c>
      <c r="AC12" s="81">
        <f t="shared" si="1"/>
        <v>1.1064496871488068E-2</v>
      </c>
      <c r="AD12" s="81">
        <f t="shared" si="1"/>
        <v>4.9599802576000274E-3</v>
      </c>
    </row>
    <row r="360" spans="1:1" ht="25.5">
      <c r="A360" s="82" t="s">
        <v>109</v>
      </c>
    </row>
    <row r="362" spans="1:1">
      <c r="A362" s="36" t="s">
        <v>81</v>
      </c>
    </row>
    <row r="363" spans="1:1">
      <c r="A363" s="36" t="s">
        <v>82</v>
      </c>
    </row>
    <row r="364" spans="1:1">
      <c r="A364" s="36" t="s">
        <v>83</v>
      </c>
    </row>
    <row r="365" spans="1:1">
      <c r="A365" s="37" t="s">
        <v>96</v>
      </c>
    </row>
    <row r="366" spans="1:1">
      <c r="A366" s="36" t="s">
        <v>85</v>
      </c>
    </row>
    <row r="367" spans="1:1">
      <c r="A367" s="36" t="s">
        <v>86</v>
      </c>
    </row>
    <row r="368" spans="1:1">
      <c r="A368" s="36" t="s">
        <v>87</v>
      </c>
    </row>
    <row r="369" spans="1:2">
      <c r="A369" s="36" t="s">
        <v>0</v>
      </c>
    </row>
    <row r="370" spans="1:2">
      <c r="A370" s="37" t="s">
        <v>97</v>
      </c>
      <c r="B370" s="36">
        <f>(0.016*(0.03/2)^0.65*(2/3)^1.5)-0.00047</f>
        <v>9.8123053326417428E-5</v>
      </c>
    </row>
    <row r="371" spans="1:2">
      <c r="A371" s="37" t="s">
        <v>98</v>
      </c>
      <c r="B371" s="36">
        <f>(0.016*(0.03/2)^0.65*(13/3)^1.5)-0.00047</f>
        <v>8.9448292388582783E-3</v>
      </c>
    </row>
    <row r="372" spans="1:2">
      <c r="A372" s="37" t="s">
        <v>99</v>
      </c>
      <c r="B372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B-8
Construction Truck Trip Emissions
TL 6910 Construction</oddHeader>
    <oddFooter>&amp;CB-8</oddFooter>
  </headerFooter>
</worksheet>
</file>

<file path=xl/worksheets/sheet3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C99" sqref="C99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833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31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28" t="s">
        <v>69</v>
      </c>
      <c r="S3" s="42" t="s">
        <v>118</v>
      </c>
      <c r="T3" s="528" t="s">
        <v>71</v>
      </c>
      <c r="U3" s="528" t="s">
        <v>72</v>
      </c>
      <c r="V3" s="528" t="s">
        <v>69</v>
      </c>
      <c r="W3" s="42" t="s">
        <v>118</v>
      </c>
      <c r="X3" s="528" t="s">
        <v>71</v>
      </c>
      <c r="Y3" s="528" t="s">
        <v>72</v>
      </c>
      <c r="Z3" s="41" t="s">
        <v>69</v>
      </c>
      <c r="AA3" s="42" t="s">
        <v>118</v>
      </c>
      <c r="AB3" s="528" t="s">
        <v>69</v>
      </c>
      <c r="AC3" s="42" t="s">
        <v>118</v>
      </c>
      <c r="AD3" s="528" t="s">
        <v>69</v>
      </c>
      <c r="AE3" s="42" t="s">
        <v>118</v>
      </c>
    </row>
    <row r="4" spans="1:67" ht="25.5">
      <c r="A4" s="44" t="s">
        <v>417</v>
      </c>
      <c r="B4" s="45" t="s">
        <v>102</v>
      </c>
      <c r="C4" s="46">
        <v>12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530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529" t="s">
        <v>55</v>
      </c>
      <c r="G87" s="529" t="s">
        <v>73</v>
      </c>
      <c r="H87" s="529" t="s">
        <v>74</v>
      </c>
      <c r="I87" s="529" t="s">
        <v>58</v>
      </c>
      <c r="J87" s="529" t="s">
        <v>59</v>
      </c>
      <c r="K87" s="529" t="s">
        <v>60</v>
      </c>
      <c r="L87" s="528" t="s">
        <v>75</v>
      </c>
      <c r="M87" s="528" t="s">
        <v>76</v>
      </c>
      <c r="N87" s="528" t="s">
        <v>61</v>
      </c>
      <c r="O87" s="528" t="s">
        <v>62</v>
      </c>
      <c r="P87" s="528" t="s">
        <v>63</v>
      </c>
      <c r="AN87" s="38"/>
      <c r="AZ87" s="36"/>
    </row>
    <row r="88" spans="1:52" ht="25.5">
      <c r="A88" s="44" t="s">
        <v>417</v>
      </c>
      <c r="B88" s="45" t="str">
        <f>B4</f>
        <v>Light-Duty Truck, catalyst</v>
      </c>
      <c r="C88" s="46">
        <f>C4</f>
        <v>12</v>
      </c>
      <c r="D88" s="46">
        <v>35</v>
      </c>
      <c r="E88" s="46">
        <v>80</v>
      </c>
      <c r="F88" s="50">
        <f>C4*($E4*$F4+($G4))/453.59</f>
        <v>5.8286326305710405</v>
      </c>
      <c r="G88" s="50">
        <f>C4*($E4*$H4+($I4))/453.59</f>
        <v>0.52404788753253606</v>
      </c>
      <c r="H88" s="50">
        <f>C4*(($E4*$J4)+($K4)+($L4)+($E4*$N4)+(($M4+$O4)))/453.59</f>
        <v>0.60599976388743992</v>
      </c>
      <c r="I88" s="50">
        <f>C4*($E4*$P4+($Q4))/453.59</f>
        <v>8.7215643259273903E-3</v>
      </c>
      <c r="J88" s="50">
        <f>C4*(($E4*($R4+$T4+$U4))+($S4))/453.59</f>
        <v>0.10228908546249475</v>
      </c>
      <c r="K88" s="50">
        <f>$C4*(($E4*($V4+$X4+$Y4))+($W4))/453.59</f>
        <v>4.4544063891037704E-2</v>
      </c>
      <c r="L88" s="50">
        <f>$B$21*C4*(E4+6)</f>
        <v>0.10126299103286279</v>
      </c>
      <c r="M88" s="50">
        <f t="shared" ref="M88" si="52">0.41*L88</f>
        <v>4.1517826323473742E-2</v>
      </c>
      <c r="N88" s="50">
        <f>C4*($E4*$Z4+($AA4))/453.59</f>
        <v>665.08292071246683</v>
      </c>
      <c r="O88" s="50">
        <f>C4*($E4*$AB4+($AC4))/453.59</f>
        <v>3.804570466836299E-2</v>
      </c>
      <c r="P88" s="50">
        <f>C4*($E4*$AD4+($AE4))/453.59</f>
        <v>6.9253438966120323E-2</v>
      </c>
      <c r="AN88" s="38"/>
      <c r="AZ88" s="36"/>
    </row>
    <row r="89" spans="1:52">
      <c r="A89" s="61" t="s">
        <v>396</v>
      </c>
      <c r="B89" s="61"/>
      <c r="C89" s="61"/>
      <c r="D89" s="61"/>
      <c r="E89" s="61"/>
      <c r="F89" s="81">
        <f t="shared" ref="F89:P89" si="53">SUM(F88:F88)</f>
        <v>5.8286326305710405</v>
      </c>
      <c r="G89" s="81">
        <f t="shared" si="53"/>
        <v>0.52404788753253606</v>
      </c>
      <c r="H89" s="81">
        <f t="shared" si="53"/>
        <v>0.60599976388743992</v>
      </c>
      <c r="I89" s="81">
        <f t="shared" si="53"/>
        <v>8.7215643259273903E-3</v>
      </c>
      <c r="J89" s="81">
        <f t="shared" si="53"/>
        <v>0.10228908546249475</v>
      </c>
      <c r="K89" s="81">
        <f t="shared" si="53"/>
        <v>4.4544063891037704E-2</v>
      </c>
      <c r="L89" s="81">
        <f t="shared" si="53"/>
        <v>0.10126299103286279</v>
      </c>
      <c r="M89" s="81">
        <f t="shared" si="53"/>
        <v>4.1517826323473742E-2</v>
      </c>
      <c r="N89" s="81">
        <f t="shared" si="53"/>
        <v>665.08292071246683</v>
      </c>
      <c r="O89" s="81">
        <f t="shared" si="53"/>
        <v>3.804570466836299E-2</v>
      </c>
      <c r="P89" s="81">
        <f t="shared" si="53"/>
        <v>6.9253438966120323E-2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B-9
Construction Worker Commute Emission Calculations
TL 6910 Construction</oddHeader>
    <oddFooter>&amp;CB-9</oddFooter>
  </headerFooter>
</worksheet>
</file>

<file path=xl/worksheets/sheet3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2"/>
  <sheetViews>
    <sheetView zoomScale="75" zoomScaleNormal="75" workbookViewId="0">
      <selection activeCell="B38" sqref="B38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834</v>
      </c>
    </row>
    <row r="2" spans="1:25">
      <c r="A2" s="83"/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19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304</v>
      </c>
      <c r="B7" s="29">
        <v>2015</v>
      </c>
      <c r="C7" s="22"/>
      <c r="D7" s="18"/>
      <c r="E7" s="23"/>
      <c r="F7" s="23"/>
      <c r="G7" s="23"/>
      <c r="H7" s="23"/>
      <c r="I7" s="23"/>
      <c r="J7" s="24"/>
      <c r="K7" s="25"/>
      <c r="L7" s="23"/>
      <c r="M7" s="33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 t="s">
        <v>119</v>
      </c>
      <c r="B8" s="90" t="s">
        <v>27</v>
      </c>
      <c r="C8" s="97">
        <v>78</v>
      </c>
      <c r="D8" s="97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9" si="0">0.89*I8</f>
        <v>2.2038095238095235E-2</v>
      </c>
      <c r="K8" s="103">
        <v>46.950229824177143</v>
      </c>
      <c r="L8" s="102">
        <v>6.837183977115969E-3</v>
      </c>
      <c r="M8" s="104">
        <f t="shared" ref="M8:M9" si="1">0.095*G8</f>
        <v>3.7022555555555545E-2</v>
      </c>
      <c r="N8" s="98">
        <v>1</v>
      </c>
      <c r="O8" s="98">
        <v>6</v>
      </c>
      <c r="P8" s="88">
        <v>40</v>
      </c>
      <c r="Q8" s="34">
        <f t="shared" ref="Q8:Y9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113" t="s">
        <v>305</v>
      </c>
      <c r="B9" s="29" t="s">
        <v>27</v>
      </c>
      <c r="C9" s="97">
        <v>235</v>
      </c>
      <c r="D9" s="97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87">
        <v>1</v>
      </c>
      <c r="O9" s="87">
        <v>2</v>
      </c>
      <c r="P9" s="99">
        <v>40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17" t="s">
        <v>28</v>
      </c>
      <c r="B10" s="29"/>
      <c r="C10" s="97"/>
      <c r="D10" s="12"/>
      <c r="E10" s="102"/>
      <c r="F10" s="102"/>
      <c r="G10" s="102"/>
      <c r="H10" s="102"/>
      <c r="I10" s="102"/>
      <c r="J10" s="100"/>
      <c r="K10" s="103"/>
      <c r="L10" s="102"/>
      <c r="M10" s="104"/>
      <c r="N10" s="98"/>
      <c r="O10" s="98"/>
      <c r="P10" s="99"/>
      <c r="Q10" s="101">
        <f t="shared" ref="Q10:Y10" si="3">SUM(Q8:Q9)</f>
        <v>0.61044079959177677</v>
      </c>
      <c r="R10" s="101">
        <f t="shared" si="3"/>
        <v>2.5626248194240024</v>
      </c>
      <c r="S10" s="101">
        <f t="shared" si="3"/>
        <v>4.0738959523119966</v>
      </c>
      <c r="T10" s="101">
        <f t="shared" si="3"/>
        <v>7.0523446396705937E-3</v>
      </c>
      <c r="U10" s="101">
        <f t="shared" si="3"/>
        <v>0.20665485316260829</v>
      </c>
      <c r="V10" s="101">
        <f t="shared" si="3"/>
        <v>0.18392281931472138</v>
      </c>
      <c r="W10" s="101">
        <f t="shared" si="3"/>
        <v>614.7922101941133</v>
      </c>
      <c r="X10" s="101">
        <f t="shared" si="3"/>
        <v>6.2302969818088499E-2</v>
      </c>
      <c r="Y10" s="101">
        <f t="shared" si="3"/>
        <v>0.38702011546963966</v>
      </c>
    </row>
    <row r="11" spans="1:25" s="3" customFormat="1">
      <c r="A11" s="24"/>
      <c r="B11" s="29"/>
      <c r="C11" s="97"/>
      <c r="D11" s="12"/>
      <c r="E11" s="102"/>
      <c r="F11" s="102"/>
      <c r="G11" s="102"/>
      <c r="H11" s="102"/>
      <c r="I11" s="102"/>
      <c r="J11" s="100"/>
      <c r="K11" s="103"/>
      <c r="L11" s="102"/>
      <c r="M11" s="104"/>
      <c r="N11" s="98"/>
      <c r="O11" s="98"/>
      <c r="P11" s="99"/>
      <c r="Q11" s="34"/>
      <c r="R11" s="26"/>
      <c r="S11" s="26"/>
      <c r="T11" s="26"/>
      <c r="U11" s="26"/>
      <c r="V11" s="26"/>
      <c r="W11" s="26"/>
      <c r="X11" s="26"/>
      <c r="Y11" s="26"/>
    </row>
    <row r="12" spans="1:25" s="3" customFormat="1">
      <c r="A12" s="17" t="s">
        <v>306</v>
      </c>
      <c r="B12" s="29"/>
      <c r="C12" s="97"/>
      <c r="D12" s="12"/>
      <c r="E12" s="102"/>
      <c r="F12" s="102"/>
      <c r="G12" s="102"/>
      <c r="H12" s="102"/>
      <c r="I12" s="102"/>
      <c r="J12" s="100"/>
      <c r="K12" s="103"/>
      <c r="L12" s="102"/>
      <c r="M12" s="104"/>
      <c r="N12" s="98"/>
      <c r="O12" s="98"/>
      <c r="P12" s="99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32" t="s">
        <v>112</v>
      </c>
      <c r="B13" s="29" t="s">
        <v>27</v>
      </c>
      <c r="C13" s="97">
        <v>235</v>
      </c>
      <c r="D13" s="97"/>
      <c r="E13" s="102">
        <v>0.11792220738547983</v>
      </c>
      <c r="F13" s="102">
        <v>0.36512193352152528</v>
      </c>
      <c r="G13" s="102">
        <v>0.86781464282266541</v>
      </c>
      <c r="H13" s="102">
        <v>1.8739217498104396E-3</v>
      </c>
      <c r="I13" s="102">
        <v>2.9041712295589866E-2</v>
      </c>
      <c r="J13" s="100">
        <f t="shared" ref="J13" si="4">0.89*I13</f>
        <v>2.5847123943074982E-2</v>
      </c>
      <c r="K13" s="103">
        <v>166.54541562452522</v>
      </c>
      <c r="L13" s="102">
        <v>1.063993297769634E-2</v>
      </c>
      <c r="M13" s="104">
        <f t="shared" ref="M13" si="5">0.095*G13</f>
        <v>8.2442391068153209E-2</v>
      </c>
      <c r="N13" s="87">
        <v>3</v>
      </c>
      <c r="O13" s="87">
        <v>8</v>
      </c>
      <c r="P13" s="88">
        <v>1</v>
      </c>
      <c r="Q13" s="34">
        <f t="shared" ref="Q13:Y20" si="6">(E13*$N13*$O13)</f>
        <v>2.830132977251516</v>
      </c>
      <c r="R13" s="26">
        <f t="shared" si="6"/>
        <v>8.7629264045166071</v>
      </c>
      <c r="S13" s="26">
        <f t="shared" si="6"/>
        <v>20.82755142774397</v>
      </c>
      <c r="T13" s="26">
        <f t="shared" si="6"/>
        <v>4.4974121995450547E-2</v>
      </c>
      <c r="U13" s="26">
        <f t="shared" si="6"/>
        <v>0.69700109509415675</v>
      </c>
      <c r="V13" s="26">
        <f t="shared" si="6"/>
        <v>0.6203309746337996</v>
      </c>
      <c r="W13" s="26">
        <f t="shared" si="6"/>
        <v>3997.0899749886053</v>
      </c>
      <c r="X13" s="26">
        <f t="shared" si="6"/>
        <v>0.25535839146471218</v>
      </c>
      <c r="Y13" s="26">
        <f t="shared" si="6"/>
        <v>1.978617385635677</v>
      </c>
    </row>
    <row r="14" spans="1:25" s="3" customFormat="1">
      <c r="A14" s="24" t="s">
        <v>111</v>
      </c>
      <c r="B14" s="29" t="s">
        <v>27</v>
      </c>
      <c r="C14" s="97">
        <v>82</v>
      </c>
      <c r="D14" s="22">
        <v>0.5</v>
      </c>
      <c r="E14" s="102">
        <v>3.490161163394627E-2</v>
      </c>
      <c r="F14" s="397">
        <f>IF($C14&lt;11,'Offroad Tiers EF (2)'!$AB$4*$C14*$D14,IF($C14&lt;25,'Offroad Tiers EF (2)'!$AB$5*$C14*$D14,IF($C14&lt;50,'Offroad Tiers EF (2)'!$AB$6*$C14*$D14,IF($C14&lt;75,'Offroad Tiers EF (2)'!$AB$7*$C14*$D14,IF($C14&lt;100,'Offroad Tiers EF (2)'!$AB$8*$C14*$D14,IF($C14&lt;175,'Offroad Tiers EF (2)'!$AB$9*$C14*$D14,IF($C14&lt;300,'Offroad Tiers EF (2)'!$AB$10*$C14*$D14,IF($C14&lt;600,'Offroad Tiers EF (2)'!$AB$11*$C14*$D14,"!"))))))))</f>
        <v>0.33443562610229277</v>
      </c>
      <c r="G14" s="397">
        <f>IF($C14&lt;11,'Offroad Tiers EF (2)'!$Z$4*$C14*$D14,IF($C14&lt;25,'Offroad Tiers EF (2)'!$Z$5*$C14*$D14,IF($C14&lt;50,'Offroad Tiers EF (2)'!$Z$6*$C14*$D14,IF($C14&lt;75,'Offroad Tiers EF (2)'!$Z$7*$C14*$D14,IF($C14&lt;100,'Offroad Tiers EF (2)'!$Z$8*$C14*$D14,IF($C14&lt;175,'Offroad Tiers EF (2)'!$Z$9*$C14*$D14,IF($C14&lt;300,'Offroad Tiers EF (2)'!$Z$10*$C14*$D14,IF($C14&lt;600,'Offroad Tiers EF (2)'!$Z$11*$C14*$D14,"!"))))))))</f>
        <v>0.48086419753086407</v>
      </c>
      <c r="H14" s="102">
        <v>9.0467809247651214E-4</v>
      </c>
      <c r="I14" s="397">
        <f>IF($C14&lt;11,'Offroad Tiers EF (2)'!$AD$4*$C14*$D14,IF($C14&lt;25,'Offroad Tiers EF (2)'!$AD$5*$C14*$D14,IF($C14&lt;50,'Offroad Tiers EF (2)'!$AD$6*$C14*$D14,IF($C14&lt;75,'Offroad Tiers EF (2)'!$AD$7*$C14*$D14,IF($C14&lt;100,'Offroad Tiers EF (2)'!$AD$8*$C14*$D14,IF($C14&lt;175,'Offroad Tiers EF (2)'!$AD$9*$C14*$D14,IF($C14&lt;300,'Offroad Tiers EF (2)'!$AD$10*$C14*$D14,IF($C14&lt;600,'Offroad Tiers EF (2)'!$AD$11*$C14*$D14,"!"))))))))</f>
        <v>2.7116402116402115E-2</v>
      </c>
      <c r="J14" s="100">
        <f t="shared" ref="J14:J20" si="7">0.89*I14</f>
        <v>2.4133597883597882E-2</v>
      </c>
      <c r="K14" s="103">
        <v>77.121751200869411</v>
      </c>
      <c r="L14" s="102">
        <v>3.6861995629678865E-3</v>
      </c>
      <c r="M14" s="104">
        <f t="shared" ref="M14:M20" si="8">0.095*G14</f>
        <v>4.568209876543209E-2</v>
      </c>
      <c r="N14" s="87">
        <v>1</v>
      </c>
      <c r="O14" s="87">
        <v>6</v>
      </c>
      <c r="P14" s="88">
        <v>3</v>
      </c>
      <c r="Q14" s="34">
        <f t="shared" si="6"/>
        <v>0.20940966980367762</v>
      </c>
      <c r="R14" s="26">
        <f t="shared" si="6"/>
        <v>2.0066137566137567</v>
      </c>
      <c r="S14" s="26">
        <f t="shared" si="6"/>
        <v>2.8851851851851844</v>
      </c>
      <c r="T14" s="26">
        <f t="shared" si="6"/>
        <v>5.4280685548590731E-3</v>
      </c>
      <c r="U14" s="26">
        <f t="shared" si="6"/>
        <v>0.16269841269841268</v>
      </c>
      <c r="V14" s="26">
        <f t="shared" si="6"/>
        <v>0.14480158730158729</v>
      </c>
      <c r="W14" s="26">
        <f t="shared" si="6"/>
        <v>462.73050720521644</v>
      </c>
      <c r="X14" s="26">
        <f t="shared" si="6"/>
        <v>2.2117197377807318E-2</v>
      </c>
      <c r="Y14" s="26">
        <f t="shared" si="6"/>
        <v>0.27409259259259255</v>
      </c>
    </row>
    <row r="15" spans="1:25" s="3" customFormat="1">
      <c r="A15" s="32" t="s">
        <v>125</v>
      </c>
      <c r="B15" s="29" t="s">
        <v>27</v>
      </c>
      <c r="C15" s="97">
        <v>87</v>
      </c>
      <c r="D15" s="22">
        <v>0.37</v>
      </c>
      <c r="E15" s="413">
        <v>5.2437519504869065E-2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0.26257275132275132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0.33506412037037031</v>
      </c>
      <c r="H15" s="413">
        <v>6.0679618797898508E-4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2.1289682539682539E-2</v>
      </c>
      <c r="J15" s="100">
        <f t="shared" si="7"/>
        <v>1.894781746031746E-2</v>
      </c>
      <c r="K15" s="413">
        <v>51.728016924248784</v>
      </c>
      <c r="L15" s="413">
        <v>5.7223017989158831E-3</v>
      </c>
      <c r="M15" s="102">
        <f t="shared" si="8"/>
        <v>3.1831091435185178E-2</v>
      </c>
      <c r="N15" s="87">
        <v>1</v>
      </c>
      <c r="O15" s="87">
        <v>1</v>
      </c>
      <c r="P15" s="88">
        <v>3</v>
      </c>
      <c r="Q15" s="34">
        <f t="shared" si="6"/>
        <v>5.2437519504869065E-2</v>
      </c>
      <c r="R15" s="26">
        <f t="shared" si="6"/>
        <v>0.26257275132275132</v>
      </c>
      <c r="S15" s="26">
        <f t="shared" si="6"/>
        <v>0.33506412037037031</v>
      </c>
      <c r="T15" s="26">
        <f t="shared" si="6"/>
        <v>6.0679618797898508E-4</v>
      </c>
      <c r="U15" s="26">
        <f t="shared" si="6"/>
        <v>2.1289682539682539E-2</v>
      </c>
      <c r="V15" s="26">
        <f t="shared" si="6"/>
        <v>1.894781746031746E-2</v>
      </c>
      <c r="W15" s="26">
        <f t="shared" si="6"/>
        <v>51.728016924248784</v>
      </c>
      <c r="X15" s="26">
        <f t="shared" si="6"/>
        <v>5.7223017989158831E-3</v>
      </c>
      <c r="Y15" s="26">
        <f t="shared" si="6"/>
        <v>3.1831091435185178E-2</v>
      </c>
    </row>
    <row r="16" spans="1:25" s="3" customFormat="1">
      <c r="A16" s="100" t="s">
        <v>290</v>
      </c>
      <c r="B16" s="29" t="s">
        <v>27</v>
      </c>
      <c r="C16" s="97">
        <v>83</v>
      </c>
      <c r="D16" s="97">
        <v>0.4</v>
      </c>
      <c r="E16" s="102">
        <v>7.2866722082413127E-2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0.27081128747795413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0.34557716049382714</v>
      </c>
      <c r="H16" s="102">
        <v>7.3256850739065386E-4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2.1957671957671957E-2</v>
      </c>
      <c r="J16" s="100">
        <f t="shared" si="7"/>
        <v>1.9542328042328042E-2</v>
      </c>
      <c r="K16" s="103">
        <v>62.449820864610082</v>
      </c>
      <c r="L16" s="102">
        <v>7.9115127888880251E-3</v>
      </c>
      <c r="M16" s="104">
        <f t="shared" si="8"/>
        <v>3.2829830246913577E-2</v>
      </c>
      <c r="N16" s="98">
        <v>1</v>
      </c>
      <c r="O16" s="98">
        <v>6</v>
      </c>
      <c r="P16" s="99">
        <v>3</v>
      </c>
      <c r="Q16" s="34">
        <f t="shared" si="6"/>
        <v>0.43720033249447876</v>
      </c>
      <c r="R16" s="26">
        <f t="shared" si="6"/>
        <v>1.6248677248677248</v>
      </c>
      <c r="S16" s="26">
        <f t="shared" si="6"/>
        <v>2.0734629629629628</v>
      </c>
      <c r="T16" s="26">
        <f t="shared" si="6"/>
        <v>4.3954110443439227E-3</v>
      </c>
      <c r="U16" s="26">
        <f t="shared" si="6"/>
        <v>0.13174603174603175</v>
      </c>
      <c r="V16" s="26">
        <f t="shared" si="6"/>
        <v>0.11725396825396825</v>
      </c>
      <c r="W16" s="26">
        <f t="shared" si="6"/>
        <v>374.69892518766051</v>
      </c>
      <c r="X16" s="26">
        <f t="shared" si="6"/>
        <v>4.7469076733328147E-2</v>
      </c>
      <c r="Y16" s="26">
        <f t="shared" si="6"/>
        <v>0.19697898148148146</v>
      </c>
    </row>
    <row r="17" spans="1:32" s="3" customFormat="1">
      <c r="A17" s="24" t="s">
        <v>124</v>
      </c>
      <c r="B17" s="29" t="s">
        <v>27</v>
      </c>
      <c r="C17" s="97">
        <v>200</v>
      </c>
      <c r="D17" s="22">
        <v>0.37</v>
      </c>
      <c r="E17" s="102">
        <v>0.10222261999421943</v>
      </c>
      <c r="F17" s="397">
        <f>IF($C17&lt;11,'Offroad Tiers EF (2)'!$AB$4*$C17*$D17,IF($C17&lt;25,'Offroad Tiers EF (2)'!$AB$5*$C17*$D17,IF($C17&lt;50,'Offroad Tiers EF (2)'!$AB$6*$C17*$D17,IF($C17&lt;75,'Offroad Tiers EF (2)'!$AB$7*$C17*$D17,IF($C17&lt;100,'Offroad Tiers EF (2)'!$AB$8*$C17*$D17,IF($C17&lt;175,'Offroad Tiers EF (2)'!$AB$9*$C17*$D17,IF($C17&lt;300,'Offroad Tiers EF (2)'!$AB$10*$C17*$D17,IF($C17&lt;600,'Offroad Tiers EF (2)'!$AB$11*$C17*$D17,"!"))))))))</f>
        <v>0.42416225749559078</v>
      </c>
      <c r="G17" s="397">
        <f>IF($C17&lt;11,'Offroad Tiers EF (2)'!$Z$4*$C17*$D17,IF($C17&lt;25,'Offroad Tiers EF (2)'!$Z$5*$C17*$D17,IF($C17&lt;50,'Offroad Tiers EF (2)'!$Z$6*$C17*$D17,IF($C17&lt;75,'Offroad Tiers EF (2)'!$Z$7*$C17*$D17,IF($C17&lt;100,'Offroad Tiers EF (2)'!$Z$8*$C17*$D17,IF($C17&lt;175,'Offroad Tiers EF (2)'!$Z$9*$C17*$D17,IF($C17&lt;300,'Offroad Tiers EF (2)'!$Z$10*$C17*$D17,IF($C17&lt;600,'Offroad Tiers EF (2)'!$Z$11*$C17*$D17,"!"))))))))</f>
        <v>0.75941358024691352</v>
      </c>
      <c r="H17" s="102">
        <v>1.6762433174919141E-3</v>
      </c>
      <c r="I17" s="397">
        <f>IF($C17&lt;11,'Offroad Tiers EF (2)'!$AD$4*$C17*$D17,IF($C17&lt;25,'Offroad Tiers EF (2)'!$AD$5*$C17*$D17,IF($C17&lt;50,'Offroad Tiers EF (2)'!$AD$6*$C17*$D17,IF($C17&lt;75,'Offroad Tiers EF (2)'!$AD$7*$C17*$D17,IF($C17&lt;100,'Offroad Tiers EF (2)'!$AD$8*$C17*$D17,IF($C17&lt;175,'Offroad Tiers EF (2)'!$AD$9*$C17*$D17,IF($C17&lt;300,'Offroad Tiers EF (2)'!$AD$10*$C17*$D17,IF($C17&lt;600,'Offroad Tiers EF (2)'!$AD$11*$C17*$D17,"!"))))))))</f>
        <v>2.447089947089947E-2</v>
      </c>
      <c r="J17" s="100">
        <f t="shared" si="7"/>
        <v>2.177910052910053E-2</v>
      </c>
      <c r="K17" s="103">
        <v>148.97668540843296</v>
      </c>
      <c r="L17" s="102">
        <v>1.0701052872891326E-2</v>
      </c>
      <c r="M17" s="102">
        <f t="shared" si="8"/>
        <v>7.2144290123456786E-2</v>
      </c>
      <c r="N17" s="98">
        <v>1</v>
      </c>
      <c r="O17" s="87">
        <v>6</v>
      </c>
      <c r="P17" s="363">
        <v>5</v>
      </c>
      <c r="Q17" s="34">
        <f t="shared" si="6"/>
        <v>0.61333571996531655</v>
      </c>
      <c r="R17" s="26">
        <f t="shared" si="6"/>
        <v>2.5449735449735447</v>
      </c>
      <c r="S17" s="26">
        <f t="shared" si="6"/>
        <v>4.5564814814814811</v>
      </c>
      <c r="T17" s="26">
        <f t="shared" si="6"/>
        <v>1.0057459904951485E-2</v>
      </c>
      <c r="U17" s="26">
        <f t="shared" si="6"/>
        <v>0.1468253968253968</v>
      </c>
      <c r="V17" s="26">
        <f t="shared" si="6"/>
        <v>0.13067460317460317</v>
      </c>
      <c r="W17" s="26">
        <f t="shared" si="6"/>
        <v>893.86011245059774</v>
      </c>
      <c r="X17" s="26">
        <f t="shared" si="6"/>
        <v>6.420631723734796E-2</v>
      </c>
      <c r="Y17" s="26">
        <f t="shared" si="6"/>
        <v>0.43286574074074069</v>
      </c>
    </row>
    <row r="18" spans="1:32" s="3" customFormat="1">
      <c r="A18" s="113" t="s">
        <v>307</v>
      </c>
      <c r="B18" s="29" t="s">
        <v>27</v>
      </c>
      <c r="C18" s="97">
        <v>175</v>
      </c>
      <c r="D18" s="97"/>
      <c r="E18" s="102">
        <v>0.11792220738547983</v>
      </c>
      <c r="F18" s="102">
        <v>0.36512193352152528</v>
      </c>
      <c r="G18" s="102">
        <v>0.86781464282266541</v>
      </c>
      <c r="H18" s="102">
        <v>1.8739217498104396E-3</v>
      </c>
      <c r="I18" s="102">
        <v>2.9041712295589866E-2</v>
      </c>
      <c r="J18" s="100">
        <f t="shared" si="7"/>
        <v>2.5847123943074982E-2</v>
      </c>
      <c r="K18" s="103">
        <v>166.54541562452522</v>
      </c>
      <c r="L18" s="102">
        <v>1.063993297769634E-2</v>
      </c>
      <c r="M18" s="104">
        <f t="shared" si="8"/>
        <v>8.2442391068153209E-2</v>
      </c>
      <c r="N18" s="87">
        <v>1</v>
      </c>
      <c r="O18" s="87">
        <v>3</v>
      </c>
      <c r="P18" s="99">
        <v>20</v>
      </c>
      <c r="Q18" s="34">
        <f t="shared" si="6"/>
        <v>0.3537666221564395</v>
      </c>
      <c r="R18" s="26">
        <f t="shared" si="6"/>
        <v>1.0953658005645759</v>
      </c>
      <c r="S18" s="26">
        <f t="shared" si="6"/>
        <v>2.6034439284679962</v>
      </c>
      <c r="T18" s="26">
        <f t="shared" si="6"/>
        <v>5.6217652494313184E-3</v>
      </c>
      <c r="U18" s="26">
        <f t="shared" si="6"/>
        <v>8.7125136886769594E-2</v>
      </c>
      <c r="V18" s="26">
        <f t="shared" si="6"/>
        <v>7.754137182922495E-2</v>
      </c>
      <c r="W18" s="26">
        <f t="shared" si="6"/>
        <v>499.63624687357566</v>
      </c>
      <c r="X18" s="26">
        <f t="shared" si="6"/>
        <v>3.1919798933089022E-2</v>
      </c>
      <c r="Y18" s="26">
        <f t="shared" si="6"/>
        <v>0.24732717320445963</v>
      </c>
    </row>
    <row r="19" spans="1:32" s="3" customFormat="1">
      <c r="A19" s="100" t="s">
        <v>113</v>
      </c>
      <c r="B19" s="22" t="s">
        <v>27</v>
      </c>
      <c r="C19" s="97">
        <v>8</v>
      </c>
      <c r="D19" s="97"/>
      <c r="E19" s="102">
        <v>5.0214943501351089E-3</v>
      </c>
      <c r="F19" s="102">
        <v>2.6339776897464882E-2</v>
      </c>
      <c r="G19" s="102">
        <v>3.1446511855053767E-2</v>
      </c>
      <c r="H19" s="102">
        <v>6.7126585936112015E-5</v>
      </c>
      <c r="I19" s="102">
        <v>1.2318111482797186E-3</v>
      </c>
      <c r="J19" s="100">
        <f t="shared" si="7"/>
        <v>1.0963119219689495E-3</v>
      </c>
      <c r="K19" s="103">
        <v>4.3138036171262613</v>
      </c>
      <c r="L19" s="102">
        <v>4.5308138614573088E-4</v>
      </c>
      <c r="M19" s="104">
        <f t="shared" si="8"/>
        <v>2.9874186262301081E-3</v>
      </c>
      <c r="N19" s="87">
        <v>1</v>
      </c>
      <c r="O19" s="87">
        <v>6</v>
      </c>
      <c r="P19" s="88">
        <v>20</v>
      </c>
      <c r="Q19" s="34">
        <f t="shared" si="6"/>
        <v>3.0128966100810652E-2</v>
      </c>
      <c r="R19" s="26">
        <f t="shared" si="6"/>
        <v>0.15803866138478928</v>
      </c>
      <c r="S19" s="26">
        <f t="shared" si="6"/>
        <v>0.18867907113032262</v>
      </c>
      <c r="T19" s="26">
        <f t="shared" si="6"/>
        <v>4.0275951561667212E-4</v>
      </c>
      <c r="U19" s="26">
        <f t="shared" si="6"/>
        <v>7.3908668896783113E-3</v>
      </c>
      <c r="V19" s="26">
        <f t="shared" si="6"/>
        <v>6.5778715318136971E-3</v>
      </c>
      <c r="W19" s="26">
        <f t="shared" si="6"/>
        <v>25.882821702757568</v>
      </c>
      <c r="X19" s="26">
        <f t="shared" si="6"/>
        <v>2.718488316874385E-3</v>
      </c>
      <c r="Y19" s="26">
        <f t="shared" si="6"/>
        <v>1.7924511757380648E-2</v>
      </c>
    </row>
    <row r="20" spans="1:32" s="3" customFormat="1">
      <c r="A20" s="32" t="s">
        <v>51</v>
      </c>
      <c r="B20" s="29" t="s">
        <v>27</v>
      </c>
      <c r="C20" s="97">
        <v>381</v>
      </c>
      <c r="D20" s="97"/>
      <c r="E20" s="102">
        <v>0.18553470911077993</v>
      </c>
      <c r="F20" s="102">
        <v>0.57956772121140698</v>
      </c>
      <c r="G20" s="102">
        <v>1.2523979210769924</v>
      </c>
      <c r="H20" s="102">
        <v>2.6730457491231348E-3</v>
      </c>
      <c r="I20" s="102">
        <v>4.4827947982520766E-2</v>
      </c>
      <c r="J20" s="100">
        <f t="shared" si="7"/>
        <v>3.9896873704443482E-2</v>
      </c>
      <c r="K20" s="103">
        <v>272.33380251586107</v>
      </c>
      <c r="L20" s="102">
        <v>1.6740496842659349E-2</v>
      </c>
      <c r="M20" s="102">
        <f t="shared" si="8"/>
        <v>0.11897780250231428</v>
      </c>
      <c r="N20" s="87">
        <v>2</v>
      </c>
      <c r="O20" s="87">
        <v>6</v>
      </c>
      <c r="P20" s="88">
        <v>1</v>
      </c>
      <c r="Q20" s="34">
        <f t="shared" si="6"/>
        <v>2.2264165093293591</v>
      </c>
      <c r="R20" s="26">
        <f t="shared" si="6"/>
        <v>6.9548126545368838</v>
      </c>
      <c r="S20" s="26">
        <f t="shared" si="6"/>
        <v>15.028775052923908</v>
      </c>
      <c r="T20" s="26">
        <f t="shared" si="6"/>
        <v>3.2076548989477621E-2</v>
      </c>
      <c r="U20" s="26">
        <f t="shared" si="6"/>
        <v>0.53793537579024919</v>
      </c>
      <c r="V20" s="26">
        <f t="shared" si="6"/>
        <v>0.47876248445332181</v>
      </c>
      <c r="W20" s="26">
        <f t="shared" si="6"/>
        <v>3268.0056301903328</v>
      </c>
      <c r="X20" s="26">
        <f t="shared" si="6"/>
        <v>0.20088596211191218</v>
      </c>
      <c r="Y20" s="26">
        <f t="shared" si="6"/>
        <v>1.4277336300277714</v>
      </c>
    </row>
    <row r="21" spans="1:32" s="3" customFormat="1">
      <c r="A21" s="17" t="s">
        <v>28</v>
      </c>
      <c r="B21" s="29"/>
      <c r="C21" s="97"/>
      <c r="D21" s="12"/>
      <c r="E21" s="102"/>
      <c r="F21" s="102"/>
      <c r="G21" s="102"/>
      <c r="H21" s="102"/>
      <c r="I21" s="102"/>
      <c r="J21" s="100"/>
      <c r="K21" s="103"/>
      <c r="L21" s="102"/>
      <c r="M21" s="104"/>
      <c r="N21" s="98"/>
      <c r="O21" s="98"/>
      <c r="P21" s="99"/>
      <c r="Q21" s="101">
        <f>SUM(Q13:Q20)</f>
        <v>6.7528283166064682</v>
      </c>
      <c r="R21" s="101">
        <f t="shared" ref="R21:Y21" si="9">SUM(R13:R20)</f>
        <v>23.410171298780636</v>
      </c>
      <c r="S21" s="101">
        <f t="shared" si="9"/>
        <v>48.498643230266197</v>
      </c>
      <c r="T21" s="101">
        <f t="shared" si="9"/>
        <v>0.10356293144210962</v>
      </c>
      <c r="U21" s="101">
        <f t="shared" si="9"/>
        <v>1.7920119984703775</v>
      </c>
      <c r="V21" s="101">
        <f t="shared" si="9"/>
        <v>1.5948906786386363</v>
      </c>
      <c r="W21" s="101">
        <f t="shared" si="9"/>
        <v>9573.632235522995</v>
      </c>
      <c r="X21" s="101">
        <f t="shared" si="9"/>
        <v>0.63039753397398712</v>
      </c>
      <c r="Y21" s="101">
        <f t="shared" si="9"/>
        <v>4.6073711068752887</v>
      </c>
    </row>
    <row r="22" spans="1:32" s="6" customFormat="1">
      <c r="A22" s="122" t="s">
        <v>390</v>
      </c>
      <c r="B22" s="97"/>
      <c r="C22" s="22"/>
      <c r="D22" s="22"/>
      <c r="E22" s="23"/>
      <c r="F22" s="23"/>
      <c r="G22" s="23"/>
      <c r="H22" s="23"/>
      <c r="I22" s="23"/>
      <c r="J22" s="24"/>
      <c r="K22" s="25"/>
      <c r="L22" s="23"/>
      <c r="M22" s="23"/>
      <c r="N22" s="88"/>
      <c r="O22" s="88"/>
      <c r="P22" s="88"/>
      <c r="Q22" s="20">
        <f>Q10+Q21</f>
        <v>7.3632691161982446</v>
      </c>
      <c r="R22" s="20">
        <f t="shared" ref="R22:Y22" si="10">R10+R21</f>
        <v>25.972796118204638</v>
      </c>
      <c r="S22" s="20">
        <f t="shared" si="10"/>
        <v>52.572539182578197</v>
      </c>
      <c r="T22" s="20">
        <f t="shared" si="10"/>
        <v>0.11061527608178022</v>
      </c>
      <c r="U22" s="20">
        <f t="shared" si="10"/>
        <v>1.9986668516329857</v>
      </c>
      <c r="V22" s="20">
        <f t="shared" si="10"/>
        <v>1.7788134979533576</v>
      </c>
      <c r="W22" s="20">
        <f t="shared" si="10"/>
        <v>10188.424445717108</v>
      </c>
      <c r="X22" s="20">
        <f t="shared" si="10"/>
        <v>0.69270050379207559</v>
      </c>
      <c r="Y22" s="20">
        <f t="shared" si="10"/>
        <v>4.9943912223449285</v>
      </c>
      <c r="AF22" s="7"/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>&amp;CTable B-13
Construction Heavy Equipment Emissions
Installation of 69kV Position at Miguel Substation</oddHeader>
    <oddFooter>&amp;CB-13</oddFooter>
  </headerFooter>
</worksheet>
</file>

<file path=xl/worksheets/sheet3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6"/>
  <sheetViews>
    <sheetView zoomScale="75" workbookViewId="0">
      <selection activeCell="O43" sqref="O43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835</v>
      </c>
    </row>
    <row r="2" spans="1:30">
      <c r="A2" s="83"/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25" t="s">
        <v>55</v>
      </c>
      <c r="H6" s="425" t="s">
        <v>56</v>
      </c>
      <c r="I6" s="421" t="s">
        <v>57</v>
      </c>
      <c r="J6" s="425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25" t="s">
        <v>61</v>
      </c>
      <c r="R6" s="421" t="s">
        <v>62</v>
      </c>
      <c r="S6" s="421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424" t="s">
        <v>69</v>
      </c>
      <c r="H7" s="41" t="s">
        <v>69</v>
      </c>
      <c r="I7" s="41" t="s">
        <v>69</v>
      </c>
      <c r="J7" s="41" t="s">
        <v>69</v>
      </c>
      <c r="K7" s="421" t="s">
        <v>69</v>
      </c>
      <c r="L7" s="421" t="s">
        <v>71</v>
      </c>
      <c r="M7" s="421" t="s">
        <v>72</v>
      </c>
      <c r="N7" s="421" t="s">
        <v>69</v>
      </c>
      <c r="O7" s="421" t="s">
        <v>71</v>
      </c>
      <c r="P7" s="421" t="s">
        <v>72</v>
      </c>
      <c r="Q7" s="41" t="s">
        <v>69</v>
      </c>
      <c r="R7" s="421" t="s">
        <v>69</v>
      </c>
      <c r="S7" s="421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304</v>
      </c>
      <c r="B8" s="74"/>
      <c r="C8" s="112"/>
      <c r="D8" s="112"/>
      <c r="E8" s="74"/>
      <c r="F8" s="74"/>
      <c r="G8" s="424"/>
      <c r="H8" s="41"/>
      <c r="I8" s="41"/>
      <c r="J8" s="41"/>
      <c r="K8" s="421"/>
      <c r="L8" s="421"/>
      <c r="M8" s="421"/>
      <c r="N8" s="421"/>
      <c r="O8" s="421"/>
      <c r="P8" s="421"/>
      <c r="Q8" s="41"/>
      <c r="R8" s="421"/>
      <c r="S8" s="421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320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C9*(F9)*$B$384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6">
        <v>3.59998119015979E-2</v>
      </c>
      <c r="M10" s="556">
        <v>6.1739677411240299E-2</v>
      </c>
      <c r="N10" s="106">
        <v>6.5945508986370194E-2</v>
      </c>
      <c r="O10" s="556">
        <v>2.9999843251331498E-3</v>
      </c>
      <c r="P10" s="55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C10*(F10)*$B$384</f>
        <v>7.8498442661133934E-3</v>
      </c>
      <c r="AA10" s="50">
        <f>Z10*0.21</f>
        <v>1.6484672958838125E-3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424"/>
      <c r="H11" s="41"/>
      <c r="I11" s="41"/>
      <c r="J11" s="41"/>
      <c r="K11" s="421"/>
      <c r="L11" s="421"/>
      <c r="M11" s="421"/>
      <c r="N11" s="421"/>
      <c r="O11" s="421"/>
      <c r="P11" s="421"/>
      <c r="Q11" s="41"/>
      <c r="R11" s="421"/>
      <c r="S11" s="421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2.5511993864868531E-2</v>
      </c>
      <c r="AA11" s="81">
        <f t="shared" si="0"/>
        <v>5.3575187116223916E-3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420"/>
      <c r="B12" s="74"/>
      <c r="C12" s="112"/>
      <c r="D12" s="112"/>
      <c r="E12" s="74"/>
      <c r="F12" s="74"/>
      <c r="G12" s="424"/>
      <c r="H12" s="41"/>
      <c r="I12" s="41"/>
      <c r="J12" s="41"/>
      <c r="K12" s="421"/>
      <c r="L12" s="421"/>
      <c r="M12" s="421"/>
      <c r="N12" s="421"/>
      <c r="O12" s="421"/>
      <c r="P12" s="421"/>
      <c r="Q12" s="41"/>
      <c r="R12" s="421"/>
      <c r="S12" s="421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 ht="25.5" customHeight="1">
      <c r="A13" s="114" t="s">
        <v>334</v>
      </c>
      <c r="B13" s="74"/>
      <c r="C13" s="112"/>
      <c r="D13" s="112"/>
      <c r="E13" s="74"/>
      <c r="F13" s="74"/>
      <c r="G13" s="424"/>
      <c r="H13" s="41"/>
      <c r="I13" s="41"/>
      <c r="J13" s="41"/>
      <c r="K13" s="421"/>
      <c r="L13" s="421"/>
      <c r="M13" s="421"/>
      <c r="N13" s="421"/>
      <c r="O13" s="421"/>
      <c r="P13" s="421"/>
      <c r="Q13" s="41"/>
      <c r="R13" s="421"/>
      <c r="S13" s="421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 ht="12.75" customHeight="1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C14*(F14)*$B$384</f>
        <v>3.5324299197510275E-2</v>
      </c>
      <c r="AA14" s="50">
        <f>Z14*0.21</f>
        <v>7.4181028314771573E-3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8" t="s">
        <v>112</v>
      </c>
      <c r="B15" s="76" t="s">
        <v>105</v>
      </c>
      <c r="C15" s="374">
        <v>3</v>
      </c>
      <c r="D15" s="77"/>
      <c r="E15" s="77">
        <v>35</v>
      </c>
      <c r="F15" s="77">
        <v>80</v>
      </c>
      <c r="G15" s="106">
        <v>1.08263976628415</v>
      </c>
      <c r="H15" s="106">
        <v>4.9712718909585103</v>
      </c>
      <c r="I15" s="106">
        <v>0.26248012575016899</v>
      </c>
      <c r="J15" s="106">
        <v>1.0711818E-2</v>
      </c>
      <c r="K15" s="106">
        <v>7.1679901072141505E-2</v>
      </c>
      <c r="L15" s="556">
        <v>3.59998119015979E-2</v>
      </c>
      <c r="M15" s="556">
        <v>6.1739677411240299E-2</v>
      </c>
      <c r="N15" s="106">
        <v>6.5945508986370194E-2</v>
      </c>
      <c r="O15" s="556">
        <v>2.9999843251331498E-3</v>
      </c>
      <c r="P15" s="556">
        <v>5.5859708133979398E-2</v>
      </c>
      <c r="Q15" s="106">
        <v>1710.7260798814</v>
      </c>
      <c r="R15" s="47">
        <v>1.5235246282551899E-2</v>
      </c>
      <c r="S15" s="80">
        <f>0.000025616*Q15</f>
        <v>4.3821959262241944E-2</v>
      </c>
      <c r="T15" s="50">
        <f>C15*($F15*$G15)/453.59</f>
        <v>0.57283790186775729</v>
      </c>
      <c r="U15" s="50">
        <f>C15*($F15*$H15)/453.59</f>
        <v>2.6303605763575972</v>
      </c>
      <c r="V15" s="50">
        <f>C15*(($F15*$I15))/453.59</f>
        <v>0.1388814351728225</v>
      </c>
      <c r="W15" s="50">
        <f>C15*($F15*$J15)/453.59</f>
        <v>5.6677535219030401E-3</v>
      </c>
      <c r="X15" s="50">
        <f>C15*(($F15*($K15+$L15+$M15)))/453.59</f>
        <v>8.9641865324180711E-2</v>
      </c>
      <c r="Y15" s="50">
        <f>C15*(($F15*($N15+$O15+$P15)))/453.59</f>
        <v>6.6035953938393399E-2</v>
      </c>
      <c r="Z15" s="50">
        <f>C15*(F15)*$B$384</f>
        <v>2.3549532798340184E-2</v>
      </c>
      <c r="AA15" s="50">
        <f>Z15*0.21</f>
        <v>4.9454018876514388E-3</v>
      </c>
      <c r="AB15" s="50">
        <f>C15*(($F15*($Q15)))/453.59</f>
        <v>905.16602917069611</v>
      </c>
      <c r="AC15" s="50">
        <f>C15*(($F15*($R15)))/453.59</f>
        <v>8.0611545841232316E-3</v>
      </c>
      <c r="AD15" s="50">
        <f>C15*(($F15*($S15)))/453.59</f>
        <v>2.3186733003236551E-2</v>
      </c>
    </row>
    <row r="16" spans="1:30">
      <c r="A16" s="78" t="s">
        <v>331</v>
      </c>
      <c r="B16" s="76" t="s">
        <v>105</v>
      </c>
      <c r="C16" s="374">
        <v>2</v>
      </c>
      <c r="D16" s="77"/>
      <c r="E16" s="77">
        <v>35</v>
      </c>
      <c r="F16" s="77">
        <v>80</v>
      </c>
      <c r="G16" s="106">
        <v>1.08263976628415</v>
      </c>
      <c r="H16" s="106">
        <v>4.9712718909585103</v>
      </c>
      <c r="I16" s="106">
        <v>0.26248012575016899</v>
      </c>
      <c r="J16" s="106">
        <v>1.0711818E-2</v>
      </c>
      <c r="K16" s="106">
        <v>7.1679901072141505E-2</v>
      </c>
      <c r="L16" s="556">
        <v>3.59998119015979E-2</v>
      </c>
      <c r="M16" s="556">
        <v>6.1739677411240299E-2</v>
      </c>
      <c r="N16" s="106">
        <v>6.5945508986370194E-2</v>
      </c>
      <c r="O16" s="556">
        <v>2.9999843251331498E-3</v>
      </c>
      <c r="P16" s="556">
        <v>5.5859708133979398E-2</v>
      </c>
      <c r="Q16" s="106">
        <v>1710.7260798814</v>
      </c>
      <c r="R16" s="47">
        <v>1.5235246282551899E-2</v>
      </c>
      <c r="S16" s="80">
        <f>0.000025616*Q16</f>
        <v>4.3821959262241944E-2</v>
      </c>
      <c r="T16" s="50">
        <f>C16*($F16*$G16)/453.59</f>
        <v>0.38189193457850484</v>
      </c>
      <c r="U16" s="50">
        <f>C16*($F16*$H16)/453.59</f>
        <v>1.7535737175717316</v>
      </c>
      <c r="V16" s="50">
        <f>C16*(($F16*$I16))/453.59</f>
        <v>9.2587623448548345E-2</v>
      </c>
      <c r="W16" s="50">
        <f>C16*($F16*$J16)/453.59</f>
        <v>3.7785023479353602E-3</v>
      </c>
      <c r="X16" s="50">
        <f>C16*(($F16*($K16+$L16+$M16)))/453.59</f>
        <v>5.9761243549453814E-2</v>
      </c>
      <c r="Y16" s="50">
        <f>C16*(($F16*($N16+$O16+$P16)))/453.59</f>
        <v>4.4023969292262266E-2</v>
      </c>
      <c r="Z16" s="50">
        <f>C16*(F16)*$B$384</f>
        <v>1.5699688532226787E-2</v>
      </c>
      <c r="AA16" s="50">
        <f>Z16*0.21</f>
        <v>3.296934591767625E-3</v>
      </c>
      <c r="AB16" s="50">
        <f>C16*(($F16*($Q16)))/453.59</f>
        <v>603.4440194471307</v>
      </c>
      <c r="AC16" s="50">
        <f>C16*(($F16*($R16)))/453.59</f>
        <v>5.3741030560821544E-3</v>
      </c>
      <c r="AD16" s="50">
        <f>C16*(($F16*($S16)))/453.59</f>
        <v>1.5457822002157701E-2</v>
      </c>
    </row>
    <row r="17" spans="1:30">
      <c r="A17" s="78" t="s">
        <v>327</v>
      </c>
      <c r="B17" s="76" t="s">
        <v>105</v>
      </c>
      <c r="C17" s="374">
        <v>1</v>
      </c>
      <c r="D17" s="77"/>
      <c r="E17" s="77">
        <v>35</v>
      </c>
      <c r="F17" s="77">
        <v>80</v>
      </c>
      <c r="G17" s="106">
        <v>1.08263976628415</v>
      </c>
      <c r="H17" s="106">
        <v>4.9712718909585103</v>
      </c>
      <c r="I17" s="106">
        <v>0.26248012575016899</v>
      </c>
      <c r="J17" s="106">
        <v>1.0711818E-2</v>
      </c>
      <c r="K17" s="106">
        <v>7.1679901072141505E-2</v>
      </c>
      <c r="L17" s="556">
        <v>3.59998119015979E-2</v>
      </c>
      <c r="M17" s="556">
        <v>6.1739677411240299E-2</v>
      </c>
      <c r="N17" s="106">
        <v>6.5945508986370194E-2</v>
      </c>
      <c r="O17" s="556">
        <v>2.9999843251331498E-3</v>
      </c>
      <c r="P17" s="556">
        <v>5.5859708133979398E-2</v>
      </c>
      <c r="Q17" s="106">
        <v>1710.7260798814</v>
      </c>
      <c r="R17" s="47">
        <v>1.5235246282551899E-2</v>
      </c>
      <c r="S17" s="80">
        <f>0.000025616*Q17</f>
        <v>4.3821959262241944E-2</v>
      </c>
      <c r="T17" s="50">
        <f>C17*($F17*$G17)/453.59</f>
        <v>0.19094596728925242</v>
      </c>
      <c r="U17" s="50">
        <f>C17*($F17*$H17)/453.59</f>
        <v>0.87678685878586582</v>
      </c>
      <c r="V17" s="50">
        <f>C17*(($F17*$I17))/453.59</f>
        <v>4.6293811724274173E-2</v>
      </c>
      <c r="W17" s="50">
        <f>C17*($F17*$J17)/453.59</f>
        <v>1.8892511739676801E-3</v>
      </c>
      <c r="X17" s="50">
        <f>C17*(($F17*($K17+$L17+$M17)))/453.59</f>
        <v>2.9880621774726907E-2</v>
      </c>
      <c r="Y17" s="50">
        <f>C17*(($F17*($N17+$O17+$P17)))/453.59</f>
        <v>2.2011984646131133E-2</v>
      </c>
      <c r="Z17" s="50">
        <f>C17*(F17)*$B$384</f>
        <v>7.8498442661133934E-3</v>
      </c>
      <c r="AA17" s="50">
        <f>Z17*0.21</f>
        <v>1.6484672958838125E-3</v>
      </c>
      <c r="AB17" s="50">
        <f>C17*(($F17*($Q17)))/453.59</f>
        <v>301.72200972356535</v>
      </c>
      <c r="AC17" s="50">
        <f>C17*(($F17*($R17)))/453.59</f>
        <v>2.6870515280410772E-3</v>
      </c>
      <c r="AD17" s="50">
        <f>C17*(($F17*($S17)))/453.59</f>
        <v>7.7289110010788503E-3</v>
      </c>
    </row>
    <row r="18" spans="1:30">
      <c r="A18" s="75" t="s">
        <v>28</v>
      </c>
      <c r="B18" s="74"/>
      <c r="C18" s="112"/>
      <c r="D18" s="112"/>
      <c r="E18" s="74"/>
      <c r="F18" s="74"/>
      <c r="G18" s="424"/>
      <c r="H18" s="41"/>
      <c r="I18" s="41"/>
      <c r="J18" s="41"/>
      <c r="K18" s="421"/>
      <c r="L18" s="421"/>
      <c r="M18" s="421"/>
      <c r="N18" s="421"/>
      <c r="O18" s="421"/>
      <c r="P18" s="421"/>
      <c r="Q18" s="41"/>
      <c r="R18" s="421"/>
      <c r="S18" s="421"/>
      <c r="T18" s="81">
        <f>SUM(T14:T17)</f>
        <v>1.3454583548028045</v>
      </c>
      <c r="U18" s="81">
        <f t="shared" ref="U18:AD18" si="1">SUM(U14:U17)</f>
        <v>5.6295399083746318</v>
      </c>
      <c r="V18" s="81">
        <f t="shared" si="1"/>
        <v>0.3228242158715377</v>
      </c>
      <c r="W18" s="81">
        <f t="shared" si="1"/>
        <v>1.4115229725021034E-2</v>
      </c>
      <c r="X18" s="81">
        <f t="shared" si="1"/>
        <v>0.25202266038866367</v>
      </c>
      <c r="Y18" s="81">
        <f t="shared" si="1"/>
        <v>0.18040410584274161</v>
      </c>
      <c r="Z18" s="81">
        <f t="shared" si="1"/>
        <v>8.2423364794190643E-2</v>
      </c>
      <c r="AA18" s="81">
        <f t="shared" si="1"/>
        <v>1.7308906606780031E-2</v>
      </c>
      <c r="AB18" s="81">
        <f t="shared" si="1"/>
        <v>2003.9602695219055</v>
      </c>
      <c r="AC18" s="81">
        <f t="shared" si="1"/>
        <v>2.7186806039734529E-2</v>
      </c>
      <c r="AD18" s="81">
        <f t="shared" si="1"/>
        <v>5.1333446264073129E-2</v>
      </c>
    </row>
    <row r="19" spans="1:30">
      <c r="A19" s="75" t="s">
        <v>388</v>
      </c>
      <c r="B19" s="74"/>
      <c r="C19" s="112"/>
      <c r="D19" s="112"/>
      <c r="E19" s="74"/>
      <c r="F19" s="74"/>
      <c r="G19" s="424"/>
      <c r="H19" s="41"/>
      <c r="I19" s="41"/>
      <c r="J19" s="41"/>
      <c r="K19" s="421"/>
      <c r="L19" s="421"/>
      <c r="M19" s="421"/>
      <c r="N19" s="421"/>
      <c r="O19" s="421"/>
      <c r="P19" s="421"/>
      <c r="Q19" s="41"/>
      <c r="R19" s="421"/>
      <c r="S19" s="421"/>
      <c r="T19" s="81">
        <f>T11+T18</f>
        <v>1.6362955976257019</v>
      </c>
      <c r="U19" s="81">
        <f t="shared" ref="U19:AD19" si="2">U11+U18</f>
        <v>6.6907361449902165</v>
      </c>
      <c r="V19" s="81">
        <f t="shared" si="2"/>
        <v>0.39164870035875821</v>
      </c>
      <c r="W19" s="81">
        <f t="shared" si="2"/>
        <v>1.739434223959619E-2</v>
      </c>
      <c r="X19" s="81">
        <f t="shared" si="2"/>
        <v>0.31827274703354169</v>
      </c>
      <c r="Y19" s="81">
        <f t="shared" si="2"/>
        <v>0.22658218947185016</v>
      </c>
      <c r="Z19" s="81">
        <f t="shared" si="2"/>
        <v>0.10793535865905918</v>
      </c>
      <c r="AA19" s="81">
        <f t="shared" si="2"/>
        <v>2.2666425318402423E-2</v>
      </c>
      <c r="AB19" s="81">
        <f t="shared" si="2"/>
        <v>2402.4963848357274</v>
      </c>
      <c r="AC19" s="81">
        <f t="shared" si="2"/>
        <v>3.5406106003519636E-2</v>
      </c>
      <c r="AD19" s="81">
        <f t="shared" si="2"/>
        <v>6.1542347393951993E-2</v>
      </c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25" spans="1:30">
      <c r="A25" s="370"/>
      <c r="B25" s="371"/>
      <c r="C25" s="372"/>
      <c r="D25" s="372"/>
      <c r="E25" s="371"/>
      <c r="F25" s="371"/>
      <c r="G25" s="373"/>
      <c r="H25" s="373"/>
      <c r="I25" s="373"/>
      <c r="J25" s="373"/>
      <c r="K25" s="373"/>
      <c r="L25" s="373"/>
      <c r="M25" s="373"/>
      <c r="N25" s="373"/>
      <c r="O25" s="373"/>
      <c r="P25" s="373"/>
      <c r="Q25" s="373"/>
      <c r="R25" s="373"/>
      <c r="S25" s="373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</row>
    <row r="26" spans="1:30">
      <c r="A26" s="370"/>
      <c r="B26" s="371"/>
      <c r="C26" s="372"/>
      <c r="D26" s="372"/>
      <c r="E26" s="371"/>
      <c r="F26" s="371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</row>
    <row r="374" spans="1:2" ht="25.5">
      <c r="A374" s="82" t="s">
        <v>109</v>
      </c>
    </row>
    <row r="376" spans="1:2">
      <c r="A376" s="36" t="s">
        <v>81</v>
      </c>
    </row>
    <row r="377" spans="1:2">
      <c r="A377" s="36" t="s">
        <v>82</v>
      </c>
    </row>
    <row r="378" spans="1:2">
      <c r="A378" s="36" t="s">
        <v>83</v>
      </c>
    </row>
    <row r="379" spans="1:2">
      <c r="A379" s="37" t="s">
        <v>96</v>
      </c>
    </row>
    <row r="380" spans="1:2">
      <c r="A380" s="36" t="s">
        <v>85</v>
      </c>
    </row>
    <row r="381" spans="1:2">
      <c r="A381" s="36" t="s">
        <v>86</v>
      </c>
    </row>
    <row r="382" spans="1:2">
      <c r="A382" s="36" t="s">
        <v>87</v>
      </c>
    </row>
    <row r="383" spans="1:2">
      <c r="A383" s="36" t="s">
        <v>0</v>
      </c>
    </row>
    <row r="384" spans="1:2">
      <c r="A384" s="37" t="s">
        <v>97</v>
      </c>
      <c r="B384" s="36">
        <f>(0.016*(0.03/2)^0.65*(2/3)^1.5)-0.00047</f>
        <v>9.8123053326417428E-5</v>
      </c>
    </row>
    <row r="385" spans="1:2">
      <c r="A385" s="37" t="s">
        <v>98</v>
      </c>
      <c r="B385" s="36">
        <f>(0.016*(0.03/2)^0.65*(13/3)^1.5)-0.00047</f>
        <v>8.9448292388582783E-3</v>
      </c>
    </row>
    <row r="386" spans="1:2">
      <c r="A386" s="37" t="s">
        <v>99</v>
      </c>
      <c r="B386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B-14
Construction Truck Trip Emissions
Installation of 69kV Position at Miguel Substation</oddHeader>
    <oddFooter>&amp;CB-14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5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550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C9*(F9)*$B$373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C10*(F10)*$B$373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330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12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0.39956510213458007</v>
      </c>
      <c r="U14" s="50">
        <f>C14*($F14*$H14)/453.59</f>
        <v>0.73763751131887467</v>
      </c>
      <c r="V14" s="50">
        <f>C14*(($F14*$I14))/453.59</f>
        <v>9.01226910517854E-2</v>
      </c>
      <c r="W14" s="50">
        <f>C14*($F14*$J14)/453.59</f>
        <v>5.5594453624299087E-3</v>
      </c>
      <c r="X14" s="50">
        <f>C14*(($F14*($K14+$L14+$M14)))/453.59</f>
        <v>0.14547785948060449</v>
      </c>
      <c r="Y14" s="50">
        <f>C14*(($F14*($N14+$O14+$P14)))/453.59</f>
        <v>9.6664395931909605E-2</v>
      </c>
      <c r="Z14" s="50">
        <f>C14*(F14)*$B$373</f>
        <v>0</v>
      </c>
      <c r="AA14" s="50">
        <f>Z14*0.21</f>
        <v>0</v>
      </c>
      <c r="AB14" s="50">
        <f>C14*(($F14*($Q14)))/453.59</f>
        <v>387.25642236102652</v>
      </c>
      <c r="AC14" s="50">
        <f>C14*(($F14*($R14)))/453.59</f>
        <v>2.2128993742976135E-2</v>
      </c>
      <c r="AD14" s="50">
        <f>C14*(($F14*($S14)))/453.59</f>
        <v>9.9199605152000547E-3</v>
      </c>
    </row>
    <row r="15" spans="1:30">
      <c r="A15" s="78" t="s">
        <v>331</v>
      </c>
      <c r="B15" s="76" t="s">
        <v>105</v>
      </c>
      <c r="C15" s="374">
        <v>80</v>
      </c>
      <c r="D15" s="77"/>
      <c r="E15" s="77">
        <v>35</v>
      </c>
      <c r="F15" s="77">
        <v>80</v>
      </c>
      <c r="G15" s="106">
        <v>1.08263976628415</v>
      </c>
      <c r="H15" s="106">
        <v>4.9712718909585103</v>
      </c>
      <c r="I15" s="106">
        <v>0.26248012575016899</v>
      </c>
      <c r="J15" s="106">
        <v>1.0711818E-2</v>
      </c>
      <c r="K15" s="106">
        <v>7.1679901072141505E-2</v>
      </c>
      <c r="L15" s="576">
        <v>3.59998119015979E-2</v>
      </c>
      <c r="M15" s="576">
        <v>6.1739677411240299E-2</v>
      </c>
      <c r="N15" s="106">
        <v>6.5945508986370194E-2</v>
      </c>
      <c r="O15" s="576">
        <v>2.9999843251331498E-3</v>
      </c>
      <c r="P15" s="576">
        <v>5.5859708133979398E-2</v>
      </c>
      <c r="Q15" s="106">
        <v>1710.7260798814</v>
      </c>
      <c r="R15" s="47">
        <v>1.5235246282551899E-2</v>
      </c>
      <c r="S15" s="80">
        <f>0.000025616*Q15</f>
        <v>4.3821959262241944E-2</v>
      </c>
      <c r="T15" s="50">
        <f>C15*($F15*$G15)/453.59</f>
        <v>15.275677383140195</v>
      </c>
      <c r="U15" s="50">
        <f>C15*($F15*$H15)/453.59</f>
        <v>70.142948702869262</v>
      </c>
      <c r="V15" s="50">
        <f>C15*(($F15*$I15))/453.59</f>
        <v>3.7035049379419336</v>
      </c>
      <c r="W15" s="50">
        <f>C15*($F15*$J15)/453.59</f>
        <v>0.1511400939174144</v>
      </c>
      <c r="X15" s="50">
        <f>C15*(($F15*($K15+$L15+$M15)))/453.59</f>
        <v>2.3904497419781525</v>
      </c>
      <c r="Y15" s="50">
        <f>C15*(($F15*($N15+$O15+$P15)))/453.59</f>
        <v>1.7609587716904906</v>
      </c>
      <c r="Z15" s="50">
        <f>C15*(F15)*$B$373</f>
        <v>0</v>
      </c>
      <c r="AA15" s="50">
        <f>Z15*0.21</f>
        <v>0</v>
      </c>
      <c r="AB15" s="50">
        <f>C15*(($F15*($Q15)))/453.59</f>
        <v>24137.760777885233</v>
      </c>
      <c r="AC15" s="50">
        <f>C15*(($F15*($R15)))/453.59</f>
        <v>0.21496412224328618</v>
      </c>
      <c r="AD15" s="50">
        <f>C15*(($F15*($S15)))/453.59</f>
        <v>0.61831288008630803</v>
      </c>
    </row>
    <row r="16" spans="1:30">
      <c r="A16" s="75" t="s">
        <v>28</v>
      </c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>
        <f>SUM(T14:T15)</f>
        <v>15.675242485274776</v>
      </c>
      <c r="U16" s="81">
        <f t="shared" ref="U16:AD16" si="1">SUM(U14:U15)</f>
        <v>70.880586214188142</v>
      </c>
      <c r="V16" s="81">
        <f t="shared" si="1"/>
        <v>3.7936276289937192</v>
      </c>
      <c r="W16" s="81">
        <f t="shared" si="1"/>
        <v>0.15669953927984431</v>
      </c>
      <c r="X16" s="81">
        <f t="shared" si="1"/>
        <v>2.5359276014587571</v>
      </c>
      <c r="Y16" s="81">
        <f t="shared" si="1"/>
        <v>1.8576231676224002</v>
      </c>
      <c r="Z16" s="81">
        <f t="shared" si="1"/>
        <v>0</v>
      </c>
      <c r="AA16" s="81">
        <f t="shared" si="1"/>
        <v>0</v>
      </c>
      <c r="AB16" s="81">
        <f t="shared" si="1"/>
        <v>24525.01720024626</v>
      </c>
      <c r="AC16" s="81">
        <f t="shared" si="1"/>
        <v>0.23709311598626231</v>
      </c>
      <c r="AD16" s="81">
        <f t="shared" si="1"/>
        <v>0.62823284060150808</v>
      </c>
    </row>
    <row r="17" spans="1:30">
      <c r="A17" s="573"/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61"/>
      <c r="U17" s="61"/>
      <c r="V17" s="61"/>
      <c r="W17" s="61"/>
      <c r="X17" s="61"/>
      <c r="Y17" s="61"/>
      <c r="Z17" s="62"/>
      <c r="AA17" s="62"/>
      <c r="AB17" s="62"/>
      <c r="AC17" s="62"/>
      <c r="AD17" s="62"/>
    </row>
    <row r="18" spans="1:30">
      <c r="A18" s="114" t="s">
        <v>426</v>
      </c>
      <c r="B18" s="74"/>
      <c r="C18" s="112"/>
      <c r="D18" s="112"/>
      <c r="E18" s="74"/>
      <c r="F18" s="74"/>
      <c r="G18" s="577"/>
      <c r="H18" s="41"/>
      <c r="I18" s="41"/>
      <c r="J18" s="41"/>
      <c r="K18" s="574"/>
      <c r="L18" s="574"/>
      <c r="M18" s="574"/>
      <c r="N18" s="574"/>
      <c r="O18" s="574"/>
      <c r="P18" s="574"/>
      <c r="Q18" s="41"/>
      <c r="R18" s="574"/>
      <c r="S18" s="574"/>
      <c r="T18" s="61"/>
      <c r="U18" s="61"/>
      <c r="V18" s="61"/>
      <c r="W18" s="61"/>
      <c r="X18" s="61"/>
      <c r="Y18" s="61"/>
      <c r="Z18" s="62"/>
      <c r="AA18" s="62"/>
      <c r="AB18" s="62"/>
      <c r="AC18" s="62"/>
      <c r="AD18" s="62"/>
    </row>
    <row r="19" spans="1:30">
      <c r="A19" s="78" t="s">
        <v>320</v>
      </c>
      <c r="B19" s="76" t="s">
        <v>95</v>
      </c>
      <c r="C19" s="79">
        <v>10</v>
      </c>
      <c r="D19" s="77"/>
      <c r="E19" s="77">
        <v>35</v>
      </c>
      <c r="F19" s="77">
        <v>60</v>
      </c>
      <c r="G19" s="106">
        <v>0.25172046482947802</v>
      </c>
      <c r="H19" s="106">
        <v>0.464701387165456</v>
      </c>
      <c r="I19" s="106">
        <v>5.6776043658582402E-2</v>
      </c>
      <c r="J19" s="106">
        <v>3.5023733638119199E-3</v>
      </c>
      <c r="K19" s="106">
        <v>4.6899256897933901E-2</v>
      </c>
      <c r="L19" s="47">
        <v>7.99995847163921E-3</v>
      </c>
      <c r="M19" s="47">
        <v>3.6749815577381599E-2</v>
      </c>
      <c r="N19" s="106">
        <v>4.3147317248333997E-2</v>
      </c>
      <c r="O19" s="47">
        <v>1.9999896145790402E-3</v>
      </c>
      <c r="P19" s="47">
        <v>1.57499200131354E-2</v>
      </c>
      <c r="Q19" s="106">
        <v>243.966167526025</v>
      </c>
      <c r="R19" s="47">
        <f>0.000057143*Q19</f>
        <v>1.3940958710939646E-2</v>
      </c>
      <c r="S19" s="80">
        <f>0.000025616*Q19</f>
        <v>6.2494373473466567E-3</v>
      </c>
      <c r="T19" s="50">
        <f>C19*($F19*$G19)/453.59</f>
        <v>0.33297091844548338</v>
      </c>
      <c r="U19" s="50">
        <f>C19*($F19*$H19)/453.59</f>
        <v>0.61469792609906215</v>
      </c>
      <c r="V19" s="50">
        <f>C19*(($F19*$I19))/453.59</f>
        <v>7.5102242543154479E-2</v>
      </c>
      <c r="W19" s="50">
        <f>C19*($F19*$J19)/453.59</f>
        <v>4.6328711353582578E-3</v>
      </c>
      <c r="X19" s="50">
        <f>C19*(($F19*($K19+$L19+$M19)))/453.59</f>
        <v>0.12123154956717042</v>
      </c>
      <c r="Y19" s="50">
        <f>C19*(($F19*($N19+$O19+$P19)))/453.59</f>
        <v>8.0553663276591345E-2</v>
      </c>
      <c r="Z19" s="50">
        <f>C19*(F19)*$B$373</f>
        <v>0</v>
      </c>
      <c r="AA19" s="50">
        <f>Z19*0.21</f>
        <v>0</v>
      </c>
      <c r="AB19" s="50">
        <f>C19*(($F19*($Q19)))/453.59</f>
        <v>322.71368530085539</v>
      </c>
      <c r="AC19" s="50">
        <f>C19*(($F19*($R19)))/453.59</f>
        <v>1.8440828119146779E-2</v>
      </c>
      <c r="AD19" s="50">
        <f>C19*(($F19*($S19)))/453.59</f>
        <v>8.2666337626667117E-3</v>
      </c>
    </row>
    <row r="20" spans="1:30">
      <c r="A20" s="75" t="s">
        <v>28</v>
      </c>
      <c r="B20" s="74"/>
      <c r="C20" s="112"/>
      <c r="D20" s="112"/>
      <c r="E20" s="74"/>
      <c r="F20" s="74"/>
      <c r="G20" s="577"/>
      <c r="H20" s="41"/>
      <c r="I20" s="41"/>
      <c r="J20" s="41"/>
      <c r="K20" s="574"/>
      <c r="L20" s="574"/>
      <c r="M20" s="574"/>
      <c r="N20" s="574"/>
      <c r="O20" s="574"/>
      <c r="P20" s="574"/>
      <c r="Q20" s="41"/>
      <c r="R20" s="574"/>
      <c r="S20" s="574"/>
      <c r="T20" s="81">
        <f t="shared" ref="T20:AD20" si="2">SUM(T19:T19)</f>
        <v>0.33297091844548338</v>
      </c>
      <c r="U20" s="81">
        <f t="shared" si="2"/>
        <v>0.61469792609906215</v>
      </c>
      <c r="V20" s="81">
        <f t="shared" si="2"/>
        <v>7.5102242543154479E-2</v>
      </c>
      <c r="W20" s="81">
        <f t="shared" si="2"/>
        <v>4.6328711353582578E-3</v>
      </c>
      <c r="X20" s="81">
        <f t="shared" si="2"/>
        <v>0.12123154956717042</v>
      </c>
      <c r="Y20" s="81">
        <f t="shared" si="2"/>
        <v>8.0553663276591345E-2</v>
      </c>
      <c r="Z20" s="81">
        <f t="shared" si="2"/>
        <v>0</v>
      </c>
      <c r="AA20" s="81">
        <f t="shared" si="2"/>
        <v>0</v>
      </c>
      <c r="AB20" s="81">
        <f t="shared" si="2"/>
        <v>322.71368530085539</v>
      </c>
      <c r="AC20" s="81">
        <f t="shared" si="2"/>
        <v>1.8440828119146779E-2</v>
      </c>
      <c r="AD20" s="81">
        <f t="shared" si="2"/>
        <v>8.2666337626667117E-3</v>
      </c>
    </row>
    <row r="21" spans="1:30">
      <c r="A21" s="75" t="s">
        <v>388</v>
      </c>
      <c r="B21" s="74"/>
      <c r="C21" s="112"/>
      <c r="D21" s="112"/>
      <c r="E21" s="74"/>
      <c r="F21" s="74"/>
      <c r="G21" s="547"/>
      <c r="H21" s="41"/>
      <c r="I21" s="41"/>
      <c r="J21" s="41"/>
      <c r="K21" s="544"/>
      <c r="L21" s="544"/>
      <c r="M21" s="544"/>
      <c r="N21" s="544"/>
      <c r="O21" s="544"/>
      <c r="P21" s="544"/>
      <c r="Q21" s="41"/>
      <c r="R21" s="544"/>
      <c r="S21" s="544"/>
      <c r="T21" s="81">
        <f>T11+T16+T20</f>
        <v>16.299050646543158</v>
      </c>
      <c r="U21" s="81">
        <f t="shared" ref="U21:AD21" si="3">U11+U16+U20</f>
        <v>72.556480376902798</v>
      </c>
      <c r="V21" s="81">
        <f t="shared" si="3"/>
        <v>3.9375543560240942</v>
      </c>
      <c r="W21" s="81">
        <f t="shared" si="3"/>
        <v>0.16461152292977774</v>
      </c>
      <c r="X21" s="81">
        <f t="shared" si="3"/>
        <v>2.7234092376708054</v>
      </c>
      <c r="Y21" s="81">
        <f t="shared" si="3"/>
        <v>1.9843549145281001</v>
      </c>
      <c r="Z21" s="81">
        <f t="shared" si="3"/>
        <v>0</v>
      </c>
      <c r="AA21" s="81">
        <f t="shared" si="3"/>
        <v>0</v>
      </c>
      <c r="AB21" s="81">
        <f t="shared" si="3"/>
        <v>25246.267000860938</v>
      </c>
      <c r="AC21" s="81">
        <f t="shared" si="3"/>
        <v>0.2637532440691942</v>
      </c>
      <c r="AD21" s="81">
        <f t="shared" si="3"/>
        <v>0.64670837549405358</v>
      </c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25" spans="1:30">
      <c r="A25" s="370"/>
      <c r="B25" s="371"/>
      <c r="C25" s="372"/>
      <c r="D25" s="372"/>
      <c r="E25" s="371"/>
      <c r="F25" s="371"/>
      <c r="G25" s="373"/>
      <c r="H25" s="373"/>
      <c r="I25" s="373"/>
      <c r="J25" s="373"/>
      <c r="K25" s="373"/>
      <c r="L25" s="373"/>
      <c r="M25" s="373"/>
      <c r="N25" s="373"/>
      <c r="O25" s="373"/>
      <c r="P25" s="373"/>
      <c r="Q25" s="373"/>
      <c r="R25" s="373"/>
      <c r="S25" s="373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</row>
    <row r="373" spans="1:2" ht="25.5">
      <c r="A373" s="82" t="s">
        <v>109</v>
      </c>
    </row>
    <row r="375" spans="1:2">
      <c r="A375" s="36" t="s">
        <v>81</v>
      </c>
    </row>
    <row r="376" spans="1:2">
      <c r="A376" s="36" t="s">
        <v>82</v>
      </c>
    </row>
    <row r="377" spans="1:2">
      <c r="A377" s="36" t="s">
        <v>83</v>
      </c>
    </row>
    <row r="378" spans="1:2">
      <c r="A378" s="37" t="s">
        <v>96</v>
      </c>
    </row>
    <row r="379" spans="1:2">
      <c r="A379" s="36" t="s">
        <v>85</v>
      </c>
    </row>
    <row r="380" spans="1:2">
      <c r="A380" s="36" t="s">
        <v>86</v>
      </c>
    </row>
    <row r="381" spans="1:2">
      <c r="A381" s="36" t="s">
        <v>87</v>
      </c>
    </row>
    <row r="382" spans="1:2">
      <c r="A382" s="36" t="s">
        <v>0</v>
      </c>
    </row>
    <row r="383" spans="1:2">
      <c r="A383" s="37" t="s">
        <v>97</v>
      </c>
      <c r="B383" s="36">
        <f>(0.016*(0.03/2)^0.65*(2/3)^1.5)-0.00047</f>
        <v>9.8123053326417428E-5</v>
      </c>
    </row>
    <row r="384" spans="1:2">
      <c r="A384" s="37" t="s">
        <v>98</v>
      </c>
      <c r="B384" s="36">
        <f>(0.016*(0.03/2)^0.65*(13/3)^1.5)-0.00047</f>
        <v>8.9448292388582783E-3</v>
      </c>
    </row>
    <row r="385" spans="1:2">
      <c r="A385" s="37" t="s">
        <v>99</v>
      </c>
      <c r="B385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3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B92" sqref="B92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836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24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21" t="s">
        <v>69</v>
      </c>
      <c r="S3" s="42" t="s">
        <v>118</v>
      </c>
      <c r="T3" s="421" t="s">
        <v>71</v>
      </c>
      <c r="U3" s="421" t="s">
        <v>72</v>
      </c>
      <c r="V3" s="421" t="s">
        <v>69</v>
      </c>
      <c r="W3" s="42" t="s">
        <v>118</v>
      </c>
      <c r="X3" s="421" t="s">
        <v>71</v>
      </c>
      <c r="Y3" s="421" t="s">
        <v>72</v>
      </c>
      <c r="Z3" s="41" t="s">
        <v>69</v>
      </c>
      <c r="AA3" s="42" t="s">
        <v>118</v>
      </c>
      <c r="AB3" s="421" t="s">
        <v>69</v>
      </c>
      <c r="AC3" s="42" t="s">
        <v>118</v>
      </c>
      <c r="AD3" s="421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334</v>
      </c>
      <c r="B5" s="45" t="s">
        <v>102</v>
      </c>
      <c r="C5" s="46">
        <v>15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423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422" t="s">
        <v>55</v>
      </c>
      <c r="G88" s="422" t="s">
        <v>73</v>
      </c>
      <c r="H88" s="422" t="s">
        <v>74</v>
      </c>
      <c r="I88" s="422" t="s">
        <v>58</v>
      </c>
      <c r="J88" s="422" t="s">
        <v>59</v>
      </c>
      <c r="K88" s="422" t="s">
        <v>60</v>
      </c>
      <c r="L88" s="421" t="s">
        <v>75</v>
      </c>
      <c r="M88" s="421" t="s">
        <v>76</v>
      </c>
      <c r="N88" s="421" t="s">
        <v>61</v>
      </c>
      <c r="O88" s="421" t="s">
        <v>62</v>
      </c>
      <c r="P88" s="421" t="s">
        <v>63</v>
      </c>
      <c r="AN88" s="38"/>
      <c r="AZ88" s="36"/>
    </row>
    <row r="89" spans="1:52" ht="25.5">
      <c r="A89" s="44" t="str">
        <f t="shared" ref="A89:C90" si="52">A4</f>
        <v>Substation General Construction</v>
      </c>
      <c r="B89" s="45" t="str">
        <f t="shared" si="52"/>
        <v>Light-Duty Truck, catalyst</v>
      </c>
      <c r="C89" s="46">
        <f t="shared" si="52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53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si="52"/>
        <v>Substation Below Grade Construction</v>
      </c>
      <c r="B90" s="45" t="str">
        <f t="shared" si="52"/>
        <v>Light-Duty Truck, catalyst</v>
      </c>
      <c r="C90" s="46">
        <f t="shared" si="52"/>
        <v>15</v>
      </c>
      <c r="D90" s="46">
        <v>35</v>
      </c>
      <c r="E90" s="46">
        <v>80</v>
      </c>
      <c r="F90" s="50">
        <f>C5*($E5*$F5+($G5))/453.59</f>
        <v>7.2857907882138004</v>
      </c>
      <c r="G90" s="50">
        <f>C5*($E5*$H5+($I5))/453.59</f>
        <v>0.65505985941567013</v>
      </c>
      <c r="H90" s="50">
        <f>C5*(($E5*$J5)+($K5)+($L5)+($E5*$N5)+(($M5+$O5)))/453.59</f>
        <v>0.75749970485929996</v>
      </c>
      <c r="I90" s="50">
        <f>C5*($E5*$P5+($Q5))/453.59</f>
        <v>1.090195540740924E-2</v>
      </c>
      <c r="J90" s="50">
        <f>C5*(($E5*($R5+$T5+$U5))+($S5))/453.59</f>
        <v>0.12786135682811844</v>
      </c>
      <c r="K90" s="50">
        <f>$C5*(($E5*($V5+$X5+$Y5))+($W5))/453.59</f>
        <v>5.5680079863797131E-2</v>
      </c>
      <c r="L90" s="50">
        <f>$B$22*C5*(E5+6)</f>
        <v>0.12657873879107848</v>
      </c>
      <c r="M90" s="50">
        <f t="shared" si="53"/>
        <v>5.1897282904342174E-2</v>
      </c>
      <c r="N90" s="50">
        <f>C5*($E5*$Z5+($AA5))/453.59</f>
        <v>831.35365089058348</v>
      </c>
      <c r="O90" s="50">
        <f>C5*($E5*$AB5+($AC5))/453.59</f>
        <v>4.7557130835453737E-2</v>
      </c>
      <c r="P90" s="50">
        <f>C5*($E5*$AD5+($AE5))/453.59</f>
        <v>8.6566798707650397E-2</v>
      </c>
      <c r="AN90" s="38"/>
      <c r="AZ90" s="36"/>
    </row>
    <row r="91" spans="1:52">
      <c r="A91" s="61" t="s">
        <v>396</v>
      </c>
      <c r="B91" s="61"/>
      <c r="C91" s="61"/>
      <c r="D91" s="61"/>
      <c r="E91" s="61"/>
      <c r="F91" s="81">
        <f>SUM(F89:F90)</f>
        <v>8.7429489458565612</v>
      </c>
      <c r="G91" s="81">
        <f t="shared" ref="G91:P91" si="54">SUM(G89:G90)</f>
        <v>0.7860718312988042</v>
      </c>
      <c r="H91" s="81">
        <f t="shared" si="54"/>
        <v>0.90899964583116</v>
      </c>
      <c r="I91" s="81">
        <f t="shared" si="54"/>
        <v>1.3082346488891087E-2</v>
      </c>
      <c r="J91" s="81">
        <f t="shared" si="54"/>
        <v>0.15343362819374212</v>
      </c>
      <c r="K91" s="81">
        <f t="shared" si="54"/>
        <v>6.6816095836556552E-2</v>
      </c>
      <c r="L91" s="81">
        <f t="shared" si="54"/>
        <v>0.15189448654929416</v>
      </c>
      <c r="M91" s="81">
        <f t="shared" si="54"/>
        <v>6.2276739485210605E-2</v>
      </c>
      <c r="N91" s="81">
        <f t="shared" si="54"/>
        <v>997.62438106870013</v>
      </c>
      <c r="O91" s="81">
        <f t="shared" si="54"/>
        <v>5.7068557002544484E-2</v>
      </c>
      <c r="P91" s="81">
        <f t="shared" si="54"/>
        <v>0.10388015844918047</v>
      </c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B-15
Construction Worker Commute Emission Calculations
Installation of 69kV Position at Miguel Substation</oddHeader>
    <oddFooter>&amp;CB-15</oddFooter>
  </headerFooter>
</worksheet>
</file>

<file path=xl/worksheets/sheet3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7"/>
  <sheetViews>
    <sheetView zoomScale="75" zoomScaleNormal="75" workbookViewId="0">
      <selection activeCell="A23" sqref="A22:A23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837</v>
      </c>
    </row>
    <row r="2" spans="1:25">
      <c r="A2" s="83"/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304</v>
      </c>
      <c r="B7" s="29">
        <v>2015</v>
      </c>
      <c r="C7" s="22"/>
      <c r="D7" s="18"/>
      <c r="E7" s="23"/>
      <c r="F7" s="23"/>
      <c r="G7" s="23"/>
      <c r="H7" s="23"/>
      <c r="I7" s="23"/>
      <c r="J7" s="24"/>
      <c r="K7" s="25"/>
      <c r="L7" s="23"/>
      <c r="M7" s="33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 t="s">
        <v>119</v>
      </c>
      <c r="B8" s="90" t="s">
        <v>27</v>
      </c>
      <c r="C8" s="97">
        <v>78</v>
      </c>
      <c r="D8" s="97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9" si="0">0.89*I8</f>
        <v>2.2038095238095235E-2</v>
      </c>
      <c r="K8" s="103">
        <v>46.950229824177143</v>
      </c>
      <c r="L8" s="102">
        <v>6.837183977115969E-3</v>
      </c>
      <c r="M8" s="104">
        <f t="shared" ref="M8:M9" si="1">0.095*G8</f>
        <v>3.7022555555555545E-2</v>
      </c>
      <c r="N8" s="98">
        <v>1</v>
      </c>
      <c r="O8" s="98">
        <v>6</v>
      </c>
      <c r="P8" s="88">
        <v>40</v>
      </c>
      <c r="Q8" s="34">
        <f t="shared" ref="Q8:Y9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113" t="s">
        <v>305</v>
      </c>
      <c r="B9" s="29" t="s">
        <v>27</v>
      </c>
      <c r="C9" s="97">
        <v>235</v>
      </c>
      <c r="D9" s="97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87">
        <v>1</v>
      </c>
      <c r="O9" s="87">
        <v>2</v>
      </c>
      <c r="P9" s="99">
        <v>40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17" t="s">
        <v>28</v>
      </c>
      <c r="B10" s="29"/>
      <c r="C10" s="97"/>
      <c r="D10" s="12"/>
      <c r="E10" s="102"/>
      <c r="F10" s="102"/>
      <c r="G10" s="102"/>
      <c r="H10" s="102"/>
      <c r="I10" s="102"/>
      <c r="J10" s="100"/>
      <c r="K10" s="103"/>
      <c r="L10" s="102"/>
      <c r="M10" s="104"/>
      <c r="N10" s="98"/>
      <c r="O10" s="98"/>
      <c r="P10" s="99"/>
      <c r="Q10" s="101">
        <f t="shared" ref="Q10:Y10" si="3">SUM(Q8:Q9)</f>
        <v>0.61044079959177677</v>
      </c>
      <c r="R10" s="101">
        <f t="shared" si="3"/>
        <v>2.5626248194240024</v>
      </c>
      <c r="S10" s="101">
        <f t="shared" si="3"/>
        <v>4.0738959523119966</v>
      </c>
      <c r="T10" s="101">
        <f t="shared" si="3"/>
        <v>7.0523446396705937E-3</v>
      </c>
      <c r="U10" s="101">
        <f t="shared" si="3"/>
        <v>0.20665485316260829</v>
      </c>
      <c r="V10" s="101">
        <f t="shared" si="3"/>
        <v>0.18392281931472138</v>
      </c>
      <c r="W10" s="101">
        <f t="shared" si="3"/>
        <v>614.7922101941133</v>
      </c>
      <c r="X10" s="101">
        <f t="shared" si="3"/>
        <v>6.2302969818088499E-2</v>
      </c>
      <c r="Y10" s="101">
        <f t="shared" si="3"/>
        <v>0.38702011546963966</v>
      </c>
    </row>
    <row r="11" spans="1:25" s="3" customFormat="1">
      <c r="A11" s="24"/>
      <c r="B11" s="29"/>
      <c r="C11" s="97"/>
      <c r="D11" s="12"/>
      <c r="E11" s="102"/>
      <c r="F11" s="102"/>
      <c r="G11" s="102"/>
      <c r="H11" s="102"/>
      <c r="I11" s="102"/>
      <c r="J11" s="100"/>
      <c r="K11" s="103"/>
      <c r="L11" s="102"/>
      <c r="M11" s="104"/>
      <c r="N11" s="98"/>
      <c r="O11" s="98"/>
      <c r="P11" s="99"/>
      <c r="Q11" s="34"/>
      <c r="R11" s="26"/>
      <c r="S11" s="26"/>
      <c r="T11" s="26"/>
      <c r="U11" s="26"/>
      <c r="V11" s="26"/>
      <c r="W11" s="26"/>
      <c r="X11" s="26"/>
      <c r="Y11" s="26"/>
    </row>
    <row r="12" spans="1:25" s="3" customFormat="1">
      <c r="A12" s="17" t="s">
        <v>306</v>
      </c>
      <c r="B12" s="29"/>
      <c r="C12" s="97"/>
      <c r="D12" s="12"/>
      <c r="E12" s="102"/>
      <c r="F12" s="102"/>
      <c r="G12" s="102"/>
      <c r="H12" s="102"/>
      <c r="I12" s="102"/>
      <c r="J12" s="100"/>
      <c r="K12" s="103"/>
      <c r="L12" s="102"/>
      <c r="M12" s="104"/>
      <c r="N12" s="98"/>
      <c r="O12" s="98"/>
      <c r="P12" s="99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24" t="s">
        <v>124</v>
      </c>
      <c r="B13" s="29" t="s">
        <v>27</v>
      </c>
      <c r="C13" s="97">
        <v>200</v>
      </c>
      <c r="D13" s="97">
        <v>0.37</v>
      </c>
      <c r="E13" s="102">
        <v>0.10222261999421943</v>
      </c>
      <c r="F13" s="397">
        <f>IF($C13&lt;11,'Offroad Tiers EF (2)'!$AB$4*$C13*$D13,IF($C13&lt;25,'Offroad Tiers EF (2)'!$AB$5*$C13*$D13,IF($C13&lt;50,'Offroad Tiers EF (2)'!$AB$6*$C13*$D13,IF($C13&lt;75,'Offroad Tiers EF (2)'!$AB$7*$C13*$D13,IF($C13&lt;100,'Offroad Tiers EF (2)'!$AB$8*$C13*$D13,IF($C13&lt;175,'Offroad Tiers EF (2)'!$AB$9*$C13*$D13,IF($C13&lt;300,'Offroad Tiers EF (2)'!$AB$10*$C13*$D13,IF($C13&lt;600,'Offroad Tiers EF (2)'!$AB$11*$C13*$D13,"!"))))))))</f>
        <v>0.42416225749559078</v>
      </c>
      <c r="G13" s="397">
        <f>IF($C13&lt;11,'Offroad Tiers EF (2)'!$Z$4*$C13*$D13,IF($C13&lt;25,'Offroad Tiers EF (2)'!$Z$5*$C13*$D13,IF($C13&lt;50,'Offroad Tiers EF (2)'!$Z$6*$C13*$D13,IF($C13&lt;75,'Offroad Tiers EF (2)'!$Z$7*$C13*$D13,IF($C13&lt;100,'Offroad Tiers EF (2)'!$Z$8*$C13*$D13,IF($C13&lt;175,'Offroad Tiers EF (2)'!$Z$9*$C13*$D13,IF($C13&lt;300,'Offroad Tiers EF (2)'!$Z$10*$C13*$D13,IF($C13&lt;600,'Offroad Tiers EF (2)'!$Z$11*$C13*$D13,"!"))))))))</f>
        <v>0.75941358024691352</v>
      </c>
      <c r="H13" s="102">
        <v>1.6762433174919141E-3</v>
      </c>
      <c r="I13" s="397">
        <f>IF($C13&lt;11,'Offroad Tiers EF (2)'!$AD$4*$C13*$D13,IF($C13&lt;25,'Offroad Tiers EF (2)'!$AD$5*$C13*$D13,IF($C13&lt;50,'Offroad Tiers EF (2)'!$AD$6*$C13*$D13,IF($C13&lt;75,'Offroad Tiers EF (2)'!$AD$7*$C13*$D13,IF($C13&lt;100,'Offroad Tiers EF (2)'!$AD$8*$C13*$D13,IF($C13&lt;175,'Offroad Tiers EF (2)'!$AD$9*$C13*$D13,IF($C13&lt;300,'Offroad Tiers EF (2)'!$AD$10*$C13*$D13,IF($C13&lt;600,'Offroad Tiers EF (2)'!$AD$11*$C13*$D13,"!"))))))))</f>
        <v>2.447089947089947E-2</v>
      </c>
      <c r="J13" s="100">
        <f t="shared" ref="J13:J15" si="4">0.89*I13</f>
        <v>2.177910052910053E-2</v>
      </c>
      <c r="K13" s="103">
        <v>148.97668540843296</v>
      </c>
      <c r="L13" s="102">
        <v>1.0701052872891326E-2</v>
      </c>
      <c r="M13" s="102">
        <f t="shared" ref="M13:M15" si="5">0.095*G13</f>
        <v>7.2144290123456786E-2</v>
      </c>
      <c r="N13" s="98">
        <v>1</v>
      </c>
      <c r="O13" s="87">
        <v>6</v>
      </c>
      <c r="P13" s="363">
        <v>5</v>
      </c>
      <c r="Q13" s="34">
        <f t="shared" ref="Q13:Y15" si="6">(E13*$N13*$O13)</f>
        <v>0.61333571996531655</v>
      </c>
      <c r="R13" s="26">
        <f t="shared" si="6"/>
        <v>2.5449735449735447</v>
      </c>
      <c r="S13" s="26">
        <f t="shared" si="6"/>
        <v>4.5564814814814811</v>
      </c>
      <c r="T13" s="26">
        <f t="shared" si="6"/>
        <v>1.0057459904951485E-2</v>
      </c>
      <c r="U13" s="26">
        <f t="shared" si="6"/>
        <v>0.1468253968253968</v>
      </c>
      <c r="V13" s="26">
        <f t="shared" si="6"/>
        <v>0.13067460317460317</v>
      </c>
      <c r="W13" s="26">
        <f t="shared" si="6"/>
        <v>893.86011245059774</v>
      </c>
      <c r="X13" s="26">
        <f t="shared" si="6"/>
        <v>6.420631723734796E-2</v>
      </c>
      <c r="Y13" s="26">
        <f t="shared" si="6"/>
        <v>0.43286574074074069</v>
      </c>
    </row>
    <row r="14" spans="1:25" s="3" customFormat="1">
      <c r="A14" s="113" t="s">
        <v>307</v>
      </c>
      <c r="B14" s="29" t="s">
        <v>27</v>
      </c>
      <c r="C14" s="97">
        <v>175</v>
      </c>
      <c r="D14" s="97"/>
      <c r="E14" s="102">
        <v>0.11792220738547983</v>
      </c>
      <c r="F14" s="102">
        <v>0.36512193352152528</v>
      </c>
      <c r="G14" s="102">
        <v>0.86781464282266541</v>
      </c>
      <c r="H14" s="102">
        <v>1.8739217498104396E-3</v>
      </c>
      <c r="I14" s="102">
        <v>2.9041712295589866E-2</v>
      </c>
      <c r="J14" s="100">
        <f t="shared" si="4"/>
        <v>2.5847123943074982E-2</v>
      </c>
      <c r="K14" s="103">
        <v>166.54541562452522</v>
      </c>
      <c r="L14" s="102">
        <v>1.063993297769634E-2</v>
      </c>
      <c r="M14" s="104">
        <f t="shared" si="5"/>
        <v>8.2442391068153209E-2</v>
      </c>
      <c r="N14" s="87">
        <v>1</v>
      </c>
      <c r="O14" s="87">
        <v>3</v>
      </c>
      <c r="P14" s="99">
        <v>20</v>
      </c>
      <c r="Q14" s="34">
        <f t="shared" si="6"/>
        <v>0.3537666221564395</v>
      </c>
      <c r="R14" s="26">
        <f t="shared" si="6"/>
        <v>1.0953658005645759</v>
      </c>
      <c r="S14" s="26">
        <f t="shared" si="6"/>
        <v>2.6034439284679962</v>
      </c>
      <c r="T14" s="26">
        <f t="shared" si="6"/>
        <v>5.6217652494313184E-3</v>
      </c>
      <c r="U14" s="26">
        <f t="shared" si="6"/>
        <v>8.7125136886769594E-2</v>
      </c>
      <c r="V14" s="26">
        <f t="shared" si="6"/>
        <v>7.754137182922495E-2</v>
      </c>
      <c r="W14" s="26">
        <f t="shared" si="6"/>
        <v>499.63624687357566</v>
      </c>
      <c r="X14" s="26">
        <f t="shared" si="6"/>
        <v>3.1919798933089022E-2</v>
      </c>
      <c r="Y14" s="26">
        <f t="shared" si="6"/>
        <v>0.24732717320445963</v>
      </c>
    </row>
    <row r="15" spans="1:25" s="3" customFormat="1">
      <c r="A15" s="100" t="s">
        <v>113</v>
      </c>
      <c r="B15" s="22" t="s">
        <v>27</v>
      </c>
      <c r="C15" s="97">
        <v>8</v>
      </c>
      <c r="D15" s="97"/>
      <c r="E15" s="102">
        <v>5.0214943501351089E-3</v>
      </c>
      <c r="F15" s="102">
        <v>2.6339776897464882E-2</v>
      </c>
      <c r="G15" s="102">
        <v>3.1446511855053767E-2</v>
      </c>
      <c r="H15" s="102">
        <v>6.7126585936112015E-5</v>
      </c>
      <c r="I15" s="102">
        <v>1.2318111482797186E-3</v>
      </c>
      <c r="J15" s="100">
        <f t="shared" si="4"/>
        <v>1.0963119219689495E-3</v>
      </c>
      <c r="K15" s="103">
        <v>4.3138036171262613</v>
      </c>
      <c r="L15" s="102">
        <v>4.5308138614573088E-4</v>
      </c>
      <c r="M15" s="104">
        <f t="shared" si="5"/>
        <v>2.9874186262301081E-3</v>
      </c>
      <c r="N15" s="87">
        <v>1</v>
      </c>
      <c r="O15" s="87">
        <v>6</v>
      </c>
      <c r="P15" s="88">
        <v>20</v>
      </c>
      <c r="Q15" s="34">
        <f t="shared" si="6"/>
        <v>3.0128966100810652E-2</v>
      </c>
      <c r="R15" s="26">
        <f t="shared" si="6"/>
        <v>0.15803866138478928</v>
      </c>
      <c r="S15" s="26">
        <f t="shared" si="6"/>
        <v>0.18867907113032262</v>
      </c>
      <c r="T15" s="26">
        <f t="shared" si="6"/>
        <v>4.0275951561667212E-4</v>
      </c>
      <c r="U15" s="26">
        <f t="shared" si="6"/>
        <v>7.3908668896783113E-3</v>
      </c>
      <c r="V15" s="26">
        <f t="shared" si="6"/>
        <v>6.5778715318136971E-3</v>
      </c>
      <c r="W15" s="26">
        <f t="shared" si="6"/>
        <v>25.882821702757568</v>
      </c>
      <c r="X15" s="26">
        <f t="shared" si="6"/>
        <v>2.718488316874385E-3</v>
      </c>
      <c r="Y15" s="26">
        <f t="shared" si="6"/>
        <v>1.7924511757380648E-2</v>
      </c>
    </row>
    <row r="16" spans="1:25" s="3" customFormat="1">
      <c r="A16" s="17" t="s">
        <v>28</v>
      </c>
      <c r="B16" s="29"/>
      <c r="C16" s="97"/>
      <c r="D16" s="12"/>
      <c r="E16" s="102"/>
      <c r="F16" s="102"/>
      <c r="G16" s="102"/>
      <c r="H16" s="102"/>
      <c r="I16" s="102"/>
      <c r="J16" s="100"/>
      <c r="K16" s="103"/>
      <c r="L16" s="102"/>
      <c r="M16" s="104"/>
      <c r="N16" s="98"/>
      <c r="O16" s="98"/>
      <c r="P16" s="99"/>
      <c r="Q16" s="101">
        <f t="shared" ref="Q16:Y16" si="7">SUM(Q13:Q15)</f>
        <v>0.99723130822256667</v>
      </c>
      <c r="R16" s="101">
        <f t="shared" si="7"/>
        <v>3.7983780069229098</v>
      </c>
      <c r="S16" s="101">
        <f t="shared" si="7"/>
        <v>7.3486044810797999</v>
      </c>
      <c r="T16" s="101">
        <f t="shared" si="7"/>
        <v>1.6081984669999477E-2</v>
      </c>
      <c r="U16" s="101">
        <f t="shared" si="7"/>
        <v>0.2413414006018447</v>
      </c>
      <c r="V16" s="101">
        <f t="shared" si="7"/>
        <v>0.21479384653564179</v>
      </c>
      <c r="W16" s="101">
        <f t="shared" si="7"/>
        <v>1419.3791810269311</v>
      </c>
      <c r="X16" s="101">
        <f t="shared" si="7"/>
        <v>9.8844604487311361E-2</v>
      </c>
      <c r="Y16" s="101">
        <f t="shared" si="7"/>
        <v>0.69811742570258095</v>
      </c>
    </row>
    <row r="17" spans="1:32" s="6" customFormat="1">
      <c r="A17" s="122" t="s">
        <v>390</v>
      </c>
      <c r="B17" s="97"/>
      <c r="C17" s="22"/>
      <c r="D17" s="22"/>
      <c r="E17" s="23"/>
      <c r="F17" s="23"/>
      <c r="G17" s="23"/>
      <c r="H17" s="23"/>
      <c r="I17" s="23"/>
      <c r="J17" s="24"/>
      <c r="K17" s="25"/>
      <c r="L17" s="23"/>
      <c r="M17" s="23"/>
      <c r="N17" s="88"/>
      <c r="O17" s="88"/>
      <c r="P17" s="88"/>
      <c r="Q17" s="20">
        <f t="shared" ref="Q17:Y17" si="8">Q10+Q16</f>
        <v>1.6076721078143434</v>
      </c>
      <c r="R17" s="20">
        <f t="shared" si="8"/>
        <v>6.3610028263469118</v>
      </c>
      <c r="S17" s="20">
        <f t="shared" si="8"/>
        <v>11.422500433391797</v>
      </c>
      <c r="T17" s="20">
        <f t="shared" si="8"/>
        <v>2.3134329309670069E-2</v>
      </c>
      <c r="U17" s="20">
        <f t="shared" si="8"/>
        <v>0.44799625376445296</v>
      </c>
      <c r="V17" s="20">
        <f t="shared" si="8"/>
        <v>0.39871666585036314</v>
      </c>
      <c r="W17" s="20">
        <f t="shared" si="8"/>
        <v>2034.1713912210444</v>
      </c>
      <c r="X17" s="20">
        <f t="shared" si="8"/>
        <v>0.16114757430539986</v>
      </c>
      <c r="Y17" s="20">
        <f t="shared" si="8"/>
        <v>1.0851375411722206</v>
      </c>
      <c r="AF17" s="7"/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>&amp;CTable B-13
Construction Heavy Equipment Emissions
Installation of 69kV Position at Miguel Substation</oddHeader>
    <oddFooter>&amp;CB-13</oddFooter>
  </headerFooter>
</worksheet>
</file>

<file path=xl/worksheets/sheet3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3"/>
  <sheetViews>
    <sheetView zoomScale="75" workbookViewId="0">
      <selection activeCell="A30" sqref="A29:A30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838</v>
      </c>
    </row>
    <row r="2" spans="1:30">
      <c r="A2" s="83"/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304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320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C9*(F9)*$B$381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6">
        <v>3.59998119015979E-2</v>
      </c>
      <c r="M10" s="556">
        <v>6.1739677411240299E-2</v>
      </c>
      <c r="N10" s="106">
        <v>6.5945508986370194E-2</v>
      </c>
      <c r="O10" s="556">
        <v>2.9999843251331498E-3</v>
      </c>
      <c r="P10" s="55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C10*(F10)*$B$381</f>
        <v>7.8498442661133934E-3</v>
      </c>
      <c r="AA10" s="50">
        <f>Z10*0.21</f>
        <v>1.6484672958838125E-3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2.5511993864868531E-2</v>
      </c>
      <c r="AA11" s="81">
        <f t="shared" si="0"/>
        <v>5.3575187116223916E-3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432"/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 ht="25.5" customHeight="1">
      <c r="A13" s="114" t="s">
        <v>334</v>
      </c>
      <c r="B13" s="74"/>
      <c r="C13" s="112"/>
      <c r="D13" s="112"/>
      <c r="E13" s="74"/>
      <c r="F13" s="74"/>
      <c r="G13" s="437"/>
      <c r="H13" s="41"/>
      <c r="I13" s="41"/>
      <c r="J13" s="41"/>
      <c r="K13" s="434"/>
      <c r="L13" s="434"/>
      <c r="M13" s="434"/>
      <c r="N13" s="434"/>
      <c r="O13" s="434"/>
      <c r="P13" s="434"/>
      <c r="Q13" s="41"/>
      <c r="R13" s="434"/>
      <c r="S13" s="43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 ht="12.75" customHeight="1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C14*(F14)*$B$381</f>
        <v>3.5324299197510275E-2</v>
      </c>
      <c r="AA14" s="50">
        <f>Z14*0.21</f>
        <v>7.4181028314771573E-3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5" t="s">
        <v>28</v>
      </c>
      <c r="B15" s="74"/>
      <c r="C15" s="112"/>
      <c r="D15" s="112"/>
      <c r="E15" s="74"/>
      <c r="F15" s="74"/>
      <c r="G15" s="437"/>
      <c r="H15" s="41"/>
      <c r="I15" s="41"/>
      <c r="J15" s="41"/>
      <c r="K15" s="434"/>
      <c r="L15" s="434"/>
      <c r="M15" s="434"/>
      <c r="N15" s="434"/>
      <c r="O15" s="434"/>
      <c r="P15" s="434"/>
      <c r="Q15" s="41"/>
      <c r="R15" s="434"/>
      <c r="S15" s="434"/>
      <c r="T15" s="81">
        <f t="shared" ref="T15:AD15" si="1">SUM(T14:T14)</f>
        <v>0.19978255106729004</v>
      </c>
      <c r="U15" s="81">
        <f t="shared" si="1"/>
        <v>0.36881875565943734</v>
      </c>
      <c r="V15" s="81">
        <f t="shared" si="1"/>
        <v>4.50613455258927E-2</v>
      </c>
      <c r="W15" s="81">
        <f t="shared" si="1"/>
        <v>2.7797226812149543E-3</v>
      </c>
      <c r="X15" s="81">
        <f t="shared" si="1"/>
        <v>7.2738929740302244E-2</v>
      </c>
      <c r="Y15" s="81">
        <f t="shared" si="1"/>
        <v>4.8332197965954803E-2</v>
      </c>
      <c r="Z15" s="81">
        <f t="shared" si="1"/>
        <v>3.5324299197510275E-2</v>
      </c>
      <c r="AA15" s="81">
        <f t="shared" si="1"/>
        <v>7.4181028314771573E-3</v>
      </c>
      <c r="AB15" s="81">
        <f t="shared" si="1"/>
        <v>193.62821118051326</v>
      </c>
      <c r="AC15" s="81">
        <f t="shared" si="1"/>
        <v>1.1064496871488068E-2</v>
      </c>
      <c r="AD15" s="81">
        <f t="shared" si="1"/>
        <v>4.9599802576000274E-3</v>
      </c>
    </row>
    <row r="16" spans="1:30">
      <c r="A16" s="75" t="s">
        <v>388</v>
      </c>
      <c r="B16" s="74"/>
      <c r="C16" s="112"/>
      <c r="D16" s="112"/>
      <c r="E16" s="74"/>
      <c r="F16" s="74"/>
      <c r="G16" s="437"/>
      <c r="H16" s="41"/>
      <c r="I16" s="41"/>
      <c r="J16" s="41"/>
      <c r="K16" s="434"/>
      <c r="L16" s="434"/>
      <c r="M16" s="434"/>
      <c r="N16" s="434"/>
      <c r="O16" s="434"/>
      <c r="P16" s="434"/>
      <c r="Q16" s="41"/>
      <c r="R16" s="434"/>
      <c r="S16" s="434"/>
      <c r="T16" s="81">
        <f t="shared" ref="T16:AD16" si="2">T11+T15</f>
        <v>0.49061979389018751</v>
      </c>
      <c r="U16" s="81">
        <f t="shared" si="2"/>
        <v>1.4300149922750218</v>
      </c>
      <c r="V16" s="81">
        <f t="shared" si="2"/>
        <v>0.11388583001311323</v>
      </c>
      <c r="W16" s="81">
        <f t="shared" si="2"/>
        <v>6.0588351957901118E-3</v>
      </c>
      <c r="X16" s="81">
        <f t="shared" si="2"/>
        <v>0.13898901638518027</v>
      </c>
      <c r="Y16" s="81">
        <f t="shared" si="2"/>
        <v>9.4510281595063333E-2</v>
      </c>
      <c r="Z16" s="81">
        <f t="shared" si="2"/>
        <v>6.083629306237881E-2</v>
      </c>
      <c r="AA16" s="81">
        <f t="shared" si="2"/>
        <v>1.2775621543099549E-2</v>
      </c>
      <c r="AB16" s="81">
        <f t="shared" si="2"/>
        <v>592.16432649433523</v>
      </c>
      <c r="AC16" s="81">
        <f t="shared" si="2"/>
        <v>1.9283796835273176E-2</v>
      </c>
      <c r="AD16" s="81">
        <f t="shared" si="2"/>
        <v>1.5168881387478891E-2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371" spans="1:2" ht="25.5">
      <c r="A371" s="82" t="s">
        <v>109</v>
      </c>
    </row>
    <row r="373" spans="1:2">
      <c r="A373" s="36" t="s">
        <v>81</v>
      </c>
    </row>
    <row r="374" spans="1:2">
      <c r="A374" s="36" t="s">
        <v>82</v>
      </c>
    </row>
    <row r="375" spans="1:2">
      <c r="A375" s="36" t="s">
        <v>83</v>
      </c>
    </row>
    <row r="376" spans="1:2">
      <c r="A376" s="37" t="s">
        <v>96</v>
      </c>
    </row>
    <row r="377" spans="1:2">
      <c r="A377" s="36" t="s">
        <v>85</v>
      </c>
    </row>
    <row r="378" spans="1:2">
      <c r="A378" s="36" t="s">
        <v>86</v>
      </c>
    </row>
    <row r="379" spans="1:2">
      <c r="A379" s="36" t="s">
        <v>87</v>
      </c>
    </row>
    <row r="380" spans="1:2">
      <c r="A380" s="36" t="s">
        <v>0</v>
      </c>
    </row>
    <row r="381" spans="1:2">
      <c r="A381" s="37" t="s">
        <v>97</v>
      </c>
      <c r="B381" s="36">
        <f>(0.016*(0.03/2)^0.65*(2/3)^1.5)-0.00047</f>
        <v>9.8123053326417428E-5</v>
      </c>
    </row>
    <row r="382" spans="1:2">
      <c r="A382" s="37" t="s">
        <v>98</v>
      </c>
      <c r="B382" s="36">
        <f>(0.016*(0.03/2)^0.65*(13/3)^1.5)-0.00047</f>
        <v>8.9448292388582783E-3</v>
      </c>
    </row>
    <row r="383" spans="1:2">
      <c r="A383" s="37" t="s">
        <v>99</v>
      </c>
      <c r="B383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B-14
Construction Truck Trip Emissions
Installation of 69kV Position at Miguel Substation</oddHeader>
    <oddFooter>&amp;CB-14</oddFooter>
  </headerFooter>
</worksheet>
</file>

<file path=xl/worksheets/sheet3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B94" sqref="B94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839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334</v>
      </c>
      <c r="B5" s="45" t="s">
        <v>102</v>
      </c>
      <c r="C5" s="46">
        <v>9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43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435" t="s">
        <v>55</v>
      </c>
      <c r="G88" s="435" t="s">
        <v>73</v>
      </c>
      <c r="H88" s="435" t="s">
        <v>74</v>
      </c>
      <c r="I88" s="435" t="s">
        <v>58</v>
      </c>
      <c r="J88" s="435" t="s">
        <v>59</v>
      </c>
      <c r="K88" s="435" t="s">
        <v>60</v>
      </c>
      <c r="L88" s="434" t="s">
        <v>75</v>
      </c>
      <c r="M88" s="434" t="s">
        <v>76</v>
      </c>
      <c r="N88" s="434" t="s">
        <v>61</v>
      </c>
      <c r="O88" s="434" t="s">
        <v>62</v>
      </c>
      <c r="P88" s="434" t="s">
        <v>63</v>
      </c>
      <c r="AN88" s="38"/>
      <c r="AZ88" s="36"/>
    </row>
    <row r="89" spans="1:52" ht="25.5">
      <c r="A89" s="44" t="str">
        <f t="shared" ref="A89:C90" si="52">A4</f>
        <v>Substation General Construction</v>
      </c>
      <c r="B89" s="45" t="str">
        <f t="shared" si="52"/>
        <v>Light-Duty Truck, catalyst</v>
      </c>
      <c r="C89" s="46">
        <f t="shared" si="52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53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si="52"/>
        <v>Substation Below Grade Construction</v>
      </c>
      <c r="B90" s="45" t="str">
        <f t="shared" si="52"/>
        <v>Light-Duty Truck, catalyst</v>
      </c>
      <c r="C90" s="46">
        <f t="shared" si="52"/>
        <v>9</v>
      </c>
      <c r="D90" s="46">
        <v>35</v>
      </c>
      <c r="E90" s="46">
        <v>80</v>
      </c>
      <c r="F90" s="50">
        <f>C5*($E5*$F5+($G5))/453.59</f>
        <v>4.3714744729282806</v>
      </c>
      <c r="G90" s="50">
        <f>C5*($E5*$H5+($I5))/453.59</f>
        <v>0.3930359156494021</v>
      </c>
      <c r="H90" s="50">
        <f>C5*(($E5*$J5)+($K5)+($L5)+($E5*$N5)+(($M5+$O5)))/453.59</f>
        <v>0.45449982291557994</v>
      </c>
      <c r="I90" s="50">
        <f>C5*($E5*$P5+($Q5))/453.59</f>
        <v>6.5411732444455436E-3</v>
      </c>
      <c r="J90" s="50">
        <f>C5*(($E5*($R5+$T5+$U5))+($S5))/453.59</f>
        <v>7.6716814096871075E-2</v>
      </c>
      <c r="K90" s="50">
        <f>$C5*(($E5*($V5+$X5+$Y5))+($W5))/453.59</f>
        <v>3.3408047918278276E-2</v>
      </c>
      <c r="L90" s="50">
        <f>$B$22*C5*(E5+6)</f>
        <v>7.594724327464708E-2</v>
      </c>
      <c r="M90" s="50">
        <f t="shared" si="53"/>
        <v>3.1138369742605303E-2</v>
      </c>
      <c r="N90" s="50">
        <f>C5*($E5*$Z5+($AA5))/453.59</f>
        <v>498.81219053435007</v>
      </c>
      <c r="O90" s="50">
        <f>C5*($E5*$AB5+($AC5))/453.59</f>
        <v>2.8534278501272246E-2</v>
      </c>
      <c r="P90" s="50">
        <f>C5*($E5*$AD5+($AE5))/453.59</f>
        <v>5.1940079224590235E-2</v>
      </c>
      <c r="AN90" s="38"/>
      <c r="AZ90" s="36"/>
    </row>
    <row r="91" spans="1:52">
      <c r="A91" s="61" t="s">
        <v>396</v>
      </c>
      <c r="B91" s="61"/>
      <c r="C91" s="61"/>
      <c r="D91" s="61"/>
      <c r="E91" s="61"/>
      <c r="F91" s="81">
        <f>SUM(F89:F90)</f>
        <v>5.8286326305710405</v>
      </c>
      <c r="G91" s="81">
        <f t="shared" ref="G91:P91" si="54">SUM(G89:G90)</f>
        <v>0.52404788753253606</v>
      </c>
      <c r="H91" s="81">
        <f t="shared" si="54"/>
        <v>0.60599976388743992</v>
      </c>
      <c r="I91" s="81">
        <f t="shared" si="54"/>
        <v>8.7215643259273903E-3</v>
      </c>
      <c r="J91" s="81">
        <f t="shared" si="54"/>
        <v>0.10228908546249477</v>
      </c>
      <c r="K91" s="81">
        <f t="shared" si="54"/>
        <v>4.4544063891037704E-2</v>
      </c>
      <c r="L91" s="81">
        <f t="shared" si="54"/>
        <v>0.10126299103286278</v>
      </c>
      <c r="M91" s="81">
        <f t="shared" si="54"/>
        <v>4.1517826323473742E-2</v>
      </c>
      <c r="N91" s="81">
        <f t="shared" si="54"/>
        <v>665.08292071246683</v>
      </c>
      <c r="O91" s="81">
        <f t="shared" si="54"/>
        <v>3.804570466836299E-2</v>
      </c>
      <c r="P91" s="81">
        <f t="shared" si="54"/>
        <v>6.9253438966120323E-2</v>
      </c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B-15
Construction Worker Commute Emission Calculations
Installation of 69kV Position at Miguel Substation</oddHeader>
    <oddFooter>&amp;CB-15</oddFooter>
  </headerFooter>
</worksheet>
</file>

<file path=xl/worksheets/sheet3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6"/>
  <sheetViews>
    <sheetView zoomScale="75" zoomScaleNormal="75" workbookViewId="0">
      <selection activeCell="C28" sqref="C28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32">
      <c r="A1" s="3" t="s">
        <v>840</v>
      </c>
    </row>
    <row r="2" spans="1:32">
      <c r="A2" s="83"/>
    </row>
    <row r="3" spans="1:32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32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32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32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32" s="3" customFormat="1">
      <c r="A7" s="17" t="s">
        <v>304</v>
      </c>
      <c r="B7" s="29">
        <v>2015</v>
      </c>
      <c r="C7" s="22"/>
      <c r="D7" s="18"/>
      <c r="E7" s="23"/>
      <c r="F7" s="23"/>
      <c r="G7" s="23"/>
      <c r="H7" s="23"/>
      <c r="I7" s="23"/>
      <c r="J7" s="24"/>
      <c r="K7" s="25"/>
      <c r="L7" s="23"/>
      <c r="M7" s="33"/>
      <c r="N7" s="88"/>
      <c r="O7" s="88"/>
      <c r="P7" s="88"/>
      <c r="Q7" s="26"/>
      <c r="R7" s="26"/>
      <c r="S7" s="26"/>
      <c r="T7" s="26"/>
      <c r="U7" s="26"/>
      <c r="V7" s="26"/>
      <c r="W7" s="26"/>
      <c r="X7" s="26"/>
      <c r="Y7" s="26"/>
    </row>
    <row r="8" spans="1:32" s="3" customFormat="1">
      <c r="A8" s="24" t="s">
        <v>119</v>
      </c>
      <c r="B8" s="90" t="s">
        <v>27</v>
      </c>
      <c r="C8" s="97">
        <v>78</v>
      </c>
      <c r="D8" s="97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9" si="0">0.89*I8</f>
        <v>2.2038095238095235E-2</v>
      </c>
      <c r="K8" s="103">
        <v>46.950229824177143</v>
      </c>
      <c r="L8" s="102">
        <v>6.837183977115969E-3</v>
      </c>
      <c r="M8" s="104">
        <f t="shared" ref="M8:M9" si="1">0.095*G8</f>
        <v>3.7022555555555545E-2</v>
      </c>
      <c r="N8" s="88">
        <v>1</v>
      </c>
      <c r="O8" s="88">
        <v>6</v>
      </c>
      <c r="P8" s="88">
        <v>40</v>
      </c>
      <c r="Q8" s="26">
        <f t="shared" ref="Q8:Y9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32" s="3" customFormat="1">
      <c r="A9" s="113" t="s">
        <v>305</v>
      </c>
      <c r="B9" s="29" t="s">
        <v>27</v>
      </c>
      <c r="C9" s="97">
        <v>235</v>
      </c>
      <c r="D9" s="97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88">
        <v>1</v>
      </c>
      <c r="O9" s="88">
        <v>2</v>
      </c>
      <c r="P9" s="88">
        <v>40</v>
      </c>
      <c r="Q9" s="26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32" s="3" customFormat="1">
      <c r="A10" s="17" t="s">
        <v>28</v>
      </c>
      <c r="B10" s="29"/>
      <c r="C10" s="97"/>
      <c r="D10" s="12"/>
      <c r="E10" s="102"/>
      <c r="F10" s="102"/>
      <c r="G10" s="102"/>
      <c r="H10" s="102"/>
      <c r="I10" s="102"/>
      <c r="J10" s="100"/>
      <c r="K10" s="103"/>
      <c r="L10" s="102"/>
      <c r="M10" s="104"/>
      <c r="N10" s="88"/>
      <c r="O10" s="88"/>
      <c r="P10" s="88"/>
      <c r="Q10" s="27">
        <f t="shared" ref="Q10:Y10" si="3">SUM(Q8:Q9)</f>
        <v>0.61044079959177677</v>
      </c>
      <c r="R10" s="101">
        <f t="shared" si="3"/>
        <v>2.5626248194240024</v>
      </c>
      <c r="S10" s="101">
        <f t="shared" si="3"/>
        <v>4.0738959523119966</v>
      </c>
      <c r="T10" s="101">
        <f t="shared" si="3"/>
        <v>7.0523446396705937E-3</v>
      </c>
      <c r="U10" s="101">
        <f t="shared" si="3"/>
        <v>0.20665485316260829</v>
      </c>
      <c r="V10" s="101">
        <f t="shared" si="3"/>
        <v>0.18392281931472138</v>
      </c>
      <c r="W10" s="101">
        <f t="shared" si="3"/>
        <v>614.7922101941133</v>
      </c>
      <c r="X10" s="101">
        <f t="shared" si="3"/>
        <v>6.2302969818088499E-2</v>
      </c>
      <c r="Y10" s="101">
        <f t="shared" si="3"/>
        <v>0.38702011546963966</v>
      </c>
    </row>
    <row r="11" spans="1:32" s="3" customFormat="1">
      <c r="A11" s="24"/>
      <c r="B11" s="29"/>
      <c r="C11" s="97"/>
      <c r="D11" s="12"/>
      <c r="E11" s="102"/>
      <c r="F11" s="102"/>
      <c r="G11" s="102"/>
      <c r="H11" s="102"/>
      <c r="I11" s="102"/>
      <c r="J11" s="100"/>
      <c r="K11" s="103"/>
      <c r="L11" s="102"/>
      <c r="M11" s="104"/>
      <c r="N11" s="88"/>
      <c r="O11" s="88"/>
      <c r="P11" s="88"/>
      <c r="Q11" s="26"/>
      <c r="R11" s="26"/>
      <c r="S11" s="26"/>
      <c r="T11" s="26"/>
      <c r="U11" s="26"/>
      <c r="V11" s="26"/>
      <c r="W11" s="26"/>
      <c r="X11" s="26"/>
      <c r="Y11" s="26"/>
    </row>
    <row r="12" spans="1:32" s="3" customFormat="1">
      <c r="A12" s="17" t="s">
        <v>306</v>
      </c>
      <c r="B12" s="29"/>
      <c r="C12" s="97"/>
      <c r="D12" s="12"/>
      <c r="E12" s="102"/>
      <c r="F12" s="102"/>
      <c r="G12" s="102"/>
      <c r="H12" s="102"/>
      <c r="I12" s="102"/>
      <c r="J12" s="100"/>
      <c r="K12" s="103"/>
      <c r="L12" s="102"/>
      <c r="M12" s="104"/>
      <c r="N12" s="88"/>
      <c r="O12" s="88"/>
      <c r="P12" s="88"/>
      <c r="Q12" s="26"/>
      <c r="R12" s="26"/>
      <c r="S12" s="26"/>
      <c r="T12" s="26"/>
      <c r="U12" s="26"/>
      <c r="V12" s="26"/>
      <c r="W12" s="26"/>
      <c r="X12" s="26"/>
      <c r="Y12" s="26"/>
    </row>
    <row r="13" spans="1:32" s="3" customFormat="1">
      <c r="A13" s="113" t="s">
        <v>307</v>
      </c>
      <c r="B13" s="29" t="s">
        <v>27</v>
      </c>
      <c r="C13" s="97">
        <v>175</v>
      </c>
      <c r="D13" s="97"/>
      <c r="E13" s="102">
        <v>0.11792220738547983</v>
      </c>
      <c r="F13" s="102">
        <v>0.36512193352152528</v>
      </c>
      <c r="G13" s="102">
        <v>0.86781464282266541</v>
      </c>
      <c r="H13" s="102">
        <v>1.8739217498104396E-3</v>
      </c>
      <c r="I13" s="102">
        <v>2.9041712295589866E-2</v>
      </c>
      <c r="J13" s="100">
        <f t="shared" ref="J13" si="4">0.89*I13</f>
        <v>2.5847123943074982E-2</v>
      </c>
      <c r="K13" s="103">
        <v>166.54541562452522</v>
      </c>
      <c r="L13" s="102">
        <v>1.063993297769634E-2</v>
      </c>
      <c r="M13" s="104">
        <f t="shared" ref="M13" si="5">0.095*G13</f>
        <v>8.2442391068153209E-2</v>
      </c>
      <c r="N13" s="88">
        <v>1</v>
      </c>
      <c r="O13" s="88">
        <v>3</v>
      </c>
      <c r="P13" s="88">
        <v>20</v>
      </c>
      <c r="Q13" s="26">
        <f t="shared" ref="Q13:Y14" si="6">(E13*$N13*$O13)</f>
        <v>0.3537666221564395</v>
      </c>
      <c r="R13" s="26">
        <f t="shared" si="6"/>
        <v>1.0953658005645759</v>
      </c>
      <c r="S13" s="26">
        <f t="shared" si="6"/>
        <v>2.6034439284679962</v>
      </c>
      <c r="T13" s="26">
        <f t="shared" si="6"/>
        <v>5.6217652494313184E-3</v>
      </c>
      <c r="U13" s="26">
        <f t="shared" si="6"/>
        <v>8.7125136886769594E-2</v>
      </c>
      <c r="V13" s="26">
        <f t="shared" si="6"/>
        <v>7.754137182922495E-2</v>
      </c>
      <c r="W13" s="26">
        <f t="shared" si="6"/>
        <v>499.63624687357566</v>
      </c>
      <c r="X13" s="26">
        <f t="shared" si="6"/>
        <v>3.1919798933089022E-2</v>
      </c>
      <c r="Y13" s="26">
        <f t="shared" si="6"/>
        <v>0.24732717320445963</v>
      </c>
    </row>
    <row r="14" spans="1:32" s="3" customFormat="1">
      <c r="A14" s="100" t="s">
        <v>113</v>
      </c>
      <c r="B14" s="22" t="s">
        <v>27</v>
      </c>
      <c r="C14" s="97">
        <v>8</v>
      </c>
      <c r="D14" s="97"/>
      <c r="E14" s="102">
        <v>5.0214943501351089E-3</v>
      </c>
      <c r="F14" s="102">
        <v>2.6339776897464882E-2</v>
      </c>
      <c r="G14" s="102">
        <v>3.1446511855053767E-2</v>
      </c>
      <c r="H14" s="102">
        <v>6.7126585936112015E-5</v>
      </c>
      <c r="I14" s="102">
        <v>1.2318111482797186E-3</v>
      </c>
      <c r="J14" s="100">
        <f t="shared" ref="J14" si="7">0.89*I14</f>
        <v>1.0963119219689495E-3</v>
      </c>
      <c r="K14" s="103">
        <v>4.3138036171262613</v>
      </c>
      <c r="L14" s="102">
        <v>4.5308138614573088E-4</v>
      </c>
      <c r="M14" s="104">
        <f t="shared" ref="M14" si="8">0.095*G14</f>
        <v>2.9874186262301081E-3</v>
      </c>
      <c r="N14" s="88">
        <v>1</v>
      </c>
      <c r="O14" s="88">
        <v>6</v>
      </c>
      <c r="P14" s="88">
        <v>20</v>
      </c>
      <c r="Q14" s="26">
        <f t="shared" si="6"/>
        <v>3.0128966100810652E-2</v>
      </c>
      <c r="R14" s="26">
        <f t="shared" si="6"/>
        <v>0.15803866138478928</v>
      </c>
      <c r="S14" s="26">
        <f t="shared" si="6"/>
        <v>0.18867907113032262</v>
      </c>
      <c r="T14" s="26">
        <f t="shared" si="6"/>
        <v>4.0275951561667212E-4</v>
      </c>
      <c r="U14" s="26">
        <f t="shared" si="6"/>
        <v>7.3908668896783113E-3</v>
      </c>
      <c r="V14" s="26">
        <f t="shared" si="6"/>
        <v>6.5778715318136971E-3</v>
      </c>
      <c r="W14" s="26">
        <f t="shared" si="6"/>
        <v>25.882821702757568</v>
      </c>
      <c r="X14" s="26">
        <f t="shared" si="6"/>
        <v>2.718488316874385E-3</v>
      </c>
      <c r="Y14" s="26">
        <f t="shared" si="6"/>
        <v>1.7924511757380648E-2</v>
      </c>
    </row>
    <row r="15" spans="1:32" s="3" customFormat="1">
      <c r="A15" s="17" t="s">
        <v>28</v>
      </c>
      <c r="B15" s="29"/>
      <c r="C15" s="97"/>
      <c r="D15" s="12"/>
      <c r="E15" s="102"/>
      <c r="F15" s="102"/>
      <c r="G15" s="102"/>
      <c r="H15" s="102"/>
      <c r="I15" s="102"/>
      <c r="J15" s="100"/>
      <c r="K15" s="103"/>
      <c r="L15" s="102"/>
      <c r="M15" s="104"/>
      <c r="N15" s="88"/>
      <c r="O15" s="88"/>
      <c r="P15" s="88"/>
      <c r="Q15" s="27">
        <f t="shared" ref="Q15:Y15" si="9">SUM(Q13:Q14)</f>
        <v>0.38389558825725018</v>
      </c>
      <c r="R15" s="101">
        <f t="shared" si="9"/>
        <v>1.2534044619493652</v>
      </c>
      <c r="S15" s="101">
        <f t="shared" si="9"/>
        <v>2.7921229995983188</v>
      </c>
      <c r="T15" s="101">
        <f t="shared" si="9"/>
        <v>6.0245247650479901E-3</v>
      </c>
      <c r="U15" s="101">
        <f t="shared" si="9"/>
        <v>9.4516003776447907E-2</v>
      </c>
      <c r="V15" s="101">
        <f t="shared" si="9"/>
        <v>8.4119243361038654E-2</v>
      </c>
      <c r="W15" s="101">
        <f t="shared" si="9"/>
        <v>525.51906857633321</v>
      </c>
      <c r="X15" s="101">
        <f t="shared" si="9"/>
        <v>3.4638287249963408E-2</v>
      </c>
      <c r="Y15" s="101">
        <f t="shared" si="9"/>
        <v>0.26525168496184026</v>
      </c>
    </row>
    <row r="16" spans="1:32" s="6" customFormat="1">
      <c r="A16" s="122" t="s">
        <v>390</v>
      </c>
      <c r="B16" s="97"/>
      <c r="C16" s="22"/>
      <c r="D16" s="22"/>
      <c r="E16" s="23"/>
      <c r="F16" s="23"/>
      <c r="G16" s="23"/>
      <c r="H16" s="23"/>
      <c r="I16" s="23"/>
      <c r="J16" s="24"/>
      <c r="K16" s="25"/>
      <c r="L16" s="23"/>
      <c r="M16" s="23"/>
      <c r="N16" s="88"/>
      <c r="O16" s="88"/>
      <c r="P16" s="88"/>
      <c r="Q16" s="20">
        <f t="shared" ref="Q16:Y16" si="10">Q10+Q15</f>
        <v>0.994336387849027</v>
      </c>
      <c r="R16" s="20">
        <f t="shared" si="10"/>
        <v>3.8160292813733676</v>
      </c>
      <c r="S16" s="20">
        <f t="shared" si="10"/>
        <v>6.8660189519103154</v>
      </c>
      <c r="T16" s="20">
        <f t="shared" si="10"/>
        <v>1.3076869404718583E-2</v>
      </c>
      <c r="U16" s="20">
        <f t="shared" si="10"/>
        <v>0.30117085693905621</v>
      </c>
      <c r="V16" s="20">
        <f t="shared" si="10"/>
        <v>0.26804206267576003</v>
      </c>
      <c r="W16" s="20">
        <f t="shared" si="10"/>
        <v>1140.3112787704465</v>
      </c>
      <c r="X16" s="20">
        <f t="shared" si="10"/>
        <v>9.69412570680519E-2</v>
      </c>
      <c r="Y16" s="20">
        <f t="shared" si="10"/>
        <v>0.65227180043147992</v>
      </c>
      <c r="AF16" s="7"/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>&amp;CTable B-13
Construction Heavy Equipment Emissions
Installation of 69kV Position at Miguel Substation</oddHeader>
    <oddFooter>&amp;CB-13</oddFooter>
  </headerFooter>
</worksheet>
</file>

<file path=xl/worksheets/sheet3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3"/>
  <sheetViews>
    <sheetView zoomScale="75" workbookViewId="0">
      <selection activeCell="B27" sqref="B27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841</v>
      </c>
    </row>
    <row r="2" spans="1:30">
      <c r="A2" s="83"/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304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320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C9*(F9)*$B$381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6">
        <v>3.59998119015979E-2</v>
      </c>
      <c r="M10" s="556">
        <v>6.1739677411240299E-2</v>
      </c>
      <c r="N10" s="106">
        <v>6.5945508986370194E-2</v>
      </c>
      <c r="O10" s="556">
        <v>2.9999843251331498E-3</v>
      </c>
      <c r="P10" s="55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C10*(F10)*$B$381</f>
        <v>7.8498442661133934E-3</v>
      </c>
      <c r="AA10" s="50">
        <f>Z10*0.21</f>
        <v>1.6484672958838125E-3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2.5511993864868531E-2</v>
      </c>
      <c r="AA11" s="81">
        <f t="shared" si="0"/>
        <v>5.3575187116223916E-3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432"/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 ht="25.5" customHeight="1">
      <c r="A13" s="114" t="s">
        <v>334</v>
      </c>
      <c r="B13" s="74"/>
      <c r="C13" s="112"/>
      <c r="D13" s="112"/>
      <c r="E13" s="74"/>
      <c r="F13" s="74"/>
      <c r="G13" s="437"/>
      <c r="H13" s="41"/>
      <c r="I13" s="41"/>
      <c r="J13" s="41"/>
      <c r="K13" s="434"/>
      <c r="L13" s="434"/>
      <c r="M13" s="434"/>
      <c r="N13" s="434"/>
      <c r="O13" s="434"/>
      <c r="P13" s="434"/>
      <c r="Q13" s="41"/>
      <c r="R13" s="434"/>
      <c r="S13" s="43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 ht="12.75" customHeight="1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C14*(F14)*$B$381</f>
        <v>3.5324299197510275E-2</v>
      </c>
      <c r="AA14" s="50">
        <f>Z14*0.21</f>
        <v>7.4181028314771573E-3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5" t="s">
        <v>28</v>
      </c>
      <c r="B15" s="74"/>
      <c r="C15" s="112"/>
      <c r="D15" s="112"/>
      <c r="E15" s="74"/>
      <c r="F15" s="74"/>
      <c r="G15" s="437"/>
      <c r="H15" s="41"/>
      <c r="I15" s="41"/>
      <c r="J15" s="41"/>
      <c r="K15" s="434"/>
      <c r="L15" s="434"/>
      <c r="M15" s="434"/>
      <c r="N15" s="434"/>
      <c r="O15" s="434"/>
      <c r="P15" s="434"/>
      <c r="Q15" s="41"/>
      <c r="R15" s="434"/>
      <c r="S15" s="434"/>
      <c r="T15" s="81">
        <f t="shared" ref="T15:AD15" si="1">SUM(T14:T14)</f>
        <v>0.19978255106729004</v>
      </c>
      <c r="U15" s="81">
        <f t="shared" si="1"/>
        <v>0.36881875565943734</v>
      </c>
      <c r="V15" s="81">
        <f t="shared" si="1"/>
        <v>4.50613455258927E-2</v>
      </c>
      <c r="W15" s="81">
        <f t="shared" si="1"/>
        <v>2.7797226812149543E-3</v>
      </c>
      <c r="X15" s="81">
        <f t="shared" si="1"/>
        <v>7.2738929740302244E-2</v>
      </c>
      <c r="Y15" s="81">
        <f t="shared" si="1"/>
        <v>4.8332197965954803E-2</v>
      </c>
      <c r="Z15" s="81">
        <f t="shared" si="1"/>
        <v>3.5324299197510275E-2</v>
      </c>
      <c r="AA15" s="81">
        <f t="shared" si="1"/>
        <v>7.4181028314771573E-3</v>
      </c>
      <c r="AB15" s="81">
        <f t="shared" si="1"/>
        <v>193.62821118051326</v>
      </c>
      <c r="AC15" s="81">
        <f t="shared" si="1"/>
        <v>1.1064496871488068E-2</v>
      </c>
      <c r="AD15" s="81">
        <f t="shared" si="1"/>
        <v>4.9599802576000274E-3</v>
      </c>
    </row>
    <row r="16" spans="1:30">
      <c r="A16" s="75" t="s">
        <v>388</v>
      </c>
      <c r="B16" s="74"/>
      <c r="C16" s="112"/>
      <c r="D16" s="112"/>
      <c r="E16" s="74"/>
      <c r="F16" s="74"/>
      <c r="G16" s="437"/>
      <c r="H16" s="41"/>
      <c r="I16" s="41"/>
      <c r="J16" s="41"/>
      <c r="K16" s="434"/>
      <c r="L16" s="434"/>
      <c r="M16" s="434"/>
      <c r="N16" s="434"/>
      <c r="O16" s="434"/>
      <c r="P16" s="434"/>
      <c r="Q16" s="41"/>
      <c r="R16" s="434"/>
      <c r="S16" s="434"/>
      <c r="T16" s="81">
        <f t="shared" ref="T16:AD16" si="2">T11+T15</f>
        <v>0.49061979389018751</v>
      </c>
      <c r="U16" s="81">
        <f t="shared" si="2"/>
        <v>1.4300149922750218</v>
      </c>
      <c r="V16" s="81">
        <f t="shared" si="2"/>
        <v>0.11388583001311323</v>
      </c>
      <c r="W16" s="81">
        <f t="shared" si="2"/>
        <v>6.0588351957901118E-3</v>
      </c>
      <c r="X16" s="81">
        <f t="shared" si="2"/>
        <v>0.13898901638518027</v>
      </c>
      <c r="Y16" s="81">
        <f t="shared" si="2"/>
        <v>9.4510281595063333E-2</v>
      </c>
      <c r="Z16" s="81">
        <f t="shared" si="2"/>
        <v>6.083629306237881E-2</v>
      </c>
      <c r="AA16" s="81">
        <f t="shared" si="2"/>
        <v>1.2775621543099549E-2</v>
      </c>
      <c r="AB16" s="81">
        <f t="shared" si="2"/>
        <v>592.16432649433523</v>
      </c>
      <c r="AC16" s="81">
        <f t="shared" si="2"/>
        <v>1.9283796835273176E-2</v>
      </c>
      <c r="AD16" s="81">
        <f t="shared" si="2"/>
        <v>1.5168881387478891E-2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371" spans="1:2" ht="25.5">
      <c r="A371" s="82" t="s">
        <v>109</v>
      </c>
    </row>
    <row r="373" spans="1:2">
      <c r="A373" s="36" t="s">
        <v>81</v>
      </c>
    </row>
    <row r="374" spans="1:2">
      <c r="A374" s="36" t="s">
        <v>82</v>
      </c>
    </row>
    <row r="375" spans="1:2">
      <c r="A375" s="36" t="s">
        <v>83</v>
      </c>
    </row>
    <row r="376" spans="1:2">
      <c r="A376" s="37" t="s">
        <v>96</v>
      </c>
    </row>
    <row r="377" spans="1:2">
      <c r="A377" s="36" t="s">
        <v>85</v>
      </c>
    </row>
    <row r="378" spans="1:2">
      <c r="A378" s="36" t="s">
        <v>86</v>
      </c>
    </row>
    <row r="379" spans="1:2">
      <c r="A379" s="36" t="s">
        <v>87</v>
      </c>
    </row>
    <row r="380" spans="1:2">
      <c r="A380" s="36" t="s">
        <v>0</v>
      </c>
    </row>
    <row r="381" spans="1:2">
      <c r="A381" s="37" t="s">
        <v>97</v>
      </c>
      <c r="B381" s="36">
        <f>(0.016*(0.03/2)^0.65*(2/3)^1.5)-0.00047</f>
        <v>9.8123053326417428E-5</v>
      </c>
    </row>
    <row r="382" spans="1:2">
      <c r="A382" s="37" t="s">
        <v>98</v>
      </c>
      <c r="B382" s="36">
        <f>(0.016*(0.03/2)^0.65*(13/3)^1.5)-0.00047</f>
        <v>8.9448292388582783E-3</v>
      </c>
    </row>
    <row r="383" spans="1:2">
      <c r="A383" s="37" t="s">
        <v>99</v>
      </c>
      <c r="B383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B-14
Construction Truck Trip Emissions
Installation of 69kV Position at Miguel Substation</oddHeader>
    <oddFooter>&amp;CB-14</oddFooter>
  </headerFooter>
</worksheet>
</file>

<file path=xl/worksheets/sheet3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B99" sqref="B99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842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334</v>
      </c>
      <c r="B5" s="45" t="s">
        <v>102</v>
      </c>
      <c r="C5" s="46">
        <v>8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43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435" t="s">
        <v>55</v>
      </c>
      <c r="G88" s="435" t="s">
        <v>73</v>
      </c>
      <c r="H88" s="435" t="s">
        <v>74</v>
      </c>
      <c r="I88" s="435" t="s">
        <v>58</v>
      </c>
      <c r="J88" s="435" t="s">
        <v>59</v>
      </c>
      <c r="K88" s="435" t="s">
        <v>60</v>
      </c>
      <c r="L88" s="434" t="s">
        <v>75</v>
      </c>
      <c r="M88" s="434" t="s">
        <v>76</v>
      </c>
      <c r="N88" s="434" t="s">
        <v>61</v>
      </c>
      <c r="O88" s="434" t="s">
        <v>62</v>
      </c>
      <c r="P88" s="434" t="s">
        <v>63</v>
      </c>
      <c r="AN88" s="38"/>
      <c r="AZ88" s="36"/>
    </row>
    <row r="89" spans="1:52" ht="25.5">
      <c r="A89" s="44" t="str">
        <f t="shared" ref="A89:C90" si="52">A4</f>
        <v>Substation General Construction</v>
      </c>
      <c r="B89" s="45" t="str">
        <f t="shared" si="52"/>
        <v>Light-Duty Truck, catalyst</v>
      </c>
      <c r="C89" s="46">
        <f t="shared" si="52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53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si="52"/>
        <v>Substation Below Grade Construction</v>
      </c>
      <c r="B90" s="45" t="str">
        <f t="shared" si="52"/>
        <v>Light-Duty Truck, catalyst</v>
      </c>
      <c r="C90" s="46">
        <f t="shared" si="52"/>
        <v>8</v>
      </c>
      <c r="D90" s="46">
        <v>35</v>
      </c>
      <c r="E90" s="46">
        <v>80</v>
      </c>
      <c r="F90" s="50">
        <f>C5*($E5*$F5+($G5))/453.59</f>
        <v>3.8857550870473605</v>
      </c>
      <c r="G90" s="50">
        <f>C5*($E5*$H5+($I5))/453.59</f>
        <v>0.34936525835502408</v>
      </c>
      <c r="H90" s="50">
        <f>C5*(($E5*$J5)+($K5)+($L5)+($E5*$N5)+(($M5+$O5)))/453.59</f>
        <v>0.40399984259162663</v>
      </c>
      <c r="I90" s="50">
        <f>C5*($E5*$P5+($Q5))/453.59</f>
        <v>5.8143762172849275E-3</v>
      </c>
      <c r="J90" s="50">
        <f>C5*(($E5*($R5+$T5+$U5))+($S5))/453.59</f>
        <v>6.8192723641663178E-2</v>
      </c>
      <c r="K90" s="50">
        <f>$C5*(($E5*($V5+$X5+$Y5))+($W5))/453.59</f>
        <v>2.9696042594025134E-2</v>
      </c>
      <c r="L90" s="50">
        <f>$B$22*C5*(E5+6)</f>
        <v>6.7508660688575195E-2</v>
      </c>
      <c r="M90" s="50">
        <f t="shared" si="53"/>
        <v>2.7678550882315828E-2</v>
      </c>
      <c r="N90" s="50">
        <f>C5*($E5*$Z5+($AA5))/453.59</f>
        <v>443.38861380831116</v>
      </c>
      <c r="O90" s="50">
        <f>C5*($E5*$AB5+($AC5))/453.59</f>
        <v>2.5363803112241994E-2</v>
      </c>
      <c r="P90" s="50">
        <f>C5*($E5*$AD5+($AE5))/453.59</f>
        <v>4.6168959310746882E-2</v>
      </c>
      <c r="AN90" s="38"/>
      <c r="AZ90" s="36"/>
    </row>
    <row r="91" spans="1:52">
      <c r="A91" s="61" t="s">
        <v>396</v>
      </c>
      <c r="B91" s="61"/>
      <c r="C91" s="61"/>
      <c r="D91" s="61"/>
      <c r="E91" s="61"/>
      <c r="F91" s="81">
        <f>SUM(F89:F90)</f>
        <v>5.3429132446901209</v>
      </c>
      <c r="G91" s="81">
        <f t="shared" ref="G91:P91" si="54">SUM(G89:G90)</f>
        <v>0.48037723023815809</v>
      </c>
      <c r="H91" s="81">
        <f t="shared" si="54"/>
        <v>0.55549978356348662</v>
      </c>
      <c r="I91" s="81">
        <f t="shared" si="54"/>
        <v>7.9947672987667751E-3</v>
      </c>
      <c r="J91" s="81">
        <f t="shared" si="54"/>
        <v>9.3764995007286869E-2</v>
      </c>
      <c r="K91" s="81">
        <f t="shared" si="54"/>
        <v>4.0832058566784561E-2</v>
      </c>
      <c r="L91" s="81">
        <f t="shared" si="54"/>
        <v>9.2824408446790893E-2</v>
      </c>
      <c r="M91" s="81">
        <f t="shared" si="54"/>
        <v>3.805800746318426E-2</v>
      </c>
      <c r="N91" s="81">
        <f t="shared" si="54"/>
        <v>609.65934398642787</v>
      </c>
      <c r="O91" s="81">
        <f t="shared" si="54"/>
        <v>3.4875229279332745E-2</v>
      </c>
      <c r="P91" s="81">
        <f t="shared" si="54"/>
        <v>6.348231905227697E-2</v>
      </c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B-15
Construction Worker Commute Emission Calculations
Installation of 69kV Position at Miguel Substation</oddHeader>
    <oddFooter>&amp;CB-15</oddFooter>
  </headerFooter>
</worksheet>
</file>

<file path=xl/worksheets/sheet3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6"/>
  <sheetViews>
    <sheetView zoomScale="75" zoomScaleNormal="75" workbookViewId="0">
      <selection activeCell="B20" sqref="B20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32">
      <c r="A1" s="3" t="s">
        <v>843</v>
      </c>
    </row>
    <row r="2" spans="1:32">
      <c r="A2" s="83"/>
    </row>
    <row r="3" spans="1:32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32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32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32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32" s="3" customFormat="1">
      <c r="A7" s="17" t="s">
        <v>304</v>
      </c>
      <c r="B7" s="29">
        <v>2015</v>
      </c>
      <c r="C7" s="22"/>
      <c r="D7" s="18"/>
      <c r="E7" s="23"/>
      <c r="F7" s="23"/>
      <c r="G7" s="23"/>
      <c r="H7" s="23"/>
      <c r="I7" s="23"/>
      <c r="J7" s="24"/>
      <c r="K7" s="25"/>
      <c r="L7" s="23"/>
      <c r="M7" s="33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32" s="3" customFormat="1">
      <c r="A8" s="24" t="s">
        <v>119</v>
      </c>
      <c r="B8" s="90" t="s">
        <v>27</v>
      </c>
      <c r="C8" s="97">
        <v>78</v>
      </c>
      <c r="D8" s="97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9" si="0">0.89*I8</f>
        <v>2.2038095238095235E-2</v>
      </c>
      <c r="K8" s="103">
        <v>46.950229824177143</v>
      </c>
      <c r="L8" s="102">
        <v>6.837183977115969E-3</v>
      </c>
      <c r="M8" s="104">
        <f t="shared" ref="M8:M9" si="1">0.095*G8</f>
        <v>3.7022555555555545E-2</v>
      </c>
      <c r="N8" s="98">
        <v>1</v>
      </c>
      <c r="O8" s="98">
        <v>6</v>
      </c>
      <c r="P8" s="88">
        <v>40</v>
      </c>
      <c r="Q8" s="34">
        <f t="shared" ref="Q8:Y9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32" s="3" customFormat="1">
      <c r="A9" s="113" t="s">
        <v>305</v>
      </c>
      <c r="B9" s="29" t="s">
        <v>27</v>
      </c>
      <c r="C9" s="97">
        <v>235</v>
      </c>
      <c r="D9" s="97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87">
        <v>1</v>
      </c>
      <c r="O9" s="87">
        <v>2</v>
      </c>
      <c r="P9" s="99">
        <v>40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32" s="3" customFormat="1">
      <c r="A10" s="17" t="s">
        <v>28</v>
      </c>
      <c r="B10" s="29"/>
      <c r="C10" s="97"/>
      <c r="D10" s="12"/>
      <c r="E10" s="102"/>
      <c r="F10" s="102"/>
      <c r="G10" s="102"/>
      <c r="H10" s="102"/>
      <c r="I10" s="102"/>
      <c r="J10" s="100"/>
      <c r="K10" s="103"/>
      <c r="L10" s="102"/>
      <c r="M10" s="104"/>
      <c r="N10" s="98"/>
      <c r="O10" s="98"/>
      <c r="P10" s="99"/>
      <c r="Q10" s="101">
        <f t="shared" ref="Q10:Y10" si="3">SUM(Q8:Q9)</f>
        <v>0.61044079959177677</v>
      </c>
      <c r="R10" s="101">
        <f t="shared" si="3"/>
        <v>2.5626248194240024</v>
      </c>
      <c r="S10" s="101">
        <f t="shared" si="3"/>
        <v>4.0738959523119966</v>
      </c>
      <c r="T10" s="101">
        <f t="shared" si="3"/>
        <v>7.0523446396705937E-3</v>
      </c>
      <c r="U10" s="101">
        <f t="shared" si="3"/>
        <v>0.20665485316260829</v>
      </c>
      <c r="V10" s="101">
        <f t="shared" si="3"/>
        <v>0.18392281931472138</v>
      </c>
      <c r="W10" s="101">
        <f t="shared" si="3"/>
        <v>614.7922101941133</v>
      </c>
      <c r="X10" s="101">
        <f t="shared" si="3"/>
        <v>6.2302969818088499E-2</v>
      </c>
      <c r="Y10" s="101">
        <f t="shared" si="3"/>
        <v>0.38702011546963966</v>
      </c>
    </row>
    <row r="11" spans="1:32" s="3" customFormat="1">
      <c r="A11" s="24"/>
      <c r="B11" s="29"/>
      <c r="C11" s="97"/>
      <c r="D11" s="12"/>
      <c r="E11" s="102"/>
      <c r="F11" s="102"/>
      <c r="G11" s="102"/>
      <c r="H11" s="102"/>
      <c r="I11" s="102"/>
      <c r="J11" s="100"/>
      <c r="K11" s="103"/>
      <c r="L11" s="102"/>
      <c r="M11" s="104"/>
      <c r="N11" s="98"/>
      <c r="O11" s="98"/>
      <c r="P11" s="99"/>
      <c r="Q11" s="34"/>
      <c r="R11" s="26"/>
      <c r="S11" s="26"/>
      <c r="T11" s="26"/>
      <c r="U11" s="26"/>
      <c r="V11" s="26"/>
      <c r="W11" s="26"/>
      <c r="X11" s="26"/>
      <c r="Y11" s="26"/>
    </row>
    <row r="12" spans="1:32" s="3" customFormat="1">
      <c r="A12" s="17" t="s">
        <v>306</v>
      </c>
      <c r="B12" s="29"/>
      <c r="C12" s="97"/>
      <c r="D12" s="12"/>
      <c r="E12" s="102"/>
      <c r="F12" s="102"/>
      <c r="G12" s="102"/>
      <c r="H12" s="102"/>
      <c r="I12" s="102"/>
      <c r="J12" s="100"/>
      <c r="K12" s="103"/>
      <c r="L12" s="102"/>
      <c r="M12" s="104"/>
      <c r="N12" s="98"/>
      <c r="O12" s="98"/>
      <c r="P12" s="99"/>
      <c r="Q12" s="34"/>
      <c r="R12" s="26"/>
      <c r="S12" s="26"/>
      <c r="T12" s="26"/>
      <c r="U12" s="26"/>
      <c r="V12" s="26"/>
      <c r="W12" s="26"/>
      <c r="X12" s="26"/>
      <c r="Y12" s="26"/>
    </row>
    <row r="13" spans="1:32" s="3" customFormat="1">
      <c r="A13" s="113" t="s">
        <v>307</v>
      </c>
      <c r="B13" s="29" t="s">
        <v>27</v>
      </c>
      <c r="C13" s="97">
        <v>175</v>
      </c>
      <c r="D13" s="97"/>
      <c r="E13" s="102">
        <v>0.11792220738547983</v>
      </c>
      <c r="F13" s="102">
        <v>0.36512193352152528</v>
      </c>
      <c r="G13" s="102">
        <v>0.86781464282266541</v>
      </c>
      <c r="H13" s="102">
        <v>1.8739217498104396E-3</v>
      </c>
      <c r="I13" s="102">
        <v>2.9041712295589866E-2</v>
      </c>
      <c r="J13" s="100">
        <f t="shared" ref="J13" si="4">0.89*I13</f>
        <v>2.5847123943074982E-2</v>
      </c>
      <c r="K13" s="103">
        <v>166.54541562452522</v>
      </c>
      <c r="L13" s="102">
        <v>1.063993297769634E-2</v>
      </c>
      <c r="M13" s="104">
        <f t="shared" ref="M13" si="5">0.095*G13</f>
        <v>8.2442391068153209E-2</v>
      </c>
      <c r="N13" s="87">
        <v>1</v>
      </c>
      <c r="O13" s="87">
        <v>3</v>
      </c>
      <c r="P13" s="99">
        <v>20</v>
      </c>
      <c r="Q13" s="34">
        <f t="shared" ref="Q13:Y14" si="6">(E13*$N13*$O13)</f>
        <v>0.3537666221564395</v>
      </c>
      <c r="R13" s="26">
        <f t="shared" si="6"/>
        <v>1.0953658005645759</v>
      </c>
      <c r="S13" s="26">
        <f t="shared" si="6"/>
        <v>2.6034439284679962</v>
      </c>
      <c r="T13" s="26">
        <f t="shared" si="6"/>
        <v>5.6217652494313184E-3</v>
      </c>
      <c r="U13" s="26">
        <f t="shared" si="6"/>
        <v>8.7125136886769594E-2</v>
      </c>
      <c r="V13" s="26">
        <f t="shared" si="6"/>
        <v>7.754137182922495E-2</v>
      </c>
      <c r="W13" s="26">
        <f t="shared" si="6"/>
        <v>499.63624687357566</v>
      </c>
      <c r="X13" s="26">
        <f t="shared" si="6"/>
        <v>3.1919798933089022E-2</v>
      </c>
      <c r="Y13" s="26">
        <f t="shared" si="6"/>
        <v>0.24732717320445963</v>
      </c>
    </row>
    <row r="14" spans="1:32" s="3" customFormat="1">
      <c r="A14" s="100" t="s">
        <v>113</v>
      </c>
      <c r="B14" s="22" t="s">
        <v>27</v>
      </c>
      <c r="C14" s="97">
        <v>8</v>
      </c>
      <c r="D14" s="97"/>
      <c r="E14" s="102">
        <v>5.0214943501351089E-3</v>
      </c>
      <c r="F14" s="102">
        <v>2.6339776897464882E-2</v>
      </c>
      <c r="G14" s="102">
        <v>3.1446511855053767E-2</v>
      </c>
      <c r="H14" s="102">
        <v>6.7126585936112015E-5</v>
      </c>
      <c r="I14" s="102">
        <v>1.2318111482797186E-3</v>
      </c>
      <c r="J14" s="100">
        <f t="shared" ref="J14" si="7">0.89*I14</f>
        <v>1.0963119219689495E-3</v>
      </c>
      <c r="K14" s="103">
        <v>4.3138036171262613</v>
      </c>
      <c r="L14" s="102">
        <v>4.5308138614573088E-4</v>
      </c>
      <c r="M14" s="104">
        <f t="shared" ref="M14" si="8">0.095*G14</f>
        <v>2.9874186262301081E-3</v>
      </c>
      <c r="N14" s="87">
        <v>1</v>
      </c>
      <c r="O14" s="87">
        <v>6</v>
      </c>
      <c r="P14" s="88">
        <v>20</v>
      </c>
      <c r="Q14" s="34">
        <f t="shared" si="6"/>
        <v>3.0128966100810652E-2</v>
      </c>
      <c r="R14" s="26">
        <f t="shared" si="6"/>
        <v>0.15803866138478928</v>
      </c>
      <c r="S14" s="26">
        <f t="shared" si="6"/>
        <v>0.18867907113032262</v>
      </c>
      <c r="T14" s="26">
        <f t="shared" si="6"/>
        <v>4.0275951561667212E-4</v>
      </c>
      <c r="U14" s="26">
        <f t="shared" si="6"/>
        <v>7.3908668896783113E-3</v>
      </c>
      <c r="V14" s="26">
        <f t="shared" si="6"/>
        <v>6.5778715318136971E-3</v>
      </c>
      <c r="W14" s="26">
        <f t="shared" si="6"/>
        <v>25.882821702757568</v>
      </c>
      <c r="X14" s="26">
        <f t="shared" si="6"/>
        <v>2.718488316874385E-3</v>
      </c>
      <c r="Y14" s="26">
        <f t="shared" si="6"/>
        <v>1.7924511757380648E-2</v>
      </c>
    </row>
    <row r="15" spans="1:32" s="3" customFormat="1">
      <c r="A15" s="17" t="s">
        <v>28</v>
      </c>
      <c r="B15" s="29"/>
      <c r="C15" s="97"/>
      <c r="D15" s="12"/>
      <c r="E15" s="102"/>
      <c r="F15" s="102"/>
      <c r="G15" s="102"/>
      <c r="H15" s="102"/>
      <c r="I15" s="102"/>
      <c r="J15" s="100"/>
      <c r="K15" s="103"/>
      <c r="L15" s="102"/>
      <c r="M15" s="104"/>
      <c r="N15" s="98"/>
      <c r="O15" s="98"/>
      <c r="P15" s="99"/>
      <c r="Q15" s="101">
        <f t="shared" ref="Q15:Y15" si="9">SUM(Q13:Q14)</f>
        <v>0.38389558825725018</v>
      </c>
      <c r="R15" s="101">
        <f t="shared" si="9"/>
        <v>1.2534044619493652</v>
      </c>
      <c r="S15" s="101">
        <f t="shared" si="9"/>
        <v>2.7921229995983188</v>
      </c>
      <c r="T15" s="101">
        <f t="shared" si="9"/>
        <v>6.0245247650479901E-3</v>
      </c>
      <c r="U15" s="101">
        <f t="shared" si="9"/>
        <v>9.4516003776447907E-2</v>
      </c>
      <c r="V15" s="101">
        <f t="shared" si="9"/>
        <v>8.4119243361038654E-2</v>
      </c>
      <c r="W15" s="101">
        <f t="shared" si="9"/>
        <v>525.51906857633321</v>
      </c>
      <c r="X15" s="101">
        <f t="shared" si="9"/>
        <v>3.4638287249963408E-2</v>
      </c>
      <c r="Y15" s="101">
        <f t="shared" si="9"/>
        <v>0.26525168496184026</v>
      </c>
    </row>
    <row r="16" spans="1:32" s="6" customFormat="1">
      <c r="A16" s="122" t="s">
        <v>390</v>
      </c>
      <c r="B16" s="97"/>
      <c r="C16" s="22"/>
      <c r="D16" s="22"/>
      <c r="E16" s="23"/>
      <c r="F16" s="23"/>
      <c r="G16" s="23"/>
      <c r="H16" s="23"/>
      <c r="I16" s="23"/>
      <c r="J16" s="24"/>
      <c r="K16" s="25"/>
      <c r="L16" s="23"/>
      <c r="M16" s="23"/>
      <c r="N16" s="88"/>
      <c r="O16" s="88"/>
      <c r="P16" s="88"/>
      <c r="Q16" s="20">
        <f t="shared" ref="Q16:Y16" si="10">Q10+Q15</f>
        <v>0.994336387849027</v>
      </c>
      <c r="R16" s="20">
        <f t="shared" si="10"/>
        <v>3.8160292813733676</v>
      </c>
      <c r="S16" s="20">
        <f t="shared" si="10"/>
        <v>6.8660189519103154</v>
      </c>
      <c r="T16" s="20">
        <f t="shared" si="10"/>
        <v>1.3076869404718583E-2</v>
      </c>
      <c r="U16" s="20">
        <f t="shared" si="10"/>
        <v>0.30117085693905621</v>
      </c>
      <c r="V16" s="20">
        <f t="shared" si="10"/>
        <v>0.26804206267576003</v>
      </c>
      <c r="W16" s="20">
        <f t="shared" si="10"/>
        <v>1140.3112787704465</v>
      </c>
      <c r="X16" s="20">
        <f t="shared" si="10"/>
        <v>9.69412570680519E-2</v>
      </c>
      <c r="Y16" s="20">
        <f t="shared" si="10"/>
        <v>0.65227180043147992</v>
      </c>
      <c r="AF16" s="7"/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>&amp;CTable B-13
Construction Heavy Equipment Emissions
Installation of 69kV Position at Miguel Substation</oddHeader>
    <oddFooter>&amp;CB-13</oddFooter>
  </headerFooter>
</worksheet>
</file>

<file path=xl/worksheets/sheet3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3"/>
  <sheetViews>
    <sheetView zoomScale="75" workbookViewId="0">
      <selection activeCell="B22" sqref="B2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844</v>
      </c>
    </row>
    <row r="2" spans="1:30">
      <c r="A2" s="83"/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304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320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C9*(F9)*$B$381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6">
        <v>3.59998119015979E-2</v>
      </c>
      <c r="M10" s="556">
        <v>6.1739677411240299E-2</v>
      </c>
      <c r="N10" s="106">
        <v>6.5945508986370194E-2</v>
      </c>
      <c r="O10" s="556">
        <v>2.9999843251331498E-3</v>
      </c>
      <c r="P10" s="55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C10*(F10)*$B$381</f>
        <v>7.8498442661133934E-3</v>
      </c>
      <c r="AA10" s="50">
        <f>Z10*0.21</f>
        <v>1.6484672958838125E-3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2.5511993864868531E-2</v>
      </c>
      <c r="AA11" s="81">
        <f t="shared" si="0"/>
        <v>5.3575187116223916E-3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432"/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 ht="25.5" customHeight="1">
      <c r="A13" s="114" t="s">
        <v>334</v>
      </c>
      <c r="B13" s="74"/>
      <c r="C13" s="112"/>
      <c r="D13" s="112"/>
      <c r="E13" s="74"/>
      <c r="F13" s="74"/>
      <c r="G13" s="437"/>
      <c r="H13" s="41"/>
      <c r="I13" s="41"/>
      <c r="J13" s="41"/>
      <c r="K13" s="434"/>
      <c r="L13" s="434"/>
      <c r="M13" s="434"/>
      <c r="N13" s="434"/>
      <c r="O13" s="434"/>
      <c r="P13" s="434"/>
      <c r="Q13" s="41"/>
      <c r="R13" s="434"/>
      <c r="S13" s="43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 ht="12.75" customHeight="1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C14*(F14)*$B$381</f>
        <v>3.5324299197510275E-2</v>
      </c>
      <c r="AA14" s="50">
        <f>Z14*0.21</f>
        <v>7.4181028314771573E-3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5" t="s">
        <v>28</v>
      </c>
      <c r="B15" s="74"/>
      <c r="C15" s="112"/>
      <c r="D15" s="112"/>
      <c r="E15" s="74"/>
      <c r="F15" s="74"/>
      <c r="G15" s="437"/>
      <c r="H15" s="41"/>
      <c r="I15" s="41"/>
      <c r="J15" s="41"/>
      <c r="K15" s="434"/>
      <c r="L15" s="434"/>
      <c r="M15" s="434"/>
      <c r="N15" s="434"/>
      <c r="O15" s="434"/>
      <c r="P15" s="434"/>
      <c r="Q15" s="41"/>
      <c r="R15" s="434"/>
      <c r="S15" s="434"/>
      <c r="T15" s="81">
        <f t="shared" ref="T15:AD15" si="1">SUM(T14:T14)</f>
        <v>0.19978255106729004</v>
      </c>
      <c r="U15" s="81">
        <f t="shared" si="1"/>
        <v>0.36881875565943734</v>
      </c>
      <c r="V15" s="81">
        <f t="shared" si="1"/>
        <v>4.50613455258927E-2</v>
      </c>
      <c r="W15" s="81">
        <f t="shared" si="1"/>
        <v>2.7797226812149543E-3</v>
      </c>
      <c r="X15" s="81">
        <f t="shared" si="1"/>
        <v>7.2738929740302244E-2</v>
      </c>
      <c r="Y15" s="81">
        <f t="shared" si="1"/>
        <v>4.8332197965954803E-2</v>
      </c>
      <c r="Z15" s="81">
        <f t="shared" si="1"/>
        <v>3.5324299197510275E-2</v>
      </c>
      <c r="AA15" s="81">
        <f t="shared" si="1"/>
        <v>7.4181028314771573E-3</v>
      </c>
      <c r="AB15" s="81">
        <f t="shared" si="1"/>
        <v>193.62821118051326</v>
      </c>
      <c r="AC15" s="81">
        <f t="shared" si="1"/>
        <v>1.1064496871488068E-2</v>
      </c>
      <c r="AD15" s="81">
        <f t="shared" si="1"/>
        <v>4.9599802576000274E-3</v>
      </c>
    </row>
    <row r="16" spans="1:30">
      <c r="A16" s="75" t="s">
        <v>388</v>
      </c>
      <c r="B16" s="74"/>
      <c r="C16" s="112"/>
      <c r="D16" s="112"/>
      <c r="E16" s="74"/>
      <c r="F16" s="74"/>
      <c r="G16" s="437"/>
      <c r="H16" s="41"/>
      <c r="I16" s="41"/>
      <c r="J16" s="41"/>
      <c r="K16" s="434"/>
      <c r="L16" s="434"/>
      <c r="M16" s="434"/>
      <c r="N16" s="434"/>
      <c r="O16" s="434"/>
      <c r="P16" s="434"/>
      <c r="Q16" s="41"/>
      <c r="R16" s="434"/>
      <c r="S16" s="434"/>
      <c r="T16" s="81">
        <f t="shared" ref="T16:AD16" si="2">T11+T15</f>
        <v>0.49061979389018751</v>
      </c>
      <c r="U16" s="81">
        <f t="shared" si="2"/>
        <v>1.4300149922750218</v>
      </c>
      <c r="V16" s="81">
        <f t="shared" si="2"/>
        <v>0.11388583001311323</v>
      </c>
      <c r="W16" s="81">
        <f t="shared" si="2"/>
        <v>6.0588351957901118E-3</v>
      </c>
      <c r="X16" s="81">
        <f t="shared" si="2"/>
        <v>0.13898901638518027</v>
      </c>
      <c r="Y16" s="81">
        <f t="shared" si="2"/>
        <v>9.4510281595063333E-2</v>
      </c>
      <c r="Z16" s="81">
        <f t="shared" si="2"/>
        <v>6.083629306237881E-2</v>
      </c>
      <c r="AA16" s="81">
        <f t="shared" si="2"/>
        <v>1.2775621543099549E-2</v>
      </c>
      <c r="AB16" s="81">
        <f t="shared" si="2"/>
        <v>592.16432649433523</v>
      </c>
      <c r="AC16" s="81">
        <f t="shared" si="2"/>
        <v>1.9283796835273176E-2</v>
      </c>
      <c r="AD16" s="81">
        <f t="shared" si="2"/>
        <v>1.5168881387478891E-2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371" spans="1:2" ht="25.5">
      <c r="A371" s="82" t="s">
        <v>109</v>
      </c>
    </row>
    <row r="373" spans="1:2">
      <c r="A373" s="36" t="s">
        <v>81</v>
      </c>
    </row>
    <row r="374" spans="1:2">
      <c r="A374" s="36" t="s">
        <v>82</v>
      </c>
    </row>
    <row r="375" spans="1:2">
      <c r="A375" s="36" t="s">
        <v>83</v>
      </c>
    </row>
    <row r="376" spans="1:2">
      <c r="A376" s="37" t="s">
        <v>96</v>
      </c>
    </row>
    <row r="377" spans="1:2">
      <c r="A377" s="36" t="s">
        <v>85</v>
      </c>
    </row>
    <row r="378" spans="1:2">
      <c r="A378" s="36" t="s">
        <v>86</v>
      </c>
    </row>
    <row r="379" spans="1:2">
      <c r="A379" s="36" t="s">
        <v>87</v>
      </c>
    </row>
    <row r="380" spans="1:2">
      <c r="A380" s="36" t="s">
        <v>0</v>
      </c>
    </row>
    <row r="381" spans="1:2">
      <c r="A381" s="37" t="s">
        <v>97</v>
      </c>
      <c r="B381" s="36">
        <f>(0.016*(0.03/2)^0.65*(2/3)^1.5)-0.00047</f>
        <v>9.8123053326417428E-5</v>
      </c>
    </row>
    <row r="382" spans="1:2">
      <c r="A382" s="37" t="s">
        <v>98</v>
      </c>
      <c r="B382" s="36">
        <f>(0.016*(0.03/2)^0.65*(13/3)^1.5)-0.00047</f>
        <v>8.9448292388582783E-3</v>
      </c>
    </row>
    <row r="383" spans="1:2">
      <c r="A383" s="37" t="s">
        <v>99</v>
      </c>
      <c r="B383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B-14
Construction Truck Trip Emissions
Installation of 69kV Position at Miguel Substation</oddHeader>
    <oddFooter>&amp;CB-14</oddFooter>
  </headerFooter>
</worksheet>
</file>

<file path=xl/worksheets/sheet3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A96" sqref="A96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845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334</v>
      </c>
      <c r="B5" s="45" t="s">
        <v>102</v>
      </c>
      <c r="C5" s="46">
        <v>8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43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435" t="s">
        <v>55</v>
      </c>
      <c r="G88" s="435" t="s">
        <v>73</v>
      </c>
      <c r="H88" s="435" t="s">
        <v>74</v>
      </c>
      <c r="I88" s="435" t="s">
        <v>58</v>
      </c>
      <c r="J88" s="435" t="s">
        <v>59</v>
      </c>
      <c r="K88" s="435" t="s">
        <v>60</v>
      </c>
      <c r="L88" s="434" t="s">
        <v>75</v>
      </c>
      <c r="M88" s="434" t="s">
        <v>76</v>
      </c>
      <c r="N88" s="434" t="s">
        <v>61</v>
      </c>
      <c r="O88" s="434" t="s">
        <v>62</v>
      </c>
      <c r="P88" s="434" t="s">
        <v>63</v>
      </c>
      <c r="AN88" s="38"/>
      <c r="AZ88" s="36"/>
    </row>
    <row r="89" spans="1:52" ht="25.5">
      <c r="A89" s="44" t="str">
        <f t="shared" ref="A89:C90" si="52">A4</f>
        <v>Substation General Construction</v>
      </c>
      <c r="B89" s="45" t="str">
        <f t="shared" si="52"/>
        <v>Light-Duty Truck, catalyst</v>
      </c>
      <c r="C89" s="46">
        <f t="shared" si="52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53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si="52"/>
        <v>Substation Below Grade Construction</v>
      </c>
      <c r="B90" s="45" t="str">
        <f t="shared" si="52"/>
        <v>Light-Duty Truck, catalyst</v>
      </c>
      <c r="C90" s="46">
        <f t="shared" si="52"/>
        <v>8</v>
      </c>
      <c r="D90" s="46">
        <v>35</v>
      </c>
      <c r="E90" s="46">
        <v>80</v>
      </c>
      <c r="F90" s="50">
        <f>C5*($E5*$F5+($G5))/453.59</f>
        <v>3.8857550870473605</v>
      </c>
      <c r="G90" s="50">
        <f>C5*($E5*$H5+($I5))/453.59</f>
        <v>0.34936525835502408</v>
      </c>
      <c r="H90" s="50">
        <f>C5*(($E5*$J5)+($K5)+($L5)+($E5*$N5)+(($M5+$O5)))/453.59</f>
        <v>0.40399984259162663</v>
      </c>
      <c r="I90" s="50">
        <f>C5*($E5*$P5+($Q5))/453.59</f>
        <v>5.8143762172849275E-3</v>
      </c>
      <c r="J90" s="50">
        <f>C5*(($E5*($R5+$T5+$U5))+($S5))/453.59</f>
        <v>6.8192723641663178E-2</v>
      </c>
      <c r="K90" s="50">
        <f>$C5*(($E5*($V5+$X5+$Y5))+($W5))/453.59</f>
        <v>2.9696042594025134E-2</v>
      </c>
      <c r="L90" s="50">
        <f>$B$22*C5*(E5+6)</f>
        <v>6.7508660688575195E-2</v>
      </c>
      <c r="M90" s="50">
        <f t="shared" si="53"/>
        <v>2.7678550882315828E-2</v>
      </c>
      <c r="N90" s="50">
        <f>C5*($E5*$Z5+($AA5))/453.59</f>
        <v>443.38861380831116</v>
      </c>
      <c r="O90" s="50">
        <f>C5*($E5*$AB5+($AC5))/453.59</f>
        <v>2.5363803112241994E-2</v>
      </c>
      <c r="P90" s="50">
        <f>C5*($E5*$AD5+($AE5))/453.59</f>
        <v>4.6168959310746882E-2</v>
      </c>
      <c r="AN90" s="38"/>
      <c r="AZ90" s="36"/>
    </row>
    <row r="91" spans="1:52">
      <c r="A91" s="61" t="s">
        <v>396</v>
      </c>
      <c r="B91" s="61"/>
      <c r="C91" s="61"/>
      <c r="D91" s="61"/>
      <c r="E91" s="61"/>
      <c r="F91" s="81">
        <f>SUM(F89:F90)</f>
        <v>5.3429132446901209</v>
      </c>
      <c r="G91" s="81">
        <f t="shared" ref="G91:P91" si="54">SUM(G89:G90)</f>
        <v>0.48037723023815809</v>
      </c>
      <c r="H91" s="81">
        <f t="shared" si="54"/>
        <v>0.55549978356348662</v>
      </c>
      <c r="I91" s="81">
        <f t="shared" si="54"/>
        <v>7.9947672987667751E-3</v>
      </c>
      <c r="J91" s="81">
        <f t="shared" si="54"/>
        <v>9.3764995007286869E-2</v>
      </c>
      <c r="K91" s="81">
        <f t="shared" si="54"/>
        <v>4.0832058566784561E-2</v>
      </c>
      <c r="L91" s="81">
        <f t="shared" si="54"/>
        <v>9.2824408446790893E-2</v>
      </c>
      <c r="M91" s="81">
        <f t="shared" si="54"/>
        <v>3.805800746318426E-2</v>
      </c>
      <c r="N91" s="81">
        <f t="shared" si="54"/>
        <v>609.65934398642787</v>
      </c>
      <c r="O91" s="81">
        <f t="shared" si="54"/>
        <v>3.4875229279332745E-2</v>
      </c>
      <c r="P91" s="81">
        <f t="shared" si="54"/>
        <v>6.348231905227697E-2</v>
      </c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B-15
Construction Worker Commute Emission Calculations
Installation of 69kV Position at Miguel Substation</oddHeader>
    <oddFooter>&amp;CB-15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551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346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67" ht="25.5">
      <c r="A5" s="44" t="s">
        <v>330</v>
      </c>
      <c r="B5" s="45" t="s">
        <v>102</v>
      </c>
      <c r="C5" s="46">
        <v>20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426</v>
      </c>
      <c r="B6" s="45" t="s">
        <v>102</v>
      </c>
      <c r="C6" s="46">
        <v>13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546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2">AG$11*$AC16</f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>AR$11*$AC16</f>
        <v>#REF!</v>
      </c>
      <c r="AS16" s="36" t="e">
        <f t="shared" ref="AS16:BA24" si="3">AS$11*$AC16</f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4">AF$11*$AC17</f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ref="AR17:AR24" si="5">AR$11*$AC17</f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6">AF$11*$AC27</f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ref="AR27:BA35" si="7">AR$11*$AC27</f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8">AF$11*$AC38</f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ref="AR38:BA46" si="9">AR$11*$AC38</f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0">AF16+AF18+AF19</f>
        <v>#REF!</v>
      </c>
      <c r="AG51" s="70" t="e">
        <f t="shared" si="10"/>
        <v>#REF!</v>
      </c>
      <c r="AH51" s="70" t="e">
        <f t="shared" si="10"/>
        <v>#REF!</v>
      </c>
      <c r="AI51" s="70" t="e">
        <f t="shared" si="10"/>
        <v>#REF!</v>
      </c>
      <c r="AJ51" s="70" t="e">
        <f t="shared" si="10"/>
        <v>#REF!</v>
      </c>
      <c r="AK51" s="70" t="e">
        <f t="shared" si="10"/>
        <v>#REF!</v>
      </c>
      <c r="AL51" s="70" t="e">
        <f t="shared" si="10"/>
        <v>#REF!</v>
      </c>
      <c r="AM51" s="70" t="e">
        <f t="shared" si="10"/>
        <v>#REF!</v>
      </c>
      <c r="AN51" s="70" t="e">
        <f t="shared" si="10"/>
        <v>#REF!</v>
      </c>
      <c r="AO51" s="70" t="e">
        <f t="shared" si="10"/>
        <v>#REF!</v>
      </c>
      <c r="AP51" s="70"/>
      <c r="AQ51" s="70"/>
      <c r="AR51" s="70" t="e">
        <f t="shared" ref="AR51:BA51" si="11">AR16+AR18+AR19</f>
        <v>#REF!</v>
      </c>
      <c r="AS51" s="70" t="e">
        <f t="shared" si="11"/>
        <v>#REF!</v>
      </c>
      <c r="AT51" s="70" t="e">
        <f t="shared" si="11"/>
        <v>#REF!</v>
      </c>
      <c r="AU51" s="70" t="e">
        <f t="shared" si="11"/>
        <v>#REF!</v>
      </c>
      <c r="AV51" s="70" t="e">
        <f t="shared" si="11"/>
        <v>#REF!</v>
      </c>
      <c r="AW51" s="70" t="e">
        <f t="shared" si="11"/>
        <v>#REF!</v>
      </c>
      <c r="AX51" s="70" t="e">
        <f t="shared" si="11"/>
        <v>#REF!</v>
      </c>
      <c r="AY51" s="70" t="e">
        <f t="shared" si="11"/>
        <v>#REF!</v>
      </c>
      <c r="AZ51" s="70" t="e">
        <f t="shared" si="11"/>
        <v>#REF!</v>
      </c>
      <c r="BA51" s="70" t="e">
        <f t="shared" si="11"/>
        <v>#REF!</v>
      </c>
    </row>
    <row r="52" spans="27:53" hidden="1">
      <c r="AA52" s="71" t="s">
        <v>41</v>
      </c>
      <c r="AB52" s="35"/>
      <c r="AF52" s="70" t="e">
        <f t="shared" ref="AF52:AO52" si="12">AF27+AF29+AF30</f>
        <v>#REF!</v>
      </c>
      <c r="AG52" s="70" t="e">
        <f t="shared" si="12"/>
        <v>#REF!</v>
      </c>
      <c r="AH52" s="70" t="e">
        <f t="shared" si="12"/>
        <v>#REF!</v>
      </c>
      <c r="AI52" s="70" t="e">
        <f t="shared" si="12"/>
        <v>#REF!</v>
      </c>
      <c r="AJ52" s="70" t="e">
        <f t="shared" si="12"/>
        <v>#REF!</v>
      </c>
      <c r="AK52" s="70" t="e">
        <f t="shared" si="12"/>
        <v>#REF!</v>
      </c>
      <c r="AL52" s="70" t="e">
        <f t="shared" si="12"/>
        <v>#REF!</v>
      </c>
      <c r="AM52" s="70" t="e">
        <f t="shared" si="12"/>
        <v>#REF!</v>
      </c>
      <c r="AN52" s="70" t="e">
        <f t="shared" si="12"/>
        <v>#REF!</v>
      </c>
      <c r="AO52" s="70" t="e">
        <f t="shared" si="12"/>
        <v>#REF!</v>
      </c>
      <c r="AP52" s="70"/>
      <c r="AQ52" s="70"/>
      <c r="AR52" s="70" t="e">
        <f t="shared" ref="AR52:BA52" si="13">AR27+AR29+AR30</f>
        <v>#REF!</v>
      </c>
      <c r="AS52" s="70" t="e">
        <f t="shared" si="13"/>
        <v>#REF!</v>
      </c>
      <c r="AT52" s="70" t="e">
        <f t="shared" si="13"/>
        <v>#REF!</v>
      </c>
      <c r="AU52" s="70" t="e">
        <f t="shared" si="13"/>
        <v>#REF!</v>
      </c>
      <c r="AV52" s="70" t="e">
        <f t="shared" si="13"/>
        <v>#REF!</v>
      </c>
      <c r="AW52" s="70" t="e">
        <f t="shared" si="13"/>
        <v>#REF!</v>
      </c>
      <c r="AX52" s="70" t="e">
        <f t="shared" si="13"/>
        <v>#REF!</v>
      </c>
      <c r="AY52" s="70" t="e">
        <f t="shared" si="13"/>
        <v>#REF!</v>
      </c>
      <c r="AZ52" s="70" t="e">
        <f t="shared" si="13"/>
        <v>#REF!</v>
      </c>
      <c r="BA52" s="70" t="e">
        <f t="shared" si="13"/>
        <v>#REF!</v>
      </c>
    </row>
    <row r="53" spans="27:53" hidden="1">
      <c r="AA53" s="71" t="s">
        <v>42</v>
      </c>
      <c r="AB53" s="35"/>
      <c r="AF53" s="70" t="e">
        <f t="shared" ref="AF53:AO53" si="14">AF38+AF40+AF41</f>
        <v>#REF!</v>
      </c>
      <c r="AG53" s="70" t="e">
        <f t="shared" si="14"/>
        <v>#REF!</v>
      </c>
      <c r="AH53" s="70" t="e">
        <f t="shared" si="14"/>
        <v>#REF!</v>
      </c>
      <c r="AI53" s="70" t="e">
        <f t="shared" si="14"/>
        <v>#REF!</v>
      </c>
      <c r="AJ53" s="70" t="e">
        <f t="shared" si="14"/>
        <v>#REF!</v>
      </c>
      <c r="AK53" s="70" t="e">
        <f t="shared" si="14"/>
        <v>#REF!</v>
      </c>
      <c r="AL53" s="70" t="e">
        <f t="shared" si="14"/>
        <v>#REF!</v>
      </c>
      <c r="AM53" s="70" t="e">
        <f t="shared" si="14"/>
        <v>#REF!</v>
      </c>
      <c r="AN53" s="70" t="e">
        <f t="shared" si="14"/>
        <v>#REF!</v>
      </c>
      <c r="AO53" s="70" t="e">
        <f t="shared" si="14"/>
        <v>#REF!</v>
      </c>
      <c r="AP53" s="70"/>
      <c r="AQ53" s="70"/>
      <c r="AR53" s="70" t="e">
        <f t="shared" ref="AR53:BA53" si="15">AR38+AR40+AR41</f>
        <v>#REF!</v>
      </c>
      <c r="AS53" s="70" t="e">
        <f t="shared" si="15"/>
        <v>#REF!</v>
      </c>
      <c r="AT53" s="70" t="e">
        <f t="shared" si="15"/>
        <v>#REF!</v>
      </c>
      <c r="AU53" s="70" t="e">
        <f t="shared" si="15"/>
        <v>#REF!</v>
      </c>
      <c r="AV53" s="70" t="e">
        <f t="shared" si="15"/>
        <v>#REF!</v>
      </c>
      <c r="AW53" s="70" t="e">
        <f t="shared" si="15"/>
        <v>#REF!</v>
      </c>
      <c r="AX53" s="70" t="e">
        <f t="shared" si="15"/>
        <v>#REF!</v>
      </c>
      <c r="AY53" s="70" t="e">
        <f t="shared" si="15"/>
        <v>#REF!</v>
      </c>
      <c r="AZ53" s="70" t="e">
        <f t="shared" si="15"/>
        <v>#REF!</v>
      </c>
      <c r="BA53" s="70" t="e">
        <f t="shared" si="15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6">AF16+AF18+AF20+AF22</f>
        <v>#REF!</v>
      </c>
      <c r="AG55" s="70" t="e">
        <f t="shared" si="16"/>
        <v>#REF!</v>
      </c>
      <c r="AH55" s="70" t="e">
        <f t="shared" si="16"/>
        <v>#REF!</v>
      </c>
      <c r="AI55" s="70" t="e">
        <f t="shared" si="16"/>
        <v>#REF!</v>
      </c>
      <c r="AJ55" s="70" t="e">
        <f t="shared" si="16"/>
        <v>#REF!</v>
      </c>
      <c r="AK55" s="70" t="e">
        <f t="shared" si="16"/>
        <v>#REF!</v>
      </c>
      <c r="AL55" s="70" t="e">
        <f t="shared" si="16"/>
        <v>#REF!</v>
      </c>
      <c r="AM55" s="70" t="e">
        <f t="shared" si="16"/>
        <v>#REF!</v>
      </c>
      <c r="AN55" s="70" t="e">
        <f t="shared" si="16"/>
        <v>#REF!</v>
      </c>
      <c r="AO55" s="70" t="e">
        <f t="shared" si="16"/>
        <v>#REF!</v>
      </c>
      <c r="AP55" s="70"/>
      <c r="AQ55" s="70"/>
      <c r="AR55" s="70" t="e">
        <f t="shared" ref="AR55:BA55" si="17">AR16+AR18+AR20+AR22</f>
        <v>#REF!</v>
      </c>
      <c r="AS55" s="70" t="e">
        <f t="shared" si="17"/>
        <v>#REF!</v>
      </c>
      <c r="AT55" s="70" t="e">
        <f t="shared" si="17"/>
        <v>#REF!</v>
      </c>
      <c r="AU55" s="70" t="e">
        <f t="shared" si="17"/>
        <v>#REF!</v>
      </c>
      <c r="AV55" s="70" t="e">
        <f t="shared" si="17"/>
        <v>#REF!</v>
      </c>
      <c r="AW55" s="70" t="e">
        <f t="shared" si="17"/>
        <v>#REF!</v>
      </c>
      <c r="AX55" s="70" t="e">
        <f t="shared" si="17"/>
        <v>#REF!</v>
      </c>
      <c r="AY55" s="70" t="e">
        <f t="shared" si="17"/>
        <v>#REF!</v>
      </c>
      <c r="AZ55" s="70" t="e">
        <f t="shared" si="17"/>
        <v>#REF!</v>
      </c>
      <c r="BA55" s="70" t="e">
        <f t="shared" si="17"/>
        <v>#REF!</v>
      </c>
    </row>
    <row r="56" spans="27:53" hidden="1">
      <c r="AA56" s="71" t="s">
        <v>41</v>
      </c>
      <c r="AB56" s="35"/>
      <c r="AF56" s="70" t="e">
        <f t="shared" ref="AF56:AO56" si="18">AF27+AF29+AF31+AF33</f>
        <v>#REF!</v>
      </c>
      <c r="AG56" s="70" t="e">
        <f t="shared" si="18"/>
        <v>#REF!</v>
      </c>
      <c r="AH56" s="70" t="e">
        <f t="shared" si="18"/>
        <v>#REF!</v>
      </c>
      <c r="AI56" s="70" t="e">
        <f t="shared" si="18"/>
        <v>#REF!</v>
      </c>
      <c r="AJ56" s="70" t="e">
        <f t="shared" si="18"/>
        <v>#REF!</v>
      </c>
      <c r="AK56" s="70" t="e">
        <f t="shared" si="18"/>
        <v>#REF!</v>
      </c>
      <c r="AL56" s="70" t="e">
        <f t="shared" si="18"/>
        <v>#REF!</v>
      </c>
      <c r="AM56" s="70" t="e">
        <f t="shared" si="18"/>
        <v>#REF!</v>
      </c>
      <c r="AN56" s="70" t="e">
        <f t="shared" si="18"/>
        <v>#REF!</v>
      </c>
      <c r="AO56" s="70" t="e">
        <f t="shared" si="18"/>
        <v>#REF!</v>
      </c>
      <c r="AP56" s="70"/>
      <c r="AQ56" s="70"/>
      <c r="AR56" s="70" t="e">
        <f t="shared" ref="AR56:BA56" si="19">AR27+AR29+AR31+AR33</f>
        <v>#REF!</v>
      </c>
      <c r="AS56" s="70" t="e">
        <f t="shared" si="19"/>
        <v>#REF!</v>
      </c>
      <c r="AT56" s="70" t="e">
        <f t="shared" si="19"/>
        <v>#REF!</v>
      </c>
      <c r="AU56" s="70" t="e">
        <f t="shared" si="19"/>
        <v>#REF!</v>
      </c>
      <c r="AV56" s="70" t="e">
        <f t="shared" si="19"/>
        <v>#REF!</v>
      </c>
      <c r="AW56" s="70" t="e">
        <f t="shared" si="19"/>
        <v>#REF!</v>
      </c>
      <c r="AX56" s="70" t="e">
        <f t="shared" si="19"/>
        <v>#REF!</v>
      </c>
      <c r="AY56" s="70" t="e">
        <f t="shared" si="19"/>
        <v>#REF!</v>
      </c>
      <c r="AZ56" s="70" t="e">
        <f t="shared" si="19"/>
        <v>#REF!</v>
      </c>
      <c r="BA56" s="70" t="e">
        <f t="shared" si="19"/>
        <v>#REF!</v>
      </c>
    </row>
    <row r="57" spans="27:53" hidden="1">
      <c r="AA57" s="71" t="s">
        <v>42</v>
      </c>
      <c r="AB57" s="35"/>
      <c r="AF57" s="70" t="e">
        <f t="shared" ref="AF57:AO57" si="20">AF38+AF40+AF42+AF44</f>
        <v>#REF!</v>
      </c>
      <c r="AG57" s="70" t="e">
        <f t="shared" si="20"/>
        <v>#REF!</v>
      </c>
      <c r="AH57" s="70" t="e">
        <f t="shared" si="20"/>
        <v>#REF!</v>
      </c>
      <c r="AI57" s="70" t="e">
        <f t="shared" si="20"/>
        <v>#REF!</v>
      </c>
      <c r="AJ57" s="70" t="e">
        <f t="shared" si="20"/>
        <v>#REF!</v>
      </c>
      <c r="AK57" s="70" t="e">
        <f t="shared" si="20"/>
        <v>#REF!</v>
      </c>
      <c r="AL57" s="70" t="e">
        <f t="shared" si="20"/>
        <v>#REF!</v>
      </c>
      <c r="AM57" s="70" t="e">
        <f t="shared" si="20"/>
        <v>#REF!</v>
      </c>
      <c r="AN57" s="70" t="e">
        <f t="shared" si="20"/>
        <v>#REF!</v>
      </c>
      <c r="AO57" s="70" t="e">
        <f t="shared" si="20"/>
        <v>#REF!</v>
      </c>
      <c r="AP57" s="70"/>
      <c r="AQ57" s="70"/>
      <c r="AR57" s="70" t="e">
        <f t="shared" ref="AR57:BA57" si="21">AR38+AR40+AR42+AR44</f>
        <v>#REF!</v>
      </c>
      <c r="AS57" s="70" t="e">
        <f t="shared" si="21"/>
        <v>#REF!</v>
      </c>
      <c r="AT57" s="70" t="e">
        <f t="shared" si="21"/>
        <v>#REF!</v>
      </c>
      <c r="AU57" s="70" t="e">
        <f t="shared" si="21"/>
        <v>#REF!</v>
      </c>
      <c r="AV57" s="70" t="e">
        <f t="shared" si="21"/>
        <v>#REF!</v>
      </c>
      <c r="AW57" s="70" t="e">
        <f t="shared" si="21"/>
        <v>#REF!</v>
      </c>
      <c r="AX57" s="70" t="e">
        <f t="shared" si="21"/>
        <v>#REF!</v>
      </c>
      <c r="AY57" s="70" t="e">
        <f t="shared" si="21"/>
        <v>#REF!</v>
      </c>
      <c r="AZ57" s="70" t="e">
        <f t="shared" si="21"/>
        <v>#REF!</v>
      </c>
      <c r="BA57" s="70" t="e">
        <f t="shared" si="21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2">AF16+AF18+AF20+AF21+AF23</f>
        <v>#REF!</v>
      </c>
      <c r="AG59" s="70" t="e">
        <f t="shared" si="22"/>
        <v>#REF!</v>
      </c>
      <c r="AH59" s="70" t="e">
        <f t="shared" si="22"/>
        <v>#REF!</v>
      </c>
      <c r="AI59" s="70" t="e">
        <f t="shared" si="22"/>
        <v>#REF!</v>
      </c>
      <c r="AJ59" s="70" t="e">
        <f t="shared" si="22"/>
        <v>#REF!</v>
      </c>
      <c r="AK59" s="70" t="e">
        <f t="shared" si="22"/>
        <v>#REF!</v>
      </c>
      <c r="AL59" s="70" t="e">
        <f t="shared" si="22"/>
        <v>#REF!</v>
      </c>
      <c r="AM59" s="70" t="e">
        <f t="shared" si="22"/>
        <v>#REF!</v>
      </c>
      <c r="AN59" s="70" t="e">
        <f t="shared" si="22"/>
        <v>#REF!</v>
      </c>
      <c r="AO59" s="70" t="e">
        <f t="shared" si="22"/>
        <v>#REF!</v>
      </c>
      <c r="AP59" s="70"/>
      <c r="AQ59" s="70"/>
      <c r="AR59" s="70" t="e">
        <f t="shared" ref="AR59:BA59" si="23">AR16+AR18+AR20+AR21+AR23</f>
        <v>#REF!</v>
      </c>
      <c r="AS59" s="70" t="e">
        <f t="shared" si="23"/>
        <v>#REF!</v>
      </c>
      <c r="AT59" s="70" t="e">
        <f t="shared" si="23"/>
        <v>#REF!</v>
      </c>
      <c r="AU59" s="70" t="e">
        <f t="shared" si="23"/>
        <v>#REF!</v>
      </c>
      <c r="AV59" s="70" t="e">
        <f t="shared" si="23"/>
        <v>#REF!</v>
      </c>
      <c r="AW59" s="70" t="e">
        <f t="shared" si="23"/>
        <v>#REF!</v>
      </c>
      <c r="AX59" s="70" t="e">
        <f t="shared" si="23"/>
        <v>#REF!</v>
      </c>
      <c r="AY59" s="70" t="e">
        <f t="shared" si="23"/>
        <v>#REF!</v>
      </c>
      <c r="AZ59" s="70" t="e">
        <f t="shared" si="23"/>
        <v>#REF!</v>
      </c>
      <c r="BA59" s="70" t="e">
        <f t="shared" si="23"/>
        <v>#REF!</v>
      </c>
    </row>
    <row r="60" spans="27:53" hidden="1">
      <c r="AA60" s="71" t="s">
        <v>41</v>
      </c>
      <c r="AB60" s="35"/>
      <c r="AF60" s="70" t="e">
        <f t="shared" ref="AF60:AO60" si="24">AF27+AF29+AF31+AF32+AF34</f>
        <v>#REF!</v>
      </c>
      <c r="AG60" s="70" t="e">
        <f t="shared" si="24"/>
        <v>#REF!</v>
      </c>
      <c r="AH60" s="70" t="e">
        <f t="shared" si="24"/>
        <v>#REF!</v>
      </c>
      <c r="AI60" s="70" t="e">
        <f t="shared" si="24"/>
        <v>#REF!</v>
      </c>
      <c r="AJ60" s="70" t="e">
        <f t="shared" si="24"/>
        <v>#REF!</v>
      </c>
      <c r="AK60" s="70" t="e">
        <f t="shared" si="24"/>
        <v>#REF!</v>
      </c>
      <c r="AL60" s="70" t="e">
        <f t="shared" si="24"/>
        <v>#REF!</v>
      </c>
      <c r="AM60" s="70" t="e">
        <f t="shared" si="24"/>
        <v>#REF!</v>
      </c>
      <c r="AN60" s="70" t="e">
        <f t="shared" si="24"/>
        <v>#REF!</v>
      </c>
      <c r="AO60" s="70" t="e">
        <f t="shared" si="24"/>
        <v>#REF!</v>
      </c>
      <c r="AP60" s="70"/>
      <c r="AQ60" s="70"/>
      <c r="AR60" s="70" t="e">
        <f t="shared" ref="AR60:BA60" si="25">AR27+AR29+AR31+AR32+AR34</f>
        <v>#REF!</v>
      </c>
      <c r="AS60" s="70" t="e">
        <f t="shared" si="25"/>
        <v>#REF!</v>
      </c>
      <c r="AT60" s="70" t="e">
        <f t="shared" si="25"/>
        <v>#REF!</v>
      </c>
      <c r="AU60" s="70" t="e">
        <f t="shared" si="25"/>
        <v>#REF!</v>
      </c>
      <c r="AV60" s="70" t="e">
        <f t="shared" si="25"/>
        <v>#REF!</v>
      </c>
      <c r="AW60" s="70" t="e">
        <f t="shared" si="25"/>
        <v>#REF!</v>
      </c>
      <c r="AX60" s="70" t="e">
        <f t="shared" si="25"/>
        <v>#REF!</v>
      </c>
      <c r="AY60" s="70" t="e">
        <f t="shared" si="25"/>
        <v>#REF!</v>
      </c>
      <c r="AZ60" s="70" t="e">
        <f t="shared" si="25"/>
        <v>#REF!</v>
      </c>
      <c r="BA60" s="70" t="e">
        <f t="shared" si="25"/>
        <v>#REF!</v>
      </c>
    </row>
    <row r="61" spans="27:53" hidden="1">
      <c r="AA61" s="71" t="s">
        <v>42</v>
      </c>
      <c r="AB61" s="35"/>
      <c r="AF61" s="70" t="e">
        <f t="shared" ref="AF61:AO61" si="26">AF38+AF40+AF42+AF43+AF45</f>
        <v>#REF!</v>
      </c>
      <c r="AG61" s="70" t="e">
        <f t="shared" si="26"/>
        <v>#REF!</v>
      </c>
      <c r="AH61" s="70" t="e">
        <f t="shared" si="26"/>
        <v>#REF!</v>
      </c>
      <c r="AI61" s="70" t="e">
        <f t="shared" si="26"/>
        <v>#REF!</v>
      </c>
      <c r="AJ61" s="70" t="e">
        <f t="shared" si="26"/>
        <v>#REF!</v>
      </c>
      <c r="AK61" s="70" t="e">
        <f t="shared" si="26"/>
        <v>#REF!</v>
      </c>
      <c r="AL61" s="70" t="e">
        <f t="shared" si="26"/>
        <v>#REF!</v>
      </c>
      <c r="AM61" s="70" t="e">
        <f t="shared" si="26"/>
        <v>#REF!</v>
      </c>
      <c r="AN61" s="70" t="e">
        <f t="shared" si="26"/>
        <v>#REF!</v>
      </c>
      <c r="AO61" s="70" t="e">
        <f t="shared" si="26"/>
        <v>#REF!</v>
      </c>
      <c r="AP61" s="70"/>
      <c r="AQ61" s="70"/>
      <c r="AR61" s="70" t="e">
        <f t="shared" ref="AR61:BA61" si="27">AR38+AR40+AR42+AR43+AR45</f>
        <v>#REF!</v>
      </c>
      <c r="AS61" s="70" t="e">
        <f t="shared" si="27"/>
        <v>#REF!</v>
      </c>
      <c r="AT61" s="70" t="e">
        <f t="shared" si="27"/>
        <v>#REF!</v>
      </c>
      <c r="AU61" s="70" t="e">
        <f t="shared" si="27"/>
        <v>#REF!</v>
      </c>
      <c r="AV61" s="70" t="e">
        <f t="shared" si="27"/>
        <v>#REF!</v>
      </c>
      <c r="AW61" s="70" t="e">
        <f t="shared" si="27"/>
        <v>#REF!</v>
      </c>
      <c r="AX61" s="70" t="e">
        <f t="shared" si="27"/>
        <v>#REF!</v>
      </c>
      <c r="AY61" s="70" t="e">
        <f t="shared" si="27"/>
        <v>#REF!</v>
      </c>
      <c r="AZ61" s="70" t="e">
        <f t="shared" si="27"/>
        <v>#REF!</v>
      </c>
      <c r="BA61" s="70" t="e">
        <f t="shared" si="27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28">AF16+AF18+AF20+AF21+AF24</f>
        <v>#REF!</v>
      </c>
      <c r="AG63" s="70" t="e">
        <f t="shared" si="28"/>
        <v>#REF!</v>
      </c>
      <c r="AH63" s="70" t="e">
        <f t="shared" si="28"/>
        <v>#REF!</v>
      </c>
      <c r="AI63" s="70" t="e">
        <f t="shared" si="28"/>
        <v>#REF!</v>
      </c>
      <c r="AJ63" s="70" t="e">
        <f t="shared" si="28"/>
        <v>#REF!</v>
      </c>
      <c r="AK63" s="70" t="e">
        <f t="shared" si="28"/>
        <v>#REF!</v>
      </c>
      <c r="AL63" s="70" t="e">
        <f t="shared" si="28"/>
        <v>#REF!</v>
      </c>
      <c r="AM63" s="70" t="e">
        <f t="shared" si="28"/>
        <v>#REF!</v>
      </c>
      <c r="AN63" s="70" t="e">
        <f t="shared" si="28"/>
        <v>#REF!</v>
      </c>
      <c r="AO63" s="70" t="e">
        <f t="shared" si="28"/>
        <v>#REF!</v>
      </c>
      <c r="AP63" s="70"/>
      <c r="AQ63" s="70"/>
      <c r="AR63" s="70" t="e">
        <f t="shared" ref="AR63:BA63" si="29">AR16+AR18+AR20+AR21+AR24</f>
        <v>#REF!</v>
      </c>
      <c r="AS63" s="70" t="e">
        <f t="shared" si="29"/>
        <v>#REF!</v>
      </c>
      <c r="AT63" s="70" t="e">
        <f t="shared" si="29"/>
        <v>#REF!</v>
      </c>
      <c r="AU63" s="70" t="e">
        <f t="shared" si="29"/>
        <v>#REF!</v>
      </c>
      <c r="AV63" s="70" t="e">
        <f t="shared" si="29"/>
        <v>#REF!</v>
      </c>
      <c r="AW63" s="70" t="e">
        <f t="shared" si="29"/>
        <v>#REF!</v>
      </c>
      <c r="AX63" s="70" t="e">
        <f t="shared" si="29"/>
        <v>#REF!</v>
      </c>
      <c r="AY63" s="70" t="e">
        <f t="shared" si="29"/>
        <v>#REF!</v>
      </c>
      <c r="AZ63" s="70" t="e">
        <f t="shared" si="29"/>
        <v>#REF!</v>
      </c>
      <c r="BA63" s="70" t="e">
        <f t="shared" si="29"/>
        <v>#REF!</v>
      </c>
    </row>
    <row r="64" spans="27:53" hidden="1">
      <c r="AA64" s="71" t="s">
        <v>41</v>
      </c>
      <c r="AB64" s="35"/>
      <c r="AF64" s="70" t="e">
        <f t="shared" ref="AF64:AO64" si="30">AF27+AF29+AF31+AF32+AF35</f>
        <v>#REF!</v>
      </c>
      <c r="AG64" s="70" t="e">
        <f t="shared" si="30"/>
        <v>#REF!</v>
      </c>
      <c r="AH64" s="70" t="e">
        <f t="shared" si="30"/>
        <v>#REF!</v>
      </c>
      <c r="AI64" s="70" t="e">
        <f t="shared" si="30"/>
        <v>#REF!</v>
      </c>
      <c r="AJ64" s="70" t="e">
        <f t="shared" si="30"/>
        <v>#REF!</v>
      </c>
      <c r="AK64" s="70" t="e">
        <f t="shared" si="30"/>
        <v>#REF!</v>
      </c>
      <c r="AL64" s="70" t="e">
        <f t="shared" si="30"/>
        <v>#REF!</v>
      </c>
      <c r="AM64" s="70" t="e">
        <f t="shared" si="30"/>
        <v>#REF!</v>
      </c>
      <c r="AN64" s="70" t="e">
        <f t="shared" si="30"/>
        <v>#REF!</v>
      </c>
      <c r="AO64" s="70" t="e">
        <f t="shared" si="30"/>
        <v>#REF!</v>
      </c>
      <c r="AP64" s="70"/>
      <c r="AQ64" s="70"/>
      <c r="AR64" s="70" t="e">
        <f t="shared" ref="AR64:BA64" si="31">AR27+AR29+AR31+AR32+AR35</f>
        <v>#REF!</v>
      </c>
      <c r="AS64" s="70" t="e">
        <f t="shared" si="31"/>
        <v>#REF!</v>
      </c>
      <c r="AT64" s="70" t="e">
        <f t="shared" si="31"/>
        <v>#REF!</v>
      </c>
      <c r="AU64" s="70" t="e">
        <f t="shared" si="31"/>
        <v>#REF!</v>
      </c>
      <c r="AV64" s="70" t="e">
        <f t="shared" si="31"/>
        <v>#REF!</v>
      </c>
      <c r="AW64" s="70" t="e">
        <f t="shared" si="31"/>
        <v>#REF!</v>
      </c>
      <c r="AX64" s="70" t="e">
        <f t="shared" si="31"/>
        <v>#REF!</v>
      </c>
      <c r="AY64" s="70" t="e">
        <f t="shared" si="31"/>
        <v>#REF!</v>
      </c>
      <c r="AZ64" s="70" t="e">
        <f t="shared" si="31"/>
        <v>#REF!</v>
      </c>
      <c r="BA64" s="70" t="e">
        <f t="shared" si="31"/>
        <v>#REF!</v>
      </c>
    </row>
    <row r="65" spans="27:53" hidden="1">
      <c r="AA65" s="71" t="s">
        <v>42</v>
      </c>
      <c r="AB65" s="35"/>
      <c r="AF65" s="70" t="e">
        <f t="shared" ref="AF65:AO65" si="32">AF38+AF40+AF42+AF43+AF46</f>
        <v>#REF!</v>
      </c>
      <c r="AG65" s="70" t="e">
        <f t="shared" si="32"/>
        <v>#REF!</v>
      </c>
      <c r="AH65" s="70" t="e">
        <f t="shared" si="32"/>
        <v>#REF!</v>
      </c>
      <c r="AI65" s="70" t="e">
        <f t="shared" si="32"/>
        <v>#REF!</v>
      </c>
      <c r="AJ65" s="70" t="e">
        <f t="shared" si="32"/>
        <v>#REF!</v>
      </c>
      <c r="AK65" s="70" t="e">
        <f t="shared" si="32"/>
        <v>#REF!</v>
      </c>
      <c r="AL65" s="70" t="e">
        <f t="shared" si="32"/>
        <v>#REF!</v>
      </c>
      <c r="AM65" s="70" t="e">
        <f t="shared" si="32"/>
        <v>#REF!</v>
      </c>
      <c r="AN65" s="70" t="e">
        <f t="shared" si="32"/>
        <v>#REF!</v>
      </c>
      <c r="AO65" s="70" t="e">
        <f t="shared" si="32"/>
        <v>#REF!</v>
      </c>
      <c r="AP65" s="70"/>
      <c r="AQ65" s="70"/>
      <c r="AR65" s="70" t="e">
        <f t="shared" ref="AR65:BA65" si="33">AR38+AR40+AR42+AR43+AR46</f>
        <v>#REF!</v>
      </c>
      <c r="AS65" s="70" t="e">
        <f t="shared" si="33"/>
        <v>#REF!</v>
      </c>
      <c r="AT65" s="70" t="e">
        <f t="shared" si="33"/>
        <v>#REF!</v>
      </c>
      <c r="AU65" s="70" t="e">
        <f t="shared" si="33"/>
        <v>#REF!</v>
      </c>
      <c r="AV65" s="70" t="e">
        <f t="shared" si="33"/>
        <v>#REF!</v>
      </c>
      <c r="AW65" s="70" t="e">
        <f t="shared" si="33"/>
        <v>#REF!</v>
      </c>
      <c r="AX65" s="70" t="e">
        <f t="shared" si="33"/>
        <v>#REF!</v>
      </c>
      <c r="AY65" s="70" t="e">
        <f t="shared" si="33"/>
        <v>#REF!</v>
      </c>
      <c r="AZ65" s="70" t="e">
        <f t="shared" si="33"/>
        <v>#REF!</v>
      </c>
      <c r="BA65" s="70" t="e">
        <f t="shared" si="33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4">AF16+AF17+AF22</f>
        <v>#REF!</v>
      </c>
      <c r="AG67" s="70" t="e">
        <f t="shared" si="34"/>
        <v>#REF!</v>
      </c>
      <c r="AH67" s="70" t="e">
        <f t="shared" si="34"/>
        <v>#REF!</v>
      </c>
      <c r="AI67" s="70" t="e">
        <f t="shared" si="34"/>
        <v>#REF!</v>
      </c>
      <c r="AJ67" s="70" t="e">
        <f t="shared" si="34"/>
        <v>#REF!</v>
      </c>
      <c r="AK67" s="70" t="e">
        <f t="shared" si="34"/>
        <v>#REF!</v>
      </c>
      <c r="AL67" s="70" t="e">
        <f t="shared" si="34"/>
        <v>#REF!</v>
      </c>
      <c r="AM67" s="70" t="e">
        <f t="shared" si="34"/>
        <v>#REF!</v>
      </c>
      <c r="AN67" s="70" t="e">
        <f t="shared" si="34"/>
        <v>#REF!</v>
      </c>
      <c r="AO67" s="70" t="e">
        <f t="shared" si="34"/>
        <v>#REF!</v>
      </c>
      <c r="AP67" s="70"/>
      <c r="AQ67" s="70"/>
      <c r="AR67" s="70" t="e">
        <f t="shared" ref="AR67:BA67" si="35">AR16+AR17+AR22</f>
        <v>#REF!</v>
      </c>
      <c r="AS67" s="70" t="e">
        <f t="shared" si="35"/>
        <v>#REF!</v>
      </c>
      <c r="AT67" s="70" t="e">
        <f t="shared" si="35"/>
        <v>#REF!</v>
      </c>
      <c r="AU67" s="70" t="e">
        <f t="shared" si="35"/>
        <v>#REF!</v>
      </c>
      <c r="AV67" s="70" t="e">
        <f t="shared" si="35"/>
        <v>#REF!</v>
      </c>
      <c r="AW67" s="70" t="e">
        <f t="shared" si="35"/>
        <v>#REF!</v>
      </c>
      <c r="AX67" s="70" t="e">
        <f t="shared" si="35"/>
        <v>#REF!</v>
      </c>
      <c r="AY67" s="70" t="e">
        <f t="shared" si="35"/>
        <v>#REF!</v>
      </c>
      <c r="AZ67" s="70" t="e">
        <f t="shared" si="35"/>
        <v>#REF!</v>
      </c>
      <c r="BA67" s="70" t="e">
        <f t="shared" si="35"/>
        <v>#REF!</v>
      </c>
    </row>
    <row r="68" spans="27:53" hidden="1">
      <c r="AA68" s="71" t="s">
        <v>41</v>
      </c>
      <c r="AB68" s="35"/>
      <c r="AF68" s="70" t="e">
        <f t="shared" ref="AF68:AO68" si="36">AF27+AF28+AF33</f>
        <v>#REF!</v>
      </c>
      <c r="AG68" s="70" t="e">
        <f t="shared" si="36"/>
        <v>#REF!</v>
      </c>
      <c r="AH68" s="70" t="e">
        <f t="shared" si="36"/>
        <v>#REF!</v>
      </c>
      <c r="AI68" s="70" t="e">
        <f t="shared" si="36"/>
        <v>#REF!</v>
      </c>
      <c r="AJ68" s="70" t="e">
        <f t="shared" si="36"/>
        <v>#REF!</v>
      </c>
      <c r="AK68" s="70" t="e">
        <f t="shared" si="36"/>
        <v>#REF!</v>
      </c>
      <c r="AL68" s="70" t="e">
        <f t="shared" si="36"/>
        <v>#REF!</v>
      </c>
      <c r="AM68" s="70" t="e">
        <f t="shared" si="36"/>
        <v>#REF!</v>
      </c>
      <c r="AN68" s="70" t="e">
        <f t="shared" si="36"/>
        <v>#REF!</v>
      </c>
      <c r="AO68" s="70" t="e">
        <f t="shared" si="36"/>
        <v>#REF!</v>
      </c>
      <c r="AP68" s="70"/>
      <c r="AQ68" s="70"/>
      <c r="AR68" s="70" t="e">
        <f t="shared" ref="AR68:BA68" si="37">AR27+AR28+AR33</f>
        <v>#REF!</v>
      </c>
      <c r="AS68" s="70" t="e">
        <f t="shared" si="37"/>
        <v>#REF!</v>
      </c>
      <c r="AT68" s="70" t="e">
        <f t="shared" si="37"/>
        <v>#REF!</v>
      </c>
      <c r="AU68" s="70" t="e">
        <f t="shared" si="37"/>
        <v>#REF!</v>
      </c>
      <c r="AV68" s="70" t="e">
        <f t="shared" si="37"/>
        <v>#REF!</v>
      </c>
      <c r="AW68" s="70" t="e">
        <f t="shared" si="37"/>
        <v>#REF!</v>
      </c>
      <c r="AX68" s="70" t="e">
        <f t="shared" si="37"/>
        <v>#REF!</v>
      </c>
      <c r="AY68" s="70" t="e">
        <f t="shared" si="37"/>
        <v>#REF!</v>
      </c>
      <c r="AZ68" s="70" t="e">
        <f t="shared" si="37"/>
        <v>#REF!</v>
      </c>
      <c r="BA68" s="70" t="e">
        <f t="shared" si="37"/>
        <v>#REF!</v>
      </c>
    </row>
    <row r="69" spans="27:53" hidden="1">
      <c r="AA69" s="71" t="s">
        <v>42</v>
      </c>
      <c r="AB69" s="35"/>
      <c r="AF69" s="70" t="e">
        <f t="shared" ref="AF69:AO69" si="38">AF38+AF39+AF44</f>
        <v>#REF!</v>
      </c>
      <c r="AG69" s="70" t="e">
        <f t="shared" si="38"/>
        <v>#REF!</v>
      </c>
      <c r="AH69" s="70" t="e">
        <f t="shared" si="38"/>
        <v>#REF!</v>
      </c>
      <c r="AI69" s="70" t="e">
        <f t="shared" si="38"/>
        <v>#REF!</v>
      </c>
      <c r="AJ69" s="70" t="e">
        <f t="shared" si="38"/>
        <v>#REF!</v>
      </c>
      <c r="AK69" s="70" t="e">
        <f t="shared" si="38"/>
        <v>#REF!</v>
      </c>
      <c r="AL69" s="70" t="e">
        <f t="shared" si="38"/>
        <v>#REF!</v>
      </c>
      <c r="AM69" s="70" t="e">
        <f t="shared" si="38"/>
        <v>#REF!</v>
      </c>
      <c r="AN69" s="70" t="e">
        <f t="shared" si="38"/>
        <v>#REF!</v>
      </c>
      <c r="AO69" s="70" t="e">
        <f t="shared" si="38"/>
        <v>#REF!</v>
      </c>
      <c r="AP69" s="70"/>
      <c r="AQ69" s="70"/>
      <c r="AR69" s="70" t="e">
        <f t="shared" ref="AR69:BA69" si="39">AR38+AR39+AR44</f>
        <v>#REF!</v>
      </c>
      <c r="AS69" s="70" t="e">
        <f t="shared" si="39"/>
        <v>#REF!</v>
      </c>
      <c r="AT69" s="70" t="e">
        <f t="shared" si="39"/>
        <v>#REF!</v>
      </c>
      <c r="AU69" s="70" t="e">
        <f t="shared" si="39"/>
        <v>#REF!</v>
      </c>
      <c r="AV69" s="70" t="e">
        <f t="shared" si="39"/>
        <v>#REF!</v>
      </c>
      <c r="AW69" s="70" t="e">
        <f t="shared" si="39"/>
        <v>#REF!</v>
      </c>
      <c r="AX69" s="70" t="e">
        <f t="shared" si="39"/>
        <v>#REF!</v>
      </c>
      <c r="AY69" s="70" t="e">
        <f t="shared" si="39"/>
        <v>#REF!</v>
      </c>
      <c r="AZ69" s="70" t="e">
        <f t="shared" si="39"/>
        <v>#REF!</v>
      </c>
      <c r="BA69" s="70" t="e">
        <f t="shared" si="39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0">AF16+AF17+AF21+AF23</f>
        <v>#REF!</v>
      </c>
      <c r="AG71" s="70" t="e">
        <f t="shared" si="40"/>
        <v>#REF!</v>
      </c>
      <c r="AH71" s="70" t="e">
        <f t="shared" si="40"/>
        <v>#REF!</v>
      </c>
      <c r="AI71" s="70" t="e">
        <f t="shared" si="40"/>
        <v>#REF!</v>
      </c>
      <c r="AJ71" s="70" t="e">
        <f t="shared" si="40"/>
        <v>#REF!</v>
      </c>
      <c r="AK71" s="70" t="e">
        <f t="shared" si="40"/>
        <v>#REF!</v>
      </c>
      <c r="AL71" s="70" t="e">
        <f t="shared" si="40"/>
        <v>#REF!</v>
      </c>
      <c r="AM71" s="70" t="e">
        <f t="shared" si="40"/>
        <v>#REF!</v>
      </c>
      <c r="AN71" s="70" t="e">
        <f t="shared" si="40"/>
        <v>#REF!</v>
      </c>
      <c r="AO71" s="70" t="e">
        <f t="shared" si="40"/>
        <v>#REF!</v>
      </c>
      <c r="AP71" s="70"/>
      <c r="AQ71" s="70"/>
      <c r="AR71" s="70" t="e">
        <f t="shared" ref="AR71:BA71" si="41">AR16+AR17+AR21+AR23</f>
        <v>#REF!</v>
      </c>
      <c r="AS71" s="70" t="e">
        <f t="shared" si="41"/>
        <v>#REF!</v>
      </c>
      <c r="AT71" s="70" t="e">
        <f t="shared" si="41"/>
        <v>#REF!</v>
      </c>
      <c r="AU71" s="70" t="e">
        <f t="shared" si="41"/>
        <v>#REF!</v>
      </c>
      <c r="AV71" s="70" t="e">
        <f t="shared" si="41"/>
        <v>#REF!</v>
      </c>
      <c r="AW71" s="70" t="e">
        <f t="shared" si="41"/>
        <v>#REF!</v>
      </c>
      <c r="AX71" s="70" t="e">
        <f t="shared" si="41"/>
        <v>#REF!</v>
      </c>
      <c r="AY71" s="70" t="e">
        <f t="shared" si="41"/>
        <v>#REF!</v>
      </c>
      <c r="AZ71" s="70" t="e">
        <f t="shared" si="41"/>
        <v>#REF!</v>
      </c>
      <c r="BA71" s="70" t="e">
        <f t="shared" si="41"/>
        <v>#REF!</v>
      </c>
    </row>
    <row r="72" spans="27:53" hidden="1">
      <c r="AA72" s="71" t="s">
        <v>41</v>
      </c>
      <c r="AB72" s="35"/>
      <c r="AF72" s="70" t="e">
        <f t="shared" ref="AF72:AO72" si="42">AF27+AF28+AF32+AF34</f>
        <v>#REF!</v>
      </c>
      <c r="AG72" s="70" t="e">
        <f t="shared" si="42"/>
        <v>#REF!</v>
      </c>
      <c r="AH72" s="70" t="e">
        <f t="shared" si="42"/>
        <v>#REF!</v>
      </c>
      <c r="AI72" s="70" t="e">
        <f t="shared" si="42"/>
        <v>#REF!</v>
      </c>
      <c r="AJ72" s="70" t="e">
        <f t="shared" si="42"/>
        <v>#REF!</v>
      </c>
      <c r="AK72" s="70" t="e">
        <f t="shared" si="42"/>
        <v>#REF!</v>
      </c>
      <c r="AL72" s="70" t="e">
        <f t="shared" si="42"/>
        <v>#REF!</v>
      </c>
      <c r="AM72" s="70" t="e">
        <f t="shared" si="42"/>
        <v>#REF!</v>
      </c>
      <c r="AN72" s="70" t="e">
        <f t="shared" si="42"/>
        <v>#REF!</v>
      </c>
      <c r="AO72" s="70" t="e">
        <f t="shared" si="42"/>
        <v>#REF!</v>
      </c>
      <c r="AP72" s="70"/>
      <c r="AQ72" s="70"/>
      <c r="AR72" s="70" t="e">
        <f t="shared" ref="AR72:BA72" si="43">AR27+AR28+AR32+AR34</f>
        <v>#REF!</v>
      </c>
      <c r="AS72" s="70" t="e">
        <f t="shared" si="43"/>
        <v>#REF!</v>
      </c>
      <c r="AT72" s="70" t="e">
        <f t="shared" si="43"/>
        <v>#REF!</v>
      </c>
      <c r="AU72" s="70" t="e">
        <f t="shared" si="43"/>
        <v>#REF!</v>
      </c>
      <c r="AV72" s="70" t="e">
        <f t="shared" si="43"/>
        <v>#REF!</v>
      </c>
      <c r="AW72" s="70" t="e">
        <f t="shared" si="43"/>
        <v>#REF!</v>
      </c>
      <c r="AX72" s="70" t="e">
        <f t="shared" si="43"/>
        <v>#REF!</v>
      </c>
      <c r="AY72" s="70" t="e">
        <f t="shared" si="43"/>
        <v>#REF!</v>
      </c>
      <c r="AZ72" s="70" t="e">
        <f t="shared" si="43"/>
        <v>#REF!</v>
      </c>
      <c r="BA72" s="70" t="e">
        <f t="shared" si="43"/>
        <v>#REF!</v>
      </c>
    </row>
    <row r="73" spans="27:53" hidden="1">
      <c r="AA73" s="71" t="s">
        <v>42</v>
      </c>
      <c r="AB73" s="35"/>
      <c r="AF73" s="70" t="e">
        <f t="shared" ref="AF73:AO73" si="44">AF38+AF39+AF43+AF45</f>
        <v>#REF!</v>
      </c>
      <c r="AG73" s="70" t="e">
        <f t="shared" si="44"/>
        <v>#REF!</v>
      </c>
      <c r="AH73" s="70" t="e">
        <f t="shared" si="44"/>
        <v>#REF!</v>
      </c>
      <c r="AI73" s="70" t="e">
        <f t="shared" si="44"/>
        <v>#REF!</v>
      </c>
      <c r="AJ73" s="70" t="e">
        <f t="shared" si="44"/>
        <v>#REF!</v>
      </c>
      <c r="AK73" s="70" t="e">
        <f t="shared" si="44"/>
        <v>#REF!</v>
      </c>
      <c r="AL73" s="70" t="e">
        <f t="shared" si="44"/>
        <v>#REF!</v>
      </c>
      <c r="AM73" s="70" t="e">
        <f t="shared" si="44"/>
        <v>#REF!</v>
      </c>
      <c r="AN73" s="70" t="e">
        <f t="shared" si="44"/>
        <v>#REF!</v>
      </c>
      <c r="AO73" s="70" t="e">
        <f t="shared" si="44"/>
        <v>#REF!</v>
      </c>
      <c r="AP73" s="70"/>
      <c r="AQ73" s="70"/>
      <c r="AR73" s="70" t="e">
        <f t="shared" ref="AR73:BA73" si="45">AR38+AR39+AR43+AR45</f>
        <v>#REF!</v>
      </c>
      <c r="AS73" s="70" t="e">
        <f t="shared" si="45"/>
        <v>#REF!</v>
      </c>
      <c r="AT73" s="70" t="e">
        <f t="shared" si="45"/>
        <v>#REF!</v>
      </c>
      <c r="AU73" s="70" t="e">
        <f t="shared" si="45"/>
        <v>#REF!</v>
      </c>
      <c r="AV73" s="70" t="e">
        <f t="shared" si="45"/>
        <v>#REF!</v>
      </c>
      <c r="AW73" s="70" t="e">
        <f t="shared" si="45"/>
        <v>#REF!</v>
      </c>
      <c r="AX73" s="70" t="e">
        <f t="shared" si="45"/>
        <v>#REF!</v>
      </c>
      <c r="AY73" s="70" t="e">
        <f t="shared" si="45"/>
        <v>#REF!</v>
      </c>
      <c r="AZ73" s="70" t="e">
        <f t="shared" si="45"/>
        <v>#REF!</v>
      </c>
      <c r="BA73" s="70" t="e">
        <f t="shared" si="45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6">AF16+AF17+AF21+AF24</f>
        <v>#REF!</v>
      </c>
      <c r="AG75" s="70" t="e">
        <f t="shared" si="46"/>
        <v>#REF!</v>
      </c>
      <c r="AH75" s="70" t="e">
        <f t="shared" si="46"/>
        <v>#REF!</v>
      </c>
      <c r="AI75" s="70" t="e">
        <f t="shared" si="46"/>
        <v>#REF!</v>
      </c>
      <c r="AJ75" s="70" t="e">
        <f t="shared" si="46"/>
        <v>#REF!</v>
      </c>
      <c r="AK75" s="70" t="e">
        <f t="shared" si="46"/>
        <v>#REF!</v>
      </c>
      <c r="AL75" s="70" t="e">
        <f t="shared" si="46"/>
        <v>#REF!</v>
      </c>
      <c r="AM75" s="70" t="e">
        <f t="shared" si="46"/>
        <v>#REF!</v>
      </c>
      <c r="AN75" s="70" t="e">
        <f t="shared" si="46"/>
        <v>#REF!</v>
      </c>
      <c r="AO75" s="70" t="e">
        <f t="shared" si="46"/>
        <v>#REF!</v>
      </c>
      <c r="AP75" s="70"/>
      <c r="AQ75" s="70"/>
      <c r="AR75" s="70" t="e">
        <f t="shared" ref="AR75:BA75" si="47">AR16+AR17+AR21+AR24</f>
        <v>#REF!</v>
      </c>
      <c r="AS75" s="70" t="e">
        <f t="shared" si="47"/>
        <v>#REF!</v>
      </c>
      <c r="AT75" s="70" t="e">
        <f t="shared" si="47"/>
        <v>#REF!</v>
      </c>
      <c r="AU75" s="70" t="e">
        <f t="shared" si="47"/>
        <v>#REF!</v>
      </c>
      <c r="AV75" s="70" t="e">
        <f t="shared" si="47"/>
        <v>#REF!</v>
      </c>
      <c r="AW75" s="70" t="e">
        <f t="shared" si="47"/>
        <v>#REF!</v>
      </c>
      <c r="AX75" s="70" t="e">
        <f t="shared" si="47"/>
        <v>#REF!</v>
      </c>
      <c r="AY75" s="70" t="e">
        <f t="shared" si="47"/>
        <v>#REF!</v>
      </c>
      <c r="AZ75" s="70" t="e">
        <f t="shared" si="47"/>
        <v>#REF!</v>
      </c>
      <c r="BA75" s="70" t="e">
        <f t="shared" si="47"/>
        <v>#REF!</v>
      </c>
    </row>
    <row r="76" spans="27:53" hidden="1">
      <c r="AA76" s="71" t="s">
        <v>41</v>
      </c>
      <c r="AB76" s="35"/>
      <c r="AF76" s="70" t="e">
        <f t="shared" ref="AF76:AO76" si="48">AF27+AF28+AF32+AF35</f>
        <v>#REF!</v>
      </c>
      <c r="AG76" s="70" t="e">
        <f t="shared" si="48"/>
        <v>#REF!</v>
      </c>
      <c r="AH76" s="70" t="e">
        <f t="shared" si="48"/>
        <v>#REF!</v>
      </c>
      <c r="AI76" s="70" t="e">
        <f t="shared" si="48"/>
        <v>#REF!</v>
      </c>
      <c r="AJ76" s="70" t="e">
        <f t="shared" si="48"/>
        <v>#REF!</v>
      </c>
      <c r="AK76" s="70" t="e">
        <f t="shared" si="48"/>
        <v>#REF!</v>
      </c>
      <c r="AL76" s="70" t="e">
        <f t="shared" si="48"/>
        <v>#REF!</v>
      </c>
      <c r="AM76" s="70" t="e">
        <f t="shared" si="48"/>
        <v>#REF!</v>
      </c>
      <c r="AN76" s="70" t="e">
        <f t="shared" si="48"/>
        <v>#REF!</v>
      </c>
      <c r="AO76" s="70" t="e">
        <f t="shared" si="48"/>
        <v>#REF!</v>
      </c>
      <c r="AP76" s="70"/>
      <c r="AQ76" s="70"/>
      <c r="AR76" s="70" t="e">
        <f t="shared" ref="AR76:BA76" si="49">AR27+AR28+AR32+AR35</f>
        <v>#REF!</v>
      </c>
      <c r="AS76" s="70" t="e">
        <f t="shared" si="49"/>
        <v>#REF!</v>
      </c>
      <c r="AT76" s="70" t="e">
        <f t="shared" si="49"/>
        <v>#REF!</v>
      </c>
      <c r="AU76" s="70" t="e">
        <f t="shared" si="49"/>
        <v>#REF!</v>
      </c>
      <c r="AV76" s="70" t="e">
        <f t="shared" si="49"/>
        <v>#REF!</v>
      </c>
      <c r="AW76" s="70" t="e">
        <f t="shared" si="49"/>
        <v>#REF!</v>
      </c>
      <c r="AX76" s="70" t="e">
        <f t="shared" si="49"/>
        <v>#REF!</v>
      </c>
      <c r="AY76" s="70" t="e">
        <f t="shared" si="49"/>
        <v>#REF!</v>
      </c>
      <c r="AZ76" s="70" t="e">
        <f t="shared" si="49"/>
        <v>#REF!</v>
      </c>
      <c r="BA76" s="70" t="e">
        <f t="shared" si="49"/>
        <v>#REF!</v>
      </c>
    </row>
    <row r="77" spans="27:53" hidden="1">
      <c r="AA77" s="71" t="s">
        <v>42</v>
      </c>
      <c r="AB77" s="35"/>
      <c r="AF77" s="70" t="e">
        <f t="shared" ref="AF77:AO77" si="50">AF38+AF39+AF43+AF46</f>
        <v>#REF!</v>
      </c>
      <c r="AG77" s="70" t="e">
        <f t="shared" si="50"/>
        <v>#REF!</v>
      </c>
      <c r="AH77" s="70" t="e">
        <f t="shared" si="50"/>
        <v>#REF!</v>
      </c>
      <c r="AI77" s="70" t="e">
        <f t="shared" si="50"/>
        <v>#REF!</v>
      </c>
      <c r="AJ77" s="70" t="e">
        <f t="shared" si="50"/>
        <v>#REF!</v>
      </c>
      <c r="AK77" s="70" t="e">
        <f t="shared" si="50"/>
        <v>#REF!</v>
      </c>
      <c r="AL77" s="70" t="e">
        <f t="shared" si="50"/>
        <v>#REF!</v>
      </c>
      <c r="AM77" s="70" t="e">
        <f t="shared" si="50"/>
        <v>#REF!</v>
      </c>
      <c r="AN77" s="70" t="e">
        <f t="shared" si="50"/>
        <v>#REF!</v>
      </c>
      <c r="AO77" s="70" t="e">
        <f t="shared" si="50"/>
        <v>#REF!</v>
      </c>
      <c r="AP77" s="70"/>
      <c r="AQ77" s="70"/>
      <c r="AR77" s="70" t="e">
        <f t="shared" ref="AR77:BA77" si="51">AR38+AR39+AR43+AR46</f>
        <v>#REF!</v>
      </c>
      <c r="AS77" s="70" t="e">
        <f t="shared" si="51"/>
        <v>#REF!</v>
      </c>
      <c r="AT77" s="70" t="e">
        <f t="shared" si="51"/>
        <v>#REF!</v>
      </c>
      <c r="AU77" s="70" t="e">
        <f t="shared" si="51"/>
        <v>#REF!</v>
      </c>
      <c r="AV77" s="70" t="e">
        <f t="shared" si="51"/>
        <v>#REF!</v>
      </c>
      <c r="AW77" s="70" t="e">
        <f t="shared" si="51"/>
        <v>#REF!</v>
      </c>
      <c r="AX77" s="70" t="e">
        <f t="shared" si="51"/>
        <v>#REF!</v>
      </c>
      <c r="AY77" s="70" t="e">
        <f t="shared" si="51"/>
        <v>#REF!</v>
      </c>
      <c r="AZ77" s="70" t="e">
        <f t="shared" si="51"/>
        <v>#REF!</v>
      </c>
      <c r="BA77" s="70" t="e">
        <f t="shared" si="51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45" t="s">
        <v>55</v>
      </c>
      <c r="G89" s="545" t="s">
        <v>73</v>
      </c>
      <c r="H89" s="545" t="s">
        <v>74</v>
      </c>
      <c r="I89" s="545" t="s">
        <v>58</v>
      </c>
      <c r="J89" s="545" t="s">
        <v>59</v>
      </c>
      <c r="K89" s="545" t="s">
        <v>60</v>
      </c>
      <c r="L89" s="544" t="s">
        <v>75</v>
      </c>
      <c r="M89" s="544" t="s">
        <v>76</v>
      </c>
      <c r="N89" s="544" t="s">
        <v>61</v>
      </c>
      <c r="O89" s="544" t="s">
        <v>62</v>
      </c>
      <c r="P89" s="544" t="s">
        <v>63</v>
      </c>
      <c r="AN89" s="38"/>
      <c r="AZ89" s="36"/>
    </row>
    <row r="90" spans="1:52" ht="25.5">
      <c r="A90" s="44" t="str">
        <f t="shared" ref="A90:C90" si="52">A4</f>
        <v>General Construction</v>
      </c>
      <c r="B90" s="45" t="str">
        <f t="shared" si="52"/>
        <v>Light-Duty Truck, catalyst</v>
      </c>
      <c r="C90" s="46">
        <f t="shared" si="52"/>
        <v>3</v>
      </c>
      <c r="D90" s="46">
        <v>35</v>
      </c>
      <c r="E90" s="46">
        <v>80</v>
      </c>
      <c r="F90" s="50">
        <f t="shared" ref="F90:F92" si="53">C4*($E4*$F4+($G4))/453.59</f>
        <v>1.4571581576427601</v>
      </c>
      <c r="G90" s="50">
        <f t="shared" ref="G90:G92" si="54">C4*($E4*$H4+($I4))/453.59</f>
        <v>0.13101197188313402</v>
      </c>
      <c r="H90" s="50">
        <f t="shared" ref="H90:H92" si="55">C4*(($E4*$J4)+($K4)+($L4)+($E4*$N4)+(($M4+$O4)))/453.59</f>
        <v>0.15149994097185998</v>
      </c>
      <c r="I90" s="50">
        <f t="shared" ref="I90:I92" si="56">C4*($E4*$P4+($Q4))/453.59</f>
        <v>2.1803910814818476E-3</v>
      </c>
      <c r="J90" s="50">
        <f t="shared" ref="J90:J92" si="57">C4*(($E4*($R4+$T4+$U4))+($S4))/453.59</f>
        <v>2.5572271365623688E-2</v>
      </c>
      <c r="K90" s="50">
        <f t="shared" ref="K90:K92" si="58">$C4*(($E4*($V4+$X4+$Y4))+($W4))/453.59</f>
        <v>1.1136015972759426E-2</v>
      </c>
      <c r="L90" s="50">
        <f t="shared" ref="L90:L92" si="59">$B$23*C4*(E4+6)</f>
        <v>2.5315747758215698E-2</v>
      </c>
      <c r="M90" s="50">
        <f t="shared" ref="M90:M92" si="60">0.41*L90</f>
        <v>1.0379456580868435E-2</v>
      </c>
      <c r="N90" s="50">
        <f t="shared" ref="N90:N92" si="61">C4*($E4*$Z4+($AA4))/453.59</f>
        <v>166.27073017811671</v>
      </c>
      <c r="O90" s="50">
        <f t="shared" ref="O90:O92" si="62">C4*($E4*$AB4+($AC4))/453.59</f>
        <v>9.5114261670907474E-3</v>
      </c>
      <c r="P90" s="50">
        <f t="shared" ref="P90:P92" si="63">C4*($E4*$AD4+($AE4))/453.59</f>
        <v>1.7313359741530081E-2</v>
      </c>
      <c r="AN90" s="38"/>
      <c r="AZ90" s="36"/>
    </row>
    <row r="91" spans="1:52" ht="25.5">
      <c r="A91" s="44" t="str">
        <f t="shared" ref="A91:C91" si="64">A5</f>
        <v>Site and Access Road Grading</v>
      </c>
      <c r="B91" s="45" t="str">
        <f t="shared" si="64"/>
        <v>Light-Duty Truck, catalyst</v>
      </c>
      <c r="C91" s="46">
        <f t="shared" si="64"/>
        <v>20</v>
      </c>
      <c r="D91" s="46">
        <v>35</v>
      </c>
      <c r="E91" s="46">
        <v>80</v>
      </c>
      <c r="F91" s="50">
        <f t="shared" si="53"/>
        <v>9.7143877176184024</v>
      </c>
      <c r="G91" s="50">
        <f t="shared" si="54"/>
        <v>0.87341314588756025</v>
      </c>
      <c r="H91" s="50">
        <f t="shared" si="55"/>
        <v>1.0099996064790666</v>
      </c>
      <c r="I91" s="50">
        <f t="shared" si="56"/>
        <v>1.453594054321232E-2</v>
      </c>
      <c r="J91" s="50">
        <f t="shared" si="57"/>
        <v>0.17048180910415792</v>
      </c>
      <c r="K91" s="50">
        <f t="shared" si="58"/>
        <v>7.4240106485062823E-2</v>
      </c>
      <c r="L91" s="50">
        <f t="shared" si="59"/>
        <v>0.16877165172143796</v>
      </c>
      <c r="M91" s="50">
        <f t="shared" si="60"/>
        <v>6.9196377205789555E-2</v>
      </c>
      <c r="N91" s="50">
        <f t="shared" si="61"/>
        <v>1108.4715345207778</v>
      </c>
      <c r="O91" s="50">
        <f t="shared" si="62"/>
        <v>6.3409507780604987E-2</v>
      </c>
      <c r="P91" s="50">
        <f t="shared" si="63"/>
        <v>0.11542239827686719</v>
      </c>
      <c r="AN91" s="38"/>
      <c r="AZ91" s="36"/>
    </row>
    <row r="92" spans="1:52" ht="25.5">
      <c r="A92" s="44" t="str">
        <f t="shared" ref="A92:C92" si="65">A6</f>
        <v>Storm Drain and Erosion Control</v>
      </c>
      <c r="B92" s="45" t="str">
        <f t="shared" si="65"/>
        <v>Light-Duty Truck, catalyst</v>
      </c>
      <c r="C92" s="46">
        <f t="shared" si="65"/>
        <v>13</v>
      </c>
      <c r="D92" s="46">
        <v>35</v>
      </c>
      <c r="E92" s="46">
        <v>80</v>
      </c>
      <c r="F92" s="50">
        <f t="shared" si="53"/>
        <v>6.3143520164519611</v>
      </c>
      <c r="G92" s="50">
        <f t="shared" si="54"/>
        <v>0.56771854482691408</v>
      </c>
      <c r="H92" s="50">
        <f t="shared" si="55"/>
        <v>0.65649974421139334</v>
      </c>
      <c r="I92" s="50">
        <f t="shared" si="56"/>
        <v>9.4483613530880074E-3</v>
      </c>
      <c r="J92" s="50">
        <f t="shared" si="57"/>
        <v>0.11081317591770266</v>
      </c>
      <c r="K92" s="50">
        <f t="shared" si="58"/>
        <v>4.8256069215290839E-2</v>
      </c>
      <c r="L92" s="50">
        <f t="shared" si="59"/>
        <v>0.10970157361893468</v>
      </c>
      <c r="M92" s="50">
        <f t="shared" si="60"/>
        <v>4.4977645183763217E-2</v>
      </c>
      <c r="N92" s="50">
        <f t="shared" si="61"/>
        <v>720.50649743850568</v>
      </c>
      <c r="O92" s="50">
        <f t="shared" si="62"/>
        <v>4.1216180057393241E-2</v>
      </c>
      <c r="P92" s="50">
        <f t="shared" si="63"/>
        <v>7.5024558879963676E-2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>SUM(F90:F92)</f>
        <v>17.485897891713122</v>
      </c>
      <c r="G93" s="81">
        <f t="shared" ref="G93:P93" si="66">SUM(G90:G92)</f>
        <v>1.5721436625976084</v>
      </c>
      <c r="H93" s="81">
        <f t="shared" si="66"/>
        <v>1.81799929166232</v>
      </c>
      <c r="I93" s="81">
        <f t="shared" si="66"/>
        <v>2.6164692977782171E-2</v>
      </c>
      <c r="J93" s="81">
        <f t="shared" si="66"/>
        <v>0.30686725638748424</v>
      </c>
      <c r="K93" s="81">
        <f t="shared" si="66"/>
        <v>0.13363219167311308</v>
      </c>
      <c r="L93" s="81">
        <f t="shared" si="66"/>
        <v>0.30378897309858832</v>
      </c>
      <c r="M93" s="81">
        <f t="shared" si="66"/>
        <v>0.12455347897042121</v>
      </c>
      <c r="N93" s="81">
        <f t="shared" si="66"/>
        <v>1995.2487621374003</v>
      </c>
      <c r="O93" s="81">
        <f t="shared" si="66"/>
        <v>0.11413711400508897</v>
      </c>
      <c r="P93" s="81">
        <f t="shared" si="66"/>
        <v>0.20776031689836094</v>
      </c>
      <c r="AN93" s="38"/>
      <c r="AZ93" s="36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3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0"/>
  <sheetViews>
    <sheetView zoomScale="75" zoomScaleNormal="75" workbookViewId="0">
      <selection activeCell="D21" sqref="D21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846</v>
      </c>
    </row>
    <row r="2" spans="1:25">
      <c r="A2" s="83"/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304</v>
      </c>
      <c r="B7" s="29">
        <v>2015</v>
      </c>
      <c r="C7" s="22"/>
      <c r="D7" s="18"/>
      <c r="E7" s="23"/>
      <c r="F7" s="23"/>
      <c r="G7" s="23"/>
      <c r="H7" s="23"/>
      <c r="I7" s="23"/>
      <c r="J7" s="24"/>
      <c r="K7" s="25"/>
      <c r="L7" s="23"/>
      <c r="M7" s="33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 t="s">
        <v>119</v>
      </c>
      <c r="B8" s="90" t="s">
        <v>27</v>
      </c>
      <c r="C8" s="97">
        <v>78</v>
      </c>
      <c r="D8" s="97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9" si="0">0.89*I8</f>
        <v>2.2038095238095235E-2</v>
      </c>
      <c r="K8" s="103">
        <v>46.950229824177143</v>
      </c>
      <c r="L8" s="102">
        <v>6.837183977115969E-3</v>
      </c>
      <c r="M8" s="104">
        <f t="shared" ref="M8:M9" si="1">0.095*G8</f>
        <v>3.7022555555555545E-2</v>
      </c>
      <c r="N8" s="98">
        <v>1</v>
      </c>
      <c r="O8" s="88">
        <v>6</v>
      </c>
      <c r="P8" s="88">
        <v>40</v>
      </c>
      <c r="Q8" s="26">
        <f t="shared" ref="Q8:Y9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113" t="s">
        <v>305</v>
      </c>
      <c r="B9" s="29" t="s">
        <v>27</v>
      </c>
      <c r="C9" s="97">
        <v>235</v>
      </c>
      <c r="D9" s="97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87">
        <v>1</v>
      </c>
      <c r="O9" s="88">
        <v>2</v>
      </c>
      <c r="P9" s="88">
        <v>40</v>
      </c>
      <c r="Q9" s="26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17" t="s">
        <v>28</v>
      </c>
      <c r="B10" s="29"/>
      <c r="C10" s="97"/>
      <c r="D10" s="12"/>
      <c r="E10" s="102"/>
      <c r="F10" s="102"/>
      <c r="G10" s="102"/>
      <c r="H10" s="102"/>
      <c r="I10" s="102"/>
      <c r="J10" s="100"/>
      <c r="K10" s="103"/>
      <c r="L10" s="102"/>
      <c r="M10" s="104"/>
      <c r="N10" s="98"/>
      <c r="O10" s="88"/>
      <c r="P10" s="88"/>
      <c r="Q10" s="27">
        <f t="shared" ref="Q10:Y10" si="3">SUM(Q8:Q9)</f>
        <v>0.61044079959177677</v>
      </c>
      <c r="R10" s="101">
        <f t="shared" si="3"/>
        <v>2.5626248194240024</v>
      </c>
      <c r="S10" s="101">
        <f t="shared" si="3"/>
        <v>4.0738959523119966</v>
      </c>
      <c r="T10" s="101">
        <f t="shared" si="3"/>
        <v>7.0523446396705937E-3</v>
      </c>
      <c r="U10" s="101">
        <f t="shared" si="3"/>
        <v>0.20665485316260829</v>
      </c>
      <c r="V10" s="101">
        <f t="shared" si="3"/>
        <v>0.18392281931472138</v>
      </c>
      <c r="W10" s="101">
        <f t="shared" si="3"/>
        <v>614.7922101941133</v>
      </c>
      <c r="X10" s="101">
        <f t="shared" si="3"/>
        <v>6.2302969818088499E-2</v>
      </c>
      <c r="Y10" s="101">
        <f t="shared" si="3"/>
        <v>0.38702011546963966</v>
      </c>
    </row>
    <row r="11" spans="1:25" s="3" customFormat="1">
      <c r="A11" s="24"/>
      <c r="B11" s="29"/>
      <c r="C11" s="97"/>
      <c r="D11" s="12"/>
      <c r="E11" s="102"/>
      <c r="F11" s="102"/>
      <c r="G11" s="102"/>
      <c r="H11" s="102"/>
      <c r="I11" s="102"/>
      <c r="J11" s="100"/>
      <c r="K11" s="103"/>
      <c r="L11" s="102"/>
      <c r="M11" s="104"/>
      <c r="N11" s="98"/>
      <c r="O11" s="88"/>
      <c r="P11" s="88"/>
      <c r="Q11" s="26"/>
      <c r="R11" s="26"/>
      <c r="S11" s="26"/>
      <c r="T11" s="26"/>
      <c r="U11" s="26"/>
      <c r="V11" s="26"/>
      <c r="W11" s="26"/>
      <c r="X11" s="26"/>
      <c r="Y11" s="26"/>
    </row>
    <row r="12" spans="1:25" s="3" customFormat="1">
      <c r="A12" s="17" t="s">
        <v>308</v>
      </c>
      <c r="B12" s="29"/>
      <c r="C12" s="97"/>
      <c r="D12" s="12"/>
      <c r="E12" s="102"/>
      <c r="F12" s="102"/>
      <c r="G12" s="102"/>
      <c r="H12" s="102"/>
      <c r="I12" s="102"/>
      <c r="J12" s="100"/>
      <c r="K12" s="103"/>
      <c r="L12" s="102"/>
      <c r="M12" s="104"/>
      <c r="N12" s="98"/>
      <c r="O12" s="88"/>
      <c r="P12" s="88"/>
      <c r="Q12" s="26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24" t="s">
        <v>114</v>
      </c>
      <c r="B13" s="90" t="s">
        <v>27</v>
      </c>
      <c r="C13" s="97">
        <v>34</v>
      </c>
      <c r="D13" s="97">
        <v>0.31</v>
      </c>
      <c r="E13" s="102">
        <v>4.2958246826547246E-2</v>
      </c>
      <c r="F13" s="397">
        <f>IF($C13&lt;11,'Offroad Tiers EF (2)'!$AN$4*$C13*$D13,IF($C13&lt;25,'Offroad Tiers EF (2)'!$AN$5*$C13*$D13,IF($C13&lt;50,'Offroad Tiers EF (2)'!$AN$6*$C13*$D13,IF($C13&lt;75,'Offroad Tiers EF (2)'!$AN$7*$C13*$D13,IF($C13&lt;100,'Offroad Tiers EF (2)'!$AN$8*$C13*$D13,IF($C13&lt;175,'Offroad Tiers EF (2)'!$AN$9*$C13*$D13,IF($C13&lt;300,'Offroad Tiers EF (2)'!$AN$10*$C13*$D13,IF($C13&lt;600,'Offroad Tiers EF (2)'!$AN$11*$C13*$D13,"!"))))))))</f>
        <v>9.5268959435626091E-2</v>
      </c>
      <c r="G13" s="397">
        <f>IF($C13&lt;11,'Offroad Tiers EF (2)'!$AM$4*$C13*$D13,IF($C13&lt;25,'Offroad Tiers EF (2)'!$AM$5*$C13*$D13,IF($C13&lt;50,'Offroad Tiers EF (2)'!$AM$6*$C13*$D13,IF($C13&lt;75,'Offroad Tiers EF (2)'!$AM$7*$C13*$D13,IF($C13&lt;100,'Offroad Tiers EF (2)'!$AM$8*$C13*$D13,IF($C13&lt;175,'Offroad Tiers EF (2)'!$AM$9*$C13*$D13,IF($C13&lt;300,'Offroad Tiers EF (2)'!$AM$10*$C13*$D13,IF($C13&lt;600,'Offroad Tiers EF (2)'!$AM$11*$C13*$D13,"!"))))))))</f>
        <v>0.12361728395061726</v>
      </c>
      <c r="H13" s="102">
        <v>2.5354407605791113E-4</v>
      </c>
      <c r="I13" s="397">
        <f>IF($C13&lt;11,'Offroad Tiers EF (2)'!$AO$4*$C13*$D13,IF($C13&lt;25,'Offroad Tiers EF (2)'!$AO$5*$C13*$D13,IF($C13&lt;50,'Offroad Tiers EF (2)'!$AO$6*$C13*$D13,IF($C13&lt;75,'Offroad Tiers EF (2)'!$AO$7*$C13*$D13,IF($C13&lt;100,'Offroad Tiers EF (2)'!$AO$8*$C13*$D13,IF($C13&lt;175,'Offroad Tiers EF (2)'!$AO$9*$C13*$D13,IF($C13&lt;300,'Offroad Tiers EF (2)'!$AO$10*$C13*$D13,IF($C13&lt;600,'Offroad Tiers EF (2)'!$AO$11*$C13*$D13,"!"))))))))</f>
        <v>1.0456349206349205E-2</v>
      </c>
      <c r="J13" s="100">
        <f t="shared" ref="J13:J18" si="4">0.89*I13</f>
        <v>9.3061507936507935E-3</v>
      </c>
      <c r="K13" s="103">
        <v>19.61276416423032</v>
      </c>
      <c r="L13" s="102">
        <v>4.8141782348593348E-3</v>
      </c>
      <c r="M13" s="104">
        <f t="shared" ref="M13:M18" si="5">0.095*G13</f>
        <v>1.174364197530864E-2</v>
      </c>
      <c r="N13" s="87">
        <v>1</v>
      </c>
      <c r="O13" s="88">
        <v>6</v>
      </c>
      <c r="P13" s="88">
        <v>20</v>
      </c>
      <c r="Q13" s="26">
        <f t="shared" ref="Q13:Y18" si="6">(E13*$N13*$O13)</f>
        <v>0.25774948095928346</v>
      </c>
      <c r="R13" s="26">
        <f t="shared" si="6"/>
        <v>0.57161375661375657</v>
      </c>
      <c r="S13" s="26">
        <f t="shared" si="6"/>
        <v>0.74170370370370353</v>
      </c>
      <c r="T13" s="26">
        <f t="shared" si="6"/>
        <v>1.5212644563474668E-3</v>
      </c>
      <c r="U13" s="26">
        <f t="shared" si="6"/>
        <v>6.2738095238095232E-2</v>
      </c>
      <c r="V13" s="26">
        <f t="shared" si="6"/>
        <v>5.5836904761904761E-2</v>
      </c>
      <c r="W13" s="26">
        <f t="shared" si="6"/>
        <v>117.67658498538192</v>
      </c>
      <c r="X13" s="26">
        <f t="shared" si="6"/>
        <v>2.8885069409156007E-2</v>
      </c>
      <c r="Y13" s="26">
        <f t="shared" si="6"/>
        <v>7.0461851851851845E-2</v>
      </c>
    </row>
    <row r="14" spans="1:25" s="3" customFormat="1">
      <c r="A14" s="24" t="s">
        <v>297</v>
      </c>
      <c r="B14" s="29" t="s">
        <v>27</v>
      </c>
      <c r="C14" s="97">
        <v>235</v>
      </c>
      <c r="D14" s="97"/>
      <c r="E14" s="102">
        <v>0.11792220738547983</v>
      </c>
      <c r="F14" s="102">
        <v>0.36512193352152528</v>
      </c>
      <c r="G14" s="102">
        <v>0.86781464282266541</v>
      </c>
      <c r="H14" s="102">
        <v>1.8739217498104396E-3</v>
      </c>
      <c r="I14" s="102">
        <v>2.9041712295589866E-2</v>
      </c>
      <c r="J14" s="100">
        <f t="shared" si="4"/>
        <v>2.5847123943074982E-2</v>
      </c>
      <c r="K14" s="103">
        <v>166.54541562452522</v>
      </c>
      <c r="L14" s="102">
        <v>1.063993297769634E-2</v>
      </c>
      <c r="M14" s="104">
        <f t="shared" si="5"/>
        <v>8.2442391068153209E-2</v>
      </c>
      <c r="N14" s="98">
        <v>1</v>
      </c>
      <c r="O14" s="88">
        <v>2</v>
      </c>
      <c r="P14" s="88">
        <v>20</v>
      </c>
      <c r="Q14" s="26">
        <f t="shared" si="6"/>
        <v>0.23584441477095966</v>
      </c>
      <c r="R14" s="26">
        <f t="shared" si="6"/>
        <v>0.73024386704305055</v>
      </c>
      <c r="S14" s="26">
        <f t="shared" si="6"/>
        <v>1.7356292856453308</v>
      </c>
      <c r="T14" s="26">
        <f t="shared" si="6"/>
        <v>3.7478434996208792E-3</v>
      </c>
      <c r="U14" s="26">
        <f t="shared" si="6"/>
        <v>5.8083424591179732E-2</v>
      </c>
      <c r="V14" s="26">
        <f t="shared" si="6"/>
        <v>5.1694247886149965E-2</v>
      </c>
      <c r="W14" s="26">
        <f t="shared" si="6"/>
        <v>333.09083124905044</v>
      </c>
      <c r="X14" s="26">
        <f t="shared" si="6"/>
        <v>2.127986595539268E-2</v>
      </c>
      <c r="Y14" s="26">
        <f t="shared" si="6"/>
        <v>0.16488478213630642</v>
      </c>
    </row>
    <row r="15" spans="1:25" s="3" customFormat="1">
      <c r="A15" s="100" t="s">
        <v>290</v>
      </c>
      <c r="B15" s="29" t="s">
        <v>27</v>
      </c>
      <c r="C15" s="97">
        <v>83</v>
      </c>
      <c r="D15" s="97">
        <v>0.4</v>
      </c>
      <c r="E15" s="102">
        <v>7.2866722082413127E-2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0.27081128747795413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0.34557716049382714</v>
      </c>
      <c r="H15" s="102">
        <v>7.3256850739065386E-4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2.1957671957671957E-2</v>
      </c>
      <c r="J15" s="100">
        <f t="shared" si="4"/>
        <v>1.9542328042328042E-2</v>
      </c>
      <c r="K15" s="103">
        <v>62.449820864610082</v>
      </c>
      <c r="L15" s="102">
        <v>7.9115127888880251E-3</v>
      </c>
      <c r="M15" s="104">
        <f t="shared" si="5"/>
        <v>3.2829830246913577E-2</v>
      </c>
      <c r="N15" s="98">
        <v>1</v>
      </c>
      <c r="O15" s="88">
        <v>4</v>
      </c>
      <c r="P15" s="88">
        <v>5</v>
      </c>
      <c r="Q15" s="26">
        <f t="shared" si="6"/>
        <v>0.29146688832965251</v>
      </c>
      <c r="R15" s="26">
        <f t="shared" si="6"/>
        <v>1.0832451499118165</v>
      </c>
      <c r="S15" s="26">
        <f t="shared" si="6"/>
        <v>1.3823086419753086</v>
      </c>
      <c r="T15" s="26">
        <f t="shared" si="6"/>
        <v>2.9302740295626154E-3</v>
      </c>
      <c r="U15" s="26">
        <f t="shared" si="6"/>
        <v>8.7830687830687829E-2</v>
      </c>
      <c r="V15" s="26">
        <f t="shared" si="6"/>
        <v>7.8169312169312166E-2</v>
      </c>
      <c r="W15" s="26">
        <f t="shared" si="6"/>
        <v>249.79928345844033</v>
      </c>
      <c r="X15" s="26">
        <f t="shared" si="6"/>
        <v>3.16460511555521E-2</v>
      </c>
      <c r="Y15" s="26">
        <f t="shared" si="6"/>
        <v>0.13131932098765431</v>
      </c>
    </row>
    <row r="16" spans="1:25" s="3" customFormat="1">
      <c r="A16" s="24" t="s">
        <v>301</v>
      </c>
      <c r="B16" s="29" t="s">
        <v>27</v>
      </c>
      <c r="C16" s="22">
        <v>0</v>
      </c>
      <c r="D16" s="22">
        <v>0.42</v>
      </c>
      <c r="E16" s="102">
        <v>0.12431762378554365</v>
      </c>
      <c r="F16" s="102">
        <v>0.4868439847761532</v>
      </c>
      <c r="G16" s="102">
        <v>1.0415214118246066</v>
      </c>
      <c r="H16" s="102">
        <v>2.4954334272364047E-3</v>
      </c>
      <c r="I16" s="102">
        <v>3.5011591348186828E-2</v>
      </c>
      <c r="J16" s="100">
        <f t="shared" si="4"/>
        <v>3.1160316299886276E-2</v>
      </c>
      <c r="K16" s="103">
        <v>254.23851177178003</v>
      </c>
      <c r="L16" s="102">
        <v>1.1216977037398481E-2</v>
      </c>
      <c r="M16" s="104">
        <f t="shared" si="5"/>
        <v>9.8944534123337619E-2</v>
      </c>
      <c r="N16" s="98">
        <v>1</v>
      </c>
      <c r="O16" s="88">
        <v>0</v>
      </c>
      <c r="P16" s="88">
        <v>0</v>
      </c>
      <c r="Q16" s="26">
        <f t="shared" si="6"/>
        <v>0</v>
      </c>
      <c r="R16" s="26">
        <f t="shared" si="6"/>
        <v>0</v>
      </c>
      <c r="S16" s="26">
        <f t="shared" si="6"/>
        <v>0</v>
      </c>
      <c r="T16" s="26">
        <f t="shared" si="6"/>
        <v>0</v>
      </c>
      <c r="U16" s="26">
        <f t="shared" si="6"/>
        <v>0</v>
      </c>
      <c r="V16" s="26">
        <f t="shared" si="6"/>
        <v>0</v>
      </c>
      <c r="W16" s="26">
        <f t="shared" si="6"/>
        <v>0</v>
      </c>
      <c r="X16" s="26">
        <f t="shared" si="6"/>
        <v>0</v>
      </c>
      <c r="Y16" s="26">
        <f t="shared" si="6"/>
        <v>0</v>
      </c>
    </row>
    <row r="17" spans="1:25" s="3" customFormat="1">
      <c r="A17" s="24" t="s">
        <v>309</v>
      </c>
      <c r="B17" s="29" t="s">
        <v>27</v>
      </c>
      <c r="C17" s="22">
        <v>235</v>
      </c>
      <c r="D17" s="22"/>
      <c r="E17" s="102">
        <v>0.11792220738547983</v>
      </c>
      <c r="F17" s="102">
        <v>0.36512193352152528</v>
      </c>
      <c r="G17" s="102">
        <v>0.86781464282266541</v>
      </c>
      <c r="H17" s="102">
        <v>1.8739217498104396E-3</v>
      </c>
      <c r="I17" s="102">
        <v>2.9041712295589866E-2</v>
      </c>
      <c r="J17" s="100">
        <f t="shared" si="4"/>
        <v>2.5847123943074982E-2</v>
      </c>
      <c r="K17" s="103">
        <v>166.54541562452522</v>
      </c>
      <c r="L17" s="102">
        <v>1.063993297769634E-2</v>
      </c>
      <c r="M17" s="104">
        <f t="shared" si="5"/>
        <v>8.2442391068153209E-2</v>
      </c>
      <c r="N17" s="98">
        <v>1</v>
      </c>
      <c r="O17" s="88">
        <v>2</v>
      </c>
      <c r="P17" s="88">
        <v>1</v>
      </c>
      <c r="Q17" s="26">
        <f t="shared" si="6"/>
        <v>0.23584441477095966</v>
      </c>
      <c r="R17" s="26">
        <f t="shared" si="6"/>
        <v>0.73024386704305055</v>
      </c>
      <c r="S17" s="26">
        <f t="shared" si="6"/>
        <v>1.7356292856453308</v>
      </c>
      <c r="T17" s="26">
        <f t="shared" si="6"/>
        <v>3.7478434996208792E-3</v>
      </c>
      <c r="U17" s="26">
        <f t="shared" si="6"/>
        <v>5.8083424591179732E-2</v>
      </c>
      <c r="V17" s="26">
        <f t="shared" si="6"/>
        <v>5.1694247886149965E-2</v>
      </c>
      <c r="W17" s="26">
        <f t="shared" si="6"/>
        <v>333.09083124905044</v>
      </c>
      <c r="X17" s="26">
        <f t="shared" si="6"/>
        <v>2.127986595539268E-2</v>
      </c>
      <c r="Y17" s="26">
        <f t="shared" si="6"/>
        <v>0.16488478213630642</v>
      </c>
    </row>
    <row r="18" spans="1:25" s="3" customFormat="1">
      <c r="A18" s="24" t="s">
        <v>310</v>
      </c>
      <c r="B18" s="29" t="s">
        <v>27</v>
      </c>
      <c r="C18" s="22">
        <v>235</v>
      </c>
      <c r="D18" s="22"/>
      <c r="E18" s="102">
        <v>0.11792220738547983</v>
      </c>
      <c r="F18" s="102">
        <v>0.36512193352152528</v>
      </c>
      <c r="G18" s="102">
        <v>0.86781464282266541</v>
      </c>
      <c r="H18" s="102">
        <v>1.8739217498104396E-3</v>
      </c>
      <c r="I18" s="102">
        <v>2.9041712295589866E-2</v>
      </c>
      <c r="J18" s="100">
        <f t="shared" si="4"/>
        <v>2.5847123943074982E-2</v>
      </c>
      <c r="K18" s="103">
        <v>166.54541562452522</v>
      </c>
      <c r="L18" s="102">
        <v>1.063993297769634E-2</v>
      </c>
      <c r="M18" s="104">
        <f t="shared" si="5"/>
        <v>8.2442391068153209E-2</v>
      </c>
      <c r="N18" s="98">
        <v>1</v>
      </c>
      <c r="O18" s="88">
        <v>2</v>
      </c>
      <c r="P18" s="88">
        <v>5</v>
      </c>
      <c r="Q18" s="26">
        <f t="shared" si="6"/>
        <v>0.23584441477095966</v>
      </c>
      <c r="R18" s="26">
        <f t="shared" si="6"/>
        <v>0.73024386704305055</v>
      </c>
      <c r="S18" s="26">
        <f t="shared" si="6"/>
        <v>1.7356292856453308</v>
      </c>
      <c r="T18" s="26">
        <f t="shared" si="6"/>
        <v>3.7478434996208792E-3</v>
      </c>
      <c r="U18" s="26">
        <f t="shared" si="6"/>
        <v>5.8083424591179732E-2</v>
      </c>
      <c r="V18" s="26">
        <f t="shared" si="6"/>
        <v>5.1694247886149965E-2</v>
      </c>
      <c r="W18" s="26">
        <f t="shared" si="6"/>
        <v>333.09083124905044</v>
      </c>
      <c r="X18" s="26">
        <f t="shared" si="6"/>
        <v>2.127986595539268E-2</v>
      </c>
      <c r="Y18" s="26">
        <f t="shared" si="6"/>
        <v>0.16488478213630642</v>
      </c>
    </row>
    <row r="19" spans="1:25" s="3" customFormat="1">
      <c r="A19" s="17" t="s">
        <v>28</v>
      </c>
      <c r="B19" s="97"/>
      <c r="C19" s="22"/>
      <c r="D19" s="18"/>
      <c r="E19" s="23"/>
      <c r="F19" s="23"/>
      <c r="G19" s="23"/>
      <c r="H19" s="23"/>
      <c r="I19" s="23"/>
      <c r="J19" s="24"/>
      <c r="K19" s="25"/>
      <c r="L19" s="23"/>
      <c r="M19" s="23"/>
      <c r="N19" s="88"/>
      <c r="O19" s="88"/>
      <c r="P19" s="88"/>
      <c r="Q19" s="27">
        <f>SUM(Q13:Q18)</f>
        <v>1.256749613601815</v>
      </c>
      <c r="R19" s="27">
        <f t="shared" ref="R19:Y19" si="7">SUM(R13:R18)</f>
        <v>3.8455905076547245</v>
      </c>
      <c r="S19" s="27">
        <f t="shared" si="7"/>
        <v>7.3309002026150045</v>
      </c>
      <c r="T19" s="27">
        <f t="shared" si="7"/>
        <v>1.5695068984772721E-2</v>
      </c>
      <c r="U19" s="27">
        <f t="shared" si="7"/>
        <v>0.32481905684232221</v>
      </c>
      <c r="V19" s="27">
        <f t="shared" si="7"/>
        <v>0.28908896058966682</v>
      </c>
      <c r="W19" s="27">
        <f t="shared" si="7"/>
        <v>1366.7483621909737</v>
      </c>
      <c r="X19" s="27">
        <f t="shared" si="7"/>
        <v>0.12437071843088615</v>
      </c>
      <c r="Y19" s="27">
        <f t="shared" si="7"/>
        <v>0.69643551924842539</v>
      </c>
    </row>
    <row r="20" spans="1:25">
      <c r="A20" s="11" t="s">
        <v>103</v>
      </c>
      <c r="B20" s="438"/>
      <c r="C20" s="438"/>
      <c r="D20" s="438"/>
      <c r="E20" s="426"/>
      <c r="F20" s="426"/>
      <c r="G20" s="426"/>
      <c r="H20" s="426"/>
      <c r="I20" s="426"/>
      <c r="J20" s="426"/>
      <c r="K20" s="426"/>
      <c r="L20" s="426"/>
      <c r="M20" s="426"/>
      <c r="N20" s="17"/>
      <c r="O20" s="123"/>
      <c r="P20" s="123"/>
      <c r="Q20" s="20">
        <f>Q10+Q19</f>
        <v>1.8671904131935917</v>
      </c>
      <c r="R20" s="20">
        <f t="shared" ref="R20:Y20" si="8">R10+R19</f>
        <v>6.408215327078727</v>
      </c>
      <c r="S20" s="20">
        <f t="shared" si="8"/>
        <v>11.404796154927002</v>
      </c>
      <c r="T20" s="20">
        <f t="shared" si="8"/>
        <v>2.2747413624443314E-2</v>
      </c>
      <c r="U20" s="20">
        <f t="shared" si="8"/>
        <v>0.53147391000493049</v>
      </c>
      <c r="V20" s="20">
        <f t="shared" si="8"/>
        <v>0.4730117799043882</v>
      </c>
      <c r="W20" s="20">
        <f t="shared" si="8"/>
        <v>1981.540572385087</v>
      </c>
      <c r="X20" s="20">
        <f t="shared" si="8"/>
        <v>0.18667368824897465</v>
      </c>
      <c r="Y20" s="20">
        <f t="shared" si="8"/>
        <v>1.0834556347180651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>&amp;CTable B-13
Construction Heavy Equipment Emissions
Installation of 69kV Position at Miguel Substation</oddHeader>
    <oddFooter>&amp;CB-13</oddFooter>
  </headerFooter>
</worksheet>
</file>

<file path=xl/worksheets/sheet3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3"/>
  <sheetViews>
    <sheetView zoomScale="75" workbookViewId="0">
      <selection activeCell="D39" sqref="D39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847</v>
      </c>
    </row>
    <row r="2" spans="1:30">
      <c r="A2" s="83"/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304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320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C9*(F9)*$B$381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6">
        <v>3.59998119015979E-2</v>
      </c>
      <c r="M10" s="556">
        <v>6.1739677411240299E-2</v>
      </c>
      <c r="N10" s="106">
        <v>6.5945508986370194E-2</v>
      </c>
      <c r="O10" s="556">
        <v>2.9999843251331498E-3</v>
      </c>
      <c r="P10" s="55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C10*(F10)*$B$381</f>
        <v>7.8498442661133934E-3</v>
      </c>
      <c r="AA10" s="50">
        <f>Z10*0.21</f>
        <v>1.6484672958838125E-3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2.5511993864868531E-2</v>
      </c>
      <c r="AA11" s="81">
        <f t="shared" si="0"/>
        <v>5.3575187116223916E-3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432"/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 ht="25.5" customHeight="1">
      <c r="A13" s="114" t="s">
        <v>334</v>
      </c>
      <c r="B13" s="74"/>
      <c r="C13" s="112"/>
      <c r="D13" s="112"/>
      <c r="E13" s="74"/>
      <c r="F13" s="74"/>
      <c r="G13" s="437"/>
      <c r="H13" s="41"/>
      <c r="I13" s="41"/>
      <c r="J13" s="41"/>
      <c r="K13" s="434"/>
      <c r="L13" s="434"/>
      <c r="M13" s="434"/>
      <c r="N13" s="434"/>
      <c r="O13" s="434"/>
      <c r="P13" s="434"/>
      <c r="Q13" s="41"/>
      <c r="R13" s="434"/>
      <c r="S13" s="43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 ht="12.75" customHeight="1">
      <c r="A14" s="78" t="s">
        <v>320</v>
      </c>
      <c r="B14" s="76" t="s">
        <v>95</v>
      </c>
      <c r="C14" s="79">
        <v>3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9.9891275533645019E-2</v>
      </c>
      <c r="U14" s="50">
        <f>C14*($F14*$H14)/453.59</f>
        <v>0.18440937782971867</v>
      </c>
      <c r="V14" s="50">
        <f>C14*(($F14*$I14))/453.59</f>
        <v>2.253067276294635E-2</v>
      </c>
      <c r="W14" s="50">
        <f>C14*($F14*$J14)/453.59</f>
        <v>1.3898613406074772E-3</v>
      </c>
      <c r="X14" s="50">
        <f>C14*(($F14*($K14+$L14+$M14)))/453.59</f>
        <v>3.6369464870151122E-2</v>
      </c>
      <c r="Y14" s="50">
        <f>C14*(($F14*($N14+$O14+$P14)))/453.59</f>
        <v>2.4166098982977401E-2</v>
      </c>
      <c r="Z14" s="50">
        <f>C14*(F14)*$B$381</f>
        <v>1.7662149598755138E-2</v>
      </c>
      <c r="AA14" s="50">
        <f>Z14*0.21</f>
        <v>3.7090514157385786E-3</v>
      </c>
      <c r="AB14" s="50">
        <f>C14*(($F14*($Q14)))/453.59</f>
        <v>96.814105590256631</v>
      </c>
      <c r="AC14" s="50">
        <f>C14*(($F14*($R14)))/453.59</f>
        <v>5.5322484357440338E-3</v>
      </c>
      <c r="AD14" s="50">
        <f>C14*(($F14*($S14)))/453.59</f>
        <v>2.4799901288000137E-3</v>
      </c>
    </row>
    <row r="15" spans="1:30">
      <c r="A15" s="75" t="s">
        <v>28</v>
      </c>
      <c r="B15" s="74"/>
      <c r="C15" s="112"/>
      <c r="D15" s="112"/>
      <c r="E15" s="74"/>
      <c r="F15" s="74"/>
      <c r="G15" s="437"/>
      <c r="H15" s="41"/>
      <c r="I15" s="41"/>
      <c r="J15" s="41"/>
      <c r="K15" s="434"/>
      <c r="L15" s="434"/>
      <c r="M15" s="434"/>
      <c r="N15" s="434"/>
      <c r="O15" s="434"/>
      <c r="P15" s="434"/>
      <c r="Q15" s="41"/>
      <c r="R15" s="434"/>
      <c r="S15" s="434"/>
      <c r="T15" s="81">
        <f t="shared" ref="T15:AD15" si="1">SUM(T14:T14)</f>
        <v>9.9891275533645019E-2</v>
      </c>
      <c r="U15" s="81">
        <f t="shared" si="1"/>
        <v>0.18440937782971867</v>
      </c>
      <c r="V15" s="81">
        <f t="shared" si="1"/>
        <v>2.253067276294635E-2</v>
      </c>
      <c r="W15" s="81">
        <f t="shared" si="1"/>
        <v>1.3898613406074772E-3</v>
      </c>
      <c r="X15" s="81">
        <f t="shared" si="1"/>
        <v>3.6369464870151122E-2</v>
      </c>
      <c r="Y15" s="81">
        <f t="shared" si="1"/>
        <v>2.4166098982977401E-2</v>
      </c>
      <c r="Z15" s="81">
        <f t="shared" si="1"/>
        <v>1.7662149598755138E-2</v>
      </c>
      <c r="AA15" s="81">
        <f t="shared" si="1"/>
        <v>3.7090514157385786E-3</v>
      </c>
      <c r="AB15" s="81">
        <f t="shared" si="1"/>
        <v>96.814105590256631</v>
      </c>
      <c r="AC15" s="81">
        <f t="shared" si="1"/>
        <v>5.5322484357440338E-3</v>
      </c>
      <c r="AD15" s="81">
        <f t="shared" si="1"/>
        <v>2.4799901288000137E-3</v>
      </c>
    </row>
    <row r="16" spans="1:30">
      <c r="A16" s="75" t="s">
        <v>388</v>
      </c>
      <c r="B16" s="74"/>
      <c r="C16" s="112"/>
      <c r="D16" s="112"/>
      <c r="E16" s="74"/>
      <c r="F16" s="74"/>
      <c r="G16" s="437"/>
      <c r="H16" s="41"/>
      <c r="I16" s="41"/>
      <c r="J16" s="41"/>
      <c r="K16" s="434"/>
      <c r="L16" s="434"/>
      <c r="M16" s="434"/>
      <c r="N16" s="434"/>
      <c r="O16" s="434"/>
      <c r="P16" s="434"/>
      <c r="Q16" s="41"/>
      <c r="R16" s="434"/>
      <c r="S16" s="434"/>
      <c r="T16" s="81">
        <f t="shared" ref="T16:AD16" si="2">T11+T15</f>
        <v>0.39072851835654249</v>
      </c>
      <c r="U16" s="81">
        <f t="shared" si="2"/>
        <v>1.2456056144453032</v>
      </c>
      <c r="V16" s="81">
        <f t="shared" si="2"/>
        <v>9.1355157250166866E-2</v>
      </c>
      <c r="W16" s="81">
        <f t="shared" si="2"/>
        <v>4.6689738551826346E-3</v>
      </c>
      <c r="X16" s="81">
        <f t="shared" si="2"/>
        <v>0.10261955151502915</v>
      </c>
      <c r="Y16" s="81">
        <f t="shared" si="2"/>
        <v>7.0344182612085943E-2</v>
      </c>
      <c r="Z16" s="81">
        <f t="shared" si="2"/>
        <v>4.3174143463623665E-2</v>
      </c>
      <c r="AA16" s="81">
        <f t="shared" si="2"/>
        <v>9.0665701273609702E-3</v>
      </c>
      <c r="AB16" s="81">
        <f t="shared" si="2"/>
        <v>495.35022090407864</v>
      </c>
      <c r="AC16" s="81">
        <f t="shared" si="2"/>
        <v>1.3751548399529145E-2</v>
      </c>
      <c r="AD16" s="81">
        <f t="shared" si="2"/>
        <v>1.2688891258678878E-2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371" spans="1:2" ht="25.5">
      <c r="A371" s="82" t="s">
        <v>109</v>
      </c>
    </row>
    <row r="373" spans="1:2">
      <c r="A373" s="36" t="s">
        <v>81</v>
      </c>
    </row>
    <row r="374" spans="1:2">
      <c r="A374" s="36" t="s">
        <v>82</v>
      </c>
    </row>
    <row r="375" spans="1:2">
      <c r="A375" s="36" t="s">
        <v>83</v>
      </c>
    </row>
    <row r="376" spans="1:2">
      <c r="A376" s="37" t="s">
        <v>96</v>
      </c>
    </row>
    <row r="377" spans="1:2">
      <c r="A377" s="36" t="s">
        <v>85</v>
      </c>
    </row>
    <row r="378" spans="1:2">
      <c r="A378" s="36" t="s">
        <v>86</v>
      </c>
    </row>
    <row r="379" spans="1:2">
      <c r="A379" s="36" t="s">
        <v>87</v>
      </c>
    </row>
    <row r="380" spans="1:2">
      <c r="A380" s="36" t="s">
        <v>0</v>
      </c>
    </row>
    <row r="381" spans="1:2">
      <c r="A381" s="37" t="s">
        <v>97</v>
      </c>
      <c r="B381" s="36">
        <f>(0.016*(0.03/2)^0.65*(2/3)^1.5)-0.00047</f>
        <v>9.8123053326417428E-5</v>
      </c>
    </row>
    <row r="382" spans="1:2">
      <c r="A382" s="37" t="s">
        <v>98</v>
      </c>
      <c r="B382" s="36">
        <f>(0.016*(0.03/2)^0.65*(13/3)^1.5)-0.00047</f>
        <v>8.9448292388582783E-3</v>
      </c>
    </row>
    <row r="383" spans="1:2">
      <c r="A383" s="37" t="s">
        <v>99</v>
      </c>
      <c r="B383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B-14
Construction Truck Trip Emissions
Installation of 69kV Position at Miguel Substation</oddHeader>
    <oddFooter>&amp;CB-14</oddFooter>
  </headerFooter>
</worksheet>
</file>

<file path=xl/worksheets/sheet3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A90" sqref="A90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848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336</v>
      </c>
      <c r="B5" s="45" t="s">
        <v>102</v>
      </c>
      <c r="C5" s="46">
        <v>8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43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435" t="s">
        <v>55</v>
      </c>
      <c r="G88" s="435" t="s">
        <v>73</v>
      </c>
      <c r="H88" s="435" t="s">
        <v>74</v>
      </c>
      <c r="I88" s="435" t="s">
        <v>58</v>
      </c>
      <c r="J88" s="435" t="s">
        <v>59</v>
      </c>
      <c r="K88" s="435" t="s">
        <v>60</v>
      </c>
      <c r="L88" s="434" t="s">
        <v>75</v>
      </c>
      <c r="M88" s="434" t="s">
        <v>76</v>
      </c>
      <c r="N88" s="434" t="s">
        <v>61</v>
      </c>
      <c r="O88" s="434" t="s">
        <v>62</v>
      </c>
      <c r="P88" s="434" t="s">
        <v>63</v>
      </c>
      <c r="AN88" s="38"/>
      <c r="AZ88" s="36"/>
    </row>
    <row r="89" spans="1:52" ht="25.5">
      <c r="A89" s="44" t="str">
        <f t="shared" ref="A89:C90" si="52">A4</f>
        <v>Substation General Construction</v>
      </c>
      <c r="B89" s="45" t="str">
        <f t="shared" si="52"/>
        <v>Light-Duty Truck, catalyst</v>
      </c>
      <c r="C89" s="46">
        <f t="shared" si="52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53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si="52"/>
        <v>Substation Above Grade Construction</v>
      </c>
      <c r="B90" s="45" t="str">
        <f t="shared" si="52"/>
        <v>Light-Duty Truck, catalyst</v>
      </c>
      <c r="C90" s="46">
        <f t="shared" si="52"/>
        <v>8</v>
      </c>
      <c r="D90" s="46">
        <v>35</v>
      </c>
      <c r="E90" s="46">
        <v>80</v>
      </c>
      <c r="F90" s="50">
        <f>C5*($E5*$F5+($G5))/453.59</f>
        <v>3.8857550870473605</v>
      </c>
      <c r="G90" s="50">
        <f>C5*($E5*$H5+($I5))/453.59</f>
        <v>0.34936525835502408</v>
      </c>
      <c r="H90" s="50">
        <f>C5*(($E5*$J5)+($K5)+($L5)+($E5*$N5)+(($M5+$O5)))/453.59</f>
        <v>0.40399984259162663</v>
      </c>
      <c r="I90" s="50">
        <f>C5*($E5*$P5+($Q5))/453.59</f>
        <v>5.8143762172849275E-3</v>
      </c>
      <c r="J90" s="50">
        <f>C5*(($E5*($R5+$T5+$U5))+($S5))/453.59</f>
        <v>6.8192723641663178E-2</v>
      </c>
      <c r="K90" s="50">
        <f>$C5*(($E5*($V5+$X5+$Y5))+($W5))/453.59</f>
        <v>2.9696042594025134E-2</v>
      </c>
      <c r="L90" s="50">
        <f>$B$22*C5*(E5+6)</f>
        <v>6.7508660688575195E-2</v>
      </c>
      <c r="M90" s="50">
        <f t="shared" si="53"/>
        <v>2.7678550882315828E-2</v>
      </c>
      <c r="N90" s="50">
        <f>C5*($E5*$Z5+($AA5))/453.59</f>
        <v>443.38861380831116</v>
      </c>
      <c r="O90" s="50">
        <f>C5*($E5*$AB5+($AC5))/453.59</f>
        <v>2.5363803112241994E-2</v>
      </c>
      <c r="P90" s="50">
        <f>C5*($E5*$AD5+($AE5))/453.59</f>
        <v>4.6168959310746882E-2</v>
      </c>
      <c r="AN90" s="38"/>
      <c r="AZ90" s="36"/>
    </row>
    <row r="91" spans="1:52">
      <c r="A91" s="61" t="s">
        <v>396</v>
      </c>
      <c r="B91" s="61"/>
      <c r="C91" s="61"/>
      <c r="D91" s="61"/>
      <c r="E91" s="61"/>
      <c r="F91" s="81">
        <f>SUM(F89:F90)</f>
        <v>5.3429132446901209</v>
      </c>
      <c r="G91" s="81">
        <f t="shared" ref="G91:P91" si="54">SUM(G89:G90)</f>
        <v>0.48037723023815809</v>
      </c>
      <c r="H91" s="81">
        <f t="shared" si="54"/>
        <v>0.55549978356348662</v>
      </c>
      <c r="I91" s="81">
        <f t="shared" si="54"/>
        <v>7.9947672987667751E-3</v>
      </c>
      <c r="J91" s="81">
        <f t="shared" si="54"/>
        <v>9.3764995007286869E-2</v>
      </c>
      <c r="K91" s="81">
        <f t="shared" si="54"/>
        <v>4.0832058566784561E-2</v>
      </c>
      <c r="L91" s="81">
        <f t="shared" si="54"/>
        <v>9.2824408446790893E-2</v>
      </c>
      <c r="M91" s="81">
        <f t="shared" si="54"/>
        <v>3.805800746318426E-2</v>
      </c>
      <c r="N91" s="81">
        <f t="shared" si="54"/>
        <v>609.65934398642787</v>
      </c>
      <c r="O91" s="81">
        <f t="shared" si="54"/>
        <v>3.4875229279332745E-2</v>
      </c>
      <c r="P91" s="81">
        <f t="shared" si="54"/>
        <v>6.348231905227697E-2</v>
      </c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B-15
Construction Worker Commute Emission Calculations
Installation of 69kV Position at Miguel Substation</oddHeader>
    <oddFooter>&amp;CB-15</oddFooter>
  </headerFooter>
</worksheet>
</file>

<file path=xl/worksheets/sheet3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8"/>
  <sheetViews>
    <sheetView zoomScale="75" zoomScaleNormal="75" workbookViewId="0">
      <selection activeCell="A2" sqref="A2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849</v>
      </c>
    </row>
    <row r="2" spans="1:25">
      <c r="A2" s="83"/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304</v>
      </c>
      <c r="B7" s="29">
        <v>2015</v>
      </c>
      <c r="C7" s="22"/>
      <c r="D7" s="18"/>
      <c r="E7" s="23"/>
      <c r="F7" s="23"/>
      <c r="G7" s="23"/>
      <c r="H7" s="23"/>
      <c r="I7" s="23"/>
      <c r="J7" s="24"/>
      <c r="K7" s="25"/>
      <c r="L7" s="23"/>
      <c r="M7" s="33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 t="s">
        <v>119</v>
      </c>
      <c r="B8" s="90" t="s">
        <v>27</v>
      </c>
      <c r="C8" s="97">
        <v>78</v>
      </c>
      <c r="D8" s="97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9" si="0">0.89*I8</f>
        <v>2.2038095238095235E-2</v>
      </c>
      <c r="K8" s="103">
        <v>46.950229824177143</v>
      </c>
      <c r="L8" s="102">
        <v>6.837183977115969E-3</v>
      </c>
      <c r="M8" s="104">
        <f t="shared" ref="M8:M9" si="1">0.095*G8</f>
        <v>3.7022555555555545E-2</v>
      </c>
      <c r="N8" s="98">
        <v>1</v>
      </c>
      <c r="O8" s="88">
        <v>6</v>
      </c>
      <c r="P8" s="88">
        <v>40</v>
      </c>
      <c r="Q8" s="26">
        <f t="shared" ref="Q8:Y9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113" t="s">
        <v>305</v>
      </c>
      <c r="B9" s="29" t="s">
        <v>27</v>
      </c>
      <c r="C9" s="97">
        <v>235</v>
      </c>
      <c r="D9" s="97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87">
        <v>1</v>
      </c>
      <c r="O9" s="88">
        <v>2</v>
      </c>
      <c r="P9" s="88">
        <v>40</v>
      </c>
      <c r="Q9" s="26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17" t="s">
        <v>28</v>
      </c>
      <c r="B10" s="29"/>
      <c r="C10" s="97"/>
      <c r="D10" s="12"/>
      <c r="E10" s="102"/>
      <c r="F10" s="102"/>
      <c r="G10" s="102"/>
      <c r="H10" s="102"/>
      <c r="I10" s="102"/>
      <c r="J10" s="100"/>
      <c r="K10" s="103"/>
      <c r="L10" s="102"/>
      <c r="M10" s="104"/>
      <c r="N10" s="98"/>
      <c r="O10" s="88"/>
      <c r="P10" s="88"/>
      <c r="Q10" s="27">
        <f t="shared" ref="Q10:Y10" si="3">SUM(Q8:Q9)</f>
        <v>0.61044079959177677</v>
      </c>
      <c r="R10" s="101">
        <f t="shared" si="3"/>
        <v>2.5626248194240024</v>
      </c>
      <c r="S10" s="101">
        <f t="shared" si="3"/>
        <v>4.0738959523119966</v>
      </c>
      <c r="T10" s="101">
        <f t="shared" si="3"/>
        <v>7.0523446396705937E-3</v>
      </c>
      <c r="U10" s="101">
        <f t="shared" si="3"/>
        <v>0.20665485316260829</v>
      </c>
      <c r="V10" s="101">
        <f t="shared" si="3"/>
        <v>0.18392281931472138</v>
      </c>
      <c r="W10" s="101">
        <f t="shared" si="3"/>
        <v>614.7922101941133</v>
      </c>
      <c r="X10" s="101">
        <f t="shared" si="3"/>
        <v>6.2302969818088499E-2</v>
      </c>
      <c r="Y10" s="101">
        <f t="shared" si="3"/>
        <v>0.38702011546963966</v>
      </c>
    </row>
    <row r="11" spans="1:25" s="3" customFormat="1">
      <c r="A11" s="24"/>
      <c r="B11" s="29"/>
      <c r="C11" s="97"/>
      <c r="D11" s="12"/>
      <c r="E11" s="102"/>
      <c r="F11" s="102"/>
      <c r="G11" s="102"/>
      <c r="H11" s="102"/>
      <c r="I11" s="102"/>
      <c r="J11" s="100"/>
      <c r="K11" s="103"/>
      <c r="L11" s="102"/>
      <c r="M11" s="104"/>
      <c r="N11" s="98"/>
      <c r="O11" s="88"/>
      <c r="P11" s="88"/>
      <c r="Q11" s="26"/>
      <c r="R11" s="26"/>
      <c r="S11" s="26"/>
      <c r="T11" s="26"/>
      <c r="U11" s="26"/>
      <c r="V11" s="26"/>
      <c r="W11" s="26"/>
      <c r="X11" s="26"/>
      <c r="Y11" s="26"/>
    </row>
    <row r="12" spans="1:25" s="3" customFormat="1">
      <c r="A12" s="17" t="s">
        <v>308</v>
      </c>
      <c r="B12" s="29"/>
      <c r="C12" s="97"/>
      <c r="D12" s="12"/>
      <c r="E12" s="102"/>
      <c r="F12" s="102"/>
      <c r="G12" s="102"/>
      <c r="H12" s="102"/>
      <c r="I12" s="102"/>
      <c r="J12" s="100"/>
      <c r="K12" s="103"/>
      <c r="L12" s="102"/>
      <c r="M12" s="104"/>
      <c r="N12" s="98"/>
      <c r="O12" s="88"/>
      <c r="P12" s="88"/>
      <c r="Q12" s="26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24" t="s">
        <v>114</v>
      </c>
      <c r="B13" s="90" t="s">
        <v>27</v>
      </c>
      <c r="C13" s="97">
        <v>34</v>
      </c>
      <c r="D13" s="97">
        <v>0.31</v>
      </c>
      <c r="E13" s="102">
        <v>4.2958246826547246E-2</v>
      </c>
      <c r="F13" s="397">
        <v>9.5268959435626091E-2</v>
      </c>
      <c r="G13" s="397">
        <v>0.12361728395061726</v>
      </c>
      <c r="H13" s="102">
        <v>2.5354407605791113E-4</v>
      </c>
      <c r="I13" s="397">
        <v>1.0456349206349205E-2</v>
      </c>
      <c r="J13" s="100">
        <f t="shared" ref="J13:J16" si="4">0.89*I13</f>
        <v>9.3061507936507935E-3</v>
      </c>
      <c r="K13" s="103">
        <v>19.61276416423032</v>
      </c>
      <c r="L13" s="102">
        <v>4.8141782348593348E-3</v>
      </c>
      <c r="M13" s="104">
        <f t="shared" ref="M13:M16" si="5">0.095*G13</f>
        <v>1.174364197530864E-2</v>
      </c>
      <c r="N13" s="87">
        <v>1</v>
      </c>
      <c r="O13" s="88">
        <v>6</v>
      </c>
      <c r="P13" s="88">
        <v>20</v>
      </c>
      <c r="Q13" s="26">
        <f t="shared" ref="Q13:Y16" si="6">(E13*$N13*$O13)</f>
        <v>0.25774948095928346</v>
      </c>
      <c r="R13" s="26">
        <f t="shared" si="6"/>
        <v>0.57161375661375657</v>
      </c>
      <c r="S13" s="26">
        <f t="shared" si="6"/>
        <v>0.74170370370370353</v>
      </c>
      <c r="T13" s="26">
        <f t="shared" si="6"/>
        <v>1.5212644563474668E-3</v>
      </c>
      <c r="U13" s="26">
        <f t="shared" si="6"/>
        <v>6.2738095238095232E-2</v>
      </c>
      <c r="V13" s="26">
        <f t="shared" si="6"/>
        <v>5.5836904761904761E-2</v>
      </c>
      <c r="W13" s="26">
        <f t="shared" si="6"/>
        <v>117.67658498538192</v>
      </c>
      <c r="X13" s="26">
        <f t="shared" si="6"/>
        <v>2.8885069409156007E-2</v>
      </c>
      <c r="Y13" s="26">
        <f t="shared" si="6"/>
        <v>7.0461851851851845E-2</v>
      </c>
    </row>
    <row r="14" spans="1:25" s="3" customFormat="1">
      <c r="A14" s="24" t="s">
        <v>297</v>
      </c>
      <c r="B14" s="29" t="s">
        <v>27</v>
      </c>
      <c r="C14" s="97">
        <v>235</v>
      </c>
      <c r="D14" s="97"/>
      <c r="E14" s="102">
        <v>0.11792220738547983</v>
      </c>
      <c r="F14" s="102">
        <v>0.36512193352152528</v>
      </c>
      <c r="G14" s="102">
        <v>0.86781464282266541</v>
      </c>
      <c r="H14" s="102">
        <v>1.8739217498104396E-3</v>
      </c>
      <c r="I14" s="102">
        <v>2.9041712295589866E-2</v>
      </c>
      <c r="J14" s="100">
        <f t="shared" si="4"/>
        <v>2.5847123943074982E-2</v>
      </c>
      <c r="K14" s="103">
        <v>166.54541562452522</v>
      </c>
      <c r="L14" s="102">
        <v>1.063993297769634E-2</v>
      </c>
      <c r="M14" s="104">
        <f t="shared" si="5"/>
        <v>8.2442391068153209E-2</v>
      </c>
      <c r="N14" s="98">
        <v>1</v>
      </c>
      <c r="O14" s="88">
        <v>2</v>
      </c>
      <c r="P14" s="88">
        <v>20</v>
      </c>
      <c r="Q14" s="26">
        <f t="shared" si="6"/>
        <v>0.23584441477095966</v>
      </c>
      <c r="R14" s="26">
        <f t="shared" si="6"/>
        <v>0.73024386704305055</v>
      </c>
      <c r="S14" s="26">
        <f t="shared" si="6"/>
        <v>1.7356292856453308</v>
      </c>
      <c r="T14" s="26">
        <f t="shared" si="6"/>
        <v>3.7478434996208792E-3</v>
      </c>
      <c r="U14" s="26">
        <f t="shared" si="6"/>
        <v>5.8083424591179732E-2</v>
      </c>
      <c r="V14" s="26">
        <f t="shared" si="6"/>
        <v>5.1694247886149965E-2</v>
      </c>
      <c r="W14" s="26">
        <f t="shared" si="6"/>
        <v>333.09083124905044</v>
      </c>
      <c r="X14" s="26">
        <f t="shared" si="6"/>
        <v>2.127986595539268E-2</v>
      </c>
      <c r="Y14" s="26">
        <f t="shared" si="6"/>
        <v>0.16488478213630642</v>
      </c>
    </row>
    <row r="15" spans="1:25" s="3" customFormat="1">
      <c r="A15" s="100" t="s">
        <v>290</v>
      </c>
      <c r="B15" s="29" t="s">
        <v>27</v>
      </c>
      <c r="C15" s="97">
        <v>83</v>
      </c>
      <c r="D15" s="97">
        <v>0.4</v>
      </c>
      <c r="E15" s="102">
        <v>7.2866722082413127E-2</v>
      </c>
      <c r="F15" s="397">
        <v>0.27081128747795413</v>
      </c>
      <c r="G15" s="397">
        <v>0.34557716049382714</v>
      </c>
      <c r="H15" s="102">
        <v>7.3256850739065386E-4</v>
      </c>
      <c r="I15" s="397">
        <v>2.1957671957671957E-2</v>
      </c>
      <c r="J15" s="100">
        <f t="shared" si="4"/>
        <v>1.9542328042328042E-2</v>
      </c>
      <c r="K15" s="103">
        <v>62.449820864610082</v>
      </c>
      <c r="L15" s="102">
        <v>7.9115127888880251E-3</v>
      </c>
      <c r="M15" s="104">
        <f t="shared" si="5"/>
        <v>3.2829830246913577E-2</v>
      </c>
      <c r="N15" s="98">
        <v>1</v>
      </c>
      <c r="O15" s="88">
        <v>4</v>
      </c>
      <c r="P15" s="88">
        <v>5</v>
      </c>
      <c r="Q15" s="26">
        <f t="shared" si="6"/>
        <v>0.29146688832965251</v>
      </c>
      <c r="R15" s="26">
        <f t="shared" si="6"/>
        <v>1.0832451499118165</v>
      </c>
      <c r="S15" s="26">
        <f t="shared" si="6"/>
        <v>1.3823086419753086</v>
      </c>
      <c r="T15" s="26">
        <f t="shared" si="6"/>
        <v>2.9302740295626154E-3</v>
      </c>
      <c r="U15" s="26">
        <f t="shared" si="6"/>
        <v>8.7830687830687829E-2</v>
      </c>
      <c r="V15" s="26">
        <f t="shared" si="6"/>
        <v>7.8169312169312166E-2</v>
      </c>
      <c r="W15" s="26">
        <f t="shared" si="6"/>
        <v>249.79928345844033</v>
      </c>
      <c r="X15" s="26">
        <f t="shared" si="6"/>
        <v>3.16460511555521E-2</v>
      </c>
      <c r="Y15" s="26">
        <f t="shared" si="6"/>
        <v>0.13131932098765431</v>
      </c>
    </row>
    <row r="16" spans="1:25" s="3" customFormat="1">
      <c r="A16" s="24" t="s">
        <v>310</v>
      </c>
      <c r="B16" s="29" t="s">
        <v>27</v>
      </c>
      <c r="C16" s="22">
        <v>235</v>
      </c>
      <c r="D16" s="22"/>
      <c r="E16" s="102">
        <v>0.11792220738547983</v>
      </c>
      <c r="F16" s="102">
        <v>0.36512193352152528</v>
      </c>
      <c r="G16" s="102">
        <v>0.86781464282266541</v>
      </c>
      <c r="H16" s="102">
        <v>1.8739217498104396E-3</v>
      </c>
      <c r="I16" s="102">
        <v>2.9041712295589866E-2</v>
      </c>
      <c r="J16" s="100">
        <f t="shared" si="4"/>
        <v>2.5847123943074982E-2</v>
      </c>
      <c r="K16" s="103">
        <v>166.54541562452522</v>
      </c>
      <c r="L16" s="102">
        <v>1.063993297769634E-2</v>
      </c>
      <c r="M16" s="104">
        <f t="shared" si="5"/>
        <v>8.2442391068153209E-2</v>
      </c>
      <c r="N16" s="98">
        <v>1</v>
      </c>
      <c r="O16" s="88">
        <v>2</v>
      </c>
      <c r="P16" s="88">
        <v>5</v>
      </c>
      <c r="Q16" s="26">
        <f t="shared" si="6"/>
        <v>0.23584441477095966</v>
      </c>
      <c r="R16" s="26">
        <f t="shared" si="6"/>
        <v>0.73024386704305055</v>
      </c>
      <c r="S16" s="26">
        <f t="shared" si="6"/>
        <v>1.7356292856453308</v>
      </c>
      <c r="T16" s="26">
        <f t="shared" si="6"/>
        <v>3.7478434996208792E-3</v>
      </c>
      <c r="U16" s="26">
        <f t="shared" si="6"/>
        <v>5.8083424591179732E-2</v>
      </c>
      <c r="V16" s="26">
        <f t="shared" si="6"/>
        <v>5.1694247886149965E-2</v>
      </c>
      <c r="W16" s="26">
        <f t="shared" si="6"/>
        <v>333.09083124905044</v>
      </c>
      <c r="X16" s="26">
        <f t="shared" si="6"/>
        <v>2.127986595539268E-2</v>
      </c>
      <c r="Y16" s="26">
        <f t="shared" si="6"/>
        <v>0.16488478213630642</v>
      </c>
    </row>
    <row r="17" spans="1:25" s="3" customFormat="1">
      <c r="A17" s="17" t="s">
        <v>28</v>
      </c>
      <c r="B17" s="97"/>
      <c r="C17" s="22"/>
      <c r="D17" s="18"/>
      <c r="E17" s="23"/>
      <c r="F17" s="23"/>
      <c r="G17" s="23"/>
      <c r="H17" s="23"/>
      <c r="I17" s="23"/>
      <c r="J17" s="24"/>
      <c r="K17" s="25"/>
      <c r="L17" s="23"/>
      <c r="M17" s="23"/>
      <c r="N17" s="88"/>
      <c r="O17" s="88"/>
      <c r="P17" s="88"/>
      <c r="Q17" s="27">
        <f t="shared" ref="Q17:Y17" si="7">SUM(Q13:Q16)</f>
        <v>1.0209051988308553</v>
      </c>
      <c r="R17" s="27">
        <f t="shared" si="7"/>
        <v>3.1153466406116741</v>
      </c>
      <c r="S17" s="27">
        <f t="shared" si="7"/>
        <v>5.5952709169696737</v>
      </c>
      <c r="T17" s="27">
        <f t="shared" si="7"/>
        <v>1.1947225485151841E-2</v>
      </c>
      <c r="U17" s="27">
        <f t="shared" si="7"/>
        <v>0.2667356322511425</v>
      </c>
      <c r="V17" s="27">
        <f t="shared" si="7"/>
        <v>0.23739471270351686</v>
      </c>
      <c r="W17" s="27">
        <f t="shared" si="7"/>
        <v>1033.6575309419231</v>
      </c>
      <c r="X17" s="27">
        <f t="shared" si="7"/>
        <v>0.10309085247549347</v>
      </c>
      <c r="Y17" s="27">
        <f t="shared" si="7"/>
        <v>0.53155073711211898</v>
      </c>
    </row>
    <row r="18" spans="1:25">
      <c r="A18" s="11" t="s">
        <v>103</v>
      </c>
      <c r="B18" s="438"/>
      <c r="C18" s="438"/>
      <c r="D18" s="438"/>
      <c r="E18" s="426"/>
      <c r="F18" s="426"/>
      <c r="G18" s="426"/>
      <c r="H18" s="426"/>
      <c r="I18" s="426"/>
      <c r="J18" s="426"/>
      <c r="K18" s="426"/>
      <c r="L18" s="426"/>
      <c r="M18" s="426"/>
      <c r="N18" s="17"/>
      <c r="O18" s="123"/>
      <c r="P18" s="123"/>
      <c r="Q18" s="20">
        <f t="shared" ref="Q18:Y18" si="8">Q10+Q17</f>
        <v>1.6313459984226322</v>
      </c>
      <c r="R18" s="20">
        <f t="shared" si="8"/>
        <v>5.6779714600356765</v>
      </c>
      <c r="S18" s="20">
        <f t="shared" si="8"/>
        <v>9.6691668692816712</v>
      </c>
      <c r="T18" s="20">
        <f t="shared" si="8"/>
        <v>1.8999570124822434E-2</v>
      </c>
      <c r="U18" s="20">
        <f t="shared" si="8"/>
        <v>0.47339048541375078</v>
      </c>
      <c r="V18" s="20">
        <f t="shared" si="8"/>
        <v>0.42131753201823824</v>
      </c>
      <c r="W18" s="20">
        <f t="shared" si="8"/>
        <v>1648.4497411360364</v>
      </c>
      <c r="X18" s="20">
        <f t="shared" si="8"/>
        <v>0.16539382229358196</v>
      </c>
      <c r="Y18" s="20">
        <f t="shared" si="8"/>
        <v>0.91857085258175863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>&amp;CTable B-13
Construction Heavy Equipment Emissions
Installation of 69kV Position at Miguel Substation</oddHeader>
    <oddFooter>&amp;CB-13</oddFooter>
  </headerFooter>
</worksheet>
</file>

<file path=xl/worksheets/sheet33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3"/>
  <sheetViews>
    <sheetView zoomScale="75" workbookViewId="0">
      <selection activeCell="A21" sqref="A21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850</v>
      </c>
    </row>
    <row r="2" spans="1:30">
      <c r="A2" s="83"/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304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320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C9*(F9)*$B$381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6">
        <v>3.59998119015979E-2</v>
      </c>
      <c r="M10" s="556">
        <v>6.1739677411240299E-2</v>
      </c>
      <c r="N10" s="106">
        <v>6.5945508986370194E-2</v>
      </c>
      <c r="O10" s="556">
        <v>2.9999843251331498E-3</v>
      </c>
      <c r="P10" s="55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C10*(F10)*$B$381</f>
        <v>7.8498442661133934E-3</v>
      </c>
      <c r="AA10" s="50">
        <f>Z10*0.21</f>
        <v>1.6484672958838125E-3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2.5511993864868531E-2</v>
      </c>
      <c r="AA11" s="81">
        <f t="shared" si="0"/>
        <v>5.3575187116223916E-3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432"/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 ht="25.5" customHeight="1">
      <c r="A13" s="114" t="s">
        <v>334</v>
      </c>
      <c r="B13" s="74"/>
      <c r="C13" s="112"/>
      <c r="D13" s="112"/>
      <c r="E13" s="74"/>
      <c r="F13" s="74"/>
      <c r="G13" s="437"/>
      <c r="H13" s="41"/>
      <c r="I13" s="41"/>
      <c r="J13" s="41"/>
      <c r="K13" s="434"/>
      <c r="L13" s="434"/>
      <c r="M13" s="434"/>
      <c r="N13" s="434"/>
      <c r="O13" s="434"/>
      <c r="P13" s="434"/>
      <c r="Q13" s="41"/>
      <c r="R13" s="434"/>
      <c r="S13" s="43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 ht="12.75" customHeight="1">
      <c r="A14" s="78" t="s">
        <v>320</v>
      </c>
      <c r="B14" s="76" t="s">
        <v>95</v>
      </c>
      <c r="C14" s="79">
        <v>3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9.9891275533645019E-2</v>
      </c>
      <c r="U14" s="50">
        <f>C14*($F14*$H14)/453.59</f>
        <v>0.18440937782971867</v>
      </c>
      <c r="V14" s="50">
        <f>C14*(($F14*$I14))/453.59</f>
        <v>2.253067276294635E-2</v>
      </c>
      <c r="W14" s="50">
        <f>C14*($F14*$J14)/453.59</f>
        <v>1.3898613406074772E-3</v>
      </c>
      <c r="X14" s="50">
        <f>C14*(($F14*($K14+$L14+$M14)))/453.59</f>
        <v>3.6369464870151122E-2</v>
      </c>
      <c r="Y14" s="50">
        <f>C14*(($F14*($N14+$O14+$P14)))/453.59</f>
        <v>2.4166098982977401E-2</v>
      </c>
      <c r="Z14" s="50">
        <f>C14*(F14)*$B$381</f>
        <v>1.7662149598755138E-2</v>
      </c>
      <c r="AA14" s="50">
        <f>Z14*0.21</f>
        <v>3.7090514157385786E-3</v>
      </c>
      <c r="AB14" s="50">
        <f>C14*(($F14*($Q14)))/453.59</f>
        <v>96.814105590256631</v>
      </c>
      <c r="AC14" s="50">
        <f>C14*(($F14*($R14)))/453.59</f>
        <v>5.5322484357440338E-3</v>
      </c>
      <c r="AD14" s="50">
        <f>C14*(($F14*($S14)))/453.59</f>
        <v>2.4799901288000137E-3</v>
      </c>
    </row>
    <row r="15" spans="1:30">
      <c r="A15" s="75" t="s">
        <v>28</v>
      </c>
      <c r="B15" s="74"/>
      <c r="C15" s="112"/>
      <c r="D15" s="112"/>
      <c r="E15" s="74"/>
      <c r="F15" s="74"/>
      <c r="G15" s="437"/>
      <c r="H15" s="41"/>
      <c r="I15" s="41"/>
      <c r="J15" s="41"/>
      <c r="K15" s="434"/>
      <c r="L15" s="434"/>
      <c r="M15" s="434"/>
      <c r="N15" s="434"/>
      <c r="O15" s="434"/>
      <c r="P15" s="434"/>
      <c r="Q15" s="41"/>
      <c r="R15" s="434"/>
      <c r="S15" s="434"/>
      <c r="T15" s="81">
        <f t="shared" ref="T15:AD15" si="1">SUM(T14:T14)</f>
        <v>9.9891275533645019E-2</v>
      </c>
      <c r="U15" s="81">
        <f t="shared" si="1"/>
        <v>0.18440937782971867</v>
      </c>
      <c r="V15" s="81">
        <f t="shared" si="1"/>
        <v>2.253067276294635E-2</v>
      </c>
      <c r="W15" s="81">
        <f t="shared" si="1"/>
        <v>1.3898613406074772E-3</v>
      </c>
      <c r="X15" s="81">
        <f t="shared" si="1"/>
        <v>3.6369464870151122E-2</v>
      </c>
      <c r="Y15" s="81">
        <f t="shared" si="1"/>
        <v>2.4166098982977401E-2</v>
      </c>
      <c r="Z15" s="81">
        <f t="shared" si="1"/>
        <v>1.7662149598755138E-2</v>
      </c>
      <c r="AA15" s="81">
        <f t="shared" si="1"/>
        <v>3.7090514157385786E-3</v>
      </c>
      <c r="AB15" s="81">
        <f t="shared" si="1"/>
        <v>96.814105590256631</v>
      </c>
      <c r="AC15" s="81">
        <f t="shared" si="1"/>
        <v>5.5322484357440338E-3</v>
      </c>
      <c r="AD15" s="81">
        <f t="shared" si="1"/>
        <v>2.4799901288000137E-3</v>
      </c>
    </row>
    <row r="16" spans="1:30">
      <c r="A16" s="75" t="s">
        <v>388</v>
      </c>
      <c r="B16" s="74"/>
      <c r="C16" s="112"/>
      <c r="D16" s="112"/>
      <c r="E16" s="74"/>
      <c r="F16" s="74"/>
      <c r="G16" s="437"/>
      <c r="H16" s="41"/>
      <c r="I16" s="41"/>
      <c r="J16" s="41"/>
      <c r="K16" s="434"/>
      <c r="L16" s="434"/>
      <c r="M16" s="434"/>
      <c r="N16" s="434"/>
      <c r="O16" s="434"/>
      <c r="P16" s="434"/>
      <c r="Q16" s="41"/>
      <c r="R16" s="434"/>
      <c r="S16" s="434"/>
      <c r="T16" s="81">
        <f t="shared" ref="T16:AD16" si="2">T11+T15</f>
        <v>0.39072851835654249</v>
      </c>
      <c r="U16" s="81">
        <f t="shared" si="2"/>
        <v>1.2456056144453032</v>
      </c>
      <c r="V16" s="81">
        <f t="shared" si="2"/>
        <v>9.1355157250166866E-2</v>
      </c>
      <c r="W16" s="81">
        <f t="shared" si="2"/>
        <v>4.6689738551826346E-3</v>
      </c>
      <c r="X16" s="81">
        <f t="shared" si="2"/>
        <v>0.10261955151502915</v>
      </c>
      <c r="Y16" s="81">
        <f t="shared" si="2"/>
        <v>7.0344182612085943E-2</v>
      </c>
      <c r="Z16" s="81">
        <f t="shared" si="2"/>
        <v>4.3174143463623665E-2</v>
      </c>
      <c r="AA16" s="81">
        <f t="shared" si="2"/>
        <v>9.0665701273609702E-3</v>
      </c>
      <c r="AB16" s="81">
        <f t="shared" si="2"/>
        <v>495.35022090407864</v>
      </c>
      <c r="AC16" s="81">
        <f t="shared" si="2"/>
        <v>1.3751548399529145E-2</v>
      </c>
      <c r="AD16" s="81">
        <f t="shared" si="2"/>
        <v>1.2688891258678878E-2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371" spans="1:2" ht="25.5">
      <c r="A371" s="82" t="s">
        <v>109</v>
      </c>
    </row>
    <row r="373" spans="1:2">
      <c r="A373" s="36" t="s">
        <v>81</v>
      </c>
    </row>
    <row r="374" spans="1:2">
      <c r="A374" s="36" t="s">
        <v>82</v>
      </c>
    </row>
    <row r="375" spans="1:2">
      <c r="A375" s="36" t="s">
        <v>83</v>
      </c>
    </row>
    <row r="376" spans="1:2">
      <c r="A376" s="37" t="s">
        <v>96</v>
      </c>
    </row>
    <row r="377" spans="1:2">
      <c r="A377" s="36" t="s">
        <v>85</v>
      </c>
    </row>
    <row r="378" spans="1:2">
      <c r="A378" s="36" t="s">
        <v>86</v>
      </c>
    </row>
    <row r="379" spans="1:2">
      <c r="A379" s="36" t="s">
        <v>87</v>
      </c>
    </row>
    <row r="380" spans="1:2">
      <c r="A380" s="36" t="s">
        <v>0</v>
      </c>
    </row>
    <row r="381" spans="1:2">
      <c r="A381" s="37" t="s">
        <v>97</v>
      </c>
      <c r="B381" s="36">
        <f>(0.016*(0.03/2)^0.65*(2/3)^1.5)-0.00047</f>
        <v>9.8123053326417428E-5</v>
      </c>
    </row>
    <row r="382" spans="1:2">
      <c r="A382" s="37" t="s">
        <v>98</v>
      </c>
      <c r="B382" s="36">
        <f>(0.016*(0.03/2)^0.65*(13/3)^1.5)-0.00047</f>
        <v>8.9448292388582783E-3</v>
      </c>
    </row>
    <row r="383" spans="1:2">
      <c r="A383" s="37" t="s">
        <v>99</v>
      </c>
      <c r="B383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B-14
Construction Truck Trip Emissions
Installation of 69kV Position at Miguel Substation</oddHeader>
    <oddFooter>&amp;CB-14</oddFooter>
  </headerFooter>
</worksheet>
</file>

<file path=xl/worksheets/sheet3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B86" sqref="B86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851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336</v>
      </c>
      <c r="B5" s="45" t="s">
        <v>102</v>
      </c>
      <c r="C5" s="46">
        <v>7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43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435" t="s">
        <v>55</v>
      </c>
      <c r="G88" s="435" t="s">
        <v>73</v>
      </c>
      <c r="H88" s="435" t="s">
        <v>74</v>
      </c>
      <c r="I88" s="435" t="s">
        <v>58</v>
      </c>
      <c r="J88" s="435" t="s">
        <v>59</v>
      </c>
      <c r="K88" s="435" t="s">
        <v>60</v>
      </c>
      <c r="L88" s="434" t="s">
        <v>75</v>
      </c>
      <c r="M88" s="434" t="s">
        <v>76</v>
      </c>
      <c r="N88" s="434" t="s">
        <v>61</v>
      </c>
      <c r="O88" s="434" t="s">
        <v>62</v>
      </c>
      <c r="P88" s="434" t="s">
        <v>63</v>
      </c>
      <c r="AN88" s="38"/>
      <c r="AZ88" s="36"/>
    </row>
    <row r="89" spans="1:52" ht="25.5">
      <c r="A89" s="44" t="str">
        <f t="shared" ref="A89:C90" si="52">A4</f>
        <v>Substation General Construction</v>
      </c>
      <c r="B89" s="45" t="str">
        <f t="shared" si="52"/>
        <v>Light-Duty Truck, catalyst</v>
      </c>
      <c r="C89" s="46">
        <f t="shared" si="52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53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si="52"/>
        <v>Substation Above Grade Construction</v>
      </c>
      <c r="B90" s="45" t="str">
        <f t="shared" si="52"/>
        <v>Light-Duty Truck, catalyst</v>
      </c>
      <c r="C90" s="46">
        <f t="shared" si="52"/>
        <v>7</v>
      </c>
      <c r="D90" s="46">
        <v>35</v>
      </c>
      <c r="E90" s="46">
        <v>80</v>
      </c>
      <c r="F90" s="50">
        <f>C5*($E5*$F5+($G5))/453.59</f>
        <v>3.4000357011664404</v>
      </c>
      <c r="G90" s="50">
        <f>C5*($E5*$H5+($I5))/453.59</f>
        <v>0.30569460106064605</v>
      </c>
      <c r="H90" s="50">
        <f>C5*(($E5*$J5)+($K5)+($L5)+($E5*$N5)+(($M5+$O5)))/453.59</f>
        <v>0.35349986226767327</v>
      </c>
      <c r="I90" s="50">
        <f>C5*($E5*$P5+($Q5))/453.59</f>
        <v>5.0875791901243113E-3</v>
      </c>
      <c r="J90" s="50">
        <f>C5*(($E5*($R5+$T5+$U5))+($S5))/453.59</f>
        <v>5.9668633186455274E-2</v>
      </c>
      <c r="K90" s="50">
        <f>$C5*(($E5*($V5+$X5+$Y5))+($W5))/453.59</f>
        <v>2.5984037269771994E-2</v>
      </c>
      <c r="L90" s="50">
        <f>$B$22*C5*(E5+6)</f>
        <v>5.9070078102503296E-2</v>
      </c>
      <c r="M90" s="50">
        <f t="shared" si="53"/>
        <v>2.4218732022026349E-2</v>
      </c>
      <c r="N90" s="50">
        <f>C5*($E5*$Z5+($AA5))/453.59</f>
        <v>387.96503708227226</v>
      </c>
      <c r="O90" s="50">
        <f>C5*($E5*$AB5+($AC5))/453.59</f>
        <v>2.2193327723211743E-2</v>
      </c>
      <c r="P90" s="50">
        <f>C5*($E5*$AD5+($AE5))/453.59</f>
        <v>4.0397839396903522E-2</v>
      </c>
      <c r="AN90" s="38"/>
      <c r="AZ90" s="36"/>
    </row>
    <row r="91" spans="1:52">
      <c r="A91" s="61" t="s">
        <v>396</v>
      </c>
      <c r="B91" s="61"/>
      <c r="C91" s="61"/>
      <c r="D91" s="61"/>
      <c r="E91" s="61"/>
      <c r="F91" s="81">
        <f>SUM(F89:F90)</f>
        <v>4.8571938588092003</v>
      </c>
      <c r="G91" s="81">
        <f t="shared" ref="G91:P91" si="54">SUM(G89:G90)</f>
        <v>0.43670657294378007</v>
      </c>
      <c r="H91" s="81">
        <f t="shared" si="54"/>
        <v>0.50499980323953331</v>
      </c>
      <c r="I91" s="81">
        <f t="shared" si="54"/>
        <v>7.2679702716061589E-3</v>
      </c>
      <c r="J91" s="81">
        <f t="shared" si="54"/>
        <v>8.5240904552078958E-2</v>
      </c>
      <c r="K91" s="81">
        <f t="shared" si="54"/>
        <v>3.7120053242531419E-2</v>
      </c>
      <c r="L91" s="81">
        <f t="shared" si="54"/>
        <v>8.4385825860718994E-2</v>
      </c>
      <c r="M91" s="81">
        <f t="shared" si="54"/>
        <v>3.4598188602894785E-2</v>
      </c>
      <c r="N91" s="81">
        <f t="shared" si="54"/>
        <v>554.23576726038891</v>
      </c>
      <c r="O91" s="81">
        <f t="shared" si="54"/>
        <v>3.1704753890302487E-2</v>
      </c>
      <c r="P91" s="81">
        <f t="shared" si="54"/>
        <v>5.7711199138433603E-2</v>
      </c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B-15
Construction Worker Commute Emission Calculations
Installation of 69kV Position at Miguel Substation</oddHeader>
    <oddFooter>&amp;CB-15</oddFooter>
  </headerFooter>
</worksheet>
</file>

<file path=xl/worksheets/sheet3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6"/>
  <sheetViews>
    <sheetView zoomScale="75" zoomScaleNormal="75" workbookViewId="0">
      <selection activeCell="A23" sqref="A23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852</v>
      </c>
    </row>
    <row r="2" spans="1:25">
      <c r="A2" s="83"/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304</v>
      </c>
      <c r="B7" s="29">
        <v>2015</v>
      </c>
      <c r="C7" s="22"/>
      <c r="D7" s="18"/>
      <c r="E7" s="23"/>
      <c r="F7" s="23"/>
      <c r="G7" s="23"/>
      <c r="H7" s="23"/>
      <c r="I7" s="23"/>
      <c r="J7" s="24"/>
      <c r="K7" s="25"/>
      <c r="L7" s="23"/>
      <c r="M7" s="33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 t="s">
        <v>119</v>
      </c>
      <c r="B8" s="90" t="s">
        <v>27</v>
      </c>
      <c r="C8" s="97">
        <v>78</v>
      </c>
      <c r="D8" s="97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9" si="0">0.89*I8</f>
        <v>2.2038095238095235E-2</v>
      </c>
      <c r="K8" s="103">
        <v>46.950229824177143</v>
      </c>
      <c r="L8" s="102">
        <v>6.837183977115969E-3</v>
      </c>
      <c r="M8" s="104">
        <f t="shared" ref="M8:M9" si="1">0.095*G8</f>
        <v>3.7022555555555545E-2</v>
      </c>
      <c r="N8" s="98">
        <v>1</v>
      </c>
      <c r="O8" s="98">
        <v>6</v>
      </c>
      <c r="P8" s="88">
        <v>40</v>
      </c>
      <c r="Q8" s="34">
        <f t="shared" ref="Q8:Y9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113" t="s">
        <v>305</v>
      </c>
      <c r="B9" s="29" t="s">
        <v>27</v>
      </c>
      <c r="C9" s="97">
        <v>235</v>
      </c>
      <c r="D9" s="97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87">
        <v>1</v>
      </c>
      <c r="O9" s="87">
        <v>2</v>
      </c>
      <c r="P9" s="99">
        <v>40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17" t="s">
        <v>28</v>
      </c>
      <c r="B10" s="29"/>
      <c r="C10" s="97"/>
      <c r="D10" s="12"/>
      <c r="E10" s="102"/>
      <c r="F10" s="102"/>
      <c r="G10" s="102"/>
      <c r="H10" s="102"/>
      <c r="I10" s="102"/>
      <c r="J10" s="100"/>
      <c r="K10" s="103"/>
      <c r="L10" s="102"/>
      <c r="M10" s="104"/>
      <c r="N10" s="98"/>
      <c r="O10" s="98"/>
      <c r="P10" s="99"/>
      <c r="Q10" s="101">
        <f t="shared" ref="Q10:Y10" si="3">SUM(Q8:Q9)</f>
        <v>0.61044079959177677</v>
      </c>
      <c r="R10" s="101">
        <f t="shared" si="3"/>
        <v>2.5626248194240024</v>
      </c>
      <c r="S10" s="101">
        <f t="shared" si="3"/>
        <v>4.0738959523119966</v>
      </c>
      <c r="T10" s="101">
        <f t="shared" si="3"/>
        <v>7.0523446396705937E-3</v>
      </c>
      <c r="U10" s="101">
        <f t="shared" si="3"/>
        <v>0.20665485316260829</v>
      </c>
      <c r="V10" s="101">
        <f t="shared" si="3"/>
        <v>0.18392281931472138</v>
      </c>
      <c r="W10" s="101">
        <f t="shared" si="3"/>
        <v>614.7922101941133</v>
      </c>
      <c r="X10" s="101">
        <f t="shared" si="3"/>
        <v>6.2302969818088499E-2</v>
      </c>
      <c r="Y10" s="101">
        <f t="shared" si="3"/>
        <v>0.38702011546963966</v>
      </c>
    </row>
    <row r="11" spans="1:25" s="3" customFormat="1">
      <c r="A11" s="24"/>
      <c r="B11" s="29"/>
      <c r="C11" s="97"/>
      <c r="D11" s="12"/>
      <c r="E11" s="102"/>
      <c r="F11" s="102"/>
      <c r="G11" s="102"/>
      <c r="H11" s="102"/>
      <c r="I11" s="102"/>
      <c r="J11" s="100"/>
      <c r="K11" s="103"/>
      <c r="L11" s="102"/>
      <c r="M11" s="104"/>
      <c r="N11" s="98"/>
      <c r="O11" s="98"/>
      <c r="P11" s="99"/>
      <c r="Q11" s="34"/>
      <c r="R11" s="26"/>
      <c r="S11" s="26"/>
      <c r="T11" s="26"/>
      <c r="U11" s="26"/>
      <c r="V11" s="26"/>
      <c r="W11" s="26"/>
      <c r="X11" s="26"/>
      <c r="Y11" s="26"/>
    </row>
    <row r="12" spans="1:25" s="3" customFormat="1">
      <c r="A12" s="17" t="s">
        <v>308</v>
      </c>
      <c r="B12" s="29"/>
      <c r="C12" s="97"/>
      <c r="D12" s="12"/>
      <c r="E12" s="102"/>
      <c r="F12" s="102"/>
      <c r="G12" s="102"/>
      <c r="H12" s="102"/>
      <c r="I12" s="102"/>
      <c r="J12" s="100"/>
      <c r="K12" s="103"/>
      <c r="L12" s="102"/>
      <c r="M12" s="104"/>
      <c r="N12" s="98"/>
      <c r="O12" s="98"/>
      <c r="P12" s="99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24" t="s">
        <v>114</v>
      </c>
      <c r="B13" s="90" t="s">
        <v>27</v>
      </c>
      <c r="C13" s="97">
        <v>34</v>
      </c>
      <c r="D13" s="97">
        <v>0.31</v>
      </c>
      <c r="E13" s="102">
        <v>4.2958246826547246E-2</v>
      </c>
      <c r="F13" s="397">
        <v>9.5268959435626091E-2</v>
      </c>
      <c r="G13" s="397">
        <v>0.12361728395061726</v>
      </c>
      <c r="H13" s="102">
        <v>2.5354407605791113E-4</v>
      </c>
      <c r="I13" s="397">
        <v>1.0456349206349205E-2</v>
      </c>
      <c r="J13" s="100">
        <f t="shared" ref="J13:J14" si="4">0.89*I13</f>
        <v>9.3061507936507935E-3</v>
      </c>
      <c r="K13" s="103">
        <v>19.61276416423032</v>
      </c>
      <c r="L13" s="102">
        <v>4.8141782348593348E-3</v>
      </c>
      <c r="M13" s="104">
        <f t="shared" ref="M13:M14" si="5">0.095*G13</f>
        <v>1.174364197530864E-2</v>
      </c>
      <c r="N13" s="87">
        <v>1</v>
      </c>
      <c r="O13" s="87">
        <v>6</v>
      </c>
      <c r="P13" s="88">
        <v>20</v>
      </c>
      <c r="Q13" s="34">
        <f t="shared" ref="Q13:Y14" si="6">(E13*$N13*$O13)</f>
        <v>0.25774948095928346</v>
      </c>
      <c r="R13" s="26">
        <f t="shared" si="6"/>
        <v>0.57161375661375657</v>
      </c>
      <c r="S13" s="26">
        <f t="shared" si="6"/>
        <v>0.74170370370370353</v>
      </c>
      <c r="T13" s="26">
        <f t="shared" si="6"/>
        <v>1.5212644563474668E-3</v>
      </c>
      <c r="U13" s="26">
        <f t="shared" si="6"/>
        <v>6.2738095238095232E-2</v>
      </c>
      <c r="V13" s="26">
        <f t="shared" si="6"/>
        <v>5.5836904761904761E-2</v>
      </c>
      <c r="W13" s="26">
        <f t="shared" si="6"/>
        <v>117.67658498538192</v>
      </c>
      <c r="X13" s="26">
        <f t="shared" si="6"/>
        <v>2.8885069409156007E-2</v>
      </c>
      <c r="Y13" s="26">
        <f t="shared" si="6"/>
        <v>7.0461851851851845E-2</v>
      </c>
    </row>
    <row r="14" spans="1:25" s="3" customFormat="1">
      <c r="A14" s="24" t="s">
        <v>297</v>
      </c>
      <c r="B14" s="29" t="s">
        <v>27</v>
      </c>
      <c r="C14" s="97">
        <v>235</v>
      </c>
      <c r="D14" s="97"/>
      <c r="E14" s="102">
        <v>0.11792220738547983</v>
      </c>
      <c r="F14" s="102">
        <v>0.36512193352152528</v>
      </c>
      <c r="G14" s="102">
        <v>0.86781464282266541</v>
      </c>
      <c r="H14" s="102">
        <v>1.8739217498104396E-3</v>
      </c>
      <c r="I14" s="102">
        <v>2.9041712295589866E-2</v>
      </c>
      <c r="J14" s="100">
        <f t="shared" si="4"/>
        <v>2.5847123943074982E-2</v>
      </c>
      <c r="K14" s="103">
        <v>166.54541562452522</v>
      </c>
      <c r="L14" s="102">
        <v>1.063993297769634E-2</v>
      </c>
      <c r="M14" s="104">
        <f t="shared" si="5"/>
        <v>8.2442391068153209E-2</v>
      </c>
      <c r="N14" s="98">
        <v>1</v>
      </c>
      <c r="O14" s="98">
        <v>2</v>
      </c>
      <c r="P14" s="88">
        <v>20</v>
      </c>
      <c r="Q14" s="34">
        <f t="shared" si="6"/>
        <v>0.23584441477095966</v>
      </c>
      <c r="R14" s="26">
        <f t="shared" si="6"/>
        <v>0.73024386704305055</v>
      </c>
      <c r="S14" s="26">
        <f t="shared" si="6"/>
        <v>1.7356292856453308</v>
      </c>
      <c r="T14" s="26">
        <f t="shared" si="6"/>
        <v>3.7478434996208792E-3</v>
      </c>
      <c r="U14" s="26">
        <f t="shared" si="6"/>
        <v>5.8083424591179732E-2</v>
      </c>
      <c r="V14" s="26">
        <f t="shared" si="6"/>
        <v>5.1694247886149965E-2</v>
      </c>
      <c r="W14" s="26">
        <f t="shared" si="6"/>
        <v>333.09083124905044</v>
      </c>
      <c r="X14" s="26">
        <f t="shared" si="6"/>
        <v>2.127986595539268E-2</v>
      </c>
      <c r="Y14" s="26">
        <f t="shared" si="6"/>
        <v>0.16488478213630642</v>
      </c>
    </row>
    <row r="15" spans="1:25" s="3" customFormat="1">
      <c r="A15" s="17" t="s">
        <v>28</v>
      </c>
      <c r="B15" s="97"/>
      <c r="C15" s="22"/>
      <c r="D15" s="18"/>
      <c r="E15" s="23"/>
      <c r="F15" s="23"/>
      <c r="G15" s="23"/>
      <c r="H15" s="23"/>
      <c r="I15" s="23"/>
      <c r="J15" s="24"/>
      <c r="K15" s="25"/>
      <c r="L15" s="23"/>
      <c r="M15" s="23"/>
      <c r="N15" s="88"/>
      <c r="O15" s="88"/>
      <c r="P15" s="88"/>
      <c r="Q15" s="27">
        <f t="shared" ref="Q15:Y15" si="7">SUM(Q13:Q14)</f>
        <v>0.49359389573024315</v>
      </c>
      <c r="R15" s="27">
        <f t="shared" si="7"/>
        <v>1.3018576236568071</v>
      </c>
      <c r="S15" s="27">
        <f t="shared" si="7"/>
        <v>2.4773329893490343</v>
      </c>
      <c r="T15" s="27">
        <f t="shared" si="7"/>
        <v>5.2691079559683465E-3</v>
      </c>
      <c r="U15" s="27">
        <f t="shared" si="7"/>
        <v>0.12082151982927497</v>
      </c>
      <c r="V15" s="27">
        <f t="shared" si="7"/>
        <v>0.10753115264805473</v>
      </c>
      <c r="W15" s="27">
        <f t="shared" si="7"/>
        <v>450.76741623443235</v>
      </c>
      <c r="X15" s="27">
        <f t="shared" si="7"/>
        <v>5.0164935364548691E-2</v>
      </c>
      <c r="Y15" s="27">
        <f t="shared" si="7"/>
        <v>0.23534663398815825</v>
      </c>
    </row>
    <row r="16" spans="1:25">
      <c r="A16" s="11" t="s">
        <v>103</v>
      </c>
      <c r="B16" s="438"/>
      <c r="C16" s="438"/>
      <c r="D16" s="438"/>
      <c r="E16" s="426"/>
      <c r="F16" s="426"/>
      <c r="G16" s="426"/>
      <c r="H16" s="426"/>
      <c r="I16" s="426"/>
      <c r="J16" s="426"/>
      <c r="K16" s="426"/>
      <c r="L16" s="426"/>
      <c r="M16" s="426"/>
      <c r="N16" s="17"/>
      <c r="O16" s="123"/>
      <c r="P16" s="123"/>
      <c r="Q16" s="20">
        <f t="shared" ref="Q16:Y16" si="8">Q10+Q15</f>
        <v>1.1040346953220199</v>
      </c>
      <c r="R16" s="20">
        <f t="shared" si="8"/>
        <v>3.8644824430808096</v>
      </c>
      <c r="S16" s="20">
        <f t="shared" si="8"/>
        <v>6.551228941661031</v>
      </c>
      <c r="T16" s="20">
        <f t="shared" si="8"/>
        <v>1.2321452595638941E-2</v>
      </c>
      <c r="U16" s="20">
        <f t="shared" si="8"/>
        <v>0.32747637299188326</v>
      </c>
      <c r="V16" s="20">
        <f t="shared" si="8"/>
        <v>0.29145397196277611</v>
      </c>
      <c r="W16" s="20">
        <f t="shared" si="8"/>
        <v>1065.5596264285457</v>
      </c>
      <c r="X16" s="20">
        <f t="shared" si="8"/>
        <v>0.11246790518263719</v>
      </c>
      <c r="Y16" s="20">
        <f t="shared" si="8"/>
        <v>0.62236674945779791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>&amp;CTable B-13
Construction Heavy Equipment Emissions
Installation of 69kV Position at Miguel Substation</oddHeader>
    <oddFooter>&amp;CB-13</oddFooter>
  </headerFooter>
</worksheet>
</file>

<file path=xl/worksheets/sheet33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3"/>
  <sheetViews>
    <sheetView zoomScale="75" workbookViewId="0">
      <selection activeCell="A22" sqref="A2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853</v>
      </c>
    </row>
    <row r="2" spans="1:30">
      <c r="A2" s="83"/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304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320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C9*(F9)*$B$381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6">
        <v>3.59998119015979E-2</v>
      </c>
      <c r="M10" s="556">
        <v>6.1739677411240299E-2</v>
      </c>
      <c r="N10" s="106">
        <v>6.5945508986370194E-2</v>
      </c>
      <c r="O10" s="556">
        <v>2.9999843251331498E-3</v>
      </c>
      <c r="P10" s="55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C10*(F10)*$B$381</f>
        <v>7.8498442661133934E-3</v>
      </c>
      <c r="AA10" s="50">
        <f>Z10*0.21</f>
        <v>1.6484672958838125E-3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2.5511993864868531E-2</v>
      </c>
      <c r="AA11" s="81">
        <f t="shared" si="0"/>
        <v>5.3575187116223916E-3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432"/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 ht="25.5" customHeight="1">
      <c r="A13" s="114" t="s">
        <v>334</v>
      </c>
      <c r="B13" s="74"/>
      <c r="C13" s="112"/>
      <c r="D13" s="112"/>
      <c r="E13" s="74"/>
      <c r="F13" s="74"/>
      <c r="G13" s="437"/>
      <c r="H13" s="41"/>
      <c r="I13" s="41"/>
      <c r="J13" s="41"/>
      <c r="K13" s="434"/>
      <c r="L13" s="434"/>
      <c r="M13" s="434"/>
      <c r="N13" s="434"/>
      <c r="O13" s="434"/>
      <c r="P13" s="434"/>
      <c r="Q13" s="41"/>
      <c r="R13" s="434"/>
      <c r="S13" s="43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 ht="12.75" customHeight="1">
      <c r="A14" s="78" t="s">
        <v>320</v>
      </c>
      <c r="B14" s="76" t="s">
        <v>95</v>
      </c>
      <c r="C14" s="79">
        <v>3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9.9891275533645019E-2</v>
      </c>
      <c r="U14" s="50">
        <f>C14*($F14*$H14)/453.59</f>
        <v>0.18440937782971867</v>
      </c>
      <c r="V14" s="50">
        <f>C14*(($F14*$I14))/453.59</f>
        <v>2.253067276294635E-2</v>
      </c>
      <c r="W14" s="50">
        <f>C14*($F14*$J14)/453.59</f>
        <v>1.3898613406074772E-3</v>
      </c>
      <c r="X14" s="50">
        <f>C14*(($F14*($K14+$L14+$M14)))/453.59</f>
        <v>3.6369464870151122E-2</v>
      </c>
      <c r="Y14" s="50">
        <f>C14*(($F14*($N14+$O14+$P14)))/453.59</f>
        <v>2.4166098982977401E-2</v>
      </c>
      <c r="Z14" s="50">
        <f>C14*(F14)*$B$381</f>
        <v>1.7662149598755138E-2</v>
      </c>
      <c r="AA14" s="50">
        <f>Z14*0.21</f>
        <v>3.7090514157385786E-3</v>
      </c>
      <c r="AB14" s="50">
        <f>C14*(($F14*($Q14)))/453.59</f>
        <v>96.814105590256631</v>
      </c>
      <c r="AC14" s="50">
        <f>C14*(($F14*($R14)))/453.59</f>
        <v>5.5322484357440338E-3</v>
      </c>
      <c r="AD14" s="50">
        <f>C14*(($F14*($S14)))/453.59</f>
        <v>2.4799901288000137E-3</v>
      </c>
    </row>
    <row r="15" spans="1:30">
      <c r="A15" s="75" t="s">
        <v>28</v>
      </c>
      <c r="B15" s="74"/>
      <c r="C15" s="112"/>
      <c r="D15" s="112"/>
      <c r="E15" s="74"/>
      <c r="F15" s="74"/>
      <c r="G15" s="437"/>
      <c r="H15" s="41"/>
      <c r="I15" s="41"/>
      <c r="J15" s="41"/>
      <c r="K15" s="434"/>
      <c r="L15" s="434"/>
      <c r="M15" s="434"/>
      <c r="N15" s="434"/>
      <c r="O15" s="434"/>
      <c r="P15" s="434"/>
      <c r="Q15" s="41"/>
      <c r="R15" s="434"/>
      <c r="S15" s="434"/>
      <c r="T15" s="81">
        <f t="shared" ref="T15:AD15" si="1">SUM(T14:T14)</f>
        <v>9.9891275533645019E-2</v>
      </c>
      <c r="U15" s="81">
        <f t="shared" si="1"/>
        <v>0.18440937782971867</v>
      </c>
      <c r="V15" s="81">
        <f t="shared" si="1"/>
        <v>2.253067276294635E-2</v>
      </c>
      <c r="W15" s="81">
        <f t="shared" si="1"/>
        <v>1.3898613406074772E-3</v>
      </c>
      <c r="X15" s="81">
        <f t="shared" si="1"/>
        <v>3.6369464870151122E-2</v>
      </c>
      <c r="Y15" s="81">
        <f t="shared" si="1"/>
        <v>2.4166098982977401E-2</v>
      </c>
      <c r="Z15" s="81">
        <f t="shared" si="1"/>
        <v>1.7662149598755138E-2</v>
      </c>
      <c r="AA15" s="81">
        <f t="shared" si="1"/>
        <v>3.7090514157385786E-3</v>
      </c>
      <c r="AB15" s="81">
        <f t="shared" si="1"/>
        <v>96.814105590256631</v>
      </c>
      <c r="AC15" s="81">
        <f t="shared" si="1"/>
        <v>5.5322484357440338E-3</v>
      </c>
      <c r="AD15" s="81">
        <f t="shared" si="1"/>
        <v>2.4799901288000137E-3</v>
      </c>
    </row>
    <row r="16" spans="1:30">
      <c r="A16" s="75" t="s">
        <v>388</v>
      </c>
      <c r="B16" s="74"/>
      <c r="C16" s="112"/>
      <c r="D16" s="112"/>
      <c r="E16" s="74"/>
      <c r="F16" s="74"/>
      <c r="G16" s="437"/>
      <c r="H16" s="41"/>
      <c r="I16" s="41"/>
      <c r="J16" s="41"/>
      <c r="K16" s="434"/>
      <c r="L16" s="434"/>
      <c r="M16" s="434"/>
      <c r="N16" s="434"/>
      <c r="O16" s="434"/>
      <c r="P16" s="434"/>
      <c r="Q16" s="41"/>
      <c r="R16" s="434"/>
      <c r="S16" s="434"/>
      <c r="T16" s="81">
        <f t="shared" ref="T16:AD16" si="2">T11+T15</f>
        <v>0.39072851835654249</v>
      </c>
      <c r="U16" s="81">
        <f t="shared" si="2"/>
        <v>1.2456056144453032</v>
      </c>
      <c r="V16" s="81">
        <f t="shared" si="2"/>
        <v>9.1355157250166866E-2</v>
      </c>
      <c r="W16" s="81">
        <f t="shared" si="2"/>
        <v>4.6689738551826346E-3</v>
      </c>
      <c r="X16" s="81">
        <f t="shared" si="2"/>
        <v>0.10261955151502915</v>
      </c>
      <c r="Y16" s="81">
        <f t="shared" si="2"/>
        <v>7.0344182612085943E-2</v>
      </c>
      <c r="Z16" s="81">
        <f t="shared" si="2"/>
        <v>4.3174143463623665E-2</v>
      </c>
      <c r="AA16" s="81">
        <f t="shared" si="2"/>
        <v>9.0665701273609702E-3</v>
      </c>
      <c r="AB16" s="81">
        <f t="shared" si="2"/>
        <v>495.35022090407864</v>
      </c>
      <c r="AC16" s="81">
        <f t="shared" si="2"/>
        <v>1.3751548399529145E-2</v>
      </c>
      <c r="AD16" s="81">
        <f t="shared" si="2"/>
        <v>1.2688891258678878E-2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371" spans="1:2" ht="25.5">
      <c r="A371" s="82" t="s">
        <v>109</v>
      </c>
    </row>
    <row r="373" spans="1:2">
      <c r="A373" s="36" t="s">
        <v>81</v>
      </c>
    </row>
    <row r="374" spans="1:2">
      <c r="A374" s="36" t="s">
        <v>82</v>
      </c>
    </row>
    <row r="375" spans="1:2">
      <c r="A375" s="36" t="s">
        <v>83</v>
      </c>
    </row>
    <row r="376" spans="1:2">
      <c r="A376" s="37" t="s">
        <v>96</v>
      </c>
    </row>
    <row r="377" spans="1:2">
      <c r="A377" s="36" t="s">
        <v>85</v>
      </c>
    </row>
    <row r="378" spans="1:2">
      <c r="A378" s="36" t="s">
        <v>86</v>
      </c>
    </row>
    <row r="379" spans="1:2">
      <c r="A379" s="36" t="s">
        <v>87</v>
      </c>
    </row>
    <row r="380" spans="1:2">
      <c r="A380" s="36" t="s">
        <v>0</v>
      </c>
    </row>
    <row r="381" spans="1:2">
      <c r="A381" s="37" t="s">
        <v>97</v>
      </c>
      <c r="B381" s="36">
        <f>(0.016*(0.03/2)^0.65*(2/3)^1.5)-0.00047</f>
        <v>9.8123053326417428E-5</v>
      </c>
    </row>
    <row r="382" spans="1:2">
      <c r="A382" s="37" t="s">
        <v>98</v>
      </c>
      <c r="B382" s="36">
        <f>(0.016*(0.03/2)^0.65*(13/3)^1.5)-0.00047</f>
        <v>8.9448292388582783E-3</v>
      </c>
    </row>
    <row r="383" spans="1:2">
      <c r="A383" s="37" t="s">
        <v>99</v>
      </c>
      <c r="B383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B-14
Construction Truck Trip Emissions
Installation of 69kV Position at Miguel Substation</oddHeader>
    <oddFooter>&amp;CB-14</oddFooter>
  </headerFooter>
</worksheet>
</file>

<file path=xl/worksheets/sheet33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B97" sqref="B97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854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336</v>
      </c>
      <c r="B5" s="45" t="s">
        <v>102</v>
      </c>
      <c r="C5" s="46">
        <v>6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43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435" t="s">
        <v>55</v>
      </c>
      <c r="G88" s="435" t="s">
        <v>73</v>
      </c>
      <c r="H88" s="435" t="s">
        <v>74</v>
      </c>
      <c r="I88" s="435" t="s">
        <v>58</v>
      </c>
      <c r="J88" s="435" t="s">
        <v>59</v>
      </c>
      <c r="K88" s="435" t="s">
        <v>60</v>
      </c>
      <c r="L88" s="434" t="s">
        <v>75</v>
      </c>
      <c r="M88" s="434" t="s">
        <v>76</v>
      </c>
      <c r="N88" s="434" t="s">
        <v>61</v>
      </c>
      <c r="O88" s="434" t="s">
        <v>62</v>
      </c>
      <c r="P88" s="434" t="s">
        <v>63</v>
      </c>
      <c r="AN88" s="38"/>
      <c r="AZ88" s="36"/>
    </row>
    <row r="89" spans="1:52" ht="25.5">
      <c r="A89" s="44" t="str">
        <f t="shared" ref="A89:C90" si="52">A4</f>
        <v>Substation General Construction</v>
      </c>
      <c r="B89" s="45" t="str">
        <f t="shared" si="52"/>
        <v>Light-Duty Truck, catalyst</v>
      </c>
      <c r="C89" s="46">
        <f t="shared" si="52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53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si="52"/>
        <v>Substation Above Grade Construction</v>
      </c>
      <c r="B90" s="45" t="str">
        <f t="shared" si="52"/>
        <v>Light-Duty Truck, catalyst</v>
      </c>
      <c r="C90" s="46">
        <f t="shared" si="52"/>
        <v>6</v>
      </c>
      <c r="D90" s="46">
        <v>35</v>
      </c>
      <c r="E90" s="46">
        <v>80</v>
      </c>
      <c r="F90" s="50">
        <f>C5*($E5*$F5+($G5))/453.59</f>
        <v>2.9143163152855203</v>
      </c>
      <c r="G90" s="50">
        <f>C5*($E5*$H5+($I5))/453.59</f>
        <v>0.26202394376626803</v>
      </c>
      <c r="H90" s="50">
        <f>C5*(($E5*$J5)+($K5)+($L5)+($E5*$N5)+(($M5+$O5)))/453.59</f>
        <v>0.30299988194371996</v>
      </c>
      <c r="I90" s="50">
        <f>C5*($E5*$P5+($Q5))/453.59</f>
        <v>4.3607821629636952E-3</v>
      </c>
      <c r="J90" s="50">
        <f>C5*(($E5*($R5+$T5+$U5))+($S5))/453.59</f>
        <v>5.1144542731247376E-2</v>
      </c>
      <c r="K90" s="50">
        <f>$C5*(($E5*($V5+$X5+$Y5))+($W5))/453.59</f>
        <v>2.2272031945518852E-2</v>
      </c>
      <c r="L90" s="50">
        <f>$B$22*C5*(E5+6)</f>
        <v>5.0631495516431396E-2</v>
      </c>
      <c r="M90" s="50">
        <f t="shared" si="53"/>
        <v>2.0758913161736871E-2</v>
      </c>
      <c r="N90" s="50">
        <f>C5*($E5*$Z5+($AA5))/453.59</f>
        <v>332.54146035623342</v>
      </c>
      <c r="O90" s="50">
        <f>C5*($E5*$AB5+($AC5))/453.59</f>
        <v>1.9022852334181495E-2</v>
      </c>
      <c r="P90" s="50">
        <f>C5*($E5*$AD5+($AE5))/453.59</f>
        <v>3.4626719483060162E-2</v>
      </c>
      <c r="AN90" s="38"/>
      <c r="AZ90" s="36"/>
    </row>
    <row r="91" spans="1:52">
      <c r="A91" s="61" t="s">
        <v>396</v>
      </c>
      <c r="B91" s="61"/>
      <c r="C91" s="61"/>
      <c r="D91" s="61"/>
      <c r="E91" s="61"/>
      <c r="F91" s="81">
        <f>SUM(F89:F90)</f>
        <v>4.3714744729282806</v>
      </c>
      <c r="G91" s="81">
        <f t="shared" ref="G91:P91" si="54">SUM(G89:G90)</f>
        <v>0.39303591564940205</v>
      </c>
      <c r="H91" s="81">
        <f t="shared" si="54"/>
        <v>0.45449982291557994</v>
      </c>
      <c r="I91" s="81">
        <f t="shared" si="54"/>
        <v>6.5411732444455428E-3</v>
      </c>
      <c r="J91" s="81">
        <f t="shared" si="54"/>
        <v>7.6716814096871061E-2</v>
      </c>
      <c r="K91" s="81">
        <f t="shared" si="54"/>
        <v>3.3408047918278276E-2</v>
      </c>
      <c r="L91" s="81">
        <f t="shared" si="54"/>
        <v>7.5947243274647094E-2</v>
      </c>
      <c r="M91" s="81">
        <f t="shared" si="54"/>
        <v>3.1138369742605306E-2</v>
      </c>
      <c r="N91" s="81">
        <f t="shared" si="54"/>
        <v>498.81219053435012</v>
      </c>
      <c r="O91" s="81">
        <f t="shared" si="54"/>
        <v>2.8534278501272242E-2</v>
      </c>
      <c r="P91" s="81">
        <f t="shared" si="54"/>
        <v>5.1940079224590242E-2</v>
      </c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B-15
Construction Worker Commute Emission Calculations
Installation of 69kV Position at Miguel Substation</oddHeader>
    <oddFooter>&amp;CB-15</oddFooter>
  </headerFooter>
</worksheet>
</file>

<file path=xl/worksheets/sheet33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6"/>
  <sheetViews>
    <sheetView zoomScale="75" zoomScaleNormal="75" workbookViewId="0">
      <selection activeCell="B31" sqref="B31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855</v>
      </c>
    </row>
    <row r="2" spans="1:25">
      <c r="A2" s="83"/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304</v>
      </c>
      <c r="B7" s="29">
        <v>2015</v>
      </c>
      <c r="C7" s="22"/>
      <c r="D7" s="18"/>
      <c r="E7" s="23"/>
      <c r="F7" s="23"/>
      <c r="G7" s="23"/>
      <c r="H7" s="23"/>
      <c r="I7" s="23"/>
      <c r="J7" s="24"/>
      <c r="K7" s="25"/>
      <c r="L7" s="23"/>
      <c r="M7" s="33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 t="s">
        <v>119</v>
      </c>
      <c r="B8" s="90" t="s">
        <v>27</v>
      </c>
      <c r="C8" s="97">
        <v>78</v>
      </c>
      <c r="D8" s="97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9" si="0">0.89*I8</f>
        <v>2.2038095238095235E-2</v>
      </c>
      <c r="K8" s="103">
        <v>46.950229824177143</v>
      </c>
      <c r="L8" s="102">
        <v>6.837183977115969E-3</v>
      </c>
      <c r="M8" s="104">
        <f t="shared" ref="M8:M9" si="1">0.095*G8</f>
        <v>3.7022555555555545E-2</v>
      </c>
      <c r="N8" s="98">
        <v>1</v>
      </c>
      <c r="O8" s="98">
        <v>6</v>
      </c>
      <c r="P8" s="88">
        <v>40</v>
      </c>
      <c r="Q8" s="34">
        <f t="shared" ref="Q8:Y9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113" t="s">
        <v>305</v>
      </c>
      <c r="B9" s="29" t="s">
        <v>27</v>
      </c>
      <c r="C9" s="97">
        <v>235</v>
      </c>
      <c r="D9" s="97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87">
        <v>1</v>
      </c>
      <c r="O9" s="87">
        <v>2</v>
      </c>
      <c r="P9" s="99">
        <v>40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17" t="s">
        <v>28</v>
      </c>
      <c r="B10" s="29"/>
      <c r="C10" s="97"/>
      <c r="D10" s="12"/>
      <c r="E10" s="102"/>
      <c r="F10" s="102"/>
      <c r="G10" s="102"/>
      <c r="H10" s="102"/>
      <c r="I10" s="102"/>
      <c r="J10" s="100"/>
      <c r="K10" s="103"/>
      <c r="L10" s="102"/>
      <c r="M10" s="104"/>
      <c r="N10" s="98"/>
      <c r="O10" s="98"/>
      <c r="P10" s="99"/>
      <c r="Q10" s="101">
        <f t="shared" ref="Q10:Y10" si="3">SUM(Q8:Q9)</f>
        <v>0.61044079959177677</v>
      </c>
      <c r="R10" s="101">
        <f t="shared" si="3"/>
        <v>2.5626248194240024</v>
      </c>
      <c r="S10" s="101">
        <f t="shared" si="3"/>
        <v>4.0738959523119966</v>
      </c>
      <c r="T10" s="101">
        <f t="shared" si="3"/>
        <v>7.0523446396705937E-3</v>
      </c>
      <c r="U10" s="101">
        <f t="shared" si="3"/>
        <v>0.20665485316260829</v>
      </c>
      <c r="V10" s="101">
        <f t="shared" si="3"/>
        <v>0.18392281931472138</v>
      </c>
      <c r="W10" s="101">
        <f t="shared" si="3"/>
        <v>614.7922101941133</v>
      </c>
      <c r="X10" s="101">
        <f t="shared" si="3"/>
        <v>6.2302969818088499E-2</v>
      </c>
      <c r="Y10" s="101">
        <f t="shared" si="3"/>
        <v>0.38702011546963966</v>
      </c>
    </row>
    <row r="11" spans="1:25" s="3" customFormat="1">
      <c r="A11" s="24"/>
      <c r="B11" s="29"/>
      <c r="C11" s="97"/>
      <c r="D11" s="12"/>
      <c r="E11" s="102"/>
      <c r="F11" s="102"/>
      <c r="G11" s="102"/>
      <c r="H11" s="102"/>
      <c r="I11" s="102"/>
      <c r="J11" s="100"/>
      <c r="K11" s="103"/>
      <c r="L11" s="102"/>
      <c r="M11" s="104"/>
      <c r="N11" s="98"/>
      <c r="O11" s="98"/>
      <c r="P11" s="99"/>
      <c r="Q11" s="34"/>
      <c r="R11" s="26"/>
      <c r="S11" s="26"/>
      <c r="T11" s="26"/>
      <c r="U11" s="26"/>
      <c r="V11" s="26"/>
      <c r="W11" s="26"/>
      <c r="X11" s="26"/>
      <c r="Y11" s="26"/>
    </row>
    <row r="12" spans="1:25" s="3" customFormat="1">
      <c r="A12" s="17" t="s">
        <v>308</v>
      </c>
      <c r="B12" s="29"/>
      <c r="C12" s="97"/>
      <c r="D12" s="12"/>
      <c r="E12" s="102"/>
      <c r="F12" s="102"/>
      <c r="G12" s="102"/>
      <c r="H12" s="102"/>
      <c r="I12" s="102"/>
      <c r="J12" s="100"/>
      <c r="K12" s="103"/>
      <c r="L12" s="102"/>
      <c r="M12" s="104"/>
      <c r="N12" s="98"/>
      <c r="O12" s="98"/>
      <c r="P12" s="99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24" t="s">
        <v>114</v>
      </c>
      <c r="B13" s="90" t="s">
        <v>27</v>
      </c>
      <c r="C13" s="97">
        <v>34</v>
      </c>
      <c r="D13" s="97">
        <v>0.31</v>
      </c>
      <c r="E13" s="102">
        <v>4.2958246826547246E-2</v>
      </c>
      <c r="F13" s="397">
        <v>9.5268959435626091E-2</v>
      </c>
      <c r="G13" s="397">
        <v>0.12361728395061726</v>
      </c>
      <c r="H13" s="102">
        <v>2.5354407605791113E-4</v>
      </c>
      <c r="I13" s="397">
        <v>1.0456349206349205E-2</v>
      </c>
      <c r="J13" s="100">
        <f t="shared" ref="J13:J14" si="4">0.89*I13</f>
        <v>9.3061507936507935E-3</v>
      </c>
      <c r="K13" s="103">
        <v>19.61276416423032</v>
      </c>
      <c r="L13" s="102">
        <v>4.8141782348593348E-3</v>
      </c>
      <c r="M13" s="104">
        <f t="shared" ref="M13:M14" si="5">0.095*G13</f>
        <v>1.174364197530864E-2</v>
      </c>
      <c r="N13" s="87">
        <v>1</v>
      </c>
      <c r="O13" s="87">
        <v>6</v>
      </c>
      <c r="P13" s="88">
        <v>20</v>
      </c>
      <c r="Q13" s="34">
        <f t="shared" ref="Q13:Y14" si="6">(E13*$N13*$O13)</f>
        <v>0.25774948095928346</v>
      </c>
      <c r="R13" s="26">
        <f t="shared" si="6"/>
        <v>0.57161375661375657</v>
      </c>
      <c r="S13" s="26">
        <f t="shared" si="6"/>
        <v>0.74170370370370353</v>
      </c>
      <c r="T13" s="26">
        <f t="shared" si="6"/>
        <v>1.5212644563474668E-3</v>
      </c>
      <c r="U13" s="26">
        <f t="shared" si="6"/>
        <v>6.2738095238095232E-2</v>
      </c>
      <c r="V13" s="26">
        <f t="shared" si="6"/>
        <v>5.5836904761904761E-2</v>
      </c>
      <c r="W13" s="26">
        <f t="shared" si="6"/>
        <v>117.67658498538192</v>
      </c>
      <c r="X13" s="26">
        <f t="shared" si="6"/>
        <v>2.8885069409156007E-2</v>
      </c>
      <c r="Y13" s="26">
        <f t="shared" si="6"/>
        <v>7.0461851851851845E-2</v>
      </c>
    </row>
    <row r="14" spans="1:25" s="3" customFormat="1">
      <c r="A14" s="24" t="s">
        <v>297</v>
      </c>
      <c r="B14" s="29" t="s">
        <v>27</v>
      </c>
      <c r="C14" s="97">
        <v>235</v>
      </c>
      <c r="D14" s="97"/>
      <c r="E14" s="102">
        <v>0.11792220738547983</v>
      </c>
      <c r="F14" s="102">
        <v>0.36512193352152528</v>
      </c>
      <c r="G14" s="102">
        <v>0.86781464282266541</v>
      </c>
      <c r="H14" s="102">
        <v>1.8739217498104396E-3</v>
      </c>
      <c r="I14" s="102">
        <v>2.9041712295589866E-2</v>
      </c>
      <c r="J14" s="100">
        <f t="shared" si="4"/>
        <v>2.5847123943074982E-2</v>
      </c>
      <c r="K14" s="103">
        <v>166.54541562452522</v>
      </c>
      <c r="L14" s="102">
        <v>1.063993297769634E-2</v>
      </c>
      <c r="M14" s="104">
        <f t="shared" si="5"/>
        <v>8.2442391068153209E-2</v>
      </c>
      <c r="N14" s="98">
        <v>1</v>
      </c>
      <c r="O14" s="98">
        <v>2</v>
      </c>
      <c r="P14" s="88">
        <v>20</v>
      </c>
      <c r="Q14" s="34">
        <f t="shared" si="6"/>
        <v>0.23584441477095966</v>
      </c>
      <c r="R14" s="26">
        <f t="shared" si="6"/>
        <v>0.73024386704305055</v>
      </c>
      <c r="S14" s="26">
        <f t="shared" si="6"/>
        <v>1.7356292856453308</v>
      </c>
      <c r="T14" s="26">
        <f t="shared" si="6"/>
        <v>3.7478434996208792E-3</v>
      </c>
      <c r="U14" s="26">
        <f t="shared" si="6"/>
        <v>5.8083424591179732E-2</v>
      </c>
      <c r="V14" s="26">
        <f t="shared" si="6"/>
        <v>5.1694247886149965E-2</v>
      </c>
      <c r="W14" s="26">
        <f t="shared" si="6"/>
        <v>333.09083124905044</v>
      </c>
      <c r="X14" s="26">
        <f t="shared" si="6"/>
        <v>2.127986595539268E-2</v>
      </c>
      <c r="Y14" s="26">
        <f t="shared" si="6"/>
        <v>0.16488478213630642</v>
      </c>
    </row>
    <row r="15" spans="1:25" s="3" customFormat="1">
      <c r="A15" s="17" t="s">
        <v>28</v>
      </c>
      <c r="B15" s="97"/>
      <c r="C15" s="22"/>
      <c r="D15" s="18"/>
      <c r="E15" s="23"/>
      <c r="F15" s="23"/>
      <c r="G15" s="23"/>
      <c r="H15" s="23"/>
      <c r="I15" s="23"/>
      <c r="J15" s="24"/>
      <c r="K15" s="25"/>
      <c r="L15" s="23"/>
      <c r="M15" s="23"/>
      <c r="N15" s="88"/>
      <c r="O15" s="88"/>
      <c r="P15" s="88"/>
      <c r="Q15" s="27">
        <f t="shared" ref="Q15:Y15" si="7">SUM(Q13:Q14)</f>
        <v>0.49359389573024315</v>
      </c>
      <c r="R15" s="27">
        <f t="shared" si="7"/>
        <v>1.3018576236568071</v>
      </c>
      <c r="S15" s="27">
        <f t="shared" si="7"/>
        <v>2.4773329893490343</v>
      </c>
      <c r="T15" s="27">
        <f t="shared" si="7"/>
        <v>5.2691079559683465E-3</v>
      </c>
      <c r="U15" s="27">
        <f t="shared" si="7"/>
        <v>0.12082151982927497</v>
      </c>
      <c r="V15" s="27">
        <f t="shared" si="7"/>
        <v>0.10753115264805473</v>
      </c>
      <c r="W15" s="27">
        <f t="shared" si="7"/>
        <v>450.76741623443235</v>
      </c>
      <c r="X15" s="27">
        <f t="shared" si="7"/>
        <v>5.0164935364548691E-2</v>
      </c>
      <c r="Y15" s="27">
        <f t="shared" si="7"/>
        <v>0.23534663398815825</v>
      </c>
    </row>
    <row r="16" spans="1:25">
      <c r="A16" s="11" t="s">
        <v>103</v>
      </c>
      <c r="B16" s="438"/>
      <c r="C16" s="438"/>
      <c r="D16" s="438"/>
      <c r="E16" s="426"/>
      <c r="F16" s="426"/>
      <c r="G16" s="426"/>
      <c r="H16" s="426"/>
      <c r="I16" s="426"/>
      <c r="J16" s="426"/>
      <c r="K16" s="426"/>
      <c r="L16" s="426"/>
      <c r="M16" s="426"/>
      <c r="N16" s="17"/>
      <c r="O16" s="123"/>
      <c r="P16" s="123"/>
      <c r="Q16" s="20">
        <f t="shared" ref="Q16:Y16" si="8">Q10+Q15</f>
        <v>1.1040346953220199</v>
      </c>
      <c r="R16" s="20">
        <f t="shared" si="8"/>
        <v>3.8644824430808096</v>
      </c>
      <c r="S16" s="20">
        <f t="shared" si="8"/>
        <v>6.551228941661031</v>
      </c>
      <c r="T16" s="20">
        <f t="shared" si="8"/>
        <v>1.2321452595638941E-2</v>
      </c>
      <c r="U16" s="20">
        <f t="shared" si="8"/>
        <v>0.32747637299188326</v>
      </c>
      <c r="V16" s="20">
        <f t="shared" si="8"/>
        <v>0.29145397196277611</v>
      </c>
      <c r="W16" s="20">
        <f t="shared" si="8"/>
        <v>1065.5596264285457</v>
      </c>
      <c r="X16" s="20">
        <f t="shared" si="8"/>
        <v>0.11246790518263719</v>
      </c>
      <c r="Y16" s="20">
        <f t="shared" si="8"/>
        <v>0.62236674945779791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>&amp;CTable B-13
Construction Heavy Equipment Emissions
Installation of 69kV Position at Miguel Substation</oddHeader>
    <oddFooter>&amp;CB-13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35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552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72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314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8</v>
      </c>
      <c r="P8" s="88">
        <v>125</v>
      </c>
      <c r="Q8" s="34">
        <f t="shared" ref="Q8:Y10" si="2">(E8*$N8*$O8)</f>
        <v>0.49946184642775621</v>
      </c>
      <c r="R8" s="26">
        <f t="shared" si="2"/>
        <v>2.4431746031746027</v>
      </c>
      <c r="S8" s="26">
        <f t="shared" si="2"/>
        <v>3.1176888888888881</v>
      </c>
      <c r="T8" s="26">
        <f t="shared" si="2"/>
        <v>4.4060015200662857E-3</v>
      </c>
      <c r="U8" s="26">
        <f t="shared" si="2"/>
        <v>0.19809523809523807</v>
      </c>
      <c r="V8" s="26">
        <f t="shared" si="2"/>
        <v>0.17630476190476188</v>
      </c>
      <c r="W8" s="26">
        <f t="shared" si="2"/>
        <v>375.60183859341714</v>
      </c>
      <c r="X8" s="26">
        <f t="shared" si="2"/>
        <v>5.4697471816927752E-2</v>
      </c>
      <c r="Y8" s="26">
        <f t="shared" si="2"/>
        <v>0.29618044444444436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9</v>
      </c>
      <c r="P9" s="363">
        <v>125</v>
      </c>
      <c r="Q9" s="34">
        <f t="shared" si="2"/>
        <v>1.0612998664693185</v>
      </c>
      <c r="R9" s="26">
        <f t="shared" si="2"/>
        <v>3.2860974016937274</v>
      </c>
      <c r="S9" s="26">
        <f t="shared" si="2"/>
        <v>7.8103317854039886</v>
      </c>
      <c r="T9" s="26">
        <f t="shared" si="2"/>
        <v>1.6865295748293957E-2</v>
      </c>
      <c r="U9" s="26">
        <f t="shared" si="2"/>
        <v>0.26137541066030878</v>
      </c>
      <c r="V9" s="26">
        <f t="shared" si="2"/>
        <v>0.23262411548767484</v>
      </c>
      <c r="W9" s="26">
        <f t="shared" si="2"/>
        <v>1498.908740620727</v>
      </c>
      <c r="X9" s="26">
        <f t="shared" si="2"/>
        <v>9.5759396799267066E-2</v>
      </c>
      <c r="Y9" s="26">
        <f t="shared" si="2"/>
        <v>0.74198151961337888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3</v>
      </c>
      <c r="P10" s="363">
        <v>125</v>
      </c>
      <c r="Q10" s="34">
        <f t="shared" si="2"/>
        <v>3.9051121312432671E-2</v>
      </c>
      <c r="R10" s="26">
        <f t="shared" si="2"/>
        <v>0.1468253968253968</v>
      </c>
      <c r="S10" s="26">
        <f t="shared" si="2"/>
        <v>0.13018518518518515</v>
      </c>
      <c r="T10" s="26">
        <f t="shared" si="2"/>
        <v>4.7652059865273245E-4</v>
      </c>
      <c r="U10" s="26">
        <f t="shared" si="2"/>
        <v>1.4682539682539681E-2</v>
      </c>
      <c r="V10" s="26">
        <f t="shared" si="2"/>
        <v>1.3067460317460314E-2</v>
      </c>
      <c r="W10" s="26">
        <f t="shared" si="2"/>
        <v>30.622980859093083</v>
      </c>
      <c r="X10" s="26">
        <f t="shared" si="2"/>
        <v>3.8388136396804665E-3</v>
      </c>
      <c r="Y10" s="26">
        <f t="shared" si="2"/>
        <v>1.236759259259259E-2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1.5998128342095075</v>
      </c>
      <c r="R11" s="101">
        <f t="shared" ref="R11:Y11" si="3">SUM(R8:R10)</f>
        <v>5.8760974016937269</v>
      </c>
      <c r="S11" s="101">
        <f t="shared" si="3"/>
        <v>11.058205859478063</v>
      </c>
      <c r="T11" s="101">
        <f t="shared" si="3"/>
        <v>2.1747817867012974E-2</v>
      </c>
      <c r="U11" s="101">
        <f t="shared" si="3"/>
        <v>0.47415318843808657</v>
      </c>
      <c r="V11" s="101">
        <f t="shared" si="3"/>
        <v>0.42199633770989703</v>
      </c>
      <c r="W11" s="101">
        <f t="shared" si="3"/>
        <v>1905.1335600732373</v>
      </c>
      <c r="X11" s="101">
        <f t="shared" si="3"/>
        <v>0.15429568225587528</v>
      </c>
      <c r="Y11" s="101">
        <f t="shared" si="3"/>
        <v>1.0505295566504158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87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7" t="s">
        <v>315</v>
      </c>
      <c r="B13" s="579"/>
      <c r="C13" s="18"/>
      <c r="D13" s="18"/>
      <c r="E13" s="19"/>
      <c r="F13" s="19"/>
      <c r="G13" s="19"/>
      <c r="H13" s="19"/>
      <c r="I13" s="19"/>
      <c r="J13" s="19"/>
      <c r="K13" s="19"/>
      <c r="L13" s="19"/>
      <c r="M13" s="19"/>
      <c r="N13" s="30"/>
      <c r="O13" s="30"/>
      <c r="P13" s="30"/>
      <c r="Q13" s="20"/>
      <c r="R13" s="20"/>
      <c r="S13" s="20"/>
      <c r="T13" s="20"/>
      <c r="U13" s="20"/>
      <c r="V13" s="20"/>
      <c r="W13" s="21"/>
      <c r="X13" s="20"/>
      <c r="Y13" s="20"/>
    </row>
    <row r="14" spans="1:25" s="3" customFormat="1">
      <c r="A14" s="24" t="s">
        <v>119</v>
      </c>
      <c r="B14" s="90" t="s">
        <v>27</v>
      </c>
      <c r="C14" s="22">
        <v>78</v>
      </c>
      <c r="D14" s="22">
        <f>VLOOKUP(A14,'Offroad Tiers LF'!$B$6:$C$40,2,FALSE)</f>
        <v>0.48</v>
      </c>
      <c r="E14" s="102">
        <v>6.2432730803469526E-2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0.30539682539682533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0.38971111111111101</v>
      </c>
      <c r="H14" s="102">
        <v>5.5075019000828571E-4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2.4761904761904759E-2</v>
      </c>
      <c r="J14" s="100">
        <f t="shared" ref="J14:J16" si="4">0.89*I14</f>
        <v>2.2038095238095235E-2</v>
      </c>
      <c r="K14" s="103">
        <v>46.950229824177143</v>
      </c>
      <c r="L14" s="102">
        <v>6.837183977115969E-3</v>
      </c>
      <c r="M14" s="104">
        <f t="shared" ref="M14:M16" si="5">0.095*G14</f>
        <v>3.7022555555555545E-2</v>
      </c>
      <c r="N14" s="98">
        <v>1</v>
      </c>
      <c r="O14" s="98">
        <v>6</v>
      </c>
      <c r="P14" s="88">
        <v>125</v>
      </c>
      <c r="Q14" s="34">
        <f t="shared" ref="Q14:Q16" si="6">(E14*$N14*$O14)</f>
        <v>0.37459638482081714</v>
      </c>
      <c r="R14" s="26">
        <f t="shared" ref="R14:R16" si="7">(F14*$N14*$O14)</f>
        <v>1.832380952380952</v>
      </c>
      <c r="S14" s="26">
        <f t="shared" ref="S14:S16" si="8">(G14*$N14*$O14)</f>
        <v>2.3382666666666658</v>
      </c>
      <c r="T14" s="26">
        <f t="shared" ref="T14:T16" si="9">(H14*$N14*$O14)</f>
        <v>3.3045011400497145E-3</v>
      </c>
      <c r="U14" s="26">
        <f t="shared" ref="U14:U16" si="10">(I14*$N14*$O14)</f>
        <v>0.14857142857142855</v>
      </c>
      <c r="V14" s="26">
        <f t="shared" ref="V14:V16" si="11">(J14*$N14*$O14)</f>
        <v>0.13222857142857142</v>
      </c>
      <c r="W14" s="26">
        <f t="shared" ref="W14:W16" si="12">(K14*$N14*$O14)</f>
        <v>281.70137894506286</v>
      </c>
      <c r="X14" s="26">
        <f t="shared" ref="X14:X16" si="13">(L14*$N14*$O14)</f>
        <v>4.1023103862695816E-2</v>
      </c>
      <c r="Y14" s="26">
        <f t="shared" ref="Y14:Y16" si="14">(M14*$N14*$O14)</f>
        <v>0.22213533333333327</v>
      </c>
    </row>
    <row r="15" spans="1:25" s="3" customFormat="1">
      <c r="A15" s="24" t="s">
        <v>305</v>
      </c>
      <c r="B15" s="29" t="s">
        <v>27</v>
      </c>
      <c r="C15" s="22">
        <v>175</v>
      </c>
      <c r="D15" s="22"/>
      <c r="E15" s="102">
        <v>0.11792220738547983</v>
      </c>
      <c r="F15" s="102">
        <v>0.36512193352152528</v>
      </c>
      <c r="G15" s="102">
        <v>0.86781464282266541</v>
      </c>
      <c r="H15" s="102">
        <v>1.8739217498104396E-3</v>
      </c>
      <c r="I15" s="102">
        <v>2.9041712295589866E-2</v>
      </c>
      <c r="J15" s="100">
        <f t="shared" si="4"/>
        <v>2.5847123943074982E-2</v>
      </c>
      <c r="K15" s="103">
        <v>166.54541562452522</v>
      </c>
      <c r="L15" s="102">
        <v>1.063993297769634E-2</v>
      </c>
      <c r="M15" s="104">
        <f t="shared" si="5"/>
        <v>8.2442391068153209E-2</v>
      </c>
      <c r="N15" s="98">
        <v>1</v>
      </c>
      <c r="O15" s="87">
        <v>2</v>
      </c>
      <c r="P15" s="363">
        <v>125</v>
      </c>
      <c r="Q15" s="34">
        <f t="shared" si="6"/>
        <v>0.23584441477095966</v>
      </c>
      <c r="R15" s="26">
        <f t="shared" si="7"/>
        <v>0.73024386704305055</v>
      </c>
      <c r="S15" s="26">
        <f t="shared" si="8"/>
        <v>1.7356292856453308</v>
      </c>
      <c r="T15" s="26">
        <f t="shared" si="9"/>
        <v>3.7478434996208792E-3</v>
      </c>
      <c r="U15" s="26">
        <f t="shared" si="10"/>
        <v>5.8083424591179732E-2</v>
      </c>
      <c r="V15" s="26">
        <f t="shared" si="11"/>
        <v>5.1694247886149965E-2</v>
      </c>
      <c r="W15" s="26">
        <f t="shared" si="12"/>
        <v>333.09083124905044</v>
      </c>
      <c r="X15" s="26">
        <f t="shared" si="13"/>
        <v>2.127986595539268E-2</v>
      </c>
      <c r="Y15" s="26">
        <f t="shared" si="14"/>
        <v>0.16488478213630642</v>
      </c>
    </row>
    <row r="16" spans="1:25" s="3" customFormat="1">
      <c r="A16" s="24" t="s">
        <v>368</v>
      </c>
      <c r="B16" s="29" t="s">
        <v>27</v>
      </c>
      <c r="C16" s="22">
        <v>5</v>
      </c>
      <c r="D16" s="22">
        <v>0.74</v>
      </c>
      <c r="E16" s="102">
        <v>1.3017040437477556E-2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4.8941798941798939E-2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4.3395061728395051E-2</v>
      </c>
      <c r="H16" s="102">
        <v>1.5884019955091081E-4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4.8941798941798936E-3</v>
      </c>
      <c r="J16" s="100">
        <f t="shared" si="4"/>
        <v>4.3558201058201051E-3</v>
      </c>
      <c r="K16" s="103">
        <v>10.20766028636436</v>
      </c>
      <c r="L16" s="102">
        <v>1.2796045465601556E-3</v>
      </c>
      <c r="M16" s="104">
        <f t="shared" si="5"/>
        <v>4.1225308641975296E-3</v>
      </c>
      <c r="N16" s="98">
        <v>1</v>
      </c>
      <c r="O16" s="87">
        <v>8</v>
      </c>
      <c r="P16" s="363">
        <v>125</v>
      </c>
      <c r="Q16" s="34">
        <f t="shared" si="6"/>
        <v>0.10413632349982045</v>
      </c>
      <c r="R16" s="26">
        <f t="shared" si="7"/>
        <v>0.39153439153439151</v>
      </c>
      <c r="S16" s="26">
        <f t="shared" si="8"/>
        <v>0.34716049382716041</v>
      </c>
      <c r="T16" s="26">
        <f t="shared" si="9"/>
        <v>1.2707215964072865E-3</v>
      </c>
      <c r="U16" s="26">
        <f t="shared" si="10"/>
        <v>3.9153439153439148E-2</v>
      </c>
      <c r="V16" s="26">
        <f t="shared" si="11"/>
        <v>3.4846560846560841E-2</v>
      </c>
      <c r="W16" s="26">
        <f t="shared" si="12"/>
        <v>81.661282290914883</v>
      </c>
      <c r="X16" s="26">
        <f t="shared" si="13"/>
        <v>1.0236836372481245E-2</v>
      </c>
      <c r="Y16" s="26">
        <f t="shared" si="14"/>
        <v>3.2980246913580237E-2</v>
      </c>
    </row>
    <row r="17" spans="1:32" s="3" customFormat="1">
      <c r="A17" s="17" t="s">
        <v>28</v>
      </c>
      <c r="B17" s="29"/>
      <c r="C17" s="22"/>
      <c r="D17" s="22"/>
      <c r="E17" s="108"/>
      <c r="F17" s="108"/>
      <c r="G17" s="108"/>
      <c r="H17" s="108"/>
      <c r="I17" s="108"/>
      <c r="J17" s="100"/>
      <c r="K17" s="365"/>
      <c r="L17" s="110"/>
      <c r="M17" s="102"/>
      <c r="N17" s="98"/>
      <c r="O17" s="87"/>
      <c r="P17" s="363"/>
      <c r="Q17" s="101">
        <f>SUM(Q14:Q16)</f>
        <v>0.71457712309159727</v>
      </c>
      <c r="R17" s="101">
        <f t="shared" ref="R17:Y17" si="15">SUM(R14:R16)</f>
        <v>2.9541592109583941</v>
      </c>
      <c r="S17" s="101">
        <f t="shared" si="15"/>
        <v>4.4210564461391568</v>
      </c>
      <c r="T17" s="101">
        <f t="shared" si="15"/>
        <v>8.32306623607788E-3</v>
      </c>
      <c r="U17" s="101">
        <f t="shared" si="15"/>
        <v>0.24580829231604745</v>
      </c>
      <c r="V17" s="101">
        <f t="shared" si="15"/>
        <v>0.21876938016128222</v>
      </c>
      <c r="W17" s="101">
        <f t="shared" si="15"/>
        <v>696.45349248502816</v>
      </c>
      <c r="X17" s="101">
        <f t="shared" si="15"/>
        <v>7.2539806190569739E-2</v>
      </c>
      <c r="Y17" s="101">
        <f t="shared" si="15"/>
        <v>0.42000036238321992</v>
      </c>
    </row>
    <row r="18" spans="1:32" s="3" customFormat="1">
      <c r="A18" s="24"/>
      <c r="B18" s="29"/>
      <c r="C18" s="22"/>
      <c r="D18" s="22"/>
      <c r="E18" s="108"/>
      <c r="F18" s="108"/>
      <c r="G18" s="108"/>
      <c r="H18" s="108"/>
      <c r="I18" s="108"/>
      <c r="J18" s="100"/>
      <c r="K18" s="365"/>
      <c r="L18" s="110"/>
      <c r="M18" s="102"/>
      <c r="N18" s="98"/>
      <c r="O18" s="98"/>
      <c r="P18" s="363"/>
      <c r="Q18" s="34"/>
      <c r="R18" s="26"/>
      <c r="S18" s="26"/>
      <c r="T18" s="26"/>
      <c r="U18" s="26"/>
      <c r="V18" s="26"/>
      <c r="W18" s="26"/>
      <c r="X18" s="26"/>
      <c r="Y18" s="26"/>
    </row>
    <row r="19" spans="1:32" s="3" customFormat="1">
      <c r="A19" s="17" t="s">
        <v>281</v>
      </c>
      <c r="B19" s="90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30"/>
      <c r="O19" s="30"/>
      <c r="P19" s="30"/>
      <c r="Q19" s="20"/>
      <c r="R19" s="20"/>
      <c r="S19" s="27"/>
      <c r="T19" s="20"/>
      <c r="U19" s="20"/>
      <c r="V19" s="20"/>
      <c r="W19" s="21"/>
      <c r="X19" s="20"/>
      <c r="Y19" s="20"/>
    </row>
    <row r="20" spans="1:32" s="3" customFormat="1">
      <c r="A20" s="100" t="s">
        <v>120</v>
      </c>
      <c r="B20" s="29" t="s">
        <v>27</v>
      </c>
      <c r="C20" s="22">
        <v>358</v>
      </c>
      <c r="D20" s="22">
        <v>0.4</v>
      </c>
      <c r="E20" s="108">
        <v>0.27937428148624566</v>
      </c>
      <c r="F20" s="397">
        <f>IF($C20&lt;11,'Offroad Tiers EF (2)'!$AN$4*$C20*$D20,IF($C20&lt;25,'Offroad Tiers EF (2)'!$AN$5*$C20*$D20,IF($C20&lt;50,'Offroad Tiers EF (2)'!$AN$6*$C20*$D20,IF($C20&lt;75,'Offroad Tiers EF (2)'!$AN$7*$C20*$D20,IF($C20&lt;100,'Offroad Tiers EF (2)'!$AN$8*$C20*$D20,IF($C20&lt;175,'Offroad Tiers EF (2)'!$AN$9*$C20*$D20,IF($C20&lt;300,'Offroad Tiers EF (2)'!$AN$10*$C20*$D20,IF($C20&lt;600,'Offroad Tiers EF (2)'!$AN$11*$C20*$D20,"!"))))))))</f>
        <v>0.82081128747795418</v>
      </c>
      <c r="G20" s="397">
        <f>IF($C20&lt;11,'Offroad Tiers EF (2)'!$AM$4*$C20*$D20,IF($C20&lt;25,'Offroad Tiers EF (2)'!$AM$5*$C20*$D20,IF($C20&lt;50,'Offroad Tiers EF (2)'!$AM$6*$C20*$D20,IF($C20&lt;75,'Offroad Tiers EF (2)'!$AM$7*$C20*$D20,IF($C20&lt;100,'Offroad Tiers EF (2)'!$AM$8*$C20*$D20,IF($C20&lt;175,'Offroad Tiers EF (2)'!$AM$9*$C20*$D20,IF($C20&lt;300,'Offroad Tiers EF (2)'!$AM$10*$C20*$D20,IF($C20&lt;600,'Offroad Tiers EF (2)'!$AM$11*$C20*$D20,"!"))))))))</f>
        <v>1.2776243386243384</v>
      </c>
      <c r="H20" s="108">
        <v>2.5998088533883764E-3</v>
      </c>
      <c r="I20" s="397">
        <f>IF($C20&lt;11,'Offroad Tiers EF (2)'!$AO$4*$C20*$D20,IF($C20&lt;25,'Offroad Tiers EF (2)'!$AO$5*$C20*$D20,IF($C20&lt;50,'Offroad Tiers EF (2)'!$AO$6*$C20*$D20,IF($C20&lt;75,'Offroad Tiers EF (2)'!$AO$7*$C20*$D20,IF($C20&lt;100,'Offroad Tiers EF (2)'!$AO$8*$C20*$D20,IF($C20&lt;175,'Offroad Tiers EF (2)'!$AO$9*$C20*$D20,IF($C20&lt;300,'Offroad Tiers EF (2)'!$AO$10*$C20*$D20,IF($C20&lt;600,'Offroad Tiers EF (2)'!$AO$11*$C20*$D20,"!"))))))))</f>
        <v>4.735449735449735E-2</v>
      </c>
      <c r="J20" s="100">
        <f t="shared" ref="J20:J25" si="16">0.89*I20</f>
        <v>4.2145502645502646E-2</v>
      </c>
      <c r="K20" s="108">
        <v>264.8725636721183</v>
      </c>
      <c r="L20" s="108">
        <v>2.6451144743432839E-2</v>
      </c>
      <c r="M20" s="102">
        <f t="shared" ref="M20:M25" si="17">0.095*G20</f>
        <v>0.12137431216931216</v>
      </c>
      <c r="N20" s="98">
        <v>1</v>
      </c>
      <c r="O20" s="87">
        <v>8</v>
      </c>
      <c r="P20" s="363">
        <v>75</v>
      </c>
      <c r="Q20" s="34">
        <f t="shared" ref="Q20:Y25" si="18">(E20*$N20*$O20)</f>
        <v>2.2349942518899653</v>
      </c>
      <c r="R20" s="26">
        <f t="shared" si="18"/>
        <v>6.5664902998236334</v>
      </c>
      <c r="S20" s="26">
        <f t="shared" si="18"/>
        <v>10.220994708994708</v>
      </c>
      <c r="T20" s="26">
        <f t="shared" si="18"/>
        <v>2.0798470827107011E-2</v>
      </c>
      <c r="U20" s="26">
        <f t="shared" si="18"/>
        <v>0.3788359788359788</v>
      </c>
      <c r="V20" s="26">
        <f t="shared" si="18"/>
        <v>0.33716402116402117</v>
      </c>
      <c r="W20" s="26">
        <f t="shared" si="18"/>
        <v>2118.9805093769464</v>
      </c>
      <c r="X20" s="26">
        <f t="shared" si="18"/>
        <v>0.21160915794746271</v>
      </c>
      <c r="Y20" s="26">
        <f t="shared" si="18"/>
        <v>0.97099449735449728</v>
      </c>
    </row>
    <row r="21" spans="1:32" s="6" customFormat="1">
      <c r="A21" s="100" t="s">
        <v>121</v>
      </c>
      <c r="B21" s="29" t="s">
        <v>27</v>
      </c>
      <c r="C21" s="22">
        <v>162</v>
      </c>
      <c r="D21" s="22">
        <v>0.41</v>
      </c>
      <c r="E21" s="108">
        <v>0.12153885438656534</v>
      </c>
      <c r="F21" s="397">
        <f>IF($C21&lt;11,'Offroad Tiers EF (2)'!$AN$4*$C21*$D21,IF($C21&lt;25,'Offroad Tiers EF (2)'!$AN$5*$C21*$D21,IF($C21&lt;50,'Offroad Tiers EF (2)'!$AN$6*$C21*$D21,IF($C21&lt;75,'Offroad Tiers EF (2)'!$AN$7*$C21*$D21,IF($C21&lt;100,'Offroad Tiers EF (2)'!$AN$8*$C21*$D21,IF($C21&lt;175,'Offroad Tiers EF (2)'!$AN$9*$C21*$D21,IF($C21&lt;300,'Offroad Tiers EF (2)'!$AN$10*$C21*$D21,IF($C21&lt;600,'Offroad Tiers EF (2)'!$AN$11*$C21*$D21,"!"))))))))</f>
        <v>0.5417857142857142</v>
      </c>
      <c r="G21" s="397">
        <f>IF($C21&lt;11,'Offroad Tiers EF (2)'!$AM$4*$C21*$D21,IF($C21&lt;25,'Offroad Tiers EF (2)'!$AM$5*$C21*$D21,IF($C21&lt;50,'Offroad Tiers EF (2)'!$AM$6*$C21*$D21,IF($C21&lt;75,'Offroad Tiers EF (2)'!$AM$7*$C21*$D21,IF($C21&lt;100,'Offroad Tiers EF (2)'!$AM$8*$C21*$D21,IF($C21&lt;175,'Offroad Tiers EF (2)'!$AM$9*$C21*$D21,IF($C21&lt;300,'Offroad Tiers EF (2)'!$AM$10*$C21*$D21,IF($C21&lt;600,'Offroad Tiers EF (2)'!$AM$11*$C21*$D21,"!"))))))))</f>
        <v>0.60233392857142853</v>
      </c>
      <c r="H21" s="108">
        <v>1.3943296443626662E-3</v>
      </c>
      <c r="I21" s="397">
        <f>IF($C21&lt;11,'Offroad Tiers EF (2)'!$AO$4*$C21*$D21,IF($C21&lt;25,'Offroad Tiers EF (2)'!$AO$5*$C21*$D21,IF($C21&lt;50,'Offroad Tiers EF (2)'!$AO$6*$C21*$D21,IF($C21&lt;75,'Offroad Tiers EF (2)'!$AO$7*$C21*$D21,IF($C21&lt;100,'Offroad Tiers EF (2)'!$AO$8*$C21*$D21,IF($C21&lt;175,'Offroad Tiers EF (2)'!$AO$9*$C21*$D21,IF($C21&lt;300,'Offroad Tiers EF (2)'!$AO$10*$C21*$D21,IF($C21&lt;600,'Offroad Tiers EF (2)'!$AO$11*$C21*$D21,"!"))))))))</f>
        <v>3.2214285714285709E-2</v>
      </c>
      <c r="J21" s="100">
        <f t="shared" si="16"/>
        <v>2.8670714285714282E-2</v>
      </c>
      <c r="K21" s="365">
        <v>123.92149503712022</v>
      </c>
      <c r="L21" s="23">
        <v>1.1720218383966691E-2</v>
      </c>
      <c r="M21" s="102">
        <f t="shared" si="17"/>
        <v>5.7221723214285709E-2</v>
      </c>
      <c r="N21" s="98">
        <v>1</v>
      </c>
      <c r="O21" s="87">
        <v>8</v>
      </c>
      <c r="P21" s="363">
        <v>75</v>
      </c>
      <c r="Q21" s="34">
        <f t="shared" si="18"/>
        <v>0.9723108350925227</v>
      </c>
      <c r="R21" s="26">
        <f t="shared" si="18"/>
        <v>4.3342857142857136</v>
      </c>
      <c r="S21" s="26">
        <f t="shared" si="18"/>
        <v>4.8186714285714283</v>
      </c>
      <c r="T21" s="26">
        <f t="shared" si="18"/>
        <v>1.115463715490133E-2</v>
      </c>
      <c r="U21" s="26">
        <f t="shared" si="18"/>
        <v>0.25771428571428567</v>
      </c>
      <c r="V21" s="26">
        <f t="shared" si="18"/>
        <v>0.22936571428571426</v>
      </c>
      <c r="W21" s="26">
        <f t="shared" si="18"/>
        <v>991.37196029696179</v>
      </c>
      <c r="X21" s="26">
        <f t="shared" si="18"/>
        <v>9.3761747071733528E-2</v>
      </c>
      <c r="Y21" s="26">
        <f t="shared" si="18"/>
        <v>0.45777378571428567</v>
      </c>
      <c r="AF21" s="7"/>
    </row>
    <row r="22" spans="1:32" s="6" customFormat="1">
      <c r="A22" s="100" t="s">
        <v>123</v>
      </c>
      <c r="B22" s="29" t="s">
        <v>27</v>
      </c>
      <c r="C22" s="22">
        <v>84</v>
      </c>
      <c r="D22" s="22">
        <v>0.38</v>
      </c>
      <c r="E22" s="102">
        <v>7.9534395197012789E-2</v>
      </c>
      <c r="F22" s="397">
        <f>IF($C22&lt;11,'Offroad Tiers EF (2)'!$AN$4*$C22*$D22,IF($C22&lt;25,'Offroad Tiers EF (2)'!$AN$5*$C22*$D22,IF($C22&lt;50,'Offroad Tiers EF (2)'!$AN$6*$C22*$D22,IF($C22&lt;75,'Offroad Tiers EF (2)'!$AN$7*$C22*$D22,IF($C22&lt;100,'Offroad Tiers EF (2)'!$AN$8*$C22*$D22,IF($C22&lt;175,'Offroad Tiers EF (2)'!$AN$9*$C22*$D22,IF($C22&lt;300,'Offroad Tiers EF (2)'!$AN$10*$C22*$D22,IF($C22&lt;600,'Offroad Tiers EF (2)'!$AN$11*$C22*$D22,"!"))))))))</f>
        <v>0.26037037037037036</v>
      </c>
      <c r="G22" s="397">
        <f>IF($C22&lt;11,'Offroad Tiers EF (2)'!$AM$4*$C22*$D22,IF($C22&lt;25,'Offroad Tiers EF (2)'!$AM$5*$C22*$D22,IF($C22&lt;50,'Offroad Tiers EF (2)'!$AM$6*$C22*$D22,IF($C22&lt;75,'Offroad Tiers EF (2)'!$AM$7*$C22*$D22,IF($C22&lt;100,'Offroad Tiers EF (2)'!$AM$8*$C22*$D22,IF($C22&lt;175,'Offroad Tiers EF (2)'!$AM$9*$C22*$D22,IF($C22&lt;300,'Offroad Tiers EF (2)'!$AM$10*$C22*$D22,IF($C22&lt;600,'Offroad Tiers EF (2)'!$AM$11*$C22*$D22,"!"))))))))</f>
        <v>0.33225370370370361</v>
      </c>
      <c r="H22" s="102">
        <v>6.9196834691909377E-4</v>
      </c>
      <c r="I22" s="397">
        <f>IF($C22&lt;11,'Offroad Tiers EF (2)'!$AO$4*$C22*$D22,IF($C22&lt;25,'Offroad Tiers EF (2)'!$AO$5*$C22*$D22,IF($C22&lt;50,'Offroad Tiers EF (2)'!$AO$6*$C22*$D22,IF($C22&lt;75,'Offroad Tiers EF (2)'!$AO$7*$C22*$D22,IF($C22&lt;100,'Offroad Tiers EF (2)'!$AO$8*$C22*$D22,IF($C22&lt;175,'Offroad Tiers EF (2)'!$AO$9*$C22*$D22,IF($C22&lt;300,'Offroad Tiers EF (2)'!$AO$10*$C22*$D22,IF($C22&lt;600,'Offroad Tiers EF (2)'!$AO$11*$C22*$D22,"!"))))))))</f>
        <v>2.1111111111111112E-2</v>
      </c>
      <c r="J22" s="100">
        <f t="shared" si="16"/>
        <v>1.878888888888889E-2</v>
      </c>
      <c r="K22" s="103">
        <v>58.988746640295226</v>
      </c>
      <c r="L22" s="102">
        <v>7.7311979659905822E-3</v>
      </c>
      <c r="M22" s="102">
        <f t="shared" si="17"/>
        <v>3.1564101851851843E-2</v>
      </c>
      <c r="N22" s="363">
        <v>1</v>
      </c>
      <c r="O22" s="87">
        <v>8</v>
      </c>
      <c r="P22" s="363">
        <v>75</v>
      </c>
      <c r="Q22" s="34">
        <f t="shared" si="18"/>
        <v>0.63627516157610231</v>
      </c>
      <c r="R22" s="26">
        <f t="shared" si="18"/>
        <v>2.0829629629629629</v>
      </c>
      <c r="S22" s="26">
        <f t="shared" si="18"/>
        <v>2.6580296296296289</v>
      </c>
      <c r="T22" s="26">
        <f t="shared" si="18"/>
        <v>5.5357467753527501E-3</v>
      </c>
      <c r="U22" s="26">
        <f t="shared" si="18"/>
        <v>0.16888888888888889</v>
      </c>
      <c r="V22" s="26">
        <f t="shared" si="18"/>
        <v>0.15031111111111112</v>
      </c>
      <c r="W22" s="26">
        <f t="shared" si="18"/>
        <v>471.90997312236181</v>
      </c>
      <c r="X22" s="26">
        <f t="shared" si="18"/>
        <v>6.1849583727924658E-2</v>
      </c>
      <c r="Y22" s="26">
        <f t="shared" si="18"/>
        <v>0.25251281481481475</v>
      </c>
      <c r="AF22" s="7"/>
    </row>
    <row r="23" spans="1:32">
      <c r="A23" s="100" t="s">
        <v>282</v>
      </c>
      <c r="B23" s="29" t="s">
        <v>27</v>
      </c>
      <c r="C23" s="97">
        <v>37</v>
      </c>
      <c r="D23" s="22">
        <v>0.37</v>
      </c>
      <c r="E23" s="102">
        <v>3.2313389441625637E-2</v>
      </c>
      <c r="F23" s="397">
        <f>IF($C23&lt;11,'Offroad Tiers EF (2)'!$AN$4*$C23*$D23,IF($C23&lt;25,'Offroad Tiers EF (2)'!$AN$5*$C23*$D23,IF($C23&lt;50,'Offroad Tiers EF (2)'!$AN$6*$C23*$D23,IF($C23&lt;75,'Offroad Tiers EF (2)'!$AN$7*$C23*$D23,IF($C23&lt;100,'Offroad Tiers EF (2)'!$AN$8*$C23*$D23,IF($C23&lt;175,'Offroad Tiers EF (2)'!$AN$9*$C23*$D23,IF($C23&lt;300,'Offroad Tiers EF (2)'!$AN$10*$C23*$D23,IF($C23&lt;600,'Offroad Tiers EF (2)'!$AN$11*$C23*$D23,"!"))))))))</f>
        <v>0.12374118165784832</v>
      </c>
      <c r="G23" s="397">
        <f>IF($C23&lt;11,'Offroad Tiers EF (2)'!$AM$4*$C23*$D23,IF($C23&lt;25,'Offroad Tiers EF (2)'!$AM$5*$C23*$D23,IF($C23&lt;50,'Offroad Tiers EF (2)'!$AM$6*$C23*$D23,IF($C23&lt;75,'Offroad Tiers EF (2)'!$AM$7*$C23*$D23,IF($C23&lt;100,'Offroad Tiers EF (2)'!$AM$8*$C23*$D23,IF($C23&lt;175,'Offroad Tiers EF (2)'!$AM$9*$C23*$D23,IF($C23&lt;300,'Offroad Tiers EF (2)'!$AM$10*$C23*$D23,IF($C23&lt;600,'Offroad Tiers EF (2)'!$AM$11*$C23*$D23,"!"))))))))</f>
        <v>0.16056172839506169</v>
      </c>
      <c r="H23" s="102">
        <v>3.2989906092678058E-4</v>
      </c>
      <c r="I23" s="397">
        <f>IF($C23&lt;11,'Offroad Tiers EF (2)'!$AO$4*$C23*$D23,IF($C23&lt;25,'Offroad Tiers EF (2)'!$AO$5*$C23*$D23,IF($C23&lt;50,'Offroad Tiers EF (2)'!$AO$6*$C23*$D23,IF($C23&lt;75,'Offroad Tiers EF (2)'!$AO$7*$C23*$D23,IF($C23&lt;100,'Offroad Tiers EF (2)'!$AO$8*$C23*$D23,IF($C23&lt;175,'Offroad Tiers EF (2)'!$AO$9*$C23*$D23,IF($C23&lt;300,'Offroad Tiers EF (2)'!$AO$10*$C23*$D23,IF($C23&lt;600,'Offroad Tiers EF (2)'!$AO$11*$C23*$D23,"!"))))))))</f>
        <v>1.3581349206349205E-2</v>
      </c>
      <c r="J23" s="100">
        <f t="shared" si="16"/>
        <v>1.2087400793650793E-2</v>
      </c>
      <c r="K23" s="103">
        <v>25.519156990664225</v>
      </c>
      <c r="L23" s="102">
        <v>3.413848047070189E-3</v>
      </c>
      <c r="M23" s="104">
        <f t="shared" si="17"/>
        <v>1.5253364197530862E-2</v>
      </c>
      <c r="N23" s="87">
        <v>1</v>
      </c>
      <c r="O23" s="87">
        <v>8</v>
      </c>
      <c r="P23" s="363">
        <v>75</v>
      </c>
      <c r="Q23" s="34">
        <f t="shared" si="18"/>
        <v>0.25850711553300509</v>
      </c>
      <c r="R23" s="26">
        <f t="shared" si="18"/>
        <v>0.98992945326278659</v>
      </c>
      <c r="S23" s="26">
        <f t="shared" si="18"/>
        <v>1.2844938271604935</v>
      </c>
      <c r="T23" s="26">
        <f t="shared" si="18"/>
        <v>2.6391924874142447E-3</v>
      </c>
      <c r="U23" s="26">
        <f t="shared" si="18"/>
        <v>0.10865079365079364</v>
      </c>
      <c r="V23" s="26">
        <f t="shared" si="18"/>
        <v>9.669920634920634E-2</v>
      </c>
      <c r="W23" s="26">
        <f t="shared" si="18"/>
        <v>204.1532559253138</v>
      </c>
      <c r="X23" s="26">
        <f t="shared" si="18"/>
        <v>2.7310784376561512E-2</v>
      </c>
      <c r="Y23" s="26">
        <f t="shared" si="18"/>
        <v>0.12202691358024689</v>
      </c>
    </row>
    <row r="24" spans="1:32">
      <c r="A24" s="100" t="s">
        <v>283</v>
      </c>
      <c r="B24" s="29" t="s">
        <v>27</v>
      </c>
      <c r="C24" s="22">
        <v>88</v>
      </c>
      <c r="D24" s="22"/>
      <c r="E24" s="102">
        <v>7.7350469494183435E-2</v>
      </c>
      <c r="F24" s="102">
        <v>0.50168655138603524</v>
      </c>
      <c r="G24" s="102">
        <v>0.53236808560333904</v>
      </c>
      <c r="H24" s="102">
        <v>8.8025852246575076E-4</v>
      </c>
      <c r="I24" s="102">
        <v>3.9192407788964947E-2</v>
      </c>
      <c r="J24" s="100">
        <f t="shared" si="16"/>
        <v>3.4881242932178806E-2</v>
      </c>
      <c r="K24" s="103">
        <v>75.040091008231684</v>
      </c>
      <c r="L24" s="102">
        <v>6.9792086054076847E-3</v>
      </c>
      <c r="M24" s="102">
        <f t="shared" si="17"/>
        <v>5.0574968132317211E-2</v>
      </c>
      <c r="N24" s="98">
        <v>1</v>
      </c>
      <c r="O24" s="87">
        <v>8</v>
      </c>
      <c r="P24" s="363">
        <v>30</v>
      </c>
      <c r="Q24" s="34">
        <f t="shared" si="18"/>
        <v>0.61880375595346748</v>
      </c>
      <c r="R24" s="26">
        <f t="shared" si="18"/>
        <v>4.0134924110882819</v>
      </c>
      <c r="S24" s="26">
        <f t="shared" si="18"/>
        <v>4.2589446848267123</v>
      </c>
      <c r="T24" s="26">
        <f t="shared" si="18"/>
        <v>7.0420681797260061E-3</v>
      </c>
      <c r="U24" s="26">
        <f t="shared" si="18"/>
        <v>0.31353926231171958</v>
      </c>
      <c r="V24" s="26">
        <f t="shared" si="18"/>
        <v>0.27904994345743045</v>
      </c>
      <c r="W24" s="26">
        <f t="shared" si="18"/>
        <v>600.32072806585347</v>
      </c>
      <c r="X24" s="26">
        <f t="shared" si="18"/>
        <v>5.5833668843261477E-2</v>
      </c>
      <c r="Y24" s="26">
        <f t="shared" si="18"/>
        <v>0.40459974505853769</v>
      </c>
    </row>
    <row r="25" spans="1:32">
      <c r="A25" s="100" t="s">
        <v>126</v>
      </c>
      <c r="B25" s="29" t="s">
        <v>27</v>
      </c>
      <c r="C25" s="22">
        <v>175</v>
      </c>
      <c r="D25" s="22"/>
      <c r="E25" s="102">
        <v>0.11792220738547983</v>
      </c>
      <c r="F25" s="102">
        <v>0.36512193352152528</v>
      </c>
      <c r="G25" s="102">
        <v>0.86781464282266541</v>
      </c>
      <c r="H25" s="102">
        <v>1.8739217498104396E-3</v>
      </c>
      <c r="I25" s="102">
        <v>2.9041712295589866E-2</v>
      </c>
      <c r="J25" s="100">
        <f t="shared" si="16"/>
        <v>2.5847123943074982E-2</v>
      </c>
      <c r="K25" s="103">
        <v>166.54541562452522</v>
      </c>
      <c r="L25" s="102">
        <v>1.063993297769634E-2</v>
      </c>
      <c r="M25" s="104">
        <f t="shared" si="17"/>
        <v>8.2442391068153209E-2</v>
      </c>
      <c r="N25" s="98">
        <v>2</v>
      </c>
      <c r="O25" s="87">
        <v>8</v>
      </c>
      <c r="P25" s="363">
        <v>75</v>
      </c>
      <c r="Q25" s="34">
        <f t="shared" si="18"/>
        <v>1.8867553181676773</v>
      </c>
      <c r="R25" s="26">
        <f t="shared" si="18"/>
        <v>5.8419509363444044</v>
      </c>
      <c r="S25" s="26">
        <f t="shared" si="18"/>
        <v>13.885034285162646</v>
      </c>
      <c r="T25" s="26">
        <f t="shared" si="18"/>
        <v>2.9982747996967034E-2</v>
      </c>
      <c r="U25" s="26">
        <f t="shared" si="18"/>
        <v>0.46466739672943785</v>
      </c>
      <c r="V25" s="26">
        <f t="shared" si="18"/>
        <v>0.41355398308919972</v>
      </c>
      <c r="W25" s="26">
        <f t="shared" si="18"/>
        <v>2664.7266499924035</v>
      </c>
      <c r="X25" s="26">
        <f t="shared" si="18"/>
        <v>0.17023892764314144</v>
      </c>
      <c r="Y25" s="26">
        <f t="shared" si="18"/>
        <v>1.3190782570904513</v>
      </c>
    </row>
    <row r="26" spans="1:32">
      <c r="A26" s="11" t="s">
        <v>28</v>
      </c>
      <c r="B26" s="579"/>
      <c r="C26" s="18"/>
      <c r="D26" s="22"/>
      <c r="E26" s="19"/>
      <c r="F26" s="19"/>
      <c r="G26" s="19"/>
      <c r="H26" s="19"/>
      <c r="I26" s="19"/>
      <c r="J26" s="19"/>
      <c r="K26" s="19"/>
      <c r="L26" s="19"/>
      <c r="M26" s="19"/>
      <c r="N26" s="30"/>
      <c r="O26" s="30"/>
      <c r="P26" s="364"/>
      <c r="Q26" s="20">
        <f t="shared" ref="Q26:Y26" si="19">SUM(Q20:Q25)</f>
        <v>6.6076464382127398</v>
      </c>
      <c r="R26" s="20">
        <f t="shared" si="19"/>
        <v>23.829111777767782</v>
      </c>
      <c r="S26" s="27">
        <f t="shared" si="19"/>
        <v>37.126168564345619</v>
      </c>
      <c r="T26" s="20">
        <f t="shared" si="19"/>
        <v>7.7152863421468376E-2</v>
      </c>
      <c r="U26" s="20">
        <f t="shared" si="19"/>
        <v>1.6922966061311044</v>
      </c>
      <c r="V26" s="20">
        <f t="shared" si="19"/>
        <v>1.5061439794566829</v>
      </c>
      <c r="W26" s="20">
        <f t="shared" si="19"/>
        <v>7051.4630767798408</v>
      </c>
      <c r="X26" s="20">
        <f t="shared" si="19"/>
        <v>0.62060386961008529</v>
      </c>
      <c r="Y26" s="20">
        <f t="shared" si="19"/>
        <v>3.5269860136128335</v>
      </c>
    </row>
    <row r="27" spans="1:32">
      <c r="A27" s="11"/>
      <c r="B27" s="579"/>
      <c r="C27" s="18"/>
      <c r="D27" s="22"/>
      <c r="E27" s="19"/>
      <c r="F27" s="19"/>
      <c r="G27" s="19"/>
      <c r="H27" s="19"/>
      <c r="I27" s="19"/>
      <c r="J27" s="19"/>
      <c r="K27" s="19"/>
      <c r="L27" s="19"/>
      <c r="M27" s="19"/>
      <c r="N27" s="30"/>
      <c r="O27" s="375"/>
      <c r="P27" s="364"/>
      <c r="Q27" s="20"/>
      <c r="R27" s="20"/>
      <c r="S27" s="27"/>
      <c r="T27" s="20"/>
      <c r="U27" s="20"/>
      <c r="V27" s="20"/>
      <c r="W27" s="21"/>
      <c r="X27" s="20"/>
      <c r="Y27" s="20"/>
    </row>
    <row r="28" spans="1:32">
      <c r="A28" s="17" t="s">
        <v>285</v>
      </c>
      <c r="B28" s="90"/>
      <c r="C28" s="18"/>
      <c r="D28" s="22"/>
      <c r="E28" s="19"/>
      <c r="F28" s="19"/>
      <c r="G28" s="19"/>
      <c r="H28" s="19"/>
      <c r="I28" s="19"/>
      <c r="J28" s="19"/>
      <c r="K28" s="19"/>
      <c r="L28" s="19"/>
      <c r="M28" s="19"/>
      <c r="N28" s="30"/>
      <c r="O28" s="17"/>
      <c r="P28" s="533"/>
      <c r="Q28" s="20"/>
      <c r="R28" s="20"/>
      <c r="S28" s="20"/>
      <c r="T28" s="20"/>
      <c r="U28" s="20"/>
      <c r="V28" s="20"/>
      <c r="W28" s="21"/>
      <c r="X28" s="20"/>
      <c r="Y28" s="20"/>
    </row>
    <row r="29" spans="1:32">
      <c r="A29" s="100" t="s">
        <v>124</v>
      </c>
      <c r="B29" s="29" t="s">
        <v>27</v>
      </c>
      <c r="C29" s="97">
        <v>87</v>
      </c>
      <c r="D29" s="22">
        <v>0.37</v>
      </c>
      <c r="E29" s="102">
        <v>7.7253202863558038E-2</v>
      </c>
      <c r="F29" s="397">
        <f>IF($C29&lt;11,'Offroad Tiers EF (2)'!$AN$4*$C29*$D29,IF($C29&lt;25,'Offroad Tiers EF (2)'!$AN$5*$C29*$D29,IF($C29&lt;50,'Offroad Tiers EF (2)'!$AN$6*$C29*$D29,IF($C29&lt;75,'Offroad Tiers EF (2)'!$AN$7*$C29*$D29,IF($C29&lt;100,'Offroad Tiers EF (2)'!$AN$8*$C29*$D29,IF($C29&lt;175,'Offroad Tiers EF (2)'!$AN$9*$C29*$D29,IF($C29&lt;300,'Offroad Tiers EF (2)'!$AN$10*$C29*$D29,IF($C29&lt;600,'Offroad Tiers EF (2)'!$AN$11*$C29*$D29,"!"))))))))</f>
        <v>0.26257275132275132</v>
      </c>
      <c r="G29" s="397">
        <f>IF($C29&lt;11,'Offroad Tiers EF (2)'!$AM$4*$C29*$D29,IF($C29&lt;25,'Offroad Tiers EF (2)'!$AM$5*$C29*$D29,IF($C29&lt;50,'Offroad Tiers EF (2)'!$AM$6*$C29*$D29,IF($C29&lt;75,'Offroad Tiers EF (2)'!$AM$7*$C29*$D29,IF($C29&lt;100,'Offroad Tiers EF (2)'!$AM$8*$C29*$D29,IF($C29&lt;175,'Offroad Tiers EF (2)'!$AM$9*$C29*$D29,IF($C29&lt;300,'Offroad Tiers EF (2)'!$AM$10*$C29*$D29,IF($C29&lt;600,'Offroad Tiers EF (2)'!$AM$11*$C29*$D29,"!"))))))))</f>
        <v>0.33506412037037031</v>
      </c>
      <c r="H29" s="102">
        <v>6.910856115004858E-4</v>
      </c>
      <c r="I29" s="397">
        <f>IF($C29&lt;11,'Offroad Tiers EF (2)'!$AO$4*$C29*$D29,IF($C29&lt;25,'Offroad Tiers EF (2)'!$AO$5*$C29*$D29,IF($C29&lt;50,'Offroad Tiers EF (2)'!$AO$6*$C29*$D29,IF($C29&lt;75,'Offroad Tiers EF (2)'!$AO$7*$C29*$D29,IF($C29&lt;100,'Offroad Tiers EF (2)'!$AO$8*$C29*$D29,IF($C29&lt;175,'Offroad Tiers EF (2)'!$AO$9*$C29*$D29,IF($C29&lt;300,'Offroad Tiers EF (2)'!$AO$10*$C29*$D29,IF($C29&lt;600,'Offroad Tiers EF (2)'!$AO$11*$C29*$D29,"!"))))))))</f>
        <v>2.1289682539682539E-2</v>
      </c>
      <c r="J29" s="100">
        <f t="shared" ref="J29:J32" si="20">0.89*I29</f>
        <v>1.894781746031746E-2</v>
      </c>
      <c r="K29" s="103">
        <v>58.913505111712794</v>
      </c>
      <c r="L29" s="102">
        <v>7.5344751889799754E-3</v>
      </c>
      <c r="M29" s="102">
        <f t="shared" ref="M29:M32" si="21">0.095*G29</f>
        <v>3.1831091435185178E-2</v>
      </c>
      <c r="N29" s="98">
        <v>1</v>
      </c>
      <c r="O29" s="87">
        <v>8</v>
      </c>
      <c r="P29" s="363">
        <v>15</v>
      </c>
      <c r="Q29" s="34">
        <f t="shared" ref="Q29:Y32" si="22">(E29*$N29*$O29)</f>
        <v>0.6180256229084643</v>
      </c>
      <c r="R29" s="26">
        <f t="shared" si="22"/>
        <v>2.1005820105820106</v>
      </c>
      <c r="S29" s="26">
        <f t="shared" si="22"/>
        <v>2.6805129629629625</v>
      </c>
      <c r="T29" s="26">
        <f t="shared" si="22"/>
        <v>5.5286848920038864E-3</v>
      </c>
      <c r="U29" s="26">
        <f t="shared" si="22"/>
        <v>0.17031746031746031</v>
      </c>
      <c r="V29" s="26">
        <f t="shared" si="22"/>
        <v>0.15158253968253968</v>
      </c>
      <c r="W29" s="26">
        <f t="shared" si="22"/>
        <v>471.30804089370235</v>
      </c>
      <c r="X29" s="26">
        <f t="shared" si="22"/>
        <v>6.0275801511839804E-2</v>
      </c>
      <c r="Y29" s="26">
        <f t="shared" si="22"/>
        <v>0.25464873148148143</v>
      </c>
    </row>
    <row r="30" spans="1:32">
      <c r="A30" s="100" t="s">
        <v>123</v>
      </c>
      <c r="B30" s="29" t="s">
        <v>27</v>
      </c>
      <c r="C30" s="22">
        <v>84</v>
      </c>
      <c r="D30" s="22">
        <v>0.38</v>
      </c>
      <c r="E30" s="102">
        <v>7.9534395197012789E-2</v>
      </c>
      <c r="F30" s="397">
        <f>IF($C30&lt;11,'Offroad Tiers EF (2)'!$AN$4*$C30*$D30,IF($C30&lt;25,'Offroad Tiers EF (2)'!$AN$5*$C30*$D30,IF($C30&lt;50,'Offroad Tiers EF (2)'!$AN$6*$C30*$D30,IF($C30&lt;75,'Offroad Tiers EF (2)'!$AN$7*$C30*$D30,IF($C30&lt;100,'Offroad Tiers EF (2)'!$AN$8*$C30*$D30,IF($C30&lt;175,'Offroad Tiers EF (2)'!$AN$9*$C30*$D30,IF($C30&lt;300,'Offroad Tiers EF (2)'!$AN$10*$C30*$D30,IF($C30&lt;600,'Offroad Tiers EF (2)'!$AN$11*$C30*$D30,"!"))))))))</f>
        <v>0.26037037037037036</v>
      </c>
      <c r="G30" s="397">
        <f>IF($C30&lt;11,'Offroad Tiers EF (2)'!$AM$4*$C30*$D30,IF($C30&lt;25,'Offroad Tiers EF (2)'!$AM$5*$C30*$D30,IF($C30&lt;50,'Offroad Tiers EF (2)'!$AM$6*$C30*$D30,IF($C30&lt;75,'Offroad Tiers EF (2)'!$AM$7*$C30*$D30,IF($C30&lt;100,'Offroad Tiers EF (2)'!$AM$8*$C30*$D30,IF($C30&lt;175,'Offroad Tiers EF (2)'!$AM$9*$C30*$D30,IF($C30&lt;300,'Offroad Tiers EF (2)'!$AM$10*$C30*$D30,IF($C30&lt;600,'Offroad Tiers EF (2)'!$AM$11*$C30*$D30,"!"))))))))</f>
        <v>0.33225370370370361</v>
      </c>
      <c r="H30" s="102">
        <v>6.9196834691909377E-4</v>
      </c>
      <c r="I30" s="397">
        <f>IF($C30&lt;11,'Offroad Tiers EF (2)'!$AO$4*$C30*$D30,IF($C30&lt;25,'Offroad Tiers EF (2)'!$AO$5*$C30*$D30,IF($C30&lt;50,'Offroad Tiers EF (2)'!$AO$6*$C30*$D30,IF($C30&lt;75,'Offroad Tiers EF (2)'!$AO$7*$C30*$D30,IF($C30&lt;100,'Offroad Tiers EF (2)'!$AO$8*$C30*$D30,IF($C30&lt;175,'Offroad Tiers EF (2)'!$AO$9*$C30*$D30,IF($C30&lt;300,'Offroad Tiers EF (2)'!$AO$10*$C30*$D30,IF($C30&lt;600,'Offroad Tiers EF (2)'!$AO$11*$C30*$D30,"!"))))))))</f>
        <v>2.1111111111111112E-2</v>
      </c>
      <c r="J30" s="100">
        <f t="shared" si="20"/>
        <v>1.878888888888889E-2</v>
      </c>
      <c r="K30" s="103">
        <v>58.988746640295226</v>
      </c>
      <c r="L30" s="102">
        <v>7.7311979659905822E-3</v>
      </c>
      <c r="M30" s="102">
        <f t="shared" si="21"/>
        <v>3.1564101851851843E-2</v>
      </c>
      <c r="N30" s="363">
        <v>1</v>
      </c>
      <c r="O30" s="87">
        <v>8</v>
      </c>
      <c r="P30" s="363">
        <v>75</v>
      </c>
      <c r="Q30" s="34">
        <f t="shared" si="22"/>
        <v>0.63627516157610231</v>
      </c>
      <c r="R30" s="26">
        <f t="shared" si="22"/>
        <v>2.0829629629629629</v>
      </c>
      <c r="S30" s="26">
        <f t="shared" si="22"/>
        <v>2.6580296296296289</v>
      </c>
      <c r="T30" s="26">
        <f t="shared" si="22"/>
        <v>5.5357467753527501E-3</v>
      </c>
      <c r="U30" s="26">
        <f t="shared" si="22"/>
        <v>0.16888888888888889</v>
      </c>
      <c r="V30" s="26">
        <f t="shared" si="22"/>
        <v>0.15031111111111112</v>
      </c>
      <c r="W30" s="26">
        <f t="shared" si="22"/>
        <v>471.90997312236181</v>
      </c>
      <c r="X30" s="26">
        <f t="shared" si="22"/>
        <v>6.1849583727924658E-2</v>
      </c>
      <c r="Y30" s="26">
        <f t="shared" si="22"/>
        <v>0.25251281481481475</v>
      </c>
    </row>
    <row r="31" spans="1:32">
      <c r="A31" s="100" t="s">
        <v>126</v>
      </c>
      <c r="B31" s="29" t="s">
        <v>27</v>
      </c>
      <c r="C31" s="22">
        <v>175</v>
      </c>
      <c r="D31" s="22"/>
      <c r="E31" s="102">
        <v>0.11792220738547983</v>
      </c>
      <c r="F31" s="102">
        <v>0.36512193352152528</v>
      </c>
      <c r="G31" s="102">
        <v>0.86781464282266541</v>
      </c>
      <c r="H31" s="102">
        <v>1.8739217498104396E-3</v>
      </c>
      <c r="I31" s="102">
        <v>2.9041712295589866E-2</v>
      </c>
      <c r="J31" s="100">
        <f t="shared" si="20"/>
        <v>2.5847123943074982E-2</v>
      </c>
      <c r="K31" s="103">
        <v>166.54541562452522</v>
      </c>
      <c r="L31" s="102">
        <v>1.063993297769634E-2</v>
      </c>
      <c r="M31" s="104">
        <f t="shared" si="21"/>
        <v>8.2442391068153209E-2</v>
      </c>
      <c r="N31" s="98">
        <v>1</v>
      </c>
      <c r="O31" s="88">
        <v>8</v>
      </c>
      <c r="P31" s="367">
        <v>40</v>
      </c>
      <c r="Q31" s="26">
        <f t="shared" si="22"/>
        <v>0.94337765908383864</v>
      </c>
      <c r="R31" s="26">
        <f t="shared" si="22"/>
        <v>2.9209754681722022</v>
      </c>
      <c r="S31" s="26">
        <f t="shared" si="22"/>
        <v>6.9425171425813232</v>
      </c>
      <c r="T31" s="26">
        <f t="shared" si="22"/>
        <v>1.4991373998483517E-2</v>
      </c>
      <c r="U31" s="26">
        <f t="shared" si="22"/>
        <v>0.23233369836471893</v>
      </c>
      <c r="V31" s="26">
        <f t="shared" si="22"/>
        <v>0.20677699154459986</v>
      </c>
      <c r="W31" s="26">
        <f t="shared" si="22"/>
        <v>1332.3633249962018</v>
      </c>
      <c r="X31" s="26">
        <f t="shared" si="22"/>
        <v>8.5119463821570721E-2</v>
      </c>
      <c r="Y31" s="26">
        <f t="shared" si="22"/>
        <v>0.65953912854522567</v>
      </c>
    </row>
    <row r="32" spans="1:32">
      <c r="A32" s="100" t="s">
        <v>128</v>
      </c>
      <c r="B32" s="29" t="s">
        <v>27</v>
      </c>
      <c r="C32" s="22">
        <v>157</v>
      </c>
      <c r="D32" s="22">
        <v>0.38</v>
      </c>
      <c r="E32" s="550">
        <v>9.7211873502789536E-2</v>
      </c>
      <c r="F32" s="397">
        <f>IF($C32&lt;11,'Offroad Tiers EF (2)'!$AN$4*$C32*$D32,IF($C32&lt;25,'Offroad Tiers EF (2)'!$AN$5*$C32*$D32,IF($C32&lt;50,'Offroad Tiers EF (2)'!$AN$6*$C32*$D32,IF($C32&lt;75,'Offroad Tiers EF (2)'!$AN$7*$C32*$D32,IF($C32&lt;100,'Offroad Tiers EF (2)'!$AN$8*$C32*$D32,IF($C32&lt;175,'Offroad Tiers EF (2)'!$AN$9*$C32*$D32,IF($C32&lt;300,'Offroad Tiers EF (2)'!$AN$10*$C32*$D32,IF($C32&lt;600,'Offroad Tiers EF (2)'!$AN$11*$C32*$D32,"!"))))))))</f>
        <v>0.48664462081128745</v>
      </c>
      <c r="G32" s="397">
        <f>IF($C32&lt;11,'Offroad Tiers EF (2)'!$AM$4*$C32*$D32,IF($C32&lt;25,'Offroad Tiers EF (2)'!$AM$5*$C32*$D32,IF($C32&lt;50,'Offroad Tiers EF (2)'!$AM$6*$C32*$D32,IF($C32&lt;75,'Offroad Tiers EF (2)'!$AM$7*$C32*$D32,IF($C32&lt;100,'Offroad Tiers EF (2)'!$AM$8*$C32*$D32,IF($C32&lt;175,'Offroad Tiers EF (2)'!$AM$9*$C32*$D32,IF($C32&lt;300,'Offroad Tiers EF (2)'!$AM$10*$C32*$D32,IF($C32&lt;600,'Offroad Tiers EF (2)'!$AM$11*$C32*$D32,"!"))))))))</f>
        <v>0.54103044532627864</v>
      </c>
      <c r="H32" s="550">
        <v>1.2626852382997586E-3</v>
      </c>
      <c r="I32" s="397">
        <f>IF($C32&lt;11,'Offroad Tiers EF (2)'!$AO$4*$C32*$D32,IF($C32&lt;25,'Offroad Tiers EF (2)'!$AO$5*$C32*$D32,IF($C32&lt;50,'Offroad Tiers EF (2)'!$AO$6*$C32*$D32,IF($C32&lt;75,'Offroad Tiers EF (2)'!$AO$7*$C32*$D32,IF($C32&lt;100,'Offroad Tiers EF (2)'!$AO$8*$C32*$D32,IF($C32&lt;175,'Offroad Tiers EF (2)'!$AO$9*$C32*$D32,IF($C32&lt;300,'Offroad Tiers EF (2)'!$AO$10*$C32*$D32,IF($C32&lt;600,'Offroad Tiers EF (2)'!$AO$11*$C32*$D32,"!"))))))))</f>
        <v>2.8935626102292767E-2</v>
      </c>
      <c r="J32" s="551">
        <f t="shared" si="20"/>
        <v>2.5752707231040561E-2</v>
      </c>
      <c r="K32" s="552">
        <v>112.22156581723891</v>
      </c>
      <c r="L32" s="111">
        <v>9.4890670020510905E-3</v>
      </c>
      <c r="M32" s="553">
        <f t="shared" si="21"/>
        <v>5.1397892305996472E-2</v>
      </c>
      <c r="N32" s="554">
        <v>2</v>
      </c>
      <c r="O32" s="88">
        <v>2</v>
      </c>
      <c r="P32" s="88">
        <v>15</v>
      </c>
      <c r="Q32" s="26">
        <f t="shared" si="22"/>
        <v>0.38884749401115815</v>
      </c>
      <c r="R32" s="26">
        <f t="shared" si="22"/>
        <v>1.9465784832451498</v>
      </c>
      <c r="S32" s="26">
        <f t="shared" si="22"/>
        <v>2.1641217813051146</v>
      </c>
      <c r="T32" s="26">
        <f t="shared" si="22"/>
        <v>5.0507409531990342E-3</v>
      </c>
      <c r="U32" s="26">
        <f t="shared" si="22"/>
        <v>0.11574250440917107</v>
      </c>
      <c r="V32" s="26">
        <f t="shared" si="22"/>
        <v>0.10301082892416225</v>
      </c>
      <c r="W32" s="26">
        <f t="shared" si="22"/>
        <v>448.88626326895564</v>
      </c>
      <c r="X32" s="26">
        <f t="shared" si="22"/>
        <v>3.7956268008204362E-2</v>
      </c>
      <c r="Y32" s="26">
        <f t="shared" si="22"/>
        <v>0.20559156922398589</v>
      </c>
    </row>
    <row r="33" spans="1:25">
      <c r="A33" s="17" t="s">
        <v>28</v>
      </c>
      <c r="B33" s="579"/>
      <c r="C33" s="18"/>
      <c r="D33" s="22"/>
      <c r="E33" s="19"/>
      <c r="F33" s="19"/>
      <c r="G33" s="19"/>
      <c r="H33" s="19"/>
      <c r="I33" s="19"/>
      <c r="J33" s="19"/>
      <c r="K33" s="19"/>
      <c r="L33" s="19"/>
      <c r="M33" s="89"/>
      <c r="N33" s="105"/>
      <c r="O33" s="11"/>
      <c r="P33" s="11"/>
      <c r="Q33" s="27">
        <f t="shared" ref="Q33:Y33" si="23">SUM(Q29:Q32)</f>
        <v>2.5865259375795633</v>
      </c>
      <c r="R33" s="101">
        <f t="shared" si="23"/>
        <v>9.051098924962325</v>
      </c>
      <c r="S33" s="101">
        <f t="shared" si="23"/>
        <v>14.44518151647903</v>
      </c>
      <c r="T33" s="101">
        <f t="shared" si="23"/>
        <v>3.110654661903919E-2</v>
      </c>
      <c r="U33" s="101">
        <f t="shared" si="23"/>
        <v>0.68728255198023924</v>
      </c>
      <c r="V33" s="101">
        <f t="shared" si="23"/>
        <v>0.6116814712624129</v>
      </c>
      <c r="W33" s="101">
        <f t="shared" si="23"/>
        <v>2724.4676022812214</v>
      </c>
      <c r="X33" s="101">
        <f t="shared" si="23"/>
        <v>0.24520111706953954</v>
      </c>
      <c r="Y33" s="101">
        <f t="shared" si="23"/>
        <v>1.3722922440655076</v>
      </c>
    </row>
    <row r="34" spans="1:25">
      <c r="A34" s="17"/>
      <c r="B34" s="29"/>
      <c r="C34" s="22"/>
      <c r="D34" s="22"/>
      <c r="E34" s="23"/>
      <c r="F34" s="23"/>
      <c r="G34" s="23"/>
      <c r="H34" s="23"/>
      <c r="I34" s="23"/>
      <c r="J34" s="100"/>
      <c r="K34" s="365"/>
      <c r="L34" s="23"/>
      <c r="M34" s="102"/>
      <c r="N34" s="30"/>
      <c r="O34" s="98"/>
      <c r="P34" s="363"/>
      <c r="Q34" s="101"/>
      <c r="R34" s="101"/>
      <c r="S34" s="101"/>
      <c r="T34" s="101"/>
      <c r="U34" s="101"/>
      <c r="V34" s="101"/>
      <c r="W34" s="101"/>
      <c r="X34" s="101"/>
      <c r="Y34" s="101"/>
    </row>
    <row r="35" spans="1:25">
      <c r="A35" s="17" t="s">
        <v>365</v>
      </c>
      <c r="B35" s="579"/>
      <c r="C35" s="18"/>
      <c r="D35" s="22"/>
      <c r="E35" s="19"/>
      <c r="F35" s="19"/>
      <c r="G35" s="19"/>
      <c r="H35" s="19"/>
      <c r="I35" s="19"/>
      <c r="J35" s="19"/>
      <c r="K35" s="19"/>
      <c r="L35" s="19"/>
      <c r="M35" s="19"/>
      <c r="N35" s="17"/>
      <c r="O35" s="17"/>
      <c r="P35" s="533"/>
      <c r="Q35" s="20">
        <f>Q11+Q17+Q26+Q33</f>
        <v>11.508562333093408</v>
      </c>
      <c r="R35" s="20">
        <f t="shared" ref="R35:Y35" si="24">R11+R17+R26+R33</f>
        <v>41.710467315382225</v>
      </c>
      <c r="S35" s="20">
        <f t="shared" si="24"/>
        <v>67.05061238644187</v>
      </c>
      <c r="T35" s="20">
        <f t="shared" si="24"/>
        <v>0.13833029414359843</v>
      </c>
      <c r="U35" s="20">
        <f t="shared" si="24"/>
        <v>3.099540638865478</v>
      </c>
      <c r="V35" s="20">
        <f t="shared" si="24"/>
        <v>2.7585911685902751</v>
      </c>
      <c r="W35" s="20">
        <f t="shared" si="24"/>
        <v>12377.517731619328</v>
      </c>
      <c r="X35" s="20">
        <f t="shared" si="24"/>
        <v>1.0926404751260699</v>
      </c>
      <c r="Y35" s="20">
        <f t="shared" si="24"/>
        <v>6.3698081767119774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34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3"/>
  <sheetViews>
    <sheetView zoomScale="75" workbookViewId="0">
      <selection activeCell="B24" sqref="B24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856</v>
      </c>
    </row>
    <row r="2" spans="1:30">
      <c r="A2" s="83"/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304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320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C9*(F9)*$B$381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6">
        <v>3.59998119015979E-2</v>
      </c>
      <c r="M10" s="556">
        <v>6.1739677411240299E-2</v>
      </c>
      <c r="N10" s="106">
        <v>6.5945508986370194E-2</v>
      </c>
      <c r="O10" s="556">
        <v>2.9999843251331498E-3</v>
      </c>
      <c r="P10" s="55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C10*(F10)*$B$381</f>
        <v>7.8498442661133934E-3</v>
      </c>
      <c r="AA10" s="50">
        <f>Z10*0.21</f>
        <v>1.6484672958838125E-3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2.5511993864868531E-2</v>
      </c>
      <c r="AA11" s="81">
        <f t="shared" si="0"/>
        <v>5.3575187116223916E-3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432"/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 ht="25.5" customHeight="1">
      <c r="A13" s="114" t="s">
        <v>334</v>
      </c>
      <c r="B13" s="74"/>
      <c r="C13" s="112"/>
      <c r="D13" s="112"/>
      <c r="E13" s="74"/>
      <c r="F13" s="74"/>
      <c r="G13" s="437"/>
      <c r="H13" s="41"/>
      <c r="I13" s="41"/>
      <c r="J13" s="41"/>
      <c r="K13" s="434"/>
      <c r="L13" s="434"/>
      <c r="M13" s="434"/>
      <c r="N13" s="434"/>
      <c r="O13" s="434"/>
      <c r="P13" s="434"/>
      <c r="Q13" s="41"/>
      <c r="R13" s="434"/>
      <c r="S13" s="43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 ht="12.75" customHeight="1">
      <c r="A14" s="78" t="s">
        <v>320</v>
      </c>
      <c r="B14" s="76" t="s">
        <v>95</v>
      </c>
      <c r="C14" s="79">
        <v>3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9.9891275533645019E-2</v>
      </c>
      <c r="U14" s="50">
        <f>C14*($F14*$H14)/453.59</f>
        <v>0.18440937782971867</v>
      </c>
      <c r="V14" s="50">
        <f>C14*(($F14*$I14))/453.59</f>
        <v>2.253067276294635E-2</v>
      </c>
      <c r="W14" s="50">
        <f>C14*($F14*$J14)/453.59</f>
        <v>1.3898613406074772E-3</v>
      </c>
      <c r="X14" s="50">
        <f>C14*(($F14*($K14+$L14+$M14)))/453.59</f>
        <v>3.6369464870151122E-2</v>
      </c>
      <c r="Y14" s="50">
        <f>C14*(($F14*($N14+$O14+$P14)))/453.59</f>
        <v>2.4166098982977401E-2</v>
      </c>
      <c r="Z14" s="50">
        <f>C14*(F14)*$B$381</f>
        <v>1.7662149598755138E-2</v>
      </c>
      <c r="AA14" s="50">
        <f>Z14*0.21</f>
        <v>3.7090514157385786E-3</v>
      </c>
      <c r="AB14" s="50">
        <f>C14*(($F14*($Q14)))/453.59</f>
        <v>96.814105590256631</v>
      </c>
      <c r="AC14" s="50">
        <f>C14*(($F14*($R14)))/453.59</f>
        <v>5.5322484357440338E-3</v>
      </c>
      <c r="AD14" s="50">
        <f>C14*(($F14*($S14)))/453.59</f>
        <v>2.4799901288000137E-3</v>
      </c>
    </row>
    <row r="15" spans="1:30">
      <c r="A15" s="75" t="s">
        <v>28</v>
      </c>
      <c r="B15" s="74"/>
      <c r="C15" s="112"/>
      <c r="D15" s="112"/>
      <c r="E15" s="74"/>
      <c r="F15" s="74"/>
      <c r="G15" s="437"/>
      <c r="H15" s="41"/>
      <c r="I15" s="41"/>
      <c r="J15" s="41"/>
      <c r="K15" s="434"/>
      <c r="L15" s="434"/>
      <c r="M15" s="434"/>
      <c r="N15" s="434"/>
      <c r="O15" s="434"/>
      <c r="P15" s="434"/>
      <c r="Q15" s="41"/>
      <c r="R15" s="434"/>
      <c r="S15" s="434"/>
      <c r="T15" s="81">
        <f t="shared" ref="T15:AD15" si="1">SUM(T14:T14)</f>
        <v>9.9891275533645019E-2</v>
      </c>
      <c r="U15" s="81">
        <f t="shared" si="1"/>
        <v>0.18440937782971867</v>
      </c>
      <c r="V15" s="81">
        <f t="shared" si="1"/>
        <v>2.253067276294635E-2</v>
      </c>
      <c r="W15" s="81">
        <f t="shared" si="1"/>
        <v>1.3898613406074772E-3</v>
      </c>
      <c r="X15" s="81">
        <f t="shared" si="1"/>
        <v>3.6369464870151122E-2</v>
      </c>
      <c r="Y15" s="81">
        <f t="shared" si="1"/>
        <v>2.4166098982977401E-2</v>
      </c>
      <c r="Z15" s="81">
        <f t="shared" si="1"/>
        <v>1.7662149598755138E-2</v>
      </c>
      <c r="AA15" s="81">
        <f t="shared" si="1"/>
        <v>3.7090514157385786E-3</v>
      </c>
      <c r="AB15" s="81">
        <f t="shared" si="1"/>
        <v>96.814105590256631</v>
      </c>
      <c r="AC15" s="81">
        <f t="shared" si="1"/>
        <v>5.5322484357440338E-3</v>
      </c>
      <c r="AD15" s="81">
        <f t="shared" si="1"/>
        <v>2.4799901288000137E-3</v>
      </c>
    </row>
    <row r="16" spans="1:30">
      <c r="A16" s="75" t="s">
        <v>388</v>
      </c>
      <c r="B16" s="74"/>
      <c r="C16" s="112"/>
      <c r="D16" s="112"/>
      <c r="E16" s="74"/>
      <c r="F16" s="74"/>
      <c r="G16" s="437"/>
      <c r="H16" s="41"/>
      <c r="I16" s="41"/>
      <c r="J16" s="41"/>
      <c r="K16" s="434"/>
      <c r="L16" s="434"/>
      <c r="M16" s="434"/>
      <c r="N16" s="434"/>
      <c r="O16" s="434"/>
      <c r="P16" s="434"/>
      <c r="Q16" s="41"/>
      <c r="R16" s="434"/>
      <c r="S16" s="434"/>
      <c r="T16" s="81">
        <f t="shared" ref="T16:AD16" si="2">T11+T15</f>
        <v>0.39072851835654249</v>
      </c>
      <c r="U16" s="81">
        <f t="shared" si="2"/>
        <v>1.2456056144453032</v>
      </c>
      <c r="V16" s="81">
        <f t="shared" si="2"/>
        <v>9.1355157250166866E-2</v>
      </c>
      <c r="W16" s="81">
        <f t="shared" si="2"/>
        <v>4.6689738551826346E-3</v>
      </c>
      <c r="X16" s="81">
        <f t="shared" si="2"/>
        <v>0.10261955151502915</v>
      </c>
      <c r="Y16" s="81">
        <f t="shared" si="2"/>
        <v>7.0344182612085943E-2</v>
      </c>
      <c r="Z16" s="81">
        <f t="shared" si="2"/>
        <v>4.3174143463623665E-2</v>
      </c>
      <c r="AA16" s="81">
        <f t="shared" si="2"/>
        <v>9.0665701273609702E-3</v>
      </c>
      <c r="AB16" s="81">
        <f t="shared" si="2"/>
        <v>495.35022090407864</v>
      </c>
      <c r="AC16" s="81">
        <f t="shared" si="2"/>
        <v>1.3751548399529145E-2</v>
      </c>
      <c r="AD16" s="81">
        <f t="shared" si="2"/>
        <v>1.2688891258678878E-2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371" spans="1:2" ht="25.5">
      <c r="A371" s="82" t="s">
        <v>109</v>
      </c>
    </row>
    <row r="373" spans="1:2">
      <c r="A373" s="36" t="s">
        <v>81</v>
      </c>
    </row>
    <row r="374" spans="1:2">
      <c r="A374" s="36" t="s">
        <v>82</v>
      </c>
    </row>
    <row r="375" spans="1:2">
      <c r="A375" s="36" t="s">
        <v>83</v>
      </c>
    </row>
    <row r="376" spans="1:2">
      <c r="A376" s="37" t="s">
        <v>96</v>
      </c>
    </row>
    <row r="377" spans="1:2">
      <c r="A377" s="36" t="s">
        <v>85</v>
      </c>
    </row>
    <row r="378" spans="1:2">
      <c r="A378" s="36" t="s">
        <v>86</v>
      </c>
    </row>
    <row r="379" spans="1:2">
      <c r="A379" s="36" t="s">
        <v>87</v>
      </c>
    </row>
    <row r="380" spans="1:2">
      <c r="A380" s="36" t="s">
        <v>0</v>
      </c>
    </row>
    <row r="381" spans="1:2">
      <c r="A381" s="37" t="s">
        <v>97</v>
      </c>
      <c r="B381" s="36">
        <f>(0.016*(0.03/2)^0.65*(2/3)^1.5)-0.00047</f>
        <v>9.8123053326417428E-5</v>
      </c>
    </row>
    <row r="382" spans="1:2">
      <c r="A382" s="37" t="s">
        <v>98</v>
      </c>
      <c r="B382" s="36">
        <f>(0.016*(0.03/2)^0.65*(13/3)^1.5)-0.00047</f>
        <v>8.9448292388582783E-3</v>
      </c>
    </row>
    <row r="383" spans="1:2">
      <c r="A383" s="37" t="s">
        <v>99</v>
      </c>
      <c r="B383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B-14
Construction Truck Trip Emissions
Installation of 69kV Position at Miguel Substation</oddHeader>
    <oddFooter>&amp;CB-14</oddFooter>
  </headerFooter>
</worksheet>
</file>

<file path=xl/worksheets/sheet34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A92" sqref="A92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857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336</v>
      </c>
      <c r="B5" s="45" t="s">
        <v>102</v>
      </c>
      <c r="C5" s="46">
        <v>6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47">
        <v>2.5906356762772398</v>
      </c>
      <c r="G6" s="48">
        <v>34.216491498497703</v>
      </c>
      <c r="H6" s="48">
        <v>0.24670746103243399</v>
      </c>
      <c r="I6" s="48">
        <v>1.9709231753363501</v>
      </c>
      <c r="J6" s="47">
        <v>6.8165001586055596E-2</v>
      </c>
      <c r="K6" s="48">
        <v>2.6470018951299799</v>
      </c>
      <c r="L6" s="48">
        <v>1.6798769403813201</v>
      </c>
      <c r="M6" s="48">
        <v>0.726331478642807</v>
      </c>
      <c r="N6" s="48">
        <v>0.16862820327481401</v>
      </c>
      <c r="O6" s="48">
        <v>0.74945987816603898</v>
      </c>
      <c r="P6" s="48">
        <v>4.0478385316323803E-3</v>
      </c>
      <c r="Q6" s="48">
        <v>5.8407810191933099E-3</v>
      </c>
      <c r="R6" s="47">
        <v>3.4293311042535601E-3</v>
      </c>
      <c r="S6" s="48">
        <v>3.04155842537852E-2</v>
      </c>
      <c r="T6" s="48">
        <v>7.9999583995993707E-3</v>
      </c>
      <c r="U6" s="48">
        <v>3.6749815874576097E-2</v>
      </c>
      <c r="V6" s="48">
        <v>3.1475802892339199E-3</v>
      </c>
      <c r="W6" s="48">
        <v>2.791218682935E-2</v>
      </c>
      <c r="X6" s="48">
        <v>1.9999896010969099E-3</v>
      </c>
      <c r="Y6" s="48">
        <v>1.57499197860352E-2</v>
      </c>
      <c r="Z6" s="48">
        <v>319.091524321424</v>
      </c>
      <c r="AA6" s="48">
        <v>462.615725673974</v>
      </c>
      <c r="AB6" s="47">
        <v>1.77E-2</v>
      </c>
      <c r="AC6" s="47">
        <f t="shared" ref="AC6" si="2">0.000049261*AA6</f>
        <v>2.2788913262425634E-2</v>
      </c>
      <c r="AD6" s="49">
        <v>3.2599999999999997E-2</v>
      </c>
      <c r="AE6" s="47">
        <f t="shared" ref="AE6" si="3">0.000021675*AA6</f>
        <v>1.0027195853983387E-2</v>
      </c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43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4">AG$10*$AC15</f>
        <v>#REF!</v>
      </c>
      <c r="AH15" s="36" t="e">
        <f t="shared" si="4"/>
        <v>#REF!</v>
      </c>
      <c r="AI15" s="36" t="e">
        <f t="shared" si="4"/>
        <v>#REF!</v>
      </c>
      <c r="AJ15" s="36" t="e">
        <f t="shared" si="4"/>
        <v>#REF!</v>
      </c>
      <c r="AK15" s="36" t="e">
        <f t="shared" si="4"/>
        <v>#REF!</v>
      </c>
      <c r="AL15" s="36" t="e">
        <f t="shared" si="4"/>
        <v>#REF!</v>
      </c>
      <c r="AM15" s="36" t="e">
        <f t="shared" si="4"/>
        <v>#REF!</v>
      </c>
      <c r="AN15" s="36" t="e">
        <f t="shared" si="4"/>
        <v>#REF!</v>
      </c>
      <c r="AO15" s="36" t="e">
        <f t="shared" si="4"/>
        <v>#REF!</v>
      </c>
      <c r="AQ15" s="38"/>
      <c r="AR15" s="36" t="e">
        <f>AR$10*$AC15</f>
        <v>#REF!</v>
      </c>
      <c r="AS15" s="36" t="e">
        <f t="shared" ref="AS15:BA23" si="5">AS$10*$AC15</f>
        <v>#REF!</v>
      </c>
      <c r="AT15" s="36" t="e">
        <f t="shared" si="5"/>
        <v>#REF!</v>
      </c>
      <c r="AU15" s="36" t="e">
        <f t="shared" si="5"/>
        <v>#REF!</v>
      </c>
      <c r="AV15" s="36" t="e">
        <f t="shared" si="5"/>
        <v>#REF!</v>
      </c>
      <c r="AW15" s="36" t="e">
        <f t="shared" si="5"/>
        <v>#REF!</v>
      </c>
      <c r="AX15" s="36" t="e">
        <f t="shared" si="5"/>
        <v>#REF!</v>
      </c>
      <c r="AY15" s="36" t="e">
        <f t="shared" si="5"/>
        <v>#REF!</v>
      </c>
      <c r="AZ15" s="36" t="e">
        <f t="shared" si="5"/>
        <v>#REF!</v>
      </c>
      <c r="BA15" s="36" t="e">
        <f t="shared" si="5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6">AF$10*$AC16</f>
        <v>#REF!</v>
      </c>
      <c r="AG16" s="36" t="e">
        <f t="shared" si="4"/>
        <v>#REF!</v>
      </c>
      <c r="AH16" s="36" t="e">
        <f t="shared" si="4"/>
        <v>#REF!</v>
      </c>
      <c r="AI16" s="36" t="e">
        <f t="shared" si="4"/>
        <v>#REF!</v>
      </c>
      <c r="AJ16" s="36" t="e">
        <f t="shared" si="4"/>
        <v>#REF!</v>
      </c>
      <c r="AK16" s="36" t="e">
        <f t="shared" si="4"/>
        <v>#REF!</v>
      </c>
      <c r="AL16" s="36" t="e">
        <f t="shared" si="4"/>
        <v>#REF!</v>
      </c>
      <c r="AM16" s="36" t="e">
        <f t="shared" si="4"/>
        <v>#REF!</v>
      </c>
      <c r="AN16" s="36" t="e">
        <f t="shared" si="4"/>
        <v>#REF!</v>
      </c>
      <c r="AO16" s="36" t="e">
        <f t="shared" si="4"/>
        <v>#REF!</v>
      </c>
      <c r="AQ16" s="38"/>
      <c r="AR16" s="36" t="e">
        <f t="shared" ref="AR16:AR23" si="7">AR$10*$AC16</f>
        <v>#REF!</v>
      </c>
      <c r="AS16" s="36" t="e">
        <f t="shared" si="5"/>
        <v>#REF!</v>
      </c>
      <c r="AT16" s="36" t="e">
        <f t="shared" si="5"/>
        <v>#REF!</v>
      </c>
      <c r="AU16" s="36" t="e">
        <f t="shared" si="5"/>
        <v>#REF!</v>
      </c>
      <c r="AV16" s="36" t="e">
        <f t="shared" si="5"/>
        <v>#REF!</v>
      </c>
      <c r="AW16" s="36" t="e">
        <f t="shared" si="5"/>
        <v>#REF!</v>
      </c>
      <c r="AX16" s="36" t="e">
        <f t="shared" si="5"/>
        <v>#REF!</v>
      </c>
      <c r="AY16" s="36" t="e">
        <f t="shared" si="5"/>
        <v>#REF!</v>
      </c>
      <c r="AZ16" s="36" t="e">
        <f t="shared" si="5"/>
        <v>#REF!</v>
      </c>
      <c r="BA16" s="36" t="e">
        <f t="shared" si="5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6"/>
        <v>#REF!</v>
      </c>
      <c r="AG17" s="36" t="e">
        <f t="shared" si="4"/>
        <v>#REF!</v>
      </c>
      <c r="AH17" s="36" t="e">
        <f t="shared" si="4"/>
        <v>#REF!</v>
      </c>
      <c r="AI17" s="36" t="e">
        <f t="shared" si="4"/>
        <v>#REF!</v>
      </c>
      <c r="AJ17" s="36" t="e">
        <f t="shared" si="4"/>
        <v>#REF!</v>
      </c>
      <c r="AK17" s="36" t="e">
        <f t="shared" si="4"/>
        <v>#REF!</v>
      </c>
      <c r="AL17" s="36" t="e">
        <f t="shared" si="4"/>
        <v>#REF!</v>
      </c>
      <c r="AM17" s="36" t="e">
        <f t="shared" si="4"/>
        <v>#REF!</v>
      </c>
      <c r="AN17" s="36" t="e">
        <f t="shared" si="4"/>
        <v>#REF!</v>
      </c>
      <c r="AO17" s="36" t="e">
        <f t="shared" si="4"/>
        <v>#REF!</v>
      </c>
      <c r="AQ17" s="38"/>
      <c r="AR17" s="36" t="e">
        <f t="shared" si="7"/>
        <v>#REF!</v>
      </c>
      <c r="AS17" s="36" t="e">
        <f t="shared" si="5"/>
        <v>#REF!</v>
      </c>
      <c r="AT17" s="36" t="e">
        <f t="shared" si="5"/>
        <v>#REF!</v>
      </c>
      <c r="AU17" s="36" t="e">
        <f t="shared" si="5"/>
        <v>#REF!</v>
      </c>
      <c r="AV17" s="36" t="e">
        <f t="shared" si="5"/>
        <v>#REF!</v>
      </c>
      <c r="AW17" s="36" t="e">
        <f t="shared" si="5"/>
        <v>#REF!</v>
      </c>
      <c r="AX17" s="36" t="e">
        <f t="shared" si="5"/>
        <v>#REF!</v>
      </c>
      <c r="AY17" s="36" t="e">
        <f t="shared" si="5"/>
        <v>#REF!</v>
      </c>
      <c r="AZ17" s="36" t="e">
        <f t="shared" si="5"/>
        <v>#REF!</v>
      </c>
      <c r="BA17" s="36" t="e">
        <f t="shared" si="5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6"/>
        <v>#REF!</v>
      </c>
      <c r="AG18" s="36" t="e">
        <f t="shared" si="4"/>
        <v>#REF!</v>
      </c>
      <c r="AH18" s="36" t="e">
        <f t="shared" si="4"/>
        <v>#REF!</v>
      </c>
      <c r="AI18" s="36" t="e">
        <f t="shared" si="4"/>
        <v>#REF!</v>
      </c>
      <c r="AJ18" s="36" t="e">
        <f t="shared" si="4"/>
        <v>#REF!</v>
      </c>
      <c r="AK18" s="36" t="e">
        <f t="shared" si="4"/>
        <v>#REF!</v>
      </c>
      <c r="AL18" s="36" t="e">
        <f t="shared" si="4"/>
        <v>#REF!</v>
      </c>
      <c r="AM18" s="36" t="e">
        <f t="shared" si="4"/>
        <v>#REF!</v>
      </c>
      <c r="AN18" s="36" t="e">
        <f t="shared" si="4"/>
        <v>#REF!</v>
      </c>
      <c r="AO18" s="36" t="e">
        <f t="shared" si="4"/>
        <v>#REF!</v>
      </c>
      <c r="AQ18" s="38"/>
      <c r="AR18" s="36" t="e">
        <f t="shared" si="7"/>
        <v>#REF!</v>
      </c>
      <c r="AS18" s="36" t="e">
        <f t="shared" si="5"/>
        <v>#REF!</v>
      </c>
      <c r="AT18" s="36" t="e">
        <f t="shared" si="5"/>
        <v>#REF!</v>
      </c>
      <c r="AU18" s="36" t="e">
        <f t="shared" si="5"/>
        <v>#REF!</v>
      </c>
      <c r="AV18" s="36" t="e">
        <f t="shared" si="5"/>
        <v>#REF!</v>
      </c>
      <c r="AW18" s="36" t="e">
        <f t="shared" si="5"/>
        <v>#REF!</v>
      </c>
      <c r="AX18" s="36" t="e">
        <f t="shared" si="5"/>
        <v>#REF!</v>
      </c>
      <c r="AY18" s="36" t="e">
        <f t="shared" si="5"/>
        <v>#REF!</v>
      </c>
      <c r="AZ18" s="36" t="e">
        <f t="shared" si="5"/>
        <v>#REF!</v>
      </c>
      <c r="BA18" s="36" t="e">
        <f t="shared" si="5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6"/>
        <v>#REF!</v>
      </c>
      <c r="AG19" s="36" t="e">
        <f t="shared" si="4"/>
        <v>#REF!</v>
      </c>
      <c r="AH19" s="36" t="e">
        <f t="shared" si="4"/>
        <v>#REF!</v>
      </c>
      <c r="AI19" s="36" t="e">
        <f t="shared" si="4"/>
        <v>#REF!</v>
      </c>
      <c r="AJ19" s="36" t="e">
        <f t="shared" si="4"/>
        <v>#REF!</v>
      </c>
      <c r="AK19" s="36" t="e">
        <f t="shared" si="4"/>
        <v>#REF!</v>
      </c>
      <c r="AL19" s="36" t="e">
        <f t="shared" si="4"/>
        <v>#REF!</v>
      </c>
      <c r="AM19" s="36" t="e">
        <f t="shared" si="4"/>
        <v>#REF!</v>
      </c>
      <c r="AN19" s="36" t="e">
        <f t="shared" si="4"/>
        <v>#REF!</v>
      </c>
      <c r="AO19" s="36" t="e">
        <f t="shared" si="4"/>
        <v>#REF!</v>
      </c>
      <c r="AQ19" s="38"/>
      <c r="AR19" s="36" t="e">
        <f t="shared" si="7"/>
        <v>#REF!</v>
      </c>
      <c r="AS19" s="36" t="e">
        <f t="shared" si="5"/>
        <v>#REF!</v>
      </c>
      <c r="AT19" s="36" t="e">
        <f t="shared" si="5"/>
        <v>#REF!</v>
      </c>
      <c r="AU19" s="36" t="e">
        <f t="shared" si="5"/>
        <v>#REF!</v>
      </c>
      <c r="AV19" s="36" t="e">
        <f t="shared" si="5"/>
        <v>#REF!</v>
      </c>
      <c r="AW19" s="36" t="e">
        <f t="shared" si="5"/>
        <v>#REF!</v>
      </c>
      <c r="AX19" s="36" t="e">
        <f t="shared" si="5"/>
        <v>#REF!</v>
      </c>
      <c r="AY19" s="36" t="e">
        <f t="shared" si="5"/>
        <v>#REF!</v>
      </c>
      <c r="AZ19" s="36" t="e">
        <f t="shared" si="5"/>
        <v>#REF!</v>
      </c>
      <c r="BA19" s="36" t="e">
        <f t="shared" si="5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6"/>
        <v>#REF!</v>
      </c>
      <c r="AG20" s="36" t="e">
        <f t="shared" si="4"/>
        <v>#REF!</v>
      </c>
      <c r="AH20" s="36" t="e">
        <f t="shared" si="4"/>
        <v>#REF!</v>
      </c>
      <c r="AI20" s="36" t="e">
        <f t="shared" si="4"/>
        <v>#REF!</v>
      </c>
      <c r="AJ20" s="36" t="e">
        <f t="shared" si="4"/>
        <v>#REF!</v>
      </c>
      <c r="AK20" s="36" t="e">
        <f t="shared" si="4"/>
        <v>#REF!</v>
      </c>
      <c r="AL20" s="36" t="e">
        <f t="shared" si="4"/>
        <v>#REF!</v>
      </c>
      <c r="AM20" s="36" t="e">
        <f t="shared" si="4"/>
        <v>#REF!</v>
      </c>
      <c r="AN20" s="36" t="e">
        <f t="shared" si="4"/>
        <v>#REF!</v>
      </c>
      <c r="AO20" s="36" t="e">
        <f t="shared" si="4"/>
        <v>#REF!</v>
      </c>
      <c r="AQ20" s="38"/>
      <c r="AR20" s="36" t="e">
        <f t="shared" si="7"/>
        <v>#REF!</v>
      </c>
      <c r="AS20" s="36" t="e">
        <f t="shared" si="5"/>
        <v>#REF!</v>
      </c>
      <c r="AT20" s="36" t="e">
        <f t="shared" si="5"/>
        <v>#REF!</v>
      </c>
      <c r="AU20" s="36" t="e">
        <f t="shared" si="5"/>
        <v>#REF!</v>
      </c>
      <c r="AV20" s="36" t="e">
        <f t="shared" si="5"/>
        <v>#REF!</v>
      </c>
      <c r="AW20" s="36" t="e">
        <f t="shared" si="5"/>
        <v>#REF!</v>
      </c>
      <c r="AX20" s="36" t="e">
        <f t="shared" si="5"/>
        <v>#REF!</v>
      </c>
      <c r="AY20" s="36" t="e">
        <f t="shared" si="5"/>
        <v>#REF!</v>
      </c>
      <c r="AZ20" s="36" t="e">
        <f t="shared" si="5"/>
        <v>#REF!</v>
      </c>
      <c r="BA20" s="36" t="e">
        <f t="shared" si="5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6"/>
        <v>#REF!</v>
      </c>
      <c r="AG21" s="36" t="e">
        <f t="shared" si="4"/>
        <v>#REF!</v>
      </c>
      <c r="AH21" s="36" t="e">
        <f t="shared" si="4"/>
        <v>#REF!</v>
      </c>
      <c r="AI21" s="36" t="e">
        <f t="shared" si="4"/>
        <v>#REF!</v>
      </c>
      <c r="AJ21" s="36" t="e">
        <f t="shared" si="4"/>
        <v>#REF!</v>
      </c>
      <c r="AK21" s="36" t="e">
        <f t="shared" si="4"/>
        <v>#REF!</v>
      </c>
      <c r="AL21" s="36" t="e">
        <f t="shared" si="4"/>
        <v>#REF!</v>
      </c>
      <c r="AM21" s="36" t="e">
        <f t="shared" si="4"/>
        <v>#REF!</v>
      </c>
      <c r="AN21" s="36" t="e">
        <f t="shared" si="4"/>
        <v>#REF!</v>
      </c>
      <c r="AO21" s="36" t="e">
        <f t="shared" si="4"/>
        <v>#REF!</v>
      </c>
      <c r="AQ21" s="38"/>
      <c r="AR21" s="36" t="e">
        <f t="shared" si="7"/>
        <v>#REF!</v>
      </c>
      <c r="AS21" s="36" t="e">
        <f t="shared" si="5"/>
        <v>#REF!</v>
      </c>
      <c r="AT21" s="36" t="e">
        <f t="shared" si="5"/>
        <v>#REF!</v>
      </c>
      <c r="AU21" s="36" t="e">
        <f t="shared" si="5"/>
        <v>#REF!</v>
      </c>
      <c r="AV21" s="36" t="e">
        <f t="shared" si="5"/>
        <v>#REF!</v>
      </c>
      <c r="AW21" s="36" t="e">
        <f t="shared" si="5"/>
        <v>#REF!</v>
      </c>
      <c r="AX21" s="36" t="e">
        <f t="shared" si="5"/>
        <v>#REF!</v>
      </c>
      <c r="AY21" s="36" t="e">
        <f t="shared" si="5"/>
        <v>#REF!</v>
      </c>
      <c r="AZ21" s="36" t="e">
        <f t="shared" si="5"/>
        <v>#REF!</v>
      </c>
      <c r="BA21" s="36" t="e">
        <f t="shared" si="5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6"/>
        <v>#REF!</v>
      </c>
      <c r="AG22" s="36" t="e">
        <f t="shared" si="4"/>
        <v>#REF!</v>
      </c>
      <c r="AH22" s="36" t="e">
        <f t="shared" si="4"/>
        <v>#REF!</v>
      </c>
      <c r="AI22" s="36" t="e">
        <f t="shared" si="4"/>
        <v>#REF!</v>
      </c>
      <c r="AJ22" s="36" t="e">
        <f t="shared" si="4"/>
        <v>#REF!</v>
      </c>
      <c r="AK22" s="36" t="e">
        <f t="shared" si="4"/>
        <v>#REF!</v>
      </c>
      <c r="AL22" s="36" t="e">
        <f t="shared" si="4"/>
        <v>#REF!</v>
      </c>
      <c r="AM22" s="36" t="e">
        <f t="shared" si="4"/>
        <v>#REF!</v>
      </c>
      <c r="AN22" s="36" t="e">
        <f t="shared" si="4"/>
        <v>#REF!</v>
      </c>
      <c r="AO22" s="36" t="e">
        <f t="shared" si="4"/>
        <v>#REF!</v>
      </c>
      <c r="AQ22" s="38"/>
      <c r="AR22" s="36" t="e">
        <f t="shared" si="7"/>
        <v>#REF!</v>
      </c>
      <c r="AS22" s="36" t="e">
        <f t="shared" si="5"/>
        <v>#REF!</v>
      </c>
      <c r="AT22" s="36" t="e">
        <f t="shared" si="5"/>
        <v>#REF!</v>
      </c>
      <c r="AU22" s="36" t="e">
        <f t="shared" si="5"/>
        <v>#REF!</v>
      </c>
      <c r="AV22" s="36" t="e">
        <f t="shared" si="5"/>
        <v>#REF!</v>
      </c>
      <c r="AW22" s="36" t="e">
        <f t="shared" si="5"/>
        <v>#REF!</v>
      </c>
      <c r="AX22" s="36" t="e">
        <f t="shared" si="5"/>
        <v>#REF!</v>
      </c>
      <c r="AY22" s="36" t="e">
        <f t="shared" si="5"/>
        <v>#REF!</v>
      </c>
      <c r="AZ22" s="36" t="e">
        <f t="shared" si="5"/>
        <v>#REF!</v>
      </c>
      <c r="BA22" s="36" t="e">
        <f t="shared" si="5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6"/>
        <v>#REF!</v>
      </c>
      <c r="AG23" s="36" t="e">
        <f t="shared" si="4"/>
        <v>#REF!</v>
      </c>
      <c r="AH23" s="36" t="e">
        <f t="shared" si="4"/>
        <v>#REF!</v>
      </c>
      <c r="AI23" s="36" t="e">
        <f t="shared" si="4"/>
        <v>#REF!</v>
      </c>
      <c r="AJ23" s="36" t="e">
        <f t="shared" si="4"/>
        <v>#REF!</v>
      </c>
      <c r="AK23" s="36" t="e">
        <f t="shared" si="4"/>
        <v>#REF!</v>
      </c>
      <c r="AL23" s="36" t="e">
        <f t="shared" si="4"/>
        <v>#REF!</v>
      </c>
      <c r="AM23" s="36" t="e">
        <f t="shared" si="4"/>
        <v>#REF!</v>
      </c>
      <c r="AN23" s="36" t="e">
        <f t="shared" si="4"/>
        <v>#REF!</v>
      </c>
      <c r="AO23" s="36" t="e">
        <f t="shared" si="4"/>
        <v>#REF!</v>
      </c>
      <c r="AQ23" s="38"/>
      <c r="AR23" s="36" t="e">
        <f t="shared" si="7"/>
        <v>#REF!</v>
      </c>
      <c r="AS23" s="36" t="e">
        <f t="shared" si="5"/>
        <v>#REF!</v>
      </c>
      <c r="AT23" s="36" t="e">
        <f t="shared" si="5"/>
        <v>#REF!</v>
      </c>
      <c r="AU23" s="36" t="e">
        <f t="shared" si="5"/>
        <v>#REF!</v>
      </c>
      <c r="AV23" s="36" t="e">
        <f t="shared" si="5"/>
        <v>#REF!</v>
      </c>
      <c r="AW23" s="36" t="e">
        <f t="shared" si="5"/>
        <v>#REF!</v>
      </c>
      <c r="AX23" s="36" t="e">
        <f t="shared" si="5"/>
        <v>#REF!</v>
      </c>
      <c r="AY23" s="36" t="e">
        <f t="shared" si="5"/>
        <v>#REF!</v>
      </c>
      <c r="AZ23" s="36" t="e">
        <f t="shared" si="5"/>
        <v>#REF!</v>
      </c>
      <c r="BA23" s="36" t="e">
        <f t="shared" si="5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8">AF$10*$AC26</f>
        <v>#REF!</v>
      </c>
      <c r="AG26" s="36" t="e">
        <f t="shared" si="8"/>
        <v>#REF!</v>
      </c>
      <c r="AH26" s="36" t="e">
        <f t="shared" si="8"/>
        <v>#REF!</v>
      </c>
      <c r="AI26" s="36" t="e">
        <f t="shared" si="8"/>
        <v>#REF!</v>
      </c>
      <c r="AJ26" s="36" t="e">
        <f t="shared" si="8"/>
        <v>#REF!</v>
      </c>
      <c r="AK26" s="36" t="e">
        <f t="shared" si="8"/>
        <v>#REF!</v>
      </c>
      <c r="AL26" s="36" t="e">
        <f t="shared" si="8"/>
        <v>#REF!</v>
      </c>
      <c r="AM26" s="36" t="e">
        <f t="shared" si="8"/>
        <v>#REF!</v>
      </c>
      <c r="AN26" s="36" t="e">
        <f t="shared" si="8"/>
        <v>#REF!</v>
      </c>
      <c r="AO26" s="36" t="e">
        <f t="shared" si="8"/>
        <v>#REF!</v>
      </c>
      <c r="AQ26" s="38"/>
      <c r="AR26" s="36" t="e">
        <f t="shared" ref="AR26:BA34" si="9">AR$10*$AC26</f>
        <v>#REF!</v>
      </c>
      <c r="AS26" s="36" t="e">
        <f t="shared" si="9"/>
        <v>#REF!</v>
      </c>
      <c r="AT26" s="36" t="e">
        <f t="shared" si="9"/>
        <v>#REF!</v>
      </c>
      <c r="AU26" s="36" t="e">
        <f t="shared" si="9"/>
        <v>#REF!</v>
      </c>
      <c r="AV26" s="36" t="e">
        <f t="shared" si="9"/>
        <v>#REF!</v>
      </c>
      <c r="AW26" s="36" t="e">
        <f t="shared" si="9"/>
        <v>#REF!</v>
      </c>
      <c r="AX26" s="36" t="e">
        <f t="shared" si="9"/>
        <v>#REF!</v>
      </c>
      <c r="AY26" s="36" t="e">
        <f t="shared" si="9"/>
        <v>#REF!</v>
      </c>
      <c r="AZ26" s="36" t="e">
        <f t="shared" si="9"/>
        <v>#REF!</v>
      </c>
      <c r="BA26" s="36" t="e">
        <f t="shared" si="9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8"/>
        <v>#REF!</v>
      </c>
      <c r="AG27" s="36" t="e">
        <f t="shared" si="8"/>
        <v>#REF!</v>
      </c>
      <c r="AH27" s="36" t="e">
        <f t="shared" si="8"/>
        <v>#REF!</v>
      </c>
      <c r="AI27" s="36" t="e">
        <f t="shared" si="8"/>
        <v>#REF!</v>
      </c>
      <c r="AJ27" s="36" t="e">
        <f t="shared" si="8"/>
        <v>#REF!</v>
      </c>
      <c r="AK27" s="36" t="e">
        <f t="shared" si="8"/>
        <v>#REF!</v>
      </c>
      <c r="AL27" s="36" t="e">
        <f t="shared" si="8"/>
        <v>#REF!</v>
      </c>
      <c r="AM27" s="36" t="e">
        <f t="shared" si="8"/>
        <v>#REF!</v>
      </c>
      <c r="AN27" s="36" t="e">
        <f t="shared" si="8"/>
        <v>#REF!</v>
      </c>
      <c r="AO27" s="36" t="e">
        <f t="shared" si="8"/>
        <v>#REF!</v>
      </c>
      <c r="AQ27" s="38"/>
      <c r="AR27" s="36" t="e">
        <f t="shared" si="9"/>
        <v>#REF!</v>
      </c>
      <c r="AS27" s="36" t="e">
        <f t="shared" si="9"/>
        <v>#REF!</v>
      </c>
      <c r="AT27" s="36" t="e">
        <f t="shared" si="9"/>
        <v>#REF!</v>
      </c>
      <c r="AU27" s="36" t="e">
        <f t="shared" si="9"/>
        <v>#REF!</v>
      </c>
      <c r="AV27" s="36" t="e">
        <f t="shared" si="9"/>
        <v>#REF!</v>
      </c>
      <c r="AW27" s="36" t="e">
        <f t="shared" si="9"/>
        <v>#REF!</v>
      </c>
      <c r="AX27" s="36" t="e">
        <f t="shared" si="9"/>
        <v>#REF!</v>
      </c>
      <c r="AY27" s="36" t="e">
        <f t="shared" si="9"/>
        <v>#REF!</v>
      </c>
      <c r="AZ27" s="36" t="e">
        <f t="shared" si="9"/>
        <v>#REF!</v>
      </c>
      <c r="BA27" s="36" t="e">
        <f t="shared" si="9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8"/>
        <v>#REF!</v>
      </c>
      <c r="AG28" s="36" t="e">
        <f t="shared" si="8"/>
        <v>#REF!</v>
      </c>
      <c r="AH28" s="36" t="e">
        <f t="shared" si="8"/>
        <v>#REF!</v>
      </c>
      <c r="AI28" s="36" t="e">
        <f t="shared" si="8"/>
        <v>#REF!</v>
      </c>
      <c r="AJ28" s="36" t="e">
        <f t="shared" si="8"/>
        <v>#REF!</v>
      </c>
      <c r="AK28" s="36" t="e">
        <f t="shared" si="8"/>
        <v>#REF!</v>
      </c>
      <c r="AL28" s="36" t="e">
        <f t="shared" si="8"/>
        <v>#REF!</v>
      </c>
      <c r="AM28" s="36" t="e">
        <f t="shared" si="8"/>
        <v>#REF!</v>
      </c>
      <c r="AN28" s="36" t="e">
        <f t="shared" si="8"/>
        <v>#REF!</v>
      </c>
      <c r="AO28" s="36" t="e">
        <f t="shared" si="8"/>
        <v>#REF!</v>
      </c>
      <c r="AQ28" s="38"/>
      <c r="AR28" s="36" t="e">
        <f t="shared" si="9"/>
        <v>#REF!</v>
      </c>
      <c r="AS28" s="36" t="e">
        <f t="shared" si="9"/>
        <v>#REF!</v>
      </c>
      <c r="AT28" s="36" t="e">
        <f t="shared" si="9"/>
        <v>#REF!</v>
      </c>
      <c r="AU28" s="36" t="e">
        <f t="shared" si="9"/>
        <v>#REF!</v>
      </c>
      <c r="AV28" s="36" t="e">
        <f t="shared" si="9"/>
        <v>#REF!</v>
      </c>
      <c r="AW28" s="36" t="e">
        <f t="shared" si="9"/>
        <v>#REF!</v>
      </c>
      <c r="AX28" s="36" t="e">
        <f t="shared" si="9"/>
        <v>#REF!</v>
      </c>
      <c r="AY28" s="36" t="e">
        <f t="shared" si="9"/>
        <v>#REF!</v>
      </c>
      <c r="AZ28" s="36" t="e">
        <f t="shared" si="9"/>
        <v>#REF!</v>
      </c>
      <c r="BA28" s="36" t="e">
        <f t="shared" si="9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8"/>
        <v>#REF!</v>
      </c>
      <c r="AG29" s="36" t="e">
        <f t="shared" si="8"/>
        <v>#REF!</v>
      </c>
      <c r="AH29" s="36" t="e">
        <f t="shared" si="8"/>
        <v>#REF!</v>
      </c>
      <c r="AI29" s="36" t="e">
        <f t="shared" si="8"/>
        <v>#REF!</v>
      </c>
      <c r="AJ29" s="36" t="e">
        <f t="shared" si="8"/>
        <v>#REF!</v>
      </c>
      <c r="AK29" s="36" t="e">
        <f t="shared" si="8"/>
        <v>#REF!</v>
      </c>
      <c r="AL29" s="36" t="e">
        <f t="shared" si="8"/>
        <v>#REF!</v>
      </c>
      <c r="AM29" s="36" t="e">
        <f t="shared" si="8"/>
        <v>#REF!</v>
      </c>
      <c r="AN29" s="36" t="e">
        <f t="shared" si="8"/>
        <v>#REF!</v>
      </c>
      <c r="AO29" s="36" t="e">
        <f t="shared" si="8"/>
        <v>#REF!</v>
      </c>
      <c r="AQ29" s="38"/>
      <c r="AR29" s="36" t="e">
        <f t="shared" si="9"/>
        <v>#REF!</v>
      </c>
      <c r="AS29" s="36" t="e">
        <f t="shared" si="9"/>
        <v>#REF!</v>
      </c>
      <c r="AT29" s="36" t="e">
        <f t="shared" si="9"/>
        <v>#REF!</v>
      </c>
      <c r="AU29" s="36" t="e">
        <f t="shared" si="9"/>
        <v>#REF!</v>
      </c>
      <c r="AV29" s="36" t="e">
        <f t="shared" si="9"/>
        <v>#REF!</v>
      </c>
      <c r="AW29" s="36" t="e">
        <f t="shared" si="9"/>
        <v>#REF!</v>
      </c>
      <c r="AX29" s="36" t="e">
        <f t="shared" si="9"/>
        <v>#REF!</v>
      </c>
      <c r="AY29" s="36" t="e">
        <f t="shared" si="9"/>
        <v>#REF!</v>
      </c>
      <c r="AZ29" s="36" t="e">
        <f t="shared" si="9"/>
        <v>#REF!</v>
      </c>
      <c r="BA29" s="36" t="e">
        <f t="shared" si="9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8"/>
        <v>#REF!</v>
      </c>
      <c r="AG30" s="36" t="e">
        <f t="shared" si="8"/>
        <v>#REF!</v>
      </c>
      <c r="AH30" s="36" t="e">
        <f t="shared" si="8"/>
        <v>#REF!</v>
      </c>
      <c r="AI30" s="36" t="e">
        <f t="shared" si="8"/>
        <v>#REF!</v>
      </c>
      <c r="AJ30" s="36" t="e">
        <f t="shared" si="8"/>
        <v>#REF!</v>
      </c>
      <c r="AK30" s="36" t="e">
        <f t="shared" si="8"/>
        <v>#REF!</v>
      </c>
      <c r="AL30" s="36" t="e">
        <f t="shared" si="8"/>
        <v>#REF!</v>
      </c>
      <c r="AM30" s="36" t="e">
        <f t="shared" si="8"/>
        <v>#REF!</v>
      </c>
      <c r="AN30" s="36" t="e">
        <f t="shared" si="8"/>
        <v>#REF!</v>
      </c>
      <c r="AO30" s="36" t="e">
        <f t="shared" si="8"/>
        <v>#REF!</v>
      </c>
      <c r="AQ30" s="38"/>
      <c r="AR30" s="36" t="e">
        <f t="shared" si="9"/>
        <v>#REF!</v>
      </c>
      <c r="AS30" s="36" t="e">
        <f t="shared" si="9"/>
        <v>#REF!</v>
      </c>
      <c r="AT30" s="36" t="e">
        <f t="shared" si="9"/>
        <v>#REF!</v>
      </c>
      <c r="AU30" s="36" t="e">
        <f t="shared" si="9"/>
        <v>#REF!</v>
      </c>
      <c r="AV30" s="36" t="e">
        <f t="shared" si="9"/>
        <v>#REF!</v>
      </c>
      <c r="AW30" s="36" t="e">
        <f t="shared" si="9"/>
        <v>#REF!</v>
      </c>
      <c r="AX30" s="36" t="e">
        <f t="shared" si="9"/>
        <v>#REF!</v>
      </c>
      <c r="AY30" s="36" t="e">
        <f t="shared" si="9"/>
        <v>#REF!</v>
      </c>
      <c r="AZ30" s="36" t="e">
        <f t="shared" si="9"/>
        <v>#REF!</v>
      </c>
      <c r="BA30" s="36" t="e">
        <f t="shared" si="9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8"/>
        <v>#REF!</v>
      </c>
      <c r="AG31" s="36" t="e">
        <f t="shared" si="8"/>
        <v>#REF!</v>
      </c>
      <c r="AH31" s="36" t="e">
        <f t="shared" si="8"/>
        <v>#REF!</v>
      </c>
      <c r="AI31" s="36" t="e">
        <f t="shared" si="8"/>
        <v>#REF!</v>
      </c>
      <c r="AJ31" s="36" t="e">
        <f t="shared" si="8"/>
        <v>#REF!</v>
      </c>
      <c r="AK31" s="36" t="e">
        <f t="shared" si="8"/>
        <v>#REF!</v>
      </c>
      <c r="AL31" s="36" t="e">
        <f t="shared" si="8"/>
        <v>#REF!</v>
      </c>
      <c r="AM31" s="36" t="e">
        <f t="shared" si="8"/>
        <v>#REF!</v>
      </c>
      <c r="AN31" s="36" t="e">
        <f t="shared" si="8"/>
        <v>#REF!</v>
      </c>
      <c r="AO31" s="36" t="e">
        <f t="shared" si="8"/>
        <v>#REF!</v>
      </c>
      <c r="AQ31" s="38"/>
      <c r="AR31" s="36" t="e">
        <f t="shared" si="9"/>
        <v>#REF!</v>
      </c>
      <c r="AS31" s="36" t="e">
        <f t="shared" si="9"/>
        <v>#REF!</v>
      </c>
      <c r="AT31" s="36" t="e">
        <f t="shared" si="9"/>
        <v>#REF!</v>
      </c>
      <c r="AU31" s="36" t="e">
        <f t="shared" si="9"/>
        <v>#REF!</v>
      </c>
      <c r="AV31" s="36" t="e">
        <f t="shared" si="9"/>
        <v>#REF!</v>
      </c>
      <c r="AW31" s="36" t="e">
        <f t="shared" si="9"/>
        <v>#REF!</v>
      </c>
      <c r="AX31" s="36" t="e">
        <f t="shared" si="9"/>
        <v>#REF!</v>
      </c>
      <c r="AY31" s="36" t="e">
        <f t="shared" si="9"/>
        <v>#REF!</v>
      </c>
      <c r="AZ31" s="36" t="e">
        <f t="shared" si="9"/>
        <v>#REF!</v>
      </c>
      <c r="BA31" s="36" t="e">
        <f t="shared" si="9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8"/>
        <v>#REF!</v>
      </c>
      <c r="AG32" s="36" t="e">
        <f t="shared" si="8"/>
        <v>#REF!</v>
      </c>
      <c r="AH32" s="36" t="e">
        <f t="shared" si="8"/>
        <v>#REF!</v>
      </c>
      <c r="AI32" s="36" t="e">
        <f t="shared" si="8"/>
        <v>#REF!</v>
      </c>
      <c r="AJ32" s="36" t="e">
        <f t="shared" si="8"/>
        <v>#REF!</v>
      </c>
      <c r="AK32" s="36" t="e">
        <f t="shared" si="8"/>
        <v>#REF!</v>
      </c>
      <c r="AL32" s="36" t="e">
        <f t="shared" si="8"/>
        <v>#REF!</v>
      </c>
      <c r="AM32" s="36" t="e">
        <f t="shared" si="8"/>
        <v>#REF!</v>
      </c>
      <c r="AN32" s="36" t="e">
        <f t="shared" si="8"/>
        <v>#REF!</v>
      </c>
      <c r="AO32" s="36" t="e">
        <f t="shared" si="8"/>
        <v>#REF!</v>
      </c>
      <c r="AQ32" s="38"/>
      <c r="AR32" s="36" t="e">
        <f t="shared" si="9"/>
        <v>#REF!</v>
      </c>
      <c r="AS32" s="36" t="e">
        <f t="shared" si="9"/>
        <v>#REF!</v>
      </c>
      <c r="AT32" s="36" t="e">
        <f t="shared" si="9"/>
        <v>#REF!</v>
      </c>
      <c r="AU32" s="36" t="e">
        <f t="shared" si="9"/>
        <v>#REF!</v>
      </c>
      <c r="AV32" s="36" t="e">
        <f t="shared" si="9"/>
        <v>#REF!</v>
      </c>
      <c r="AW32" s="36" t="e">
        <f t="shared" si="9"/>
        <v>#REF!</v>
      </c>
      <c r="AX32" s="36" t="e">
        <f t="shared" si="9"/>
        <v>#REF!</v>
      </c>
      <c r="AY32" s="36" t="e">
        <f t="shared" si="9"/>
        <v>#REF!</v>
      </c>
      <c r="AZ32" s="36" t="e">
        <f t="shared" si="9"/>
        <v>#REF!</v>
      </c>
      <c r="BA32" s="36" t="e">
        <f t="shared" si="9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8"/>
        <v>#REF!</v>
      </c>
      <c r="AG33" s="36" t="e">
        <f t="shared" si="8"/>
        <v>#REF!</v>
      </c>
      <c r="AH33" s="36" t="e">
        <f t="shared" si="8"/>
        <v>#REF!</v>
      </c>
      <c r="AI33" s="36" t="e">
        <f t="shared" si="8"/>
        <v>#REF!</v>
      </c>
      <c r="AJ33" s="36" t="e">
        <f t="shared" si="8"/>
        <v>#REF!</v>
      </c>
      <c r="AK33" s="36" t="e">
        <f t="shared" si="8"/>
        <v>#REF!</v>
      </c>
      <c r="AL33" s="36" t="e">
        <f t="shared" si="8"/>
        <v>#REF!</v>
      </c>
      <c r="AM33" s="36" t="e">
        <f t="shared" si="8"/>
        <v>#REF!</v>
      </c>
      <c r="AN33" s="36" t="e">
        <f t="shared" si="8"/>
        <v>#REF!</v>
      </c>
      <c r="AO33" s="36" t="e">
        <f t="shared" si="8"/>
        <v>#REF!</v>
      </c>
      <c r="AQ33" s="38"/>
      <c r="AR33" s="36" t="e">
        <f t="shared" si="9"/>
        <v>#REF!</v>
      </c>
      <c r="AS33" s="36" t="e">
        <f t="shared" si="9"/>
        <v>#REF!</v>
      </c>
      <c r="AT33" s="36" t="e">
        <f t="shared" si="9"/>
        <v>#REF!</v>
      </c>
      <c r="AU33" s="36" t="e">
        <f t="shared" si="9"/>
        <v>#REF!</v>
      </c>
      <c r="AV33" s="36" t="e">
        <f t="shared" si="9"/>
        <v>#REF!</v>
      </c>
      <c r="AW33" s="36" t="e">
        <f t="shared" si="9"/>
        <v>#REF!</v>
      </c>
      <c r="AX33" s="36" t="e">
        <f t="shared" si="9"/>
        <v>#REF!</v>
      </c>
      <c r="AY33" s="36" t="e">
        <f t="shared" si="9"/>
        <v>#REF!</v>
      </c>
      <c r="AZ33" s="36" t="e">
        <f t="shared" si="9"/>
        <v>#REF!</v>
      </c>
      <c r="BA33" s="36" t="e">
        <f t="shared" si="9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8"/>
        <v>#REF!</v>
      </c>
      <c r="AG34" s="36" t="e">
        <f t="shared" si="8"/>
        <v>#REF!</v>
      </c>
      <c r="AH34" s="36" t="e">
        <f t="shared" si="8"/>
        <v>#REF!</v>
      </c>
      <c r="AI34" s="36" t="e">
        <f t="shared" si="8"/>
        <v>#REF!</v>
      </c>
      <c r="AJ34" s="36" t="e">
        <f t="shared" si="8"/>
        <v>#REF!</v>
      </c>
      <c r="AK34" s="36" t="e">
        <f t="shared" si="8"/>
        <v>#REF!</v>
      </c>
      <c r="AL34" s="36" t="e">
        <f t="shared" si="8"/>
        <v>#REF!</v>
      </c>
      <c r="AM34" s="36" t="e">
        <f t="shared" si="8"/>
        <v>#REF!</v>
      </c>
      <c r="AN34" s="36" t="e">
        <f t="shared" si="8"/>
        <v>#REF!</v>
      </c>
      <c r="AO34" s="36" t="e">
        <f t="shared" si="8"/>
        <v>#REF!</v>
      </c>
      <c r="AQ34" s="38"/>
      <c r="AR34" s="36" t="e">
        <f t="shared" si="9"/>
        <v>#REF!</v>
      </c>
      <c r="AS34" s="36" t="e">
        <f t="shared" si="9"/>
        <v>#REF!</v>
      </c>
      <c r="AT34" s="36" t="e">
        <f t="shared" si="9"/>
        <v>#REF!</v>
      </c>
      <c r="AU34" s="36" t="e">
        <f t="shared" si="9"/>
        <v>#REF!</v>
      </c>
      <c r="AV34" s="36" t="e">
        <f t="shared" si="9"/>
        <v>#REF!</v>
      </c>
      <c r="AW34" s="36" t="e">
        <f t="shared" si="9"/>
        <v>#REF!</v>
      </c>
      <c r="AX34" s="36" t="e">
        <f t="shared" si="9"/>
        <v>#REF!</v>
      </c>
      <c r="AY34" s="36" t="e">
        <f t="shared" si="9"/>
        <v>#REF!</v>
      </c>
      <c r="AZ34" s="36" t="e">
        <f t="shared" si="9"/>
        <v>#REF!</v>
      </c>
      <c r="BA34" s="36" t="e">
        <f t="shared" si="9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10">AF$10*$AC37</f>
        <v>#REF!</v>
      </c>
      <c r="AG37" s="36" t="e">
        <f t="shared" si="10"/>
        <v>#REF!</v>
      </c>
      <c r="AH37" s="36" t="e">
        <f t="shared" si="10"/>
        <v>#REF!</v>
      </c>
      <c r="AI37" s="36" t="e">
        <f t="shared" si="10"/>
        <v>#REF!</v>
      </c>
      <c r="AJ37" s="36" t="e">
        <f t="shared" si="10"/>
        <v>#REF!</v>
      </c>
      <c r="AK37" s="36" t="e">
        <f t="shared" si="10"/>
        <v>#REF!</v>
      </c>
      <c r="AL37" s="36" t="e">
        <f t="shared" si="10"/>
        <v>#REF!</v>
      </c>
      <c r="AM37" s="36" t="e">
        <f t="shared" si="10"/>
        <v>#REF!</v>
      </c>
      <c r="AN37" s="36" t="e">
        <f t="shared" si="10"/>
        <v>#REF!</v>
      </c>
      <c r="AO37" s="36" t="e">
        <f t="shared" si="10"/>
        <v>#REF!</v>
      </c>
      <c r="AQ37" s="38"/>
      <c r="AR37" s="36" t="e">
        <f t="shared" ref="AR37:BA45" si="11">AR$10*$AC37</f>
        <v>#REF!</v>
      </c>
      <c r="AS37" s="36" t="e">
        <f t="shared" si="11"/>
        <v>#REF!</v>
      </c>
      <c r="AT37" s="36" t="e">
        <f t="shared" si="11"/>
        <v>#REF!</v>
      </c>
      <c r="AU37" s="36" t="e">
        <f t="shared" si="11"/>
        <v>#REF!</v>
      </c>
      <c r="AV37" s="36" t="e">
        <f t="shared" si="11"/>
        <v>#REF!</v>
      </c>
      <c r="AW37" s="36" t="e">
        <f t="shared" si="11"/>
        <v>#REF!</v>
      </c>
      <c r="AX37" s="36" t="e">
        <f t="shared" si="11"/>
        <v>#REF!</v>
      </c>
      <c r="AY37" s="36" t="e">
        <f t="shared" si="11"/>
        <v>#REF!</v>
      </c>
      <c r="AZ37" s="36" t="e">
        <f t="shared" si="11"/>
        <v>#REF!</v>
      </c>
      <c r="BA37" s="36" t="e">
        <f t="shared" si="11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10"/>
        <v>#REF!</v>
      </c>
      <c r="AG38" s="36" t="e">
        <f t="shared" si="10"/>
        <v>#REF!</v>
      </c>
      <c r="AH38" s="36" t="e">
        <f t="shared" si="10"/>
        <v>#REF!</v>
      </c>
      <c r="AI38" s="36" t="e">
        <f t="shared" si="10"/>
        <v>#REF!</v>
      </c>
      <c r="AJ38" s="36" t="e">
        <f t="shared" si="10"/>
        <v>#REF!</v>
      </c>
      <c r="AK38" s="36" t="e">
        <f t="shared" si="10"/>
        <v>#REF!</v>
      </c>
      <c r="AL38" s="36" t="e">
        <f t="shared" si="10"/>
        <v>#REF!</v>
      </c>
      <c r="AM38" s="36" t="e">
        <f t="shared" si="10"/>
        <v>#REF!</v>
      </c>
      <c r="AN38" s="36" t="e">
        <f t="shared" si="10"/>
        <v>#REF!</v>
      </c>
      <c r="AO38" s="36" t="e">
        <f t="shared" si="10"/>
        <v>#REF!</v>
      </c>
      <c r="AQ38" s="38"/>
      <c r="AR38" s="36" t="e">
        <f t="shared" si="11"/>
        <v>#REF!</v>
      </c>
      <c r="AS38" s="36" t="e">
        <f t="shared" si="11"/>
        <v>#REF!</v>
      </c>
      <c r="AT38" s="36" t="e">
        <f t="shared" si="11"/>
        <v>#REF!</v>
      </c>
      <c r="AU38" s="36" t="e">
        <f t="shared" si="11"/>
        <v>#REF!</v>
      </c>
      <c r="AV38" s="36" t="e">
        <f t="shared" si="11"/>
        <v>#REF!</v>
      </c>
      <c r="AW38" s="36" t="e">
        <f t="shared" si="11"/>
        <v>#REF!</v>
      </c>
      <c r="AX38" s="36" t="e">
        <f t="shared" si="11"/>
        <v>#REF!</v>
      </c>
      <c r="AY38" s="36" t="e">
        <f t="shared" si="11"/>
        <v>#REF!</v>
      </c>
      <c r="AZ38" s="36" t="e">
        <f t="shared" si="11"/>
        <v>#REF!</v>
      </c>
      <c r="BA38" s="36" t="e">
        <f t="shared" si="11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10"/>
        <v>#REF!</v>
      </c>
      <c r="AG39" s="36" t="e">
        <f t="shared" si="10"/>
        <v>#REF!</v>
      </c>
      <c r="AH39" s="36" t="e">
        <f t="shared" si="10"/>
        <v>#REF!</v>
      </c>
      <c r="AI39" s="36" t="e">
        <f t="shared" si="10"/>
        <v>#REF!</v>
      </c>
      <c r="AJ39" s="36" t="e">
        <f t="shared" si="10"/>
        <v>#REF!</v>
      </c>
      <c r="AK39" s="36" t="e">
        <f t="shared" si="10"/>
        <v>#REF!</v>
      </c>
      <c r="AL39" s="36" t="e">
        <f t="shared" si="10"/>
        <v>#REF!</v>
      </c>
      <c r="AM39" s="36" t="e">
        <f t="shared" si="10"/>
        <v>#REF!</v>
      </c>
      <c r="AN39" s="36" t="e">
        <f t="shared" si="10"/>
        <v>#REF!</v>
      </c>
      <c r="AO39" s="36" t="e">
        <f t="shared" si="10"/>
        <v>#REF!</v>
      </c>
      <c r="AQ39" s="38"/>
      <c r="AR39" s="36" t="e">
        <f t="shared" si="11"/>
        <v>#REF!</v>
      </c>
      <c r="AS39" s="36" t="e">
        <f t="shared" si="11"/>
        <v>#REF!</v>
      </c>
      <c r="AT39" s="36" t="e">
        <f t="shared" si="11"/>
        <v>#REF!</v>
      </c>
      <c r="AU39" s="36" t="e">
        <f t="shared" si="11"/>
        <v>#REF!</v>
      </c>
      <c r="AV39" s="36" t="e">
        <f t="shared" si="11"/>
        <v>#REF!</v>
      </c>
      <c r="AW39" s="36" t="e">
        <f t="shared" si="11"/>
        <v>#REF!</v>
      </c>
      <c r="AX39" s="36" t="e">
        <f t="shared" si="11"/>
        <v>#REF!</v>
      </c>
      <c r="AY39" s="36" t="e">
        <f t="shared" si="11"/>
        <v>#REF!</v>
      </c>
      <c r="AZ39" s="36" t="e">
        <f t="shared" si="11"/>
        <v>#REF!</v>
      </c>
      <c r="BA39" s="36" t="e">
        <f t="shared" si="11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10"/>
        <v>#REF!</v>
      </c>
      <c r="AG40" s="36" t="e">
        <f t="shared" si="10"/>
        <v>#REF!</v>
      </c>
      <c r="AH40" s="36" t="e">
        <f t="shared" si="10"/>
        <v>#REF!</v>
      </c>
      <c r="AI40" s="36" t="e">
        <f t="shared" si="10"/>
        <v>#REF!</v>
      </c>
      <c r="AJ40" s="36" t="e">
        <f t="shared" si="10"/>
        <v>#REF!</v>
      </c>
      <c r="AK40" s="36" t="e">
        <f t="shared" si="10"/>
        <v>#REF!</v>
      </c>
      <c r="AL40" s="36" t="e">
        <f t="shared" si="10"/>
        <v>#REF!</v>
      </c>
      <c r="AM40" s="36" t="e">
        <f t="shared" si="10"/>
        <v>#REF!</v>
      </c>
      <c r="AN40" s="36" t="e">
        <f t="shared" si="10"/>
        <v>#REF!</v>
      </c>
      <c r="AO40" s="36" t="e">
        <f t="shared" si="10"/>
        <v>#REF!</v>
      </c>
      <c r="AQ40" s="38"/>
      <c r="AR40" s="36" t="e">
        <f t="shared" si="11"/>
        <v>#REF!</v>
      </c>
      <c r="AS40" s="36" t="e">
        <f t="shared" si="11"/>
        <v>#REF!</v>
      </c>
      <c r="AT40" s="36" t="e">
        <f t="shared" si="11"/>
        <v>#REF!</v>
      </c>
      <c r="AU40" s="36" t="e">
        <f t="shared" si="11"/>
        <v>#REF!</v>
      </c>
      <c r="AV40" s="36" t="e">
        <f t="shared" si="11"/>
        <v>#REF!</v>
      </c>
      <c r="AW40" s="36" t="e">
        <f t="shared" si="11"/>
        <v>#REF!</v>
      </c>
      <c r="AX40" s="36" t="e">
        <f t="shared" si="11"/>
        <v>#REF!</v>
      </c>
      <c r="AY40" s="36" t="e">
        <f t="shared" si="11"/>
        <v>#REF!</v>
      </c>
      <c r="AZ40" s="36" t="e">
        <f t="shared" si="11"/>
        <v>#REF!</v>
      </c>
      <c r="BA40" s="36" t="e">
        <f t="shared" si="11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10"/>
        <v>#REF!</v>
      </c>
      <c r="AG41" s="36" t="e">
        <f t="shared" si="10"/>
        <v>#REF!</v>
      </c>
      <c r="AH41" s="36" t="e">
        <f t="shared" si="10"/>
        <v>#REF!</v>
      </c>
      <c r="AI41" s="36" t="e">
        <f t="shared" si="10"/>
        <v>#REF!</v>
      </c>
      <c r="AJ41" s="36" t="e">
        <f t="shared" si="10"/>
        <v>#REF!</v>
      </c>
      <c r="AK41" s="36" t="e">
        <f t="shared" si="10"/>
        <v>#REF!</v>
      </c>
      <c r="AL41" s="36" t="e">
        <f t="shared" si="10"/>
        <v>#REF!</v>
      </c>
      <c r="AM41" s="36" t="e">
        <f t="shared" si="10"/>
        <v>#REF!</v>
      </c>
      <c r="AN41" s="36" t="e">
        <f t="shared" si="10"/>
        <v>#REF!</v>
      </c>
      <c r="AO41" s="36" t="e">
        <f t="shared" si="10"/>
        <v>#REF!</v>
      </c>
      <c r="AQ41" s="38"/>
      <c r="AR41" s="36" t="e">
        <f t="shared" si="11"/>
        <v>#REF!</v>
      </c>
      <c r="AS41" s="36" t="e">
        <f t="shared" si="11"/>
        <v>#REF!</v>
      </c>
      <c r="AT41" s="36" t="e">
        <f t="shared" si="11"/>
        <v>#REF!</v>
      </c>
      <c r="AU41" s="36" t="e">
        <f t="shared" si="11"/>
        <v>#REF!</v>
      </c>
      <c r="AV41" s="36" t="e">
        <f t="shared" si="11"/>
        <v>#REF!</v>
      </c>
      <c r="AW41" s="36" t="e">
        <f t="shared" si="11"/>
        <v>#REF!</v>
      </c>
      <c r="AX41" s="36" t="e">
        <f t="shared" si="11"/>
        <v>#REF!</v>
      </c>
      <c r="AY41" s="36" t="e">
        <f t="shared" si="11"/>
        <v>#REF!</v>
      </c>
      <c r="AZ41" s="36" t="e">
        <f t="shared" si="11"/>
        <v>#REF!</v>
      </c>
      <c r="BA41" s="36" t="e">
        <f t="shared" si="11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10"/>
        <v>#REF!</v>
      </c>
      <c r="AG42" s="36" t="e">
        <f t="shared" si="10"/>
        <v>#REF!</v>
      </c>
      <c r="AH42" s="36" t="e">
        <f t="shared" si="10"/>
        <v>#REF!</v>
      </c>
      <c r="AI42" s="36" t="e">
        <f t="shared" si="10"/>
        <v>#REF!</v>
      </c>
      <c r="AJ42" s="36" t="e">
        <f t="shared" si="10"/>
        <v>#REF!</v>
      </c>
      <c r="AK42" s="36" t="e">
        <f t="shared" si="10"/>
        <v>#REF!</v>
      </c>
      <c r="AL42" s="36" t="e">
        <f t="shared" si="10"/>
        <v>#REF!</v>
      </c>
      <c r="AM42" s="36" t="e">
        <f t="shared" si="10"/>
        <v>#REF!</v>
      </c>
      <c r="AN42" s="36" t="e">
        <f t="shared" si="10"/>
        <v>#REF!</v>
      </c>
      <c r="AO42" s="36" t="e">
        <f t="shared" si="10"/>
        <v>#REF!</v>
      </c>
      <c r="AQ42" s="38"/>
      <c r="AR42" s="36" t="e">
        <f t="shared" si="11"/>
        <v>#REF!</v>
      </c>
      <c r="AS42" s="36" t="e">
        <f t="shared" si="11"/>
        <v>#REF!</v>
      </c>
      <c r="AT42" s="36" t="e">
        <f t="shared" si="11"/>
        <v>#REF!</v>
      </c>
      <c r="AU42" s="36" t="e">
        <f t="shared" si="11"/>
        <v>#REF!</v>
      </c>
      <c r="AV42" s="36" t="e">
        <f t="shared" si="11"/>
        <v>#REF!</v>
      </c>
      <c r="AW42" s="36" t="e">
        <f t="shared" si="11"/>
        <v>#REF!</v>
      </c>
      <c r="AX42" s="36" t="e">
        <f t="shared" si="11"/>
        <v>#REF!</v>
      </c>
      <c r="AY42" s="36" t="e">
        <f t="shared" si="11"/>
        <v>#REF!</v>
      </c>
      <c r="AZ42" s="36" t="e">
        <f t="shared" si="11"/>
        <v>#REF!</v>
      </c>
      <c r="BA42" s="36" t="e">
        <f t="shared" si="11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10"/>
        <v>#REF!</v>
      </c>
      <c r="AG43" s="36" t="e">
        <f t="shared" si="10"/>
        <v>#REF!</v>
      </c>
      <c r="AH43" s="36" t="e">
        <f t="shared" si="10"/>
        <v>#REF!</v>
      </c>
      <c r="AI43" s="36" t="e">
        <f t="shared" si="10"/>
        <v>#REF!</v>
      </c>
      <c r="AJ43" s="36" t="e">
        <f t="shared" si="10"/>
        <v>#REF!</v>
      </c>
      <c r="AK43" s="36" t="e">
        <f t="shared" si="10"/>
        <v>#REF!</v>
      </c>
      <c r="AL43" s="36" t="e">
        <f t="shared" si="10"/>
        <v>#REF!</v>
      </c>
      <c r="AM43" s="36" t="e">
        <f t="shared" si="10"/>
        <v>#REF!</v>
      </c>
      <c r="AN43" s="36" t="e">
        <f t="shared" si="10"/>
        <v>#REF!</v>
      </c>
      <c r="AO43" s="36" t="e">
        <f t="shared" si="10"/>
        <v>#REF!</v>
      </c>
      <c r="AQ43" s="38"/>
      <c r="AR43" s="36" t="e">
        <f t="shared" si="11"/>
        <v>#REF!</v>
      </c>
      <c r="AS43" s="36" t="e">
        <f t="shared" si="11"/>
        <v>#REF!</v>
      </c>
      <c r="AT43" s="36" t="e">
        <f t="shared" si="11"/>
        <v>#REF!</v>
      </c>
      <c r="AU43" s="36" t="e">
        <f t="shared" si="11"/>
        <v>#REF!</v>
      </c>
      <c r="AV43" s="36" t="e">
        <f t="shared" si="11"/>
        <v>#REF!</v>
      </c>
      <c r="AW43" s="36" t="e">
        <f t="shared" si="11"/>
        <v>#REF!</v>
      </c>
      <c r="AX43" s="36" t="e">
        <f t="shared" si="11"/>
        <v>#REF!</v>
      </c>
      <c r="AY43" s="36" t="e">
        <f t="shared" si="11"/>
        <v>#REF!</v>
      </c>
      <c r="AZ43" s="36" t="e">
        <f t="shared" si="11"/>
        <v>#REF!</v>
      </c>
      <c r="BA43" s="36" t="e">
        <f t="shared" si="11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10"/>
        <v>#REF!</v>
      </c>
      <c r="AG44" s="36" t="e">
        <f t="shared" si="10"/>
        <v>#REF!</v>
      </c>
      <c r="AH44" s="36" t="e">
        <f t="shared" si="10"/>
        <v>#REF!</v>
      </c>
      <c r="AI44" s="36" t="e">
        <f t="shared" si="10"/>
        <v>#REF!</v>
      </c>
      <c r="AJ44" s="36" t="e">
        <f t="shared" si="10"/>
        <v>#REF!</v>
      </c>
      <c r="AK44" s="36" t="e">
        <f t="shared" si="10"/>
        <v>#REF!</v>
      </c>
      <c r="AL44" s="36" t="e">
        <f t="shared" si="10"/>
        <v>#REF!</v>
      </c>
      <c r="AM44" s="36" t="e">
        <f t="shared" si="10"/>
        <v>#REF!</v>
      </c>
      <c r="AN44" s="36" t="e">
        <f t="shared" si="10"/>
        <v>#REF!</v>
      </c>
      <c r="AO44" s="36" t="e">
        <f t="shared" si="10"/>
        <v>#REF!</v>
      </c>
      <c r="AQ44" s="38"/>
      <c r="AR44" s="36" t="e">
        <f t="shared" si="11"/>
        <v>#REF!</v>
      </c>
      <c r="AS44" s="36" t="e">
        <f t="shared" si="11"/>
        <v>#REF!</v>
      </c>
      <c r="AT44" s="36" t="e">
        <f t="shared" si="11"/>
        <v>#REF!</v>
      </c>
      <c r="AU44" s="36" t="e">
        <f t="shared" si="11"/>
        <v>#REF!</v>
      </c>
      <c r="AV44" s="36" t="e">
        <f t="shared" si="11"/>
        <v>#REF!</v>
      </c>
      <c r="AW44" s="36" t="e">
        <f t="shared" si="11"/>
        <v>#REF!</v>
      </c>
      <c r="AX44" s="36" t="e">
        <f t="shared" si="11"/>
        <v>#REF!</v>
      </c>
      <c r="AY44" s="36" t="e">
        <f t="shared" si="11"/>
        <v>#REF!</v>
      </c>
      <c r="AZ44" s="36" t="e">
        <f t="shared" si="11"/>
        <v>#REF!</v>
      </c>
      <c r="BA44" s="36" t="e">
        <f t="shared" si="11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10"/>
        <v>#REF!</v>
      </c>
      <c r="AG45" s="36" t="e">
        <f t="shared" si="10"/>
        <v>#REF!</v>
      </c>
      <c r="AH45" s="36" t="e">
        <f t="shared" si="10"/>
        <v>#REF!</v>
      </c>
      <c r="AI45" s="36" t="e">
        <f t="shared" si="10"/>
        <v>#REF!</v>
      </c>
      <c r="AJ45" s="36" t="e">
        <f t="shared" si="10"/>
        <v>#REF!</v>
      </c>
      <c r="AK45" s="36" t="e">
        <f t="shared" si="10"/>
        <v>#REF!</v>
      </c>
      <c r="AL45" s="36" t="e">
        <f t="shared" si="10"/>
        <v>#REF!</v>
      </c>
      <c r="AM45" s="36" t="e">
        <f t="shared" si="10"/>
        <v>#REF!</v>
      </c>
      <c r="AN45" s="36" t="e">
        <f t="shared" si="10"/>
        <v>#REF!</v>
      </c>
      <c r="AO45" s="36" t="e">
        <f t="shared" si="10"/>
        <v>#REF!</v>
      </c>
      <c r="AQ45" s="38"/>
      <c r="AR45" s="36" t="e">
        <f t="shared" si="11"/>
        <v>#REF!</v>
      </c>
      <c r="AS45" s="36" t="e">
        <f t="shared" si="11"/>
        <v>#REF!</v>
      </c>
      <c r="AT45" s="36" t="e">
        <f t="shared" si="11"/>
        <v>#REF!</v>
      </c>
      <c r="AU45" s="36" t="e">
        <f t="shared" si="11"/>
        <v>#REF!</v>
      </c>
      <c r="AV45" s="36" t="e">
        <f t="shared" si="11"/>
        <v>#REF!</v>
      </c>
      <c r="AW45" s="36" t="e">
        <f t="shared" si="11"/>
        <v>#REF!</v>
      </c>
      <c r="AX45" s="36" t="e">
        <f t="shared" si="11"/>
        <v>#REF!</v>
      </c>
      <c r="AY45" s="36" t="e">
        <f t="shared" si="11"/>
        <v>#REF!</v>
      </c>
      <c r="AZ45" s="36" t="e">
        <f t="shared" si="11"/>
        <v>#REF!</v>
      </c>
      <c r="BA45" s="36" t="e">
        <f t="shared" si="11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2">AF15+AF17+AF18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AR15+AR17+AR18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41</v>
      </c>
      <c r="AB51" s="35"/>
      <c r="AF51" s="70" t="e">
        <f t="shared" ref="AF51:AO51" si="14">AF26+AF28+AF29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AR26+AR28+AR29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71" t="s">
        <v>42</v>
      </c>
      <c r="AB52" s="35"/>
      <c r="AF52" s="70" t="e">
        <f t="shared" ref="AF52:AO52" si="16">AF37+AF39+AF40</f>
        <v>#REF!</v>
      </c>
      <c r="AG52" s="70" t="e">
        <f t="shared" si="16"/>
        <v>#REF!</v>
      </c>
      <c r="AH52" s="70" t="e">
        <f t="shared" si="16"/>
        <v>#REF!</v>
      </c>
      <c r="AI52" s="70" t="e">
        <f t="shared" si="16"/>
        <v>#REF!</v>
      </c>
      <c r="AJ52" s="70" t="e">
        <f t="shared" si="16"/>
        <v>#REF!</v>
      </c>
      <c r="AK52" s="70" t="e">
        <f t="shared" si="16"/>
        <v>#REF!</v>
      </c>
      <c r="AL52" s="70" t="e">
        <f t="shared" si="16"/>
        <v>#REF!</v>
      </c>
      <c r="AM52" s="70" t="e">
        <f t="shared" si="16"/>
        <v>#REF!</v>
      </c>
      <c r="AN52" s="70" t="e">
        <f t="shared" si="16"/>
        <v>#REF!</v>
      </c>
      <c r="AO52" s="70" t="e">
        <f t="shared" si="16"/>
        <v>#REF!</v>
      </c>
      <c r="AP52" s="70"/>
      <c r="AQ52" s="70"/>
      <c r="AR52" s="70" t="e">
        <f t="shared" ref="AR52:BA52" si="17">AR37+AR39+AR40</f>
        <v>#REF!</v>
      </c>
      <c r="AS52" s="70" t="e">
        <f t="shared" si="17"/>
        <v>#REF!</v>
      </c>
      <c r="AT52" s="70" t="e">
        <f t="shared" si="17"/>
        <v>#REF!</v>
      </c>
      <c r="AU52" s="70" t="e">
        <f t="shared" si="17"/>
        <v>#REF!</v>
      </c>
      <c r="AV52" s="70" t="e">
        <f t="shared" si="17"/>
        <v>#REF!</v>
      </c>
      <c r="AW52" s="70" t="e">
        <f t="shared" si="17"/>
        <v>#REF!</v>
      </c>
      <c r="AX52" s="70" t="e">
        <f t="shared" si="17"/>
        <v>#REF!</v>
      </c>
      <c r="AY52" s="70" t="e">
        <f t="shared" si="17"/>
        <v>#REF!</v>
      </c>
      <c r="AZ52" s="70" t="e">
        <f t="shared" si="17"/>
        <v>#REF!</v>
      </c>
      <c r="BA52" s="70" t="e">
        <f t="shared" si="17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8">AF15+AF17+AF19+AF21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AR15+AR17+AR19+AR21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41</v>
      </c>
      <c r="AB55" s="35"/>
      <c r="AF55" s="70" t="e">
        <f t="shared" ref="AF55:AO55" si="20">AF26+AF28+AF30+AF32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AR26+AR28+AR30+AR32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71" t="s">
        <v>42</v>
      </c>
      <c r="AB56" s="35"/>
      <c r="AF56" s="70" t="e">
        <f t="shared" ref="AF56:AO56" si="22">AF37+AF39+AF41+AF43</f>
        <v>#REF!</v>
      </c>
      <c r="AG56" s="70" t="e">
        <f t="shared" si="22"/>
        <v>#REF!</v>
      </c>
      <c r="AH56" s="70" t="e">
        <f t="shared" si="22"/>
        <v>#REF!</v>
      </c>
      <c r="AI56" s="70" t="e">
        <f t="shared" si="22"/>
        <v>#REF!</v>
      </c>
      <c r="AJ56" s="70" t="e">
        <f t="shared" si="22"/>
        <v>#REF!</v>
      </c>
      <c r="AK56" s="70" t="e">
        <f t="shared" si="22"/>
        <v>#REF!</v>
      </c>
      <c r="AL56" s="70" t="e">
        <f t="shared" si="22"/>
        <v>#REF!</v>
      </c>
      <c r="AM56" s="70" t="e">
        <f t="shared" si="22"/>
        <v>#REF!</v>
      </c>
      <c r="AN56" s="70" t="e">
        <f t="shared" si="22"/>
        <v>#REF!</v>
      </c>
      <c r="AO56" s="70" t="e">
        <f t="shared" si="22"/>
        <v>#REF!</v>
      </c>
      <c r="AP56" s="70"/>
      <c r="AQ56" s="70"/>
      <c r="AR56" s="70" t="e">
        <f t="shared" ref="AR56:BA56" si="23">AR37+AR39+AR41+AR43</f>
        <v>#REF!</v>
      </c>
      <c r="AS56" s="70" t="e">
        <f t="shared" si="23"/>
        <v>#REF!</v>
      </c>
      <c r="AT56" s="70" t="e">
        <f t="shared" si="23"/>
        <v>#REF!</v>
      </c>
      <c r="AU56" s="70" t="e">
        <f t="shared" si="23"/>
        <v>#REF!</v>
      </c>
      <c r="AV56" s="70" t="e">
        <f t="shared" si="23"/>
        <v>#REF!</v>
      </c>
      <c r="AW56" s="70" t="e">
        <f t="shared" si="23"/>
        <v>#REF!</v>
      </c>
      <c r="AX56" s="70" t="e">
        <f t="shared" si="23"/>
        <v>#REF!</v>
      </c>
      <c r="AY56" s="70" t="e">
        <f t="shared" si="23"/>
        <v>#REF!</v>
      </c>
      <c r="AZ56" s="70" t="e">
        <f t="shared" si="23"/>
        <v>#REF!</v>
      </c>
      <c r="BA56" s="70" t="e">
        <f t="shared" si="23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4">AF15+AF17+AF19+AF20+AF22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AR15+AR17+AR19+AR20+AR22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41</v>
      </c>
      <c r="AB59" s="35"/>
      <c r="AF59" s="70" t="e">
        <f t="shared" ref="AF59:AO59" si="26">AF26+AF28+AF30+AF31+AF33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AR26+AR28+AR30+AR31+AR33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71" t="s">
        <v>42</v>
      </c>
      <c r="AB60" s="35"/>
      <c r="AF60" s="70" t="e">
        <f t="shared" ref="AF60:AO60" si="28">AF37+AF39+AF41+AF42+AF44</f>
        <v>#REF!</v>
      </c>
      <c r="AG60" s="70" t="e">
        <f t="shared" si="28"/>
        <v>#REF!</v>
      </c>
      <c r="AH60" s="70" t="e">
        <f t="shared" si="28"/>
        <v>#REF!</v>
      </c>
      <c r="AI60" s="70" t="e">
        <f t="shared" si="28"/>
        <v>#REF!</v>
      </c>
      <c r="AJ60" s="70" t="e">
        <f t="shared" si="28"/>
        <v>#REF!</v>
      </c>
      <c r="AK60" s="70" t="e">
        <f t="shared" si="28"/>
        <v>#REF!</v>
      </c>
      <c r="AL60" s="70" t="e">
        <f t="shared" si="28"/>
        <v>#REF!</v>
      </c>
      <c r="AM60" s="70" t="e">
        <f t="shared" si="28"/>
        <v>#REF!</v>
      </c>
      <c r="AN60" s="70" t="e">
        <f t="shared" si="28"/>
        <v>#REF!</v>
      </c>
      <c r="AO60" s="70" t="e">
        <f t="shared" si="28"/>
        <v>#REF!</v>
      </c>
      <c r="AP60" s="70"/>
      <c r="AQ60" s="70"/>
      <c r="AR60" s="70" t="e">
        <f t="shared" ref="AR60:BA60" si="29">AR37+AR39+AR41+AR42+AR44</f>
        <v>#REF!</v>
      </c>
      <c r="AS60" s="70" t="e">
        <f t="shared" si="29"/>
        <v>#REF!</v>
      </c>
      <c r="AT60" s="70" t="e">
        <f t="shared" si="29"/>
        <v>#REF!</v>
      </c>
      <c r="AU60" s="70" t="e">
        <f t="shared" si="29"/>
        <v>#REF!</v>
      </c>
      <c r="AV60" s="70" t="e">
        <f t="shared" si="29"/>
        <v>#REF!</v>
      </c>
      <c r="AW60" s="70" t="e">
        <f t="shared" si="29"/>
        <v>#REF!</v>
      </c>
      <c r="AX60" s="70" t="e">
        <f t="shared" si="29"/>
        <v>#REF!</v>
      </c>
      <c r="AY60" s="70" t="e">
        <f t="shared" si="29"/>
        <v>#REF!</v>
      </c>
      <c r="AZ60" s="70" t="e">
        <f t="shared" si="29"/>
        <v>#REF!</v>
      </c>
      <c r="BA60" s="70" t="e">
        <f t="shared" si="29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30">AF15+AF17+AF19+AF20+AF23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AR15+AR17+AR19+AR20+AR23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41</v>
      </c>
      <c r="AB63" s="35"/>
      <c r="AF63" s="70" t="e">
        <f t="shared" ref="AF63:AO63" si="32">AF26+AF28+AF30+AF31+AF34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AR26+AR28+AR30+AR31+AR34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71" t="s">
        <v>42</v>
      </c>
      <c r="AB64" s="35"/>
      <c r="AF64" s="70" t="e">
        <f t="shared" ref="AF64:AO64" si="34">AF37+AF39+AF41+AF42+AF45</f>
        <v>#REF!</v>
      </c>
      <c r="AG64" s="70" t="e">
        <f t="shared" si="34"/>
        <v>#REF!</v>
      </c>
      <c r="AH64" s="70" t="e">
        <f t="shared" si="34"/>
        <v>#REF!</v>
      </c>
      <c r="AI64" s="70" t="e">
        <f t="shared" si="34"/>
        <v>#REF!</v>
      </c>
      <c r="AJ64" s="70" t="e">
        <f t="shared" si="34"/>
        <v>#REF!</v>
      </c>
      <c r="AK64" s="70" t="e">
        <f t="shared" si="34"/>
        <v>#REF!</v>
      </c>
      <c r="AL64" s="70" t="e">
        <f t="shared" si="34"/>
        <v>#REF!</v>
      </c>
      <c r="AM64" s="70" t="e">
        <f t="shared" si="34"/>
        <v>#REF!</v>
      </c>
      <c r="AN64" s="70" t="e">
        <f t="shared" si="34"/>
        <v>#REF!</v>
      </c>
      <c r="AO64" s="70" t="e">
        <f t="shared" si="34"/>
        <v>#REF!</v>
      </c>
      <c r="AP64" s="70"/>
      <c r="AQ64" s="70"/>
      <c r="AR64" s="70" t="e">
        <f t="shared" ref="AR64:BA64" si="35">AR37+AR39+AR41+AR42+AR45</f>
        <v>#REF!</v>
      </c>
      <c r="AS64" s="70" t="e">
        <f t="shared" si="35"/>
        <v>#REF!</v>
      </c>
      <c r="AT64" s="70" t="e">
        <f t="shared" si="35"/>
        <v>#REF!</v>
      </c>
      <c r="AU64" s="70" t="e">
        <f t="shared" si="35"/>
        <v>#REF!</v>
      </c>
      <c r="AV64" s="70" t="e">
        <f t="shared" si="35"/>
        <v>#REF!</v>
      </c>
      <c r="AW64" s="70" t="e">
        <f t="shared" si="35"/>
        <v>#REF!</v>
      </c>
      <c r="AX64" s="70" t="e">
        <f t="shared" si="35"/>
        <v>#REF!</v>
      </c>
      <c r="AY64" s="70" t="e">
        <f t="shared" si="35"/>
        <v>#REF!</v>
      </c>
      <c r="AZ64" s="70" t="e">
        <f t="shared" si="35"/>
        <v>#REF!</v>
      </c>
      <c r="BA64" s="70" t="e">
        <f t="shared" si="35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6">AF15+AF16+AF21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AR15+AR16+AR21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41</v>
      </c>
      <c r="AB67" s="35"/>
      <c r="AF67" s="70" t="e">
        <f t="shared" ref="AF67:AO67" si="38">AF26+AF27+AF32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AR26+AR27+AR32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1" t="s">
        <v>42</v>
      </c>
      <c r="AB68" s="35"/>
      <c r="AF68" s="70" t="e">
        <f t="shared" ref="AF68:AO68" si="40">AF37+AF38+AF43</f>
        <v>#REF!</v>
      </c>
      <c r="AG68" s="70" t="e">
        <f t="shared" si="40"/>
        <v>#REF!</v>
      </c>
      <c r="AH68" s="70" t="e">
        <f t="shared" si="40"/>
        <v>#REF!</v>
      </c>
      <c r="AI68" s="70" t="e">
        <f t="shared" si="40"/>
        <v>#REF!</v>
      </c>
      <c r="AJ68" s="70" t="e">
        <f t="shared" si="40"/>
        <v>#REF!</v>
      </c>
      <c r="AK68" s="70" t="e">
        <f t="shared" si="40"/>
        <v>#REF!</v>
      </c>
      <c r="AL68" s="70" t="e">
        <f t="shared" si="40"/>
        <v>#REF!</v>
      </c>
      <c r="AM68" s="70" t="e">
        <f t="shared" si="40"/>
        <v>#REF!</v>
      </c>
      <c r="AN68" s="70" t="e">
        <f t="shared" si="40"/>
        <v>#REF!</v>
      </c>
      <c r="AO68" s="70" t="e">
        <f t="shared" si="40"/>
        <v>#REF!</v>
      </c>
      <c r="AP68" s="70"/>
      <c r="AQ68" s="70"/>
      <c r="AR68" s="70" t="e">
        <f t="shared" ref="AR68:BA68" si="41">AR37+AR38+AR43</f>
        <v>#REF!</v>
      </c>
      <c r="AS68" s="70" t="e">
        <f t="shared" si="41"/>
        <v>#REF!</v>
      </c>
      <c r="AT68" s="70" t="e">
        <f t="shared" si="41"/>
        <v>#REF!</v>
      </c>
      <c r="AU68" s="70" t="e">
        <f t="shared" si="41"/>
        <v>#REF!</v>
      </c>
      <c r="AV68" s="70" t="e">
        <f t="shared" si="41"/>
        <v>#REF!</v>
      </c>
      <c r="AW68" s="70" t="e">
        <f t="shared" si="41"/>
        <v>#REF!</v>
      </c>
      <c r="AX68" s="70" t="e">
        <f t="shared" si="41"/>
        <v>#REF!</v>
      </c>
      <c r="AY68" s="70" t="e">
        <f t="shared" si="41"/>
        <v>#REF!</v>
      </c>
      <c r="AZ68" s="70" t="e">
        <f t="shared" si="41"/>
        <v>#REF!</v>
      </c>
      <c r="BA68" s="70" t="e">
        <f t="shared" si="41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2">AF15+AF16+AF20+AF22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AR15+AR16+AR20+AR22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41</v>
      </c>
      <c r="AB71" s="35"/>
      <c r="AF71" s="70" t="e">
        <f t="shared" ref="AF71:AO71" si="44">AF26+AF27+AF31+AF33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AR26+AR27+AR31+AR33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71" t="s">
        <v>42</v>
      </c>
      <c r="AB72" s="35"/>
      <c r="AF72" s="70" t="e">
        <f t="shared" ref="AF72:AO72" si="46">AF37+AF38+AF42+AF44</f>
        <v>#REF!</v>
      </c>
      <c r="AG72" s="70" t="e">
        <f t="shared" si="46"/>
        <v>#REF!</v>
      </c>
      <c r="AH72" s="70" t="e">
        <f t="shared" si="46"/>
        <v>#REF!</v>
      </c>
      <c r="AI72" s="70" t="e">
        <f t="shared" si="46"/>
        <v>#REF!</v>
      </c>
      <c r="AJ72" s="70" t="e">
        <f t="shared" si="46"/>
        <v>#REF!</v>
      </c>
      <c r="AK72" s="70" t="e">
        <f t="shared" si="46"/>
        <v>#REF!</v>
      </c>
      <c r="AL72" s="70" t="e">
        <f t="shared" si="46"/>
        <v>#REF!</v>
      </c>
      <c r="AM72" s="70" t="e">
        <f t="shared" si="46"/>
        <v>#REF!</v>
      </c>
      <c r="AN72" s="70" t="e">
        <f t="shared" si="46"/>
        <v>#REF!</v>
      </c>
      <c r="AO72" s="70" t="e">
        <f t="shared" si="46"/>
        <v>#REF!</v>
      </c>
      <c r="AP72" s="70"/>
      <c r="AQ72" s="70"/>
      <c r="AR72" s="70" t="e">
        <f t="shared" ref="AR72:BA72" si="47">AR37+AR38+AR42+AR44</f>
        <v>#REF!</v>
      </c>
      <c r="AS72" s="70" t="e">
        <f t="shared" si="47"/>
        <v>#REF!</v>
      </c>
      <c r="AT72" s="70" t="e">
        <f t="shared" si="47"/>
        <v>#REF!</v>
      </c>
      <c r="AU72" s="70" t="e">
        <f t="shared" si="47"/>
        <v>#REF!</v>
      </c>
      <c r="AV72" s="70" t="e">
        <f t="shared" si="47"/>
        <v>#REF!</v>
      </c>
      <c r="AW72" s="70" t="e">
        <f t="shared" si="47"/>
        <v>#REF!</v>
      </c>
      <c r="AX72" s="70" t="e">
        <f t="shared" si="47"/>
        <v>#REF!</v>
      </c>
      <c r="AY72" s="70" t="e">
        <f t="shared" si="47"/>
        <v>#REF!</v>
      </c>
      <c r="AZ72" s="70" t="e">
        <f t="shared" si="47"/>
        <v>#REF!</v>
      </c>
      <c r="BA72" s="70" t="e">
        <f t="shared" si="47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8">AF15+AF16+AF20+AF23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AR15+AR16+AR20+AR23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41</v>
      </c>
      <c r="AB75" s="35"/>
      <c r="AF75" s="70" t="e">
        <f t="shared" ref="AF75:AO75" si="50">AF26+AF27+AF31+AF34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AR26+AR27+AR31+AR34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>
      <c r="AA76" s="71" t="s">
        <v>42</v>
      </c>
      <c r="AB76" s="35"/>
      <c r="AF76" s="70" t="e">
        <f t="shared" ref="AF76:AO76" si="52">AF37+AF38+AF42+AF45</f>
        <v>#REF!</v>
      </c>
      <c r="AG76" s="70" t="e">
        <f t="shared" si="52"/>
        <v>#REF!</v>
      </c>
      <c r="AH76" s="70" t="e">
        <f t="shared" si="52"/>
        <v>#REF!</v>
      </c>
      <c r="AI76" s="70" t="e">
        <f t="shared" si="52"/>
        <v>#REF!</v>
      </c>
      <c r="AJ76" s="70" t="e">
        <f t="shared" si="52"/>
        <v>#REF!</v>
      </c>
      <c r="AK76" s="70" t="e">
        <f t="shared" si="52"/>
        <v>#REF!</v>
      </c>
      <c r="AL76" s="70" t="e">
        <f t="shared" si="52"/>
        <v>#REF!</v>
      </c>
      <c r="AM76" s="70" t="e">
        <f t="shared" si="52"/>
        <v>#REF!</v>
      </c>
      <c r="AN76" s="70" t="e">
        <f t="shared" si="52"/>
        <v>#REF!</v>
      </c>
      <c r="AO76" s="70" t="e">
        <f t="shared" si="52"/>
        <v>#REF!</v>
      </c>
      <c r="AP76" s="70"/>
      <c r="AQ76" s="70"/>
      <c r="AR76" s="70" t="e">
        <f t="shared" ref="AR76:BA76" si="53">AR37+AR38+AR42+AR45</f>
        <v>#REF!</v>
      </c>
      <c r="AS76" s="70" t="e">
        <f t="shared" si="53"/>
        <v>#REF!</v>
      </c>
      <c r="AT76" s="70" t="e">
        <f t="shared" si="53"/>
        <v>#REF!</v>
      </c>
      <c r="AU76" s="70" t="e">
        <f t="shared" si="53"/>
        <v>#REF!</v>
      </c>
      <c r="AV76" s="70" t="e">
        <f t="shared" si="53"/>
        <v>#REF!</v>
      </c>
      <c r="AW76" s="70" t="e">
        <f t="shared" si="53"/>
        <v>#REF!</v>
      </c>
      <c r="AX76" s="70" t="e">
        <f t="shared" si="53"/>
        <v>#REF!</v>
      </c>
      <c r="AY76" s="70" t="e">
        <f t="shared" si="53"/>
        <v>#REF!</v>
      </c>
      <c r="AZ76" s="70" t="e">
        <f t="shared" si="53"/>
        <v>#REF!</v>
      </c>
      <c r="BA76" s="70" t="e">
        <f t="shared" si="53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435" t="s">
        <v>55</v>
      </c>
      <c r="G88" s="435" t="s">
        <v>73</v>
      </c>
      <c r="H88" s="435" t="s">
        <v>74</v>
      </c>
      <c r="I88" s="435" t="s">
        <v>58</v>
      </c>
      <c r="J88" s="435" t="s">
        <v>59</v>
      </c>
      <c r="K88" s="435" t="s">
        <v>60</v>
      </c>
      <c r="L88" s="434" t="s">
        <v>75</v>
      </c>
      <c r="M88" s="434" t="s">
        <v>76</v>
      </c>
      <c r="N88" s="434" t="s">
        <v>61</v>
      </c>
      <c r="O88" s="434" t="s">
        <v>62</v>
      </c>
      <c r="P88" s="434" t="s">
        <v>63</v>
      </c>
      <c r="AN88" s="38"/>
      <c r="AZ88" s="36"/>
    </row>
    <row r="89" spans="1:52" ht="25.5">
      <c r="A89" s="44" t="str">
        <f t="shared" ref="A89:C90" si="54">A4</f>
        <v>Substation General Construction</v>
      </c>
      <c r="B89" s="45" t="str">
        <f t="shared" si="54"/>
        <v>Light-Duty Truck, catalyst</v>
      </c>
      <c r="C89" s="46">
        <f t="shared" si="54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55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si="54"/>
        <v>Substation Above Grade Construction</v>
      </c>
      <c r="B90" s="45" t="str">
        <f t="shared" si="54"/>
        <v>Light-Duty Truck, catalyst</v>
      </c>
      <c r="C90" s="46">
        <f t="shared" si="54"/>
        <v>6</v>
      </c>
      <c r="D90" s="46">
        <v>35</v>
      </c>
      <c r="E90" s="46">
        <v>80</v>
      </c>
      <c r="F90" s="50">
        <f>C5*($E5*$F5+($G5))/453.59</f>
        <v>2.9143163152855203</v>
      </c>
      <c r="G90" s="50">
        <f>C5*($E5*$H5+($I5))/453.59</f>
        <v>0.26202394376626803</v>
      </c>
      <c r="H90" s="50">
        <f>C5*(($E5*$J5)+($K5)+($L5)+($E5*$N5)+(($M5+$O5)))/453.59</f>
        <v>0.30299988194371996</v>
      </c>
      <c r="I90" s="50">
        <f>C5*($E5*$P5+($Q5))/453.59</f>
        <v>4.3607821629636952E-3</v>
      </c>
      <c r="J90" s="50">
        <f>C5*(($E5*($R5+$T5+$U5))+($S5))/453.59</f>
        <v>5.1144542731247376E-2</v>
      </c>
      <c r="K90" s="50">
        <f>$C5*(($E5*($V5+$X5+$Y5))+($W5))/453.59</f>
        <v>2.2272031945518852E-2</v>
      </c>
      <c r="L90" s="50">
        <f>$B$22*C5*(E5+6)</f>
        <v>5.0631495516431396E-2</v>
      </c>
      <c r="M90" s="50">
        <f t="shared" si="55"/>
        <v>2.0758913161736871E-2</v>
      </c>
      <c r="N90" s="50">
        <f>C5*($E5*$Z5+($AA5))/453.59</f>
        <v>332.54146035623342</v>
      </c>
      <c r="O90" s="50">
        <f>C5*($E5*$AB5+($AC5))/453.59</f>
        <v>1.9022852334181495E-2</v>
      </c>
      <c r="P90" s="50">
        <f>C5*($E5*$AD5+($AE5))/453.59</f>
        <v>3.4626719483060162E-2</v>
      </c>
      <c r="AN90" s="38"/>
      <c r="AZ90" s="36"/>
    </row>
    <row r="91" spans="1:52">
      <c r="A91" s="61" t="s">
        <v>396</v>
      </c>
      <c r="B91" s="61"/>
      <c r="C91" s="61"/>
      <c r="D91" s="61"/>
      <c r="E91" s="61"/>
      <c r="F91" s="81">
        <f>SUM(F89:F90)</f>
        <v>4.3714744729282806</v>
      </c>
      <c r="G91" s="81">
        <f t="shared" ref="G91:P91" si="56">SUM(G89:G90)</f>
        <v>0.39303591564940205</v>
      </c>
      <c r="H91" s="81">
        <f t="shared" si="56"/>
        <v>0.45449982291557994</v>
      </c>
      <c r="I91" s="81">
        <f t="shared" si="56"/>
        <v>6.5411732444455428E-3</v>
      </c>
      <c r="J91" s="81">
        <f t="shared" si="56"/>
        <v>7.6716814096871061E-2</v>
      </c>
      <c r="K91" s="81">
        <f t="shared" si="56"/>
        <v>3.3408047918278276E-2</v>
      </c>
      <c r="L91" s="81">
        <f t="shared" si="56"/>
        <v>7.5947243274647094E-2</v>
      </c>
      <c r="M91" s="81">
        <f t="shared" si="56"/>
        <v>3.1138369742605306E-2</v>
      </c>
      <c r="N91" s="81">
        <f t="shared" si="56"/>
        <v>498.81219053435012</v>
      </c>
      <c r="O91" s="81">
        <f t="shared" si="56"/>
        <v>2.8534278501272242E-2</v>
      </c>
      <c r="P91" s="81">
        <f t="shared" si="56"/>
        <v>5.1940079224590242E-2</v>
      </c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B-15
Construction Worker Commute Emission Calculations
Installation of 69kV Position at Miguel Substation</oddHeader>
    <oddFooter>&amp;CB-15</oddFooter>
  </headerFooter>
</worksheet>
</file>

<file path=xl/worksheets/sheet34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0"/>
  <sheetViews>
    <sheetView zoomScale="75" zoomScaleNormal="75" workbookViewId="0"/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858</v>
      </c>
    </row>
    <row r="2" spans="1:25">
      <c r="A2" s="83"/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304</v>
      </c>
      <c r="B7" s="29">
        <v>2015</v>
      </c>
      <c r="C7" s="22"/>
      <c r="D7" s="18"/>
      <c r="E7" s="23"/>
      <c r="F7" s="23"/>
      <c r="G7" s="23"/>
      <c r="H7" s="23"/>
      <c r="I7" s="23"/>
      <c r="J7" s="24"/>
      <c r="K7" s="25"/>
      <c r="L7" s="23"/>
      <c r="M7" s="33"/>
      <c r="N7" s="98"/>
      <c r="O7" s="88"/>
      <c r="P7" s="88"/>
      <c r="Q7" s="26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 t="s">
        <v>119</v>
      </c>
      <c r="B8" s="90" t="s">
        <v>27</v>
      </c>
      <c r="C8" s="97">
        <v>78</v>
      </c>
      <c r="D8" s="97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9" si="0">0.89*I8</f>
        <v>2.2038095238095235E-2</v>
      </c>
      <c r="K8" s="103">
        <v>46.950229824177143</v>
      </c>
      <c r="L8" s="102">
        <v>6.837183977115969E-3</v>
      </c>
      <c r="M8" s="104">
        <f t="shared" ref="M8:M9" si="1">0.095*G8</f>
        <v>3.7022555555555545E-2</v>
      </c>
      <c r="N8" s="98">
        <v>1</v>
      </c>
      <c r="O8" s="88">
        <v>6</v>
      </c>
      <c r="P8" s="88">
        <v>40</v>
      </c>
      <c r="Q8" s="26">
        <f t="shared" ref="Q8:Y9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113" t="s">
        <v>305</v>
      </c>
      <c r="B9" s="29" t="s">
        <v>27</v>
      </c>
      <c r="C9" s="97">
        <v>235</v>
      </c>
      <c r="D9" s="97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87">
        <v>1</v>
      </c>
      <c r="O9" s="88">
        <v>2</v>
      </c>
      <c r="P9" s="88">
        <v>40</v>
      </c>
      <c r="Q9" s="26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17" t="s">
        <v>28</v>
      </c>
      <c r="B10" s="29"/>
      <c r="C10" s="97"/>
      <c r="D10" s="12"/>
      <c r="E10" s="102"/>
      <c r="F10" s="102"/>
      <c r="G10" s="102"/>
      <c r="H10" s="102"/>
      <c r="I10" s="102"/>
      <c r="J10" s="100"/>
      <c r="K10" s="103"/>
      <c r="L10" s="102"/>
      <c r="M10" s="104"/>
      <c r="N10" s="98"/>
      <c r="O10" s="88"/>
      <c r="P10" s="88"/>
      <c r="Q10" s="27">
        <f t="shared" ref="Q10:Y10" si="3">SUM(Q8:Q9)</f>
        <v>0.61044079959177677</v>
      </c>
      <c r="R10" s="101">
        <f t="shared" si="3"/>
        <v>2.5626248194240024</v>
      </c>
      <c r="S10" s="101">
        <f t="shared" si="3"/>
        <v>4.0738959523119966</v>
      </c>
      <c r="T10" s="101">
        <f t="shared" si="3"/>
        <v>7.0523446396705937E-3</v>
      </c>
      <c r="U10" s="101">
        <f t="shared" si="3"/>
        <v>0.20665485316260829</v>
      </c>
      <c r="V10" s="101">
        <f t="shared" si="3"/>
        <v>0.18392281931472138</v>
      </c>
      <c r="W10" s="101">
        <f t="shared" si="3"/>
        <v>614.7922101941133</v>
      </c>
      <c r="X10" s="101">
        <f t="shared" si="3"/>
        <v>6.2302969818088499E-2</v>
      </c>
      <c r="Y10" s="101">
        <f t="shared" si="3"/>
        <v>0.38702011546963966</v>
      </c>
    </row>
    <row r="11" spans="1:25" s="3" customFormat="1">
      <c r="A11" s="24"/>
      <c r="B11" s="29"/>
      <c r="C11" s="97"/>
      <c r="D11" s="12"/>
      <c r="E11" s="102"/>
      <c r="F11" s="102"/>
      <c r="G11" s="102"/>
      <c r="H11" s="102"/>
      <c r="I11" s="102"/>
      <c r="J11" s="100"/>
      <c r="K11" s="103"/>
      <c r="L11" s="102"/>
      <c r="M11" s="104"/>
      <c r="N11" s="98"/>
      <c r="O11" s="88"/>
      <c r="P11" s="88"/>
      <c r="Q11" s="26"/>
      <c r="R11" s="26"/>
      <c r="S11" s="26"/>
      <c r="T11" s="26"/>
      <c r="U11" s="26"/>
      <c r="V11" s="26"/>
      <c r="W11" s="26"/>
      <c r="X11" s="26"/>
      <c r="Y11" s="26"/>
    </row>
    <row r="12" spans="1:25" s="3" customFormat="1">
      <c r="A12" s="17" t="s">
        <v>308</v>
      </c>
      <c r="B12" s="29"/>
      <c r="C12" s="97"/>
      <c r="D12" s="12"/>
      <c r="E12" s="102"/>
      <c r="F12" s="102"/>
      <c r="G12" s="102"/>
      <c r="H12" s="102"/>
      <c r="I12" s="102"/>
      <c r="J12" s="100"/>
      <c r="K12" s="103"/>
      <c r="L12" s="102"/>
      <c r="M12" s="104"/>
      <c r="N12" s="98"/>
      <c r="O12" s="88"/>
      <c r="P12" s="88"/>
      <c r="Q12" s="26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24" t="s">
        <v>114</v>
      </c>
      <c r="B13" s="90" t="s">
        <v>27</v>
      </c>
      <c r="C13" s="97">
        <v>34</v>
      </c>
      <c r="D13" s="97">
        <v>0.31</v>
      </c>
      <c r="E13" s="102">
        <v>4.2958246826547246E-2</v>
      </c>
      <c r="F13" s="397">
        <v>9.5268959435626091E-2</v>
      </c>
      <c r="G13" s="397">
        <v>0.12361728395061726</v>
      </c>
      <c r="H13" s="102">
        <v>2.5354407605791113E-4</v>
      </c>
      <c r="I13" s="397">
        <v>1.0456349206349205E-2</v>
      </c>
      <c r="J13" s="100">
        <f t="shared" ref="J13:J14" si="4">0.89*I13</f>
        <v>9.3061507936507935E-3</v>
      </c>
      <c r="K13" s="103">
        <v>19.61276416423032</v>
      </c>
      <c r="L13" s="102">
        <v>4.8141782348593348E-3</v>
      </c>
      <c r="M13" s="104">
        <f t="shared" ref="M13:M14" si="5">0.095*G13</f>
        <v>1.174364197530864E-2</v>
      </c>
      <c r="N13" s="87">
        <v>1</v>
      </c>
      <c r="O13" s="88">
        <v>6</v>
      </c>
      <c r="P13" s="88">
        <v>20</v>
      </c>
      <c r="Q13" s="26">
        <f t="shared" ref="Q13:Y14" si="6">(E13*$N13*$O13)</f>
        <v>0.25774948095928346</v>
      </c>
      <c r="R13" s="26">
        <f t="shared" si="6"/>
        <v>0.57161375661375657</v>
      </c>
      <c r="S13" s="26">
        <f t="shared" si="6"/>
        <v>0.74170370370370353</v>
      </c>
      <c r="T13" s="26">
        <f t="shared" si="6"/>
        <v>1.5212644563474668E-3</v>
      </c>
      <c r="U13" s="26">
        <f t="shared" si="6"/>
        <v>6.2738095238095232E-2</v>
      </c>
      <c r="V13" s="26">
        <f t="shared" si="6"/>
        <v>5.5836904761904761E-2</v>
      </c>
      <c r="W13" s="26">
        <f t="shared" si="6"/>
        <v>117.67658498538192</v>
      </c>
      <c r="X13" s="26">
        <f t="shared" si="6"/>
        <v>2.8885069409156007E-2</v>
      </c>
      <c r="Y13" s="26">
        <f t="shared" si="6"/>
        <v>7.0461851851851845E-2</v>
      </c>
    </row>
    <row r="14" spans="1:25" s="3" customFormat="1">
      <c r="A14" s="24" t="s">
        <v>297</v>
      </c>
      <c r="B14" s="29" t="s">
        <v>27</v>
      </c>
      <c r="C14" s="97">
        <v>235</v>
      </c>
      <c r="D14" s="97"/>
      <c r="E14" s="102">
        <v>0.11792220738547983</v>
      </c>
      <c r="F14" s="102">
        <v>0.36512193352152528</v>
      </c>
      <c r="G14" s="102">
        <v>0.86781464282266541</v>
      </c>
      <c r="H14" s="102">
        <v>1.8739217498104396E-3</v>
      </c>
      <c r="I14" s="102">
        <v>2.9041712295589866E-2</v>
      </c>
      <c r="J14" s="100">
        <f t="shared" si="4"/>
        <v>2.5847123943074982E-2</v>
      </c>
      <c r="K14" s="103">
        <v>166.54541562452522</v>
      </c>
      <c r="L14" s="102">
        <v>1.063993297769634E-2</v>
      </c>
      <c r="M14" s="104">
        <f t="shared" si="5"/>
        <v>8.2442391068153209E-2</v>
      </c>
      <c r="N14" s="98">
        <v>1</v>
      </c>
      <c r="O14" s="88">
        <v>2</v>
      </c>
      <c r="P14" s="88">
        <v>20</v>
      </c>
      <c r="Q14" s="26">
        <f t="shared" si="6"/>
        <v>0.23584441477095966</v>
      </c>
      <c r="R14" s="26">
        <f t="shared" si="6"/>
        <v>0.73024386704305055</v>
      </c>
      <c r="S14" s="26">
        <f t="shared" si="6"/>
        <v>1.7356292856453308</v>
      </c>
      <c r="T14" s="26">
        <f t="shared" si="6"/>
        <v>3.7478434996208792E-3</v>
      </c>
      <c r="U14" s="26">
        <f t="shared" si="6"/>
        <v>5.8083424591179732E-2</v>
      </c>
      <c r="V14" s="26">
        <f t="shared" si="6"/>
        <v>5.1694247886149965E-2</v>
      </c>
      <c r="W14" s="26">
        <f t="shared" si="6"/>
        <v>333.09083124905044</v>
      </c>
      <c r="X14" s="26">
        <f t="shared" si="6"/>
        <v>2.127986595539268E-2</v>
      </c>
      <c r="Y14" s="26">
        <f t="shared" si="6"/>
        <v>0.16488478213630642</v>
      </c>
    </row>
    <row r="15" spans="1:25" s="3" customFormat="1">
      <c r="A15" s="17" t="s">
        <v>28</v>
      </c>
      <c r="B15" s="97"/>
      <c r="C15" s="22"/>
      <c r="D15" s="18"/>
      <c r="E15" s="23"/>
      <c r="F15" s="23"/>
      <c r="G15" s="23"/>
      <c r="H15" s="23"/>
      <c r="I15" s="23"/>
      <c r="J15" s="24"/>
      <c r="K15" s="25"/>
      <c r="L15" s="23"/>
      <c r="M15" s="23"/>
      <c r="N15" s="88"/>
      <c r="O15" s="88"/>
      <c r="P15" s="88"/>
      <c r="Q15" s="27">
        <f t="shared" ref="Q15:Y15" si="7">SUM(Q13:Q14)</f>
        <v>0.49359389573024315</v>
      </c>
      <c r="R15" s="27">
        <f t="shared" si="7"/>
        <v>1.3018576236568071</v>
      </c>
      <c r="S15" s="27">
        <f t="shared" si="7"/>
        <v>2.4773329893490343</v>
      </c>
      <c r="T15" s="27">
        <f t="shared" si="7"/>
        <v>5.2691079559683465E-3</v>
      </c>
      <c r="U15" s="27">
        <f t="shared" si="7"/>
        <v>0.12082151982927497</v>
      </c>
      <c r="V15" s="27">
        <f t="shared" si="7"/>
        <v>0.10753115264805473</v>
      </c>
      <c r="W15" s="27">
        <f t="shared" si="7"/>
        <v>450.76741623443235</v>
      </c>
      <c r="X15" s="27">
        <f t="shared" si="7"/>
        <v>5.0164935364548691E-2</v>
      </c>
      <c r="Y15" s="27">
        <f t="shared" si="7"/>
        <v>0.23534663398815825</v>
      </c>
    </row>
    <row r="16" spans="1:25" s="3" customFormat="1">
      <c r="A16" s="17"/>
      <c r="B16" s="29"/>
      <c r="C16" s="22"/>
      <c r="D16" s="18"/>
      <c r="E16" s="23"/>
      <c r="F16" s="23"/>
      <c r="G16" s="23"/>
      <c r="H16" s="23"/>
      <c r="I16" s="23"/>
      <c r="J16" s="24"/>
      <c r="K16" s="25"/>
      <c r="L16" s="23"/>
      <c r="M16" s="33"/>
      <c r="N16" s="98"/>
      <c r="O16" s="88"/>
      <c r="P16" s="88"/>
      <c r="Q16" s="27"/>
      <c r="R16" s="27"/>
      <c r="S16" s="27"/>
      <c r="T16" s="27"/>
      <c r="U16" s="27"/>
      <c r="V16" s="27"/>
      <c r="W16" s="27"/>
      <c r="X16" s="27"/>
      <c r="Y16" s="27"/>
    </row>
    <row r="17" spans="1:25" s="3" customFormat="1">
      <c r="A17" s="17" t="s">
        <v>335</v>
      </c>
      <c r="B17" s="29"/>
      <c r="C17" s="97"/>
      <c r="D17" s="12"/>
      <c r="E17" s="102"/>
      <c r="F17" s="102"/>
      <c r="G17" s="102"/>
      <c r="H17" s="102"/>
      <c r="I17" s="102"/>
      <c r="J17" s="100"/>
      <c r="K17" s="103"/>
      <c r="L17" s="102"/>
      <c r="M17" s="104"/>
      <c r="N17" s="98"/>
      <c r="O17" s="88"/>
      <c r="P17" s="88"/>
      <c r="Q17" s="26"/>
      <c r="R17" s="26"/>
      <c r="S17" s="26"/>
      <c r="T17" s="26"/>
      <c r="U17" s="26"/>
      <c r="V17" s="26"/>
      <c r="W17" s="26"/>
      <c r="X17" s="26"/>
      <c r="Y17" s="26"/>
    </row>
    <row r="18" spans="1:25" s="3" customFormat="1">
      <c r="A18" s="24" t="s">
        <v>311</v>
      </c>
      <c r="B18" s="29" t="s">
        <v>27</v>
      </c>
      <c r="C18" s="97">
        <v>235</v>
      </c>
      <c r="D18" s="97"/>
      <c r="E18" s="102">
        <v>0.11792220738547983</v>
      </c>
      <c r="F18" s="102">
        <v>0.36512193352152528</v>
      </c>
      <c r="G18" s="102">
        <v>0.86781464282266541</v>
      </c>
      <c r="H18" s="102">
        <v>1.8739217498104396E-3</v>
      </c>
      <c r="I18" s="102">
        <v>2.9041712295589866E-2</v>
      </c>
      <c r="J18" s="100">
        <f t="shared" ref="J18" si="8">0.89*I18</f>
        <v>2.5847123943074982E-2</v>
      </c>
      <c r="K18" s="103">
        <v>166.54541562452522</v>
      </c>
      <c r="L18" s="102">
        <v>1.063993297769634E-2</v>
      </c>
      <c r="M18" s="104">
        <f t="shared" ref="M18" si="9">0.095*G18</f>
        <v>8.2442391068153209E-2</v>
      </c>
      <c r="N18" s="98">
        <v>1</v>
      </c>
      <c r="O18" s="88">
        <v>2</v>
      </c>
      <c r="P18" s="88">
        <v>20</v>
      </c>
      <c r="Q18" s="26">
        <f t="shared" ref="Q18:Y18" si="10">(E18*$N18*$O18)</f>
        <v>0.23584441477095966</v>
      </c>
      <c r="R18" s="26">
        <f t="shared" si="10"/>
        <v>0.73024386704305055</v>
      </c>
      <c r="S18" s="26">
        <f t="shared" si="10"/>
        <v>1.7356292856453308</v>
      </c>
      <c r="T18" s="26">
        <f t="shared" si="10"/>
        <v>3.7478434996208792E-3</v>
      </c>
      <c r="U18" s="26">
        <f t="shared" si="10"/>
        <v>5.8083424591179732E-2</v>
      </c>
      <c r="V18" s="26">
        <f t="shared" si="10"/>
        <v>5.1694247886149965E-2</v>
      </c>
      <c r="W18" s="26">
        <f t="shared" si="10"/>
        <v>333.09083124905044</v>
      </c>
      <c r="X18" s="26">
        <f t="shared" si="10"/>
        <v>2.127986595539268E-2</v>
      </c>
      <c r="Y18" s="26">
        <f t="shared" si="10"/>
        <v>0.16488478213630642</v>
      </c>
    </row>
    <row r="19" spans="1:25" s="3" customFormat="1">
      <c r="A19" s="17" t="s">
        <v>28</v>
      </c>
      <c r="B19" s="97"/>
      <c r="C19" s="22"/>
      <c r="D19" s="18"/>
      <c r="E19" s="23"/>
      <c r="F19" s="23"/>
      <c r="G19" s="23"/>
      <c r="H19" s="23"/>
      <c r="I19" s="23"/>
      <c r="J19" s="24"/>
      <c r="K19" s="25"/>
      <c r="L19" s="23"/>
      <c r="M19" s="23"/>
      <c r="N19" s="88"/>
      <c r="O19" s="88"/>
      <c r="P19" s="88"/>
      <c r="Q19" s="27">
        <f t="shared" ref="Q19:Y19" si="11">SUM(Q18:Q18)</f>
        <v>0.23584441477095966</v>
      </c>
      <c r="R19" s="27">
        <f t="shared" si="11"/>
        <v>0.73024386704305055</v>
      </c>
      <c r="S19" s="27">
        <f t="shared" si="11"/>
        <v>1.7356292856453308</v>
      </c>
      <c r="T19" s="27">
        <f t="shared" si="11"/>
        <v>3.7478434996208792E-3</v>
      </c>
      <c r="U19" s="27">
        <f t="shared" si="11"/>
        <v>5.8083424591179732E-2</v>
      </c>
      <c r="V19" s="27">
        <f t="shared" si="11"/>
        <v>5.1694247886149965E-2</v>
      </c>
      <c r="W19" s="27">
        <f t="shared" si="11"/>
        <v>333.09083124905044</v>
      </c>
      <c r="X19" s="27">
        <f t="shared" si="11"/>
        <v>2.127986595539268E-2</v>
      </c>
      <c r="Y19" s="27">
        <f t="shared" si="11"/>
        <v>0.16488478213630642</v>
      </c>
    </row>
    <row r="20" spans="1:25">
      <c r="A20" s="11" t="s">
        <v>103</v>
      </c>
      <c r="B20" s="438"/>
      <c r="C20" s="438"/>
      <c r="D20" s="438"/>
      <c r="E20" s="426"/>
      <c r="F20" s="426"/>
      <c r="G20" s="426"/>
      <c r="H20" s="426"/>
      <c r="I20" s="426"/>
      <c r="J20" s="426"/>
      <c r="K20" s="426"/>
      <c r="L20" s="426"/>
      <c r="M20" s="426"/>
      <c r="N20" s="17"/>
      <c r="O20" s="123"/>
      <c r="P20" s="123"/>
      <c r="Q20" s="20">
        <f>Q10+Q15+Q19</f>
        <v>1.3398791100929797</v>
      </c>
      <c r="R20" s="20">
        <f t="shared" ref="R20:Y20" si="12">R10+R15+R19</f>
        <v>4.5947263101238605</v>
      </c>
      <c r="S20" s="20">
        <f t="shared" si="12"/>
        <v>8.2868582273063609</v>
      </c>
      <c r="T20" s="20">
        <f t="shared" si="12"/>
        <v>1.6069296095259821E-2</v>
      </c>
      <c r="U20" s="20">
        <f t="shared" si="12"/>
        <v>0.38555979758306297</v>
      </c>
      <c r="V20" s="20">
        <f t="shared" si="12"/>
        <v>0.34314821984892607</v>
      </c>
      <c r="W20" s="20">
        <f t="shared" si="12"/>
        <v>1398.650457677596</v>
      </c>
      <c r="X20" s="20">
        <f t="shared" si="12"/>
        <v>0.13374777113802988</v>
      </c>
      <c r="Y20" s="20">
        <f t="shared" si="12"/>
        <v>0.78725153159410433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>&amp;CTable B-13
Construction Heavy Equipment Emissions
Installation of 69kV Position at Miguel Substation</oddHeader>
    <oddFooter>&amp;CB-13</oddFooter>
  </headerFooter>
</worksheet>
</file>

<file path=xl/worksheets/sheet34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7"/>
  <sheetViews>
    <sheetView zoomScale="75" workbookViewId="0">
      <selection activeCell="C28" sqref="C28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859</v>
      </c>
    </row>
    <row r="2" spans="1:30">
      <c r="A2" s="83"/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304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320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C9*(F9)*$B$385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6">
        <v>3.59998119015979E-2</v>
      </c>
      <c r="M10" s="556">
        <v>6.1739677411240299E-2</v>
      </c>
      <c r="N10" s="106">
        <v>6.5945508986370194E-2</v>
      </c>
      <c r="O10" s="556">
        <v>2.9999843251331498E-3</v>
      </c>
      <c r="P10" s="55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C10*(F10)*$B$385</f>
        <v>7.8498442661133934E-3</v>
      </c>
      <c r="AA10" s="50">
        <f>Z10*0.21</f>
        <v>1.6484672958838125E-3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2.5511993864868531E-2</v>
      </c>
      <c r="AA11" s="81">
        <f t="shared" si="0"/>
        <v>5.3575187116223916E-3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432"/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 ht="25.5" customHeight="1">
      <c r="A13" s="114" t="s">
        <v>334</v>
      </c>
      <c r="B13" s="74"/>
      <c r="C13" s="112"/>
      <c r="D13" s="112"/>
      <c r="E13" s="74"/>
      <c r="F13" s="74"/>
      <c r="G13" s="437"/>
      <c r="H13" s="41"/>
      <c r="I13" s="41"/>
      <c r="J13" s="41"/>
      <c r="K13" s="434"/>
      <c r="L13" s="434"/>
      <c r="M13" s="434"/>
      <c r="N13" s="434"/>
      <c r="O13" s="434"/>
      <c r="P13" s="434"/>
      <c r="Q13" s="41"/>
      <c r="R13" s="434"/>
      <c r="S13" s="43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 ht="12.75" customHeight="1">
      <c r="A14" s="78" t="s">
        <v>320</v>
      </c>
      <c r="B14" s="76" t="s">
        <v>95</v>
      </c>
      <c r="C14" s="79">
        <v>3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9.9891275533645019E-2</v>
      </c>
      <c r="U14" s="50">
        <f>C14*($F14*$H14)/453.59</f>
        <v>0.18440937782971867</v>
      </c>
      <c r="V14" s="50">
        <f>C14*(($F14*$I14))/453.59</f>
        <v>2.253067276294635E-2</v>
      </c>
      <c r="W14" s="50">
        <f>C14*($F14*$J14)/453.59</f>
        <v>1.3898613406074772E-3</v>
      </c>
      <c r="X14" s="50">
        <f>C14*(($F14*($K14+$L14+$M14)))/453.59</f>
        <v>3.6369464870151122E-2</v>
      </c>
      <c r="Y14" s="50">
        <f>C14*(($F14*($N14+$O14+$P14)))/453.59</f>
        <v>2.4166098982977401E-2</v>
      </c>
      <c r="Z14" s="50">
        <f>C14*(F14)*$B$385</f>
        <v>1.7662149598755138E-2</v>
      </c>
      <c r="AA14" s="50">
        <f>Z14*0.21</f>
        <v>3.7090514157385786E-3</v>
      </c>
      <c r="AB14" s="50">
        <f>C14*(($F14*($Q14)))/453.59</f>
        <v>96.814105590256631</v>
      </c>
      <c r="AC14" s="50">
        <f>C14*(($F14*($R14)))/453.59</f>
        <v>5.5322484357440338E-3</v>
      </c>
      <c r="AD14" s="50">
        <f>C14*(($F14*($S14)))/453.59</f>
        <v>2.4799901288000137E-3</v>
      </c>
    </row>
    <row r="15" spans="1:30">
      <c r="A15" s="75" t="s">
        <v>28</v>
      </c>
      <c r="B15" s="74"/>
      <c r="C15" s="112"/>
      <c r="D15" s="112"/>
      <c r="E15" s="74"/>
      <c r="F15" s="74"/>
      <c r="G15" s="437"/>
      <c r="H15" s="41"/>
      <c r="I15" s="41"/>
      <c r="J15" s="41"/>
      <c r="K15" s="434"/>
      <c r="L15" s="434"/>
      <c r="M15" s="434"/>
      <c r="N15" s="434"/>
      <c r="O15" s="434"/>
      <c r="P15" s="434"/>
      <c r="Q15" s="41"/>
      <c r="R15" s="434"/>
      <c r="S15" s="434"/>
      <c r="T15" s="81">
        <f t="shared" ref="T15:AD15" si="1">SUM(T14:T14)</f>
        <v>9.9891275533645019E-2</v>
      </c>
      <c r="U15" s="81">
        <f t="shared" si="1"/>
        <v>0.18440937782971867</v>
      </c>
      <c r="V15" s="81">
        <f t="shared" si="1"/>
        <v>2.253067276294635E-2</v>
      </c>
      <c r="W15" s="81">
        <f t="shared" si="1"/>
        <v>1.3898613406074772E-3</v>
      </c>
      <c r="X15" s="81">
        <f t="shared" si="1"/>
        <v>3.6369464870151122E-2</v>
      </c>
      <c r="Y15" s="81">
        <f t="shared" si="1"/>
        <v>2.4166098982977401E-2</v>
      </c>
      <c r="Z15" s="81">
        <f t="shared" si="1"/>
        <v>1.7662149598755138E-2</v>
      </c>
      <c r="AA15" s="81">
        <f t="shared" si="1"/>
        <v>3.7090514157385786E-3</v>
      </c>
      <c r="AB15" s="81">
        <f t="shared" si="1"/>
        <v>96.814105590256631</v>
      </c>
      <c r="AC15" s="81">
        <f t="shared" si="1"/>
        <v>5.5322484357440338E-3</v>
      </c>
      <c r="AD15" s="81">
        <f t="shared" si="1"/>
        <v>2.4799901288000137E-3</v>
      </c>
    </row>
    <row r="16" spans="1:30">
      <c r="A16" s="75"/>
      <c r="B16" s="74"/>
      <c r="C16" s="112"/>
      <c r="D16" s="112"/>
      <c r="E16" s="74"/>
      <c r="F16" s="74"/>
      <c r="G16" s="437"/>
      <c r="H16" s="41"/>
      <c r="I16" s="41"/>
      <c r="J16" s="41"/>
      <c r="K16" s="434"/>
      <c r="L16" s="434"/>
      <c r="M16" s="434"/>
      <c r="N16" s="434"/>
      <c r="O16" s="434"/>
      <c r="P16" s="434"/>
      <c r="Q16" s="41"/>
      <c r="R16" s="434"/>
      <c r="S16" s="434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</row>
    <row r="17" spans="1:30">
      <c r="A17" s="114" t="s">
        <v>335</v>
      </c>
      <c r="B17" s="74"/>
      <c r="C17" s="112"/>
      <c r="D17" s="112"/>
      <c r="E17" s="74"/>
      <c r="F17" s="74"/>
      <c r="G17" s="437"/>
      <c r="H17" s="41"/>
      <c r="I17" s="41"/>
      <c r="J17" s="41"/>
      <c r="K17" s="434"/>
      <c r="L17" s="434"/>
      <c r="M17" s="434"/>
      <c r="N17" s="434"/>
      <c r="O17" s="434"/>
      <c r="P17" s="434"/>
      <c r="Q17" s="41"/>
      <c r="R17" s="434"/>
      <c r="S17" s="434"/>
      <c r="T17" s="61"/>
      <c r="U17" s="61"/>
      <c r="V17" s="61"/>
      <c r="W17" s="61"/>
      <c r="X17" s="61"/>
      <c r="Y17" s="61"/>
      <c r="Z17" s="62"/>
      <c r="AA17" s="62"/>
      <c r="AB17" s="62"/>
      <c r="AC17" s="62"/>
      <c r="AD17" s="62"/>
    </row>
    <row r="18" spans="1:30">
      <c r="A18" s="78" t="s">
        <v>327</v>
      </c>
      <c r="B18" s="76" t="s">
        <v>105</v>
      </c>
      <c r="C18" s="374">
        <v>1</v>
      </c>
      <c r="D18" s="77"/>
      <c r="E18" s="77">
        <v>35</v>
      </c>
      <c r="F18" s="77">
        <v>80</v>
      </c>
      <c r="G18" s="106">
        <v>1.08263976628415</v>
      </c>
      <c r="H18" s="106">
        <v>4.9712718909585103</v>
      </c>
      <c r="I18" s="106">
        <v>0.26248012575016899</v>
      </c>
      <c r="J18" s="106">
        <v>1.0711818E-2</v>
      </c>
      <c r="K18" s="106">
        <v>7.1679901072141505E-2</v>
      </c>
      <c r="L18" s="556">
        <v>3.59998119015979E-2</v>
      </c>
      <c r="M18" s="556">
        <v>6.1739677411240299E-2</v>
      </c>
      <c r="N18" s="106">
        <v>6.5945508986370194E-2</v>
      </c>
      <c r="O18" s="556">
        <v>2.9999843251331498E-3</v>
      </c>
      <c r="P18" s="556">
        <v>5.5859708133979398E-2</v>
      </c>
      <c r="Q18" s="106">
        <v>1710.7260798814</v>
      </c>
      <c r="R18" s="47">
        <v>1.5235246282551899E-2</v>
      </c>
      <c r="S18" s="80">
        <f>0.000025616*Q18</f>
        <v>4.3821959262241944E-2</v>
      </c>
      <c r="T18" s="50">
        <f>C18*($F18*$G18)/453.59</f>
        <v>0.19094596728925242</v>
      </c>
      <c r="U18" s="50">
        <f>C18*($F18*$H18)/453.59</f>
        <v>0.87678685878586582</v>
      </c>
      <c r="V18" s="50">
        <f>C18*(($F18*$I18))/453.59</f>
        <v>4.6293811724274173E-2</v>
      </c>
      <c r="W18" s="50">
        <f>C18*($F18*$J18)/453.59</f>
        <v>1.8892511739676801E-3</v>
      </c>
      <c r="X18" s="50">
        <f>C18*(($F18*($K18+$L18+$M18)))/453.59</f>
        <v>2.9880621774726907E-2</v>
      </c>
      <c r="Y18" s="50">
        <f>C18*(($F18*($N18+$O18+$P18)))/453.59</f>
        <v>2.2011984646131133E-2</v>
      </c>
      <c r="Z18" s="50">
        <f>C18*(F18)*$B$386</f>
        <v>0.71558633910866232</v>
      </c>
      <c r="AA18" s="50">
        <f>Z18*0.21</f>
        <v>0.15027313121281907</v>
      </c>
      <c r="AB18" s="50">
        <f>C18*(($F18*($Q18)))/453.59</f>
        <v>301.72200972356535</v>
      </c>
      <c r="AC18" s="50">
        <f>C18*(($F18*($R18)))/453.59</f>
        <v>2.6870515280410772E-3</v>
      </c>
      <c r="AD18" s="50">
        <f>C18*(($F18*($S18)))/453.59</f>
        <v>7.7289110010788503E-3</v>
      </c>
    </row>
    <row r="19" spans="1:30">
      <c r="A19" s="75" t="s">
        <v>28</v>
      </c>
      <c r="B19" s="74"/>
      <c r="C19" s="112"/>
      <c r="D19" s="112"/>
      <c r="E19" s="74"/>
      <c r="F19" s="74"/>
      <c r="G19" s="437"/>
      <c r="H19" s="41"/>
      <c r="I19" s="41"/>
      <c r="J19" s="41"/>
      <c r="K19" s="434"/>
      <c r="L19" s="434"/>
      <c r="M19" s="434"/>
      <c r="N19" s="434"/>
      <c r="O19" s="434"/>
      <c r="P19" s="434"/>
      <c r="Q19" s="41"/>
      <c r="R19" s="434"/>
      <c r="S19" s="434"/>
      <c r="T19" s="81">
        <f t="shared" ref="T19:AD19" si="2">SUM(T18:T18)</f>
        <v>0.19094596728925242</v>
      </c>
      <c r="U19" s="81">
        <f t="shared" si="2"/>
        <v>0.87678685878586582</v>
      </c>
      <c r="V19" s="81">
        <f t="shared" si="2"/>
        <v>4.6293811724274173E-2</v>
      </c>
      <c r="W19" s="81">
        <f t="shared" si="2"/>
        <v>1.8892511739676801E-3</v>
      </c>
      <c r="X19" s="81">
        <f t="shared" si="2"/>
        <v>2.9880621774726907E-2</v>
      </c>
      <c r="Y19" s="81">
        <f t="shared" si="2"/>
        <v>2.2011984646131133E-2</v>
      </c>
      <c r="Z19" s="81">
        <f t="shared" si="2"/>
        <v>0.71558633910866232</v>
      </c>
      <c r="AA19" s="81">
        <f t="shared" si="2"/>
        <v>0.15027313121281907</v>
      </c>
      <c r="AB19" s="81">
        <f t="shared" si="2"/>
        <v>301.72200972356535</v>
      </c>
      <c r="AC19" s="81">
        <f t="shared" si="2"/>
        <v>2.6870515280410772E-3</v>
      </c>
      <c r="AD19" s="81">
        <f t="shared" si="2"/>
        <v>7.7289110010788503E-3</v>
      </c>
    </row>
    <row r="20" spans="1:30">
      <c r="A20" s="75" t="s">
        <v>388</v>
      </c>
      <c r="B20" s="74"/>
      <c r="C20" s="112"/>
      <c r="D20" s="112"/>
      <c r="E20" s="74"/>
      <c r="F20" s="74"/>
      <c r="G20" s="437"/>
      <c r="H20" s="41"/>
      <c r="I20" s="41"/>
      <c r="J20" s="41"/>
      <c r="K20" s="434"/>
      <c r="L20" s="434"/>
      <c r="M20" s="434"/>
      <c r="N20" s="434"/>
      <c r="O20" s="434"/>
      <c r="P20" s="434"/>
      <c r="Q20" s="41"/>
      <c r="R20" s="434"/>
      <c r="S20" s="434"/>
      <c r="T20" s="81">
        <f>T11+T15+T19</f>
        <v>0.58167448564579494</v>
      </c>
      <c r="U20" s="81">
        <f t="shared" ref="U20:AD20" si="3">U11+U15+U19</f>
        <v>2.122392473231169</v>
      </c>
      <c r="V20" s="81">
        <f t="shared" si="3"/>
        <v>0.13764896897444104</v>
      </c>
      <c r="W20" s="81">
        <f t="shared" si="3"/>
        <v>6.558225029150315E-3</v>
      </c>
      <c r="X20" s="81">
        <f t="shared" si="3"/>
        <v>0.13250017328975605</v>
      </c>
      <c r="Y20" s="81">
        <f t="shared" si="3"/>
        <v>9.2356167258217076E-2</v>
      </c>
      <c r="Z20" s="81">
        <f t="shared" si="3"/>
        <v>0.75876048257228601</v>
      </c>
      <c r="AA20" s="81">
        <f t="shared" si="3"/>
        <v>0.15933970134018005</v>
      </c>
      <c r="AB20" s="81">
        <f t="shared" si="3"/>
        <v>797.07223062764399</v>
      </c>
      <c r="AC20" s="81">
        <f t="shared" si="3"/>
        <v>1.643859992757022E-2</v>
      </c>
      <c r="AD20" s="81">
        <f t="shared" si="3"/>
        <v>2.0417802259757728E-2</v>
      </c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25" spans="1:30">
      <c r="A25" s="370"/>
      <c r="B25" s="371"/>
      <c r="C25" s="372"/>
      <c r="D25" s="372"/>
      <c r="E25" s="371"/>
      <c r="F25" s="371"/>
      <c r="G25" s="373"/>
      <c r="H25" s="373"/>
      <c r="I25" s="373"/>
      <c r="J25" s="373"/>
      <c r="K25" s="373"/>
      <c r="L25" s="373"/>
      <c r="M25" s="373"/>
      <c r="N25" s="373"/>
      <c r="O25" s="373"/>
      <c r="P25" s="373"/>
      <c r="Q25" s="373"/>
      <c r="R25" s="373"/>
      <c r="S25" s="373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</row>
    <row r="26" spans="1:30">
      <c r="A26" s="370"/>
      <c r="B26" s="371"/>
      <c r="C26" s="372"/>
      <c r="D26" s="372"/>
      <c r="E26" s="371"/>
      <c r="F26" s="371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</row>
    <row r="27" spans="1:30">
      <c r="A27" s="370"/>
      <c r="B27" s="371"/>
      <c r="C27" s="372"/>
      <c r="D27" s="372"/>
      <c r="E27" s="371"/>
      <c r="F27" s="371"/>
      <c r="G27" s="373"/>
      <c r="H27" s="373"/>
      <c r="I27" s="373"/>
      <c r="J27" s="373"/>
      <c r="K27" s="373"/>
      <c r="L27" s="373"/>
      <c r="M27" s="373"/>
      <c r="N27" s="373"/>
      <c r="O27" s="373"/>
      <c r="P27" s="373"/>
      <c r="Q27" s="373"/>
      <c r="R27" s="373"/>
      <c r="S27" s="373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</row>
    <row r="375" spans="1:1" ht="25.5">
      <c r="A375" s="82" t="s">
        <v>109</v>
      </c>
    </row>
    <row r="377" spans="1:1">
      <c r="A377" s="36" t="s">
        <v>81</v>
      </c>
    </row>
    <row r="378" spans="1:1">
      <c r="A378" s="36" t="s">
        <v>82</v>
      </c>
    </row>
    <row r="379" spans="1:1">
      <c r="A379" s="36" t="s">
        <v>83</v>
      </c>
    </row>
    <row r="380" spans="1:1">
      <c r="A380" s="37" t="s">
        <v>96</v>
      </c>
    </row>
    <row r="381" spans="1:1">
      <c r="A381" s="36" t="s">
        <v>85</v>
      </c>
    </row>
    <row r="382" spans="1:1">
      <c r="A382" s="36" t="s">
        <v>86</v>
      </c>
    </row>
    <row r="383" spans="1:1">
      <c r="A383" s="36" t="s">
        <v>87</v>
      </c>
    </row>
    <row r="384" spans="1:1">
      <c r="A384" s="36" t="s">
        <v>0</v>
      </c>
    </row>
    <row r="385" spans="1:2">
      <c r="A385" s="37" t="s">
        <v>97</v>
      </c>
      <c r="B385" s="36">
        <f>(0.016*(0.03/2)^0.65*(2/3)^1.5)-0.00047</f>
        <v>9.8123053326417428E-5</v>
      </c>
    </row>
    <row r="386" spans="1:2">
      <c r="A386" s="37" t="s">
        <v>98</v>
      </c>
      <c r="B386" s="36">
        <f>(0.016*(0.03/2)^0.65*(13/3)^1.5)-0.00047</f>
        <v>8.9448292388582783E-3</v>
      </c>
    </row>
    <row r="387" spans="1:2">
      <c r="A387" s="37" t="s">
        <v>99</v>
      </c>
      <c r="B387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B-14
Construction Truck Trip Emissions
Installation of 69kV Position at Miguel Substation</oddHeader>
    <oddFooter>&amp;CB-14</oddFooter>
  </headerFooter>
</worksheet>
</file>

<file path=xl/worksheets/sheet34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4"/>
  <sheetViews>
    <sheetView zoomScale="85" zoomScaleNormal="85" workbookViewId="0">
      <selection activeCell="B97" sqref="B97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860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67" ht="25.5">
      <c r="A5" s="44" t="s">
        <v>336</v>
      </c>
      <c r="B5" s="45" t="s">
        <v>102</v>
      </c>
      <c r="C5" s="46">
        <v>6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335</v>
      </c>
      <c r="B6" s="45" t="s">
        <v>102</v>
      </c>
      <c r="C6" s="46">
        <v>3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436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2">AG$11*$AC16</f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>AR$11*$AC16</f>
        <v>#REF!</v>
      </c>
      <c r="AS16" s="36" t="e">
        <f t="shared" ref="AS16:BA24" si="3">AS$11*$AC16</f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4">AF$11*$AC17</f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ref="AR17:AR24" si="5">AR$11*$AC17</f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6">AF$11*$AC27</f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ref="AR27:BA35" si="7">AR$11*$AC27</f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8">AF$11*$AC38</f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ref="AR38:BA46" si="9">AR$11*$AC38</f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0">AF16+AF18+AF19</f>
        <v>#REF!</v>
      </c>
      <c r="AG51" s="70" t="e">
        <f t="shared" si="10"/>
        <v>#REF!</v>
      </c>
      <c r="AH51" s="70" t="e">
        <f t="shared" si="10"/>
        <v>#REF!</v>
      </c>
      <c r="AI51" s="70" t="e">
        <f t="shared" si="10"/>
        <v>#REF!</v>
      </c>
      <c r="AJ51" s="70" t="e">
        <f t="shared" si="10"/>
        <v>#REF!</v>
      </c>
      <c r="AK51" s="70" t="e">
        <f t="shared" si="10"/>
        <v>#REF!</v>
      </c>
      <c r="AL51" s="70" t="e">
        <f t="shared" si="10"/>
        <v>#REF!</v>
      </c>
      <c r="AM51" s="70" t="e">
        <f t="shared" si="10"/>
        <v>#REF!</v>
      </c>
      <c r="AN51" s="70" t="e">
        <f t="shared" si="10"/>
        <v>#REF!</v>
      </c>
      <c r="AO51" s="70" t="e">
        <f t="shared" si="10"/>
        <v>#REF!</v>
      </c>
      <c r="AP51" s="70"/>
      <c r="AQ51" s="70"/>
      <c r="AR51" s="70" t="e">
        <f t="shared" ref="AR51:BA51" si="11">AR16+AR18+AR19</f>
        <v>#REF!</v>
      </c>
      <c r="AS51" s="70" t="e">
        <f t="shared" si="11"/>
        <v>#REF!</v>
      </c>
      <c r="AT51" s="70" t="e">
        <f t="shared" si="11"/>
        <v>#REF!</v>
      </c>
      <c r="AU51" s="70" t="e">
        <f t="shared" si="11"/>
        <v>#REF!</v>
      </c>
      <c r="AV51" s="70" t="e">
        <f t="shared" si="11"/>
        <v>#REF!</v>
      </c>
      <c r="AW51" s="70" t="e">
        <f t="shared" si="11"/>
        <v>#REF!</v>
      </c>
      <c r="AX51" s="70" t="e">
        <f t="shared" si="11"/>
        <v>#REF!</v>
      </c>
      <c r="AY51" s="70" t="e">
        <f t="shared" si="11"/>
        <v>#REF!</v>
      </c>
      <c r="AZ51" s="70" t="e">
        <f t="shared" si="11"/>
        <v>#REF!</v>
      </c>
      <c r="BA51" s="70" t="e">
        <f t="shared" si="11"/>
        <v>#REF!</v>
      </c>
    </row>
    <row r="52" spans="27:53" hidden="1">
      <c r="AA52" s="71" t="s">
        <v>41</v>
      </c>
      <c r="AB52" s="35"/>
      <c r="AF52" s="70" t="e">
        <f t="shared" ref="AF52:AO52" si="12">AF27+AF29+AF30</f>
        <v>#REF!</v>
      </c>
      <c r="AG52" s="70" t="e">
        <f t="shared" si="12"/>
        <v>#REF!</v>
      </c>
      <c r="AH52" s="70" t="e">
        <f t="shared" si="12"/>
        <v>#REF!</v>
      </c>
      <c r="AI52" s="70" t="e">
        <f t="shared" si="12"/>
        <v>#REF!</v>
      </c>
      <c r="AJ52" s="70" t="e">
        <f t="shared" si="12"/>
        <v>#REF!</v>
      </c>
      <c r="AK52" s="70" t="e">
        <f t="shared" si="12"/>
        <v>#REF!</v>
      </c>
      <c r="AL52" s="70" t="e">
        <f t="shared" si="12"/>
        <v>#REF!</v>
      </c>
      <c r="AM52" s="70" t="e">
        <f t="shared" si="12"/>
        <v>#REF!</v>
      </c>
      <c r="AN52" s="70" t="e">
        <f t="shared" si="12"/>
        <v>#REF!</v>
      </c>
      <c r="AO52" s="70" t="e">
        <f t="shared" si="12"/>
        <v>#REF!</v>
      </c>
      <c r="AP52" s="70"/>
      <c r="AQ52" s="70"/>
      <c r="AR52" s="70" t="e">
        <f t="shared" ref="AR52:BA52" si="13">AR27+AR29+AR30</f>
        <v>#REF!</v>
      </c>
      <c r="AS52" s="70" t="e">
        <f t="shared" si="13"/>
        <v>#REF!</v>
      </c>
      <c r="AT52" s="70" t="e">
        <f t="shared" si="13"/>
        <v>#REF!</v>
      </c>
      <c r="AU52" s="70" t="e">
        <f t="shared" si="13"/>
        <v>#REF!</v>
      </c>
      <c r="AV52" s="70" t="e">
        <f t="shared" si="13"/>
        <v>#REF!</v>
      </c>
      <c r="AW52" s="70" t="e">
        <f t="shared" si="13"/>
        <v>#REF!</v>
      </c>
      <c r="AX52" s="70" t="e">
        <f t="shared" si="13"/>
        <v>#REF!</v>
      </c>
      <c r="AY52" s="70" t="e">
        <f t="shared" si="13"/>
        <v>#REF!</v>
      </c>
      <c r="AZ52" s="70" t="e">
        <f t="shared" si="13"/>
        <v>#REF!</v>
      </c>
      <c r="BA52" s="70" t="e">
        <f t="shared" si="13"/>
        <v>#REF!</v>
      </c>
    </row>
    <row r="53" spans="27:53" hidden="1">
      <c r="AA53" s="71" t="s">
        <v>42</v>
      </c>
      <c r="AB53" s="35"/>
      <c r="AF53" s="70" t="e">
        <f t="shared" ref="AF53:AO53" si="14">AF38+AF40+AF41</f>
        <v>#REF!</v>
      </c>
      <c r="AG53" s="70" t="e">
        <f t="shared" si="14"/>
        <v>#REF!</v>
      </c>
      <c r="AH53" s="70" t="e">
        <f t="shared" si="14"/>
        <v>#REF!</v>
      </c>
      <c r="AI53" s="70" t="e">
        <f t="shared" si="14"/>
        <v>#REF!</v>
      </c>
      <c r="AJ53" s="70" t="e">
        <f t="shared" si="14"/>
        <v>#REF!</v>
      </c>
      <c r="AK53" s="70" t="e">
        <f t="shared" si="14"/>
        <v>#REF!</v>
      </c>
      <c r="AL53" s="70" t="e">
        <f t="shared" si="14"/>
        <v>#REF!</v>
      </c>
      <c r="AM53" s="70" t="e">
        <f t="shared" si="14"/>
        <v>#REF!</v>
      </c>
      <c r="AN53" s="70" t="e">
        <f t="shared" si="14"/>
        <v>#REF!</v>
      </c>
      <c r="AO53" s="70" t="e">
        <f t="shared" si="14"/>
        <v>#REF!</v>
      </c>
      <c r="AP53" s="70"/>
      <c r="AQ53" s="70"/>
      <c r="AR53" s="70" t="e">
        <f t="shared" ref="AR53:BA53" si="15">AR38+AR40+AR41</f>
        <v>#REF!</v>
      </c>
      <c r="AS53" s="70" t="e">
        <f t="shared" si="15"/>
        <v>#REF!</v>
      </c>
      <c r="AT53" s="70" t="e">
        <f t="shared" si="15"/>
        <v>#REF!</v>
      </c>
      <c r="AU53" s="70" t="e">
        <f t="shared" si="15"/>
        <v>#REF!</v>
      </c>
      <c r="AV53" s="70" t="e">
        <f t="shared" si="15"/>
        <v>#REF!</v>
      </c>
      <c r="AW53" s="70" t="e">
        <f t="shared" si="15"/>
        <v>#REF!</v>
      </c>
      <c r="AX53" s="70" t="e">
        <f t="shared" si="15"/>
        <v>#REF!</v>
      </c>
      <c r="AY53" s="70" t="e">
        <f t="shared" si="15"/>
        <v>#REF!</v>
      </c>
      <c r="AZ53" s="70" t="e">
        <f t="shared" si="15"/>
        <v>#REF!</v>
      </c>
      <c r="BA53" s="70" t="e">
        <f t="shared" si="15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6">AF16+AF18+AF20+AF22</f>
        <v>#REF!</v>
      </c>
      <c r="AG55" s="70" t="e">
        <f t="shared" si="16"/>
        <v>#REF!</v>
      </c>
      <c r="AH55" s="70" t="e">
        <f t="shared" si="16"/>
        <v>#REF!</v>
      </c>
      <c r="AI55" s="70" t="e">
        <f t="shared" si="16"/>
        <v>#REF!</v>
      </c>
      <c r="AJ55" s="70" t="e">
        <f t="shared" si="16"/>
        <v>#REF!</v>
      </c>
      <c r="AK55" s="70" t="e">
        <f t="shared" si="16"/>
        <v>#REF!</v>
      </c>
      <c r="AL55" s="70" t="e">
        <f t="shared" si="16"/>
        <v>#REF!</v>
      </c>
      <c r="AM55" s="70" t="e">
        <f t="shared" si="16"/>
        <v>#REF!</v>
      </c>
      <c r="AN55" s="70" t="e">
        <f t="shared" si="16"/>
        <v>#REF!</v>
      </c>
      <c r="AO55" s="70" t="e">
        <f t="shared" si="16"/>
        <v>#REF!</v>
      </c>
      <c r="AP55" s="70"/>
      <c r="AQ55" s="70"/>
      <c r="AR55" s="70" t="e">
        <f t="shared" ref="AR55:BA55" si="17">AR16+AR18+AR20+AR22</f>
        <v>#REF!</v>
      </c>
      <c r="AS55" s="70" t="e">
        <f t="shared" si="17"/>
        <v>#REF!</v>
      </c>
      <c r="AT55" s="70" t="e">
        <f t="shared" si="17"/>
        <v>#REF!</v>
      </c>
      <c r="AU55" s="70" t="e">
        <f t="shared" si="17"/>
        <v>#REF!</v>
      </c>
      <c r="AV55" s="70" t="e">
        <f t="shared" si="17"/>
        <v>#REF!</v>
      </c>
      <c r="AW55" s="70" t="e">
        <f t="shared" si="17"/>
        <v>#REF!</v>
      </c>
      <c r="AX55" s="70" t="e">
        <f t="shared" si="17"/>
        <v>#REF!</v>
      </c>
      <c r="AY55" s="70" t="e">
        <f t="shared" si="17"/>
        <v>#REF!</v>
      </c>
      <c r="AZ55" s="70" t="e">
        <f t="shared" si="17"/>
        <v>#REF!</v>
      </c>
      <c r="BA55" s="70" t="e">
        <f t="shared" si="17"/>
        <v>#REF!</v>
      </c>
    </row>
    <row r="56" spans="27:53" hidden="1">
      <c r="AA56" s="71" t="s">
        <v>41</v>
      </c>
      <c r="AB56" s="35"/>
      <c r="AF56" s="70" t="e">
        <f t="shared" ref="AF56:AO56" si="18">AF27+AF29+AF31+AF33</f>
        <v>#REF!</v>
      </c>
      <c r="AG56" s="70" t="e">
        <f t="shared" si="18"/>
        <v>#REF!</v>
      </c>
      <c r="AH56" s="70" t="e">
        <f t="shared" si="18"/>
        <v>#REF!</v>
      </c>
      <c r="AI56" s="70" t="e">
        <f t="shared" si="18"/>
        <v>#REF!</v>
      </c>
      <c r="AJ56" s="70" t="e">
        <f t="shared" si="18"/>
        <v>#REF!</v>
      </c>
      <c r="AK56" s="70" t="e">
        <f t="shared" si="18"/>
        <v>#REF!</v>
      </c>
      <c r="AL56" s="70" t="e">
        <f t="shared" si="18"/>
        <v>#REF!</v>
      </c>
      <c r="AM56" s="70" t="e">
        <f t="shared" si="18"/>
        <v>#REF!</v>
      </c>
      <c r="AN56" s="70" t="e">
        <f t="shared" si="18"/>
        <v>#REF!</v>
      </c>
      <c r="AO56" s="70" t="e">
        <f t="shared" si="18"/>
        <v>#REF!</v>
      </c>
      <c r="AP56" s="70"/>
      <c r="AQ56" s="70"/>
      <c r="AR56" s="70" t="e">
        <f t="shared" ref="AR56:BA56" si="19">AR27+AR29+AR31+AR33</f>
        <v>#REF!</v>
      </c>
      <c r="AS56" s="70" t="e">
        <f t="shared" si="19"/>
        <v>#REF!</v>
      </c>
      <c r="AT56" s="70" t="e">
        <f t="shared" si="19"/>
        <v>#REF!</v>
      </c>
      <c r="AU56" s="70" t="e">
        <f t="shared" si="19"/>
        <v>#REF!</v>
      </c>
      <c r="AV56" s="70" t="e">
        <f t="shared" si="19"/>
        <v>#REF!</v>
      </c>
      <c r="AW56" s="70" t="e">
        <f t="shared" si="19"/>
        <v>#REF!</v>
      </c>
      <c r="AX56" s="70" t="e">
        <f t="shared" si="19"/>
        <v>#REF!</v>
      </c>
      <c r="AY56" s="70" t="e">
        <f t="shared" si="19"/>
        <v>#REF!</v>
      </c>
      <c r="AZ56" s="70" t="e">
        <f t="shared" si="19"/>
        <v>#REF!</v>
      </c>
      <c r="BA56" s="70" t="e">
        <f t="shared" si="19"/>
        <v>#REF!</v>
      </c>
    </row>
    <row r="57" spans="27:53" hidden="1">
      <c r="AA57" s="71" t="s">
        <v>42</v>
      </c>
      <c r="AB57" s="35"/>
      <c r="AF57" s="70" t="e">
        <f t="shared" ref="AF57:AO57" si="20">AF38+AF40+AF42+AF44</f>
        <v>#REF!</v>
      </c>
      <c r="AG57" s="70" t="e">
        <f t="shared" si="20"/>
        <v>#REF!</v>
      </c>
      <c r="AH57" s="70" t="e">
        <f t="shared" si="20"/>
        <v>#REF!</v>
      </c>
      <c r="AI57" s="70" t="e">
        <f t="shared" si="20"/>
        <v>#REF!</v>
      </c>
      <c r="AJ57" s="70" t="e">
        <f t="shared" si="20"/>
        <v>#REF!</v>
      </c>
      <c r="AK57" s="70" t="e">
        <f t="shared" si="20"/>
        <v>#REF!</v>
      </c>
      <c r="AL57" s="70" t="e">
        <f t="shared" si="20"/>
        <v>#REF!</v>
      </c>
      <c r="AM57" s="70" t="e">
        <f t="shared" si="20"/>
        <v>#REF!</v>
      </c>
      <c r="AN57" s="70" t="e">
        <f t="shared" si="20"/>
        <v>#REF!</v>
      </c>
      <c r="AO57" s="70" t="e">
        <f t="shared" si="20"/>
        <v>#REF!</v>
      </c>
      <c r="AP57" s="70"/>
      <c r="AQ57" s="70"/>
      <c r="AR57" s="70" t="e">
        <f t="shared" ref="AR57:BA57" si="21">AR38+AR40+AR42+AR44</f>
        <v>#REF!</v>
      </c>
      <c r="AS57" s="70" t="e">
        <f t="shared" si="21"/>
        <v>#REF!</v>
      </c>
      <c r="AT57" s="70" t="e">
        <f t="shared" si="21"/>
        <v>#REF!</v>
      </c>
      <c r="AU57" s="70" t="e">
        <f t="shared" si="21"/>
        <v>#REF!</v>
      </c>
      <c r="AV57" s="70" t="e">
        <f t="shared" si="21"/>
        <v>#REF!</v>
      </c>
      <c r="AW57" s="70" t="e">
        <f t="shared" si="21"/>
        <v>#REF!</v>
      </c>
      <c r="AX57" s="70" t="e">
        <f t="shared" si="21"/>
        <v>#REF!</v>
      </c>
      <c r="AY57" s="70" t="e">
        <f t="shared" si="21"/>
        <v>#REF!</v>
      </c>
      <c r="AZ57" s="70" t="e">
        <f t="shared" si="21"/>
        <v>#REF!</v>
      </c>
      <c r="BA57" s="70" t="e">
        <f t="shared" si="21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2">AF16+AF18+AF20+AF21+AF23</f>
        <v>#REF!</v>
      </c>
      <c r="AG59" s="70" t="e">
        <f t="shared" si="22"/>
        <v>#REF!</v>
      </c>
      <c r="AH59" s="70" t="e">
        <f t="shared" si="22"/>
        <v>#REF!</v>
      </c>
      <c r="AI59" s="70" t="e">
        <f t="shared" si="22"/>
        <v>#REF!</v>
      </c>
      <c r="AJ59" s="70" t="e">
        <f t="shared" si="22"/>
        <v>#REF!</v>
      </c>
      <c r="AK59" s="70" t="e">
        <f t="shared" si="22"/>
        <v>#REF!</v>
      </c>
      <c r="AL59" s="70" t="e">
        <f t="shared" si="22"/>
        <v>#REF!</v>
      </c>
      <c r="AM59" s="70" t="e">
        <f t="shared" si="22"/>
        <v>#REF!</v>
      </c>
      <c r="AN59" s="70" t="e">
        <f t="shared" si="22"/>
        <v>#REF!</v>
      </c>
      <c r="AO59" s="70" t="e">
        <f t="shared" si="22"/>
        <v>#REF!</v>
      </c>
      <c r="AP59" s="70"/>
      <c r="AQ59" s="70"/>
      <c r="AR59" s="70" t="e">
        <f t="shared" ref="AR59:BA59" si="23">AR16+AR18+AR20+AR21+AR23</f>
        <v>#REF!</v>
      </c>
      <c r="AS59" s="70" t="e">
        <f t="shared" si="23"/>
        <v>#REF!</v>
      </c>
      <c r="AT59" s="70" t="e">
        <f t="shared" si="23"/>
        <v>#REF!</v>
      </c>
      <c r="AU59" s="70" t="e">
        <f t="shared" si="23"/>
        <v>#REF!</v>
      </c>
      <c r="AV59" s="70" t="e">
        <f t="shared" si="23"/>
        <v>#REF!</v>
      </c>
      <c r="AW59" s="70" t="e">
        <f t="shared" si="23"/>
        <v>#REF!</v>
      </c>
      <c r="AX59" s="70" t="e">
        <f t="shared" si="23"/>
        <v>#REF!</v>
      </c>
      <c r="AY59" s="70" t="e">
        <f t="shared" si="23"/>
        <v>#REF!</v>
      </c>
      <c r="AZ59" s="70" t="e">
        <f t="shared" si="23"/>
        <v>#REF!</v>
      </c>
      <c r="BA59" s="70" t="e">
        <f t="shared" si="23"/>
        <v>#REF!</v>
      </c>
    </row>
    <row r="60" spans="27:53" hidden="1">
      <c r="AA60" s="71" t="s">
        <v>41</v>
      </c>
      <c r="AB60" s="35"/>
      <c r="AF60" s="70" t="e">
        <f t="shared" ref="AF60:AO60" si="24">AF27+AF29+AF31+AF32+AF34</f>
        <v>#REF!</v>
      </c>
      <c r="AG60" s="70" t="e">
        <f t="shared" si="24"/>
        <v>#REF!</v>
      </c>
      <c r="AH60" s="70" t="e">
        <f t="shared" si="24"/>
        <v>#REF!</v>
      </c>
      <c r="AI60" s="70" t="e">
        <f t="shared" si="24"/>
        <v>#REF!</v>
      </c>
      <c r="AJ60" s="70" t="e">
        <f t="shared" si="24"/>
        <v>#REF!</v>
      </c>
      <c r="AK60" s="70" t="e">
        <f t="shared" si="24"/>
        <v>#REF!</v>
      </c>
      <c r="AL60" s="70" t="e">
        <f t="shared" si="24"/>
        <v>#REF!</v>
      </c>
      <c r="AM60" s="70" t="e">
        <f t="shared" si="24"/>
        <v>#REF!</v>
      </c>
      <c r="AN60" s="70" t="e">
        <f t="shared" si="24"/>
        <v>#REF!</v>
      </c>
      <c r="AO60" s="70" t="e">
        <f t="shared" si="24"/>
        <v>#REF!</v>
      </c>
      <c r="AP60" s="70"/>
      <c r="AQ60" s="70"/>
      <c r="AR60" s="70" t="e">
        <f t="shared" ref="AR60:BA60" si="25">AR27+AR29+AR31+AR32+AR34</f>
        <v>#REF!</v>
      </c>
      <c r="AS60" s="70" t="e">
        <f t="shared" si="25"/>
        <v>#REF!</v>
      </c>
      <c r="AT60" s="70" t="e">
        <f t="shared" si="25"/>
        <v>#REF!</v>
      </c>
      <c r="AU60" s="70" t="e">
        <f t="shared" si="25"/>
        <v>#REF!</v>
      </c>
      <c r="AV60" s="70" t="e">
        <f t="shared" si="25"/>
        <v>#REF!</v>
      </c>
      <c r="AW60" s="70" t="e">
        <f t="shared" si="25"/>
        <v>#REF!</v>
      </c>
      <c r="AX60" s="70" t="e">
        <f t="shared" si="25"/>
        <v>#REF!</v>
      </c>
      <c r="AY60" s="70" t="e">
        <f t="shared" si="25"/>
        <v>#REF!</v>
      </c>
      <c r="AZ60" s="70" t="e">
        <f t="shared" si="25"/>
        <v>#REF!</v>
      </c>
      <c r="BA60" s="70" t="e">
        <f t="shared" si="25"/>
        <v>#REF!</v>
      </c>
    </row>
    <row r="61" spans="27:53" hidden="1">
      <c r="AA61" s="71" t="s">
        <v>42</v>
      </c>
      <c r="AB61" s="35"/>
      <c r="AF61" s="70" t="e">
        <f t="shared" ref="AF61:AO61" si="26">AF38+AF40+AF42+AF43+AF45</f>
        <v>#REF!</v>
      </c>
      <c r="AG61" s="70" t="e">
        <f t="shared" si="26"/>
        <v>#REF!</v>
      </c>
      <c r="AH61" s="70" t="e">
        <f t="shared" si="26"/>
        <v>#REF!</v>
      </c>
      <c r="AI61" s="70" t="e">
        <f t="shared" si="26"/>
        <v>#REF!</v>
      </c>
      <c r="AJ61" s="70" t="e">
        <f t="shared" si="26"/>
        <v>#REF!</v>
      </c>
      <c r="AK61" s="70" t="e">
        <f t="shared" si="26"/>
        <v>#REF!</v>
      </c>
      <c r="AL61" s="70" t="e">
        <f t="shared" si="26"/>
        <v>#REF!</v>
      </c>
      <c r="AM61" s="70" t="e">
        <f t="shared" si="26"/>
        <v>#REF!</v>
      </c>
      <c r="AN61" s="70" t="e">
        <f t="shared" si="26"/>
        <v>#REF!</v>
      </c>
      <c r="AO61" s="70" t="e">
        <f t="shared" si="26"/>
        <v>#REF!</v>
      </c>
      <c r="AP61" s="70"/>
      <c r="AQ61" s="70"/>
      <c r="AR61" s="70" t="e">
        <f t="shared" ref="AR61:BA61" si="27">AR38+AR40+AR42+AR43+AR45</f>
        <v>#REF!</v>
      </c>
      <c r="AS61" s="70" t="e">
        <f t="shared" si="27"/>
        <v>#REF!</v>
      </c>
      <c r="AT61" s="70" t="e">
        <f t="shared" si="27"/>
        <v>#REF!</v>
      </c>
      <c r="AU61" s="70" t="e">
        <f t="shared" si="27"/>
        <v>#REF!</v>
      </c>
      <c r="AV61" s="70" t="e">
        <f t="shared" si="27"/>
        <v>#REF!</v>
      </c>
      <c r="AW61" s="70" t="e">
        <f t="shared" si="27"/>
        <v>#REF!</v>
      </c>
      <c r="AX61" s="70" t="e">
        <f t="shared" si="27"/>
        <v>#REF!</v>
      </c>
      <c r="AY61" s="70" t="e">
        <f t="shared" si="27"/>
        <v>#REF!</v>
      </c>
      <c r="AZ61" s="70" t="e">
        <f t="shared" si="27"/>
        <v>#REF!</v>
      </c>
      <c r="BA61" s="70" t="e">
        <f t="shared" si="27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28">AF16+AF18+AF20+AF21+AF24</f>
        <v>#REF!</v>
      </c>
      <c r="AG63" s="70" t="e">
        <f t="shared" si="28"/>
        <v>#REF!</v>
      </c>
      <c r="AH63" s="70" t="e">
        <f t="shared" si="28"/>
        <v>#REF!</v>
      </c>
      <c r="AI63" s="70" t="e">
        <f t="shared" si="28"/>
        <v>#REF!</v>
      </c>
      <c r="AJ63" s="70" t="e">
        <f t="shared" si="28"/>
        <v>#REF!</v>
      </c>
      <c r="AK63" s="70" t="e">
        <f t="shared" si="28"/>
        <v>#REF!</v>
      </c>
      <c r="AL63" s="70" t="e">
        <f t="shared" si="28"/>
        <v>#REF!</v>
      </c>
      <c r="AM63" s="70" t="e">
        <f t="shared" si="28"/>
        <v>#REF!</v>
      </c>
      <c r="AN63" s="70" t="e">
        <f t="shared" si="28"/>
        <v>#REF!</v>
      </c>
      <c r="AO63" s="70" t="e">
        <f t="shared" si="28"/>
        <v>#REF!</v>
      </c>
      <c r="AP63" s="70"/>
      <c r="AQ63" s="70"/>
      <c r="AR63" s="70" t="e">
        <f t="shared" ref="AR63:BA63" si="29">AR16+AR18+AR20+AR21+AR24</f>
        <v>#REF!</v>
      </c>
      <c r="AS63" s="70" t="e">
        <f t="shared" si="29"/>
        <v>#REF!</v>
      </c>
      <c r="AT63" s="70" t="e">
        <f t="shared" si="29"/>
        <v>#REF!</v>
      </c>
      <c r="AU63" s="70" t="e">
        <f t="shared" si="29"/>
        <v>#REF!</v>
      </c>
      <c r="AV63" s="70" t="e">
        <f t="shared" si="29"/>
        <v>#REF!</v>
      </c>
      <c r="AW63" s="70" t="e">
        <f t="shared" si="29"/>
        <v>#REF!</v>
      </c>
      <c r="AX63" s="70" t="e">
        <f t="shared" si="29"/>
        <v>#REF!</v>
      </c>
      <c r="AY63" s="70" t="e">
        <f t="shared" si="29"/>
        <v>#REF!</v>
      </c>
      <c r="AZ63" s="70" t="e">
        <f t="shared" si="29"/>
        <v>#REF!</v>
      </c>
      <c r="BA63" s="70" t="e">
        <f t="shared" si="29"/>
        <v>#REF!</v>
      </c>
    </row>
    <row r="64" spans="27:53" hidden="1">
      <c r="AA64" s="71" t="s">
        <v>41</v>
      </c>
      <c r="AB64" s="35"/>
      <c r="AF64" s="70" t="e">
        <f t="shared" ref="AF64:AO64" si="30">AF27+AF29+AF31+AF32+AF35</f>
        <v>#REF!</v>
      </c>
      <c r="AG64" s="70" t="e">
        <f t="shared" si="30"/>
        <v>#REF!</v>
      </c>
      <c r="AH64" s="70" t="e">
        <f t="shared" si="30"/>
        <v>#REF!</v>
      </c>
      <c r="AI64" s="70" t="e">
        <f t="shared" si="30"/>
        <v>#REF!</v>
      </c>
      <c r="AJ64" s="70" t="e">
        <f t="shared" si="30"/>
        <v>#REF!</v>
      </c>
      <c r="AK64" s="70" t="e">
        <f t="shared" si="30"/>
        <v>#REF!</v>
      </c>
      <c r="AL64" s="70" t="e">
        <f t="shared" si="30"/>
        <v>#REF!</v>
      </c>
      <c r="AM64" s="70" t="e">
        <f t="shared" si="30"/>
        <v>#REF!</v>
      </c>
      <c r="AN64" s="70" t="e">
        <f t="shared" si="30"/>
        <v>#REF!</v>
      </c>
      <c r="AO64" s="70" t="e">
        <f t="shared" si="30"/>
        <v>#REF!</v>
      </c>
      <c r="AP64" s="70"/>
      <c r="AQ64" s="70"/>
      <c r="AR64" s="70" t="e">
        <f t="shared" ref="AR64:BA64" si="31">AR27+AR29+AR31+AR32+AR35</f>
        <v>#REF!</v>
      </c>
      <c r="AS64" s="70" t="e">
        <f t="shared" si="31"/>
        <v>#REF!</v>
      </c>
      <c r="AT64" s="70" t="e">
        <f t="shared" si="31"/>
        <v>#REF!</v>
      </c>
      <c r="AU64" s="70" t="e">
        <f t="shared" si="31"/>
        <v>#REF!</v>
      </c>
      <c r="AV64" s="70" t="e">
        <f t="shared" si="31"/>
        <v>#REF!</v>
      </c>
      <c r="AW64" s="70" t="e">
        <f t="shared" si="31"/>
        <v>#REF!</v>
      </c>
      <c r="AX64" s="70" t="e">
        <f t="shared" si="31"/>
        <v>#REF!</v>
      </c>
      <c r="AY64" s="70" t="e">
        <f t="shared" si="31"/>
        <v>#REF!</v>
      </c>
      <c r="AZ64" s="70" t="e">
        <f t="shared" si="31"/>
        <v>#REF!</v>
      </c>
      <c r="BA64" s="70" t="e">
        <f t="shared" si="31"/>
        <v>#REF!</v>
      </c>
    </row>
    <row r="65" spans="27:53" hidden="1">
      <c r="AA65" s="71" t="s">
        <v>42</v>
      </c>
      <c r="AB65" s="35"/>
      <c r="AF65" s="70" t="e">
        <f t="shared" ref="AF65:AO65" si="32">AF38+AF40+AF42+AF43+AF46</f>
        <v>#REF!</v>
      </c>
      <c r="AG65" s="70" t="e">
        <f t="shared" si="32"/>
        <v>#REF!</v>
      </c>
      <c r="AH65" s="70" t="e">
        <f t="shared" si="32"/>
        <v>#REF!</v>
      </c>
      <c r="AI65" s="70" t="e">
        <f t="shared" si="32"/>
        <v>#REF!</v>
      </c>
      <c r="AJ65" s="70" t="e">
        <f t="shared" si="32"/>
        <v>#REF!</v>
      </c>
      <c r="AK65" s="70" t="e">
        <f t="shared" si="32"/>
        <v>#REF!</v>
      </c>
      <c r="AL65" s="70" t="e">
        <f t="shared" si="32"/>
        <v>#REF!</v>
      </c>
      <c r="AM65" s="70" t="e">
        <f t="shared" si="32"/>
        <v>#REF!</v>
      </c>
      <c r="AN65" s="70" t="e">
        <f t="shared" si="32"/>
        <v>#REF!</v>
      </c>
      <c r="AO65" s="70" t="e">
        <f t="shared" si="32"/>
        <v>#REF!</v>
      </c>
      <c r="AP65" s="70"/>
      <c r="AQ65" s="70"/>
      <c r="AR65" s="70" t="e">
        <f t="shared" ref="AR65:BA65" si="33">AR38+AR40+AR42+AR43+AR46</f>
        <v>#REF!</v>
      </c>
      <c r="AS65" s="70" t="e">
        <f t="shared" si="33"/>
        <v>#REF!</v>
      </c>
      <c r="AT65" s="70" t="e">
        <f t="shared" si="33"/>
        <v>#REF!</v>
      </c>
      <c r="AU65" s="70" t="e">
        <f t="shared" si="33"/>
        <v>#REF!</v>
      </c>
      <c r="AV65" s="70" t="e">
        <f t="shared" si="33"/>
        <v>#REF!</v>
      </c>
      <c r="AW65" s="70" t="e">
        <f t="shared" si="33"/>
        <v>#REF!</v>
      </c>
      <c r="AX65" s="70" t="e">
        <f t="shared" si="33"/>
        <v>#REF!</v>
      </c>
      <c r="AY65" s="70" t="e">
        <f t="shared" si="33"/>
        <v>#REF!</v>
      </c>
      <c r="AZ65" s="70" t="e">
        <f t="shared" si="33"/>
        <v>#REF!</v>
      </c>
      <c r="BA65" s="70" t="e">
        <f t="shared" si="33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4">AF16+AF17+AF22</f>
        <v>#REF!</v>
      </c>
      <c r="AG67" s="70" t="e">
        <f t="shared" si="34"/>
        <v>#REF!</v>
      </c>
      <c r="AH67" s="70" t="e">
        <f t="shared" si="34"/>
        <v>#REF!</v>
      </c>
      <c r="AI67" s="70" t="e">
        <f t="shared" si="34"/>
        <v>#REF!</v>
      </c>
      <c r="AJ67" s="70" t="e">
        <f t="shared" si="34"/>
        <v>#REF!</v>
      </c>
      <c r="AK67" s="70" t="e">
        <f t="shared" si="34"/>
        <v>#REF!</v>
      </c>
      <c r="AL67" s="70" t="e">
        <f t="shared" si="34"/>
        <v>#REF!</v>
      </c>
      <c r="AM67" s="70" t="e">
        <f t="shared" si="34"/>
        <v>#REF!</v>
      </c>
      <c r="AN67" s="70" t="e">
        <f t="shared" si="34"/>
        <v>#REF!</v>
      </c>
      <c r="AO67" s="70" t="e">
        <f t="shared" si="34"/>
        <v>#REF!</v>
      </c>
      <c r="AP67" s="70"/>
      <c r="AQ67" s="70"/>
      <c r="AR67" s="70" t="e">
        <f t="shared" ref="AR67:BA67" si="35">AR16+AR17+AR22</f>
        <v>#REF!</v>
      </c>
      <c r="AS67" s="70" t="e">
        <f t="shared" si="35"/>
        <v>#REF!</v>
      </c>
      <c r="AT67" s="70" t="e">
        <f t="shared" si="35"/>
        <v>#REF!</v>
      </c>
      <c r="AU67" s="70" t="e">
        <f t="shared" si="35"/>
        <v>#REF!</v>
      </c>
      <c r="AV67" s="70" t="e">
        <f t="shared" si="35"/>
        <v>#REF!</v>
      </c>
      <c r="AW67" s="70" t="e">
        <f t="shared" si="35"/>
        <v>#REF!</v>
      </c>
      <c r="AX67" s="70" t="e">
        <f t="shared" si="35"/>
        <v>#REF!</v>
      </c>
      <c r="AY67" s="70" t="e">
        <f t="shared" si="35"/>
        <v>#REF!</v>
      </c>
      <c r="AZ67" s="70" t="e">
        <f t="shared" si="35"/>
        <v>#REF!</v>
      </c>
      <c r="BA67" s="70" t="e">
        <f t="shared" si="35"/>
        <v>#REF!</v>
      </c>
    </row>
    <row r="68" spans="27:53" hidden="1">
      <c r="AA68" s="71" t="s">
        <v>41</v>
      </c>
      <c r="AB68" s="35"/>
      <c r="AF68" s="70" t="e">
        <f t="shared" ref="AF68:AO68" si="36">AF27+AF28+AF33</f>
        <v>#REF!</v>
      </c>
      <c r="AG68" s="70" t="e">
        <f t="shared" si="36"/>
        <v>#REF!</v>
      </c>
      <c r="AH68" s="70" t="e">
        <f t="shared" si="36"/>
        <v>#REF!</v>
      </c>
      <c r="AI68" s="70" t="e">
        <f t="shared" si="36"/>
        <v>#REF!</v>
      </c>
      <c r="AJ68" s="70" t="e">
        <f t="shared" si="36"/>
        <v>#REF!</v>
      </c>
      <c r="AK68" s="70" t="e">
        <f t="shared" si="36"/>
        <v>#REF!</v>
      </c>
      <c r="AL68" s="70" t="e">
        <f t="shared" si="36"/>
        <v>#REF!</v>
      </c>
      <c r="AM68" s="70" t="e">
        <f t="shared" si="36"/>
        <v>#REF!</v>
      </c>
      <c r="AN68" s="70" t="e">
        <f t="shared" si="36"/>
        <v>#REF!</v>
      </c>
      <c r="AO68" s="70" t="e">
        <f t="shared" si="36"/>
        <v>#REF!</v>
      </c>
      <c r="AP68" s="70"/>
      <c r="AQ68" s="70"/>
      <c r="AR68" s="70" t="e">
        <f t="shared" ref="AR68:BA68" si="37">AR27+AR28+AR33</f>
        <v>#REF!</v>
      </c>
      <c r="AS68" s="70" t="e">
        <f t="shared" si="37"/>
        <v>#REF!</v>
      </c>
      <c r="AT68" s="70" t="e">
        <f t="shared" si="37"/>
        <v>#REF!</v>
      </c>
      <c r="AU68" s="70" t="e">
        <f t="shared" si="37"/>
        <v>#REF!</v>
      </c>
      <c r="AV68" s="70" t="e">
        <f t="shared" si="37"/>
        <v>#REF!</v>
      </c>
      <c r="AW68" s="70" t="e">
        <f t="shared" si="37"/>
        <v>#REF!</v>
      </c>
      <c r="AX68" s="70" t="e">
        <f t="shared" si="37"/>
        <v>#REF!</v>
      </c>
      <c r="AY68" s="70" t="e">
        <f t="shared" si="37"/>
        <v>#REF!</v>
      </c>
      <c r="AZ68" s="70" t="e">
        <f t="shared" si="37"/>
        <v>#REF!</v>
      </c>
      <c r="BA68" s="70" t="e">
        <f t="shared" si="37"/>
        <v>#REF!</v>
      </c>
    </row>
    <row r="69" spans="27:53" hidden="1">
      <c r="AA69" s="71" t="s">
        <v>42</v>
      </c>
      <c r="AB69" s="35"/>
      <c r="AF69" s="70" t="e">
        <f t="shared" ref="AF69:AO69" si="38">AF38+AF39+AF44</f>
        <v>#REF!</v>
      </c>
      <c r="AG69" s="70" t="e">
        <f t="shared" si="38"/>
        <v>#REF!</v>
      </c>
      <c r="AH69" s="70" t="e">
        <f t="shared" si="38"/>
        <v>#REF!</v>
      </c>
      <c r="AI69" s="70" t="e">
        <f t="shared" si="38"/>
        <v>#REF!</v>
      </c>
      <c r="AJ69" s="70" t="e">
        <f t="shared" si="38"/>
        <v>#REF!</v>
      </c>
      <c r="AK69" s="70" t="e">
        <f t="shared" si="38"/>
        <v>#REF!</v>
      </c>
      <c r="AL69" s="70" t="e">
        <f t="shared" si="38"/>
        <v>#REF!</v>
      </c>
      <c r="AM69" s="70" t="e">
        <f t="shared" si="38"/>
        <v>#REF!</v>
      </c>
      <c r="AN69" s="70" t="e">
        <f t="shared" si="38"/>
        <v>#REF!</v>
      </c>
      <c r="AO69" s="70" t="e">
        <f t="shared" si="38"/>
        <v>#REF!</v>
      </c>
      <c r="AP69" s="70"/>
      <c r="AQ69" s="70"/>
      <c r="AR69" s="70" t="e">
        <f t="shared" ref="AR69:BA69" si="39">AR38+AR39+AR44</f>
        <v>#REF!</v>
      </c>
      <c r="AS69" s="70" t="e">
        <f t="shared" si="39"/>
        <v>#REF!</v>
      </c>
      <c r="AT69" s="70" t="e">
        <f t="shared" si="39"/>
        <v>#REF!</v>
      </c>
      <c r="AU69" s="70" t="e">
        <f t="shared" si="39"/>
        <v>#REF!</v>
      </c>
      <c r="AV69" s="70" t="e">
        <f t="shared" si="39"/>
        <v>#REF!</v>
      </c>
      <c r="AW69" s="70" t="e">
        <f t="shared" si="39"/>
        <v>#REF!</v>
      </c>
      <c r="AX69" s="70" t="e">
        <f t="shared" si="39"/>
        <v>#REF!</v>
      </c>
      <c r="AY69" s="70" t="e">
        <f t="shared" si="39"/>
        <v>#REF!</v>
      </c>
      <c r="AZ69" s="70" t="e">
        <f t="shared" si="39"/>
        <v>#REF!</v>
      </c>
      <c r="BA69" s="70" t="e">
        <f t="shared" si="39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0">AF16+AF17+AF21+AF23</f>
        <v>#REF!</v>
      </c>
      <c r="AG71" s="70" t="e">
        <f t="shared" si="40"/>
        <v>#REF!</v>
      </c>
      <c r="AH71" s="70" t="e">
        <f t="shared" si="40"/>
        <v>#REF!</v>
      </c>
      <c r="AI71" s="70" t="e">
        <f t="shared" si="40"/>
        <v>#REF!</v>
      </c>
      <c r="AJ71" s="70" t="e">
        <f t="shared" si="40"/>
        <v>#REF!</v>
      </c>
      <c r="AK71" s="70" t="e">
        <f t="shared" si="40"/>
        <v>#REF!</v>
      </c>
      <c r="AL71" s="70" t="e">
        <f t="shared" si="40"/>
        <v>#REF!</v>
      </c>
      <c r="AM71" s="70" t="e">
        <f t="shared" si="40"/>
        <v>#REF!</v>
      </c>
      <c r="AN71" s="70" t="e">
        <f t="shared" si="40"/>
        <v>#REF!</v>
      </c>
      <c r="AO71" s="70" t="e">
        <f t="shared" si="40"/>
        <v>#REF!</v>
      </c>
      <c r="AP71" s="70"/>
      <c r="AQ71" s="70"/>
      <c r="AR71" s="70" t="e">
        <f t="shared" ref="AR71:BA71" si="41">AR16+AR17+AR21+AR23</f>
        <v>#REF!</v>
      </c>
      <c r="AS71" s="70" t="e">
        <f t="shared" si="41"/>
        <v>#REF!</v>
      </c>
      <c r="AT71" s="70" t="e">
        <f t="shared" si="41"/>
        <v>#REF!</v>
      </c>
      <c r="AU71" s="70" t="e">
        <f t="shared" si="41"/>
        <v>#REF!</v>
      </c>
      <c r="AV71" s="70" t="e">
        <f t="shared" si="41"/>
        <v>#REF!</v>
      </c>
      <c r="AW71" s="70" t="e">
        <f t="shared" si="41"/>
        <v>#REF!</v>
      </c>
      <c r="AX71" s="70" t="e">
        <f t="shared" si="41"/>
        <v>#REF!</v>
      </c>
      <c r="AY71" s="70" t="e">
        <f t="shared" si="41"/>
        <v>#REF!</v>
      </c>
      <c r="AZ71" s="70" t="e">
        <f t="shared" si="41"/>
        <v>#REF!</v>
      </c>
      <c r="BA71" s="70" t="e">
        <f t="shared" si="41"/>
        <v>#REF!</v>
      </c>
    </row>
    <row r="72" spans="27:53" hidden="1">
      <c r="AA72" s="71" t="s">
        <v>41</v>
      </c>
      <c r="AB72" s="35"/>
      <c r="AF72" s="70" t="e">
        <f t="shared" ref="AF72:AO72" si="42">AF27+AF28+AF32+AF34</f>
        <v>#REF!</v>
      </c>
      <c r="AG72" s="70" t="e">
        <f t="shared" si="42"/>
        <v>#REF!</v>
      </c>
      <c r="AH72" s="70" t="e">
        <f t="shared" si="42"/>
        <v>#REF!</v>
      </c>
      <c r="AI72" s="70" t="e">
        <f t="shared" si="42"/>
        <v>#REF!</v>
      </c>
      <c r="AJ72" s="70" t="e">
        <f t="shared" si="42"/>
        <v>#REF!</v>
      </c>
      <c r="AK72" s="70" t="e">
        <f t="shared" si="42"/>
        <v>#REF!</v>
      </c>
      <c r="AL72" s="70" t="e">
        <f t="shared" si="42"/>
        <v>#REF!</v>
      </c>
      <c r="AM72" s="70" t="e">
        <f t="shared" si="42"/>
        <v>#REF!</v>
      </c>
      <c r="AN72" s="70" t="e">
        <f t="shared" si="42"/>
        <v>#REF!</v>
      </c>
      <c r="AO72" s="70" t="e">
        <f t="shared" si="42"/>
        <v>#REF!</v>
      </c>
      <c r="AP72" s="70"/>
      <c r="AQ72" s="70"/>
      <c r="AR72" s="70" t="e">
        <f t="shared" ref="AR72:BA72" si="43">AR27+AR28+AR32+AR34</f>
        <v>#REF!</v>
      </c>
      <c r="AS72" s="70" t="e">
        <f t="shared" si="43"/>
        <v>#REF!</v>
      </c>
      <c r="AT72" s="70" t="e">
        <f t="shared" si="43"/>
        <v>#REF!</v>
      </c>
      <c r="AU72" s="70" t="e">
        <f t="shared" si="43"/>
        <v>#REF!</v>
      </c>
      <c r="AV72" s="70" t="e">
        <f t="shared" si="43"/>
        <v>#REF!</v>
      </c>
      <c r="AW72" s="70" t="e">
        <f t="shared" si="43"/>
        <v>#REF!</v>
      </c>
      <c r="AX72" s="70" t="e">
        <f t="shared" si="43"/>
        <v>#REF!</v>
      </c>
      <c r="AY72" s="70" t="e">
        <f t="shared" si="43"/>
        <v>#REF!</v>
      </c>
      <c r="AZ72" s="70" t="e">
        <f t="shared" si="43"/>
        <v>#REF!</v>
      </c>
      <c r="BA72" s="70" t="e">
        <f t="shared" si="43"/>
        <v>#REF!</v>
      </c>
    </row>
    <row r="73" spans="27:53" hidden="1">
      <c r="AA73" s="71" t="s">
        <v>42</v>
      </c>
      <c r="AB73" s="35"/>
      <c r="AF73" s="70" t="e">
        <f t="shared" ref="AF73:AO73" si="44">AF38+AF39+AF43+AF45</f>
        <v>#REF!</v>
      </c>
      <c r="AG73" s="70" t="e">
        <f t="shared" si="44"/>
        <v>#REF!</v>
      </c>
      <c r="AH73" s="70" t="e">
        <f t="shared" si="44"/>
        <v>#REF!</v>
      </c>
      <c r="AI73" s="70" t="e">
        <f t="shared" si="44"/>
        <v>#REF!</v>
      </c>
      <c r="AJ73" s="70" t="e">
        <f t="shared" si="44"/>
        <v>#REF!</v>
      </c>
      <c r="AK73" s="70" t="e">
        <f t="shared" si="44"/>
        <v>#REF!</v>
      </c>
      <c r="AL73" s="70" t="e">
        <f t="shared" si="44"/>
        <v>#REF!</v>
      </c>
      <c r="AM73" s="70" t="e">
        <f t="shared" si="44"/>
        <v>#REF!</v>
      </c>
      <c r="AN73" s="70" t="e">
        <f t="shared" si="44"/>
        <v>#REF!</v>
      </c>
      <c r="AO73" s="70" t="e">
        <f t="shared" si="44"/>
        <v>#REF!</v>
      </c>
      <c r="AP73" s="70"/>
      <c r="AQ73" s="70"/>
      <c r="AR73" s="70" t="e">
        <f t="shared" ref="AR73:BA73" si="45">AR38+AR39+AR43+AR45</f>
        <v>#REF!</v>
      </c>
      <c r="AS73" s="70" t="e">
        <f t="shared" si="45"/>
        <v>#REF!</v>
      </c>
      <c r="AT73" s="70" t="e">
        <f t="shared" si="45"/>
        <v>#REF!</v>
      </c>
      <c r="AU73" s="70" t="e">
        <f t="shared" si="45"/>
        <v>#REF!</v>
      </c>
      <c r="AV73" s="70" t="e">
        <f t="shared" si="45"/>
        <v>#REF!</v>
      </c>
      <c r="AW73" s="70" t="e">
        <f t="shared" si="45"/>
        <v>#REF!</v>
      </c>
      <c r="AX73" s="70" t="e">
        <f t="shared" si="45"/>
        <v>#REF!</v>
      </c>
      <c r="AY73" s="70" t="e">
        <f t="shared" si="45"/>
        <v>#REF!</v>
      </c>
      <c r="AZ73" s="70" t="e">
        <f t="shared" si="45"/>
        <v>#REF!</v>
      </c>
      <c r="BA73" s="70" t="e">
        <f t="shared" si="45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6">AF16+AF17+AF21+AF24</f>
        <v>#REF!</v>
      </c>
      <c r="AG75" s="70" t="e">
        <f t="shared" si="46"/>
        <v>#REF!</v>
      </c>
      <c r="AH75" s="70" t="e">
        <f t="shared" si="46"/>
        <v>#REF!</v>
      </c>
      <c r="AI75" s="70" t="e">
        <f t="shared" si="46"/>
        <v>#REF!</v>
      </c>
      <c r="AJ75" s="70" t="e">
        <f t="shared" si="46"/>
        <v>#REF!</v>
      </c>
      <c r="AK75" s="70" t="e">
        <f t="shared" si="46"/>
        <v>#REF!</v>
      </c>
      <c r="AL75" s="70" t="e">
        <f t="shared" si="46"/>
        <v>#REF!</v>
      </c>
      <c r="AM75" s="70" t="e">
        <f t="shared" si="46"/>
        <v>#REF!</v>
      </c>
      <c r="AN75" s="70" t="e">
        <f t="shared" si="46"/>
        <v>#REF!</v>
      </c>
      <c r="AO75" s="70" t="e">
        <f t="shared" si="46"/>
        <v>#REF!</v>
      </c>
      <c r="AP75" s="70"/>
      <c r="AQ75" s="70"/>
      <c r="AR75" s="70" t="e">
        <f t="shared" ref="AR75:BA75" si="47">AR16+AR17+AR21+AR24</f>
        <v>#REF!</v>
      </c>
      <c r="AS75" s="70" t="e">
        <f t="shared" si="47"/>
        <v>#REF!</v>
      </c>
      <c r="AT75" s="70" t="e">
        <f t="shared" si="47"/>
        <v>#REF!</v>
      </c>
      <c r="AU75" s="70" t="e">
        <f t="shared" si="47"/>
        <v>#REF!</v>
      </c>
      <c r="AV75" s="70" t="e">
        <f t="shared" si="47"/>
        <v>#REF!</v>
      </c>
      <c r="AW75" s="70" t="e">
        <f t="shared" si="47"/>
        <v>#REF!</v>
      </c>
      <c r="AX75" s="70" t="e">
        <f t="shared" si="47"/>
        <v>#REF!</v>
      </c>
      <c r="AY75" s="70" t="e">
        <f t="shared" si="47"/>
        <v>#REF!</v>
      </c>
      <c r="AZ75" s="70" t="e">
        <f t="shared" si="47"/>
        <v>#REF!</v>
      </c>
      <c r="BA75" s="70" t="e">
        <f t="shared" si="47"/>
        <v>#REF!</v>
      </c>
    </row>
    <row r="76" spans="27:53" hidden="1">
      <c r="AA76" s="71" t="s">
        <v>41</v>
      </c>
      <c r="AB76" s="35"/>
      <c r="AF76" s="70" t="e">
        <f t="shared" ref="AF76:AO76" si="48">AF27+AF28+AF32+AF35</f>
        <v>#REF!</v>
      </c>
      <c r="AG76" s="70" t="e">
        <f t="shared" si="48"/>
        <v>#REF!</v>
      </c>
      <c r="AH76" s="70" t="e">
        <f t="shared" si="48"/>
        <v>#REF!</v>
      </c>
      <c r="AI76" s="70" t="e">
        <f t="shared" si="48"/>
        <v>#REF!</v>
      </c>
      <c r="AJ76" s="70" t="e">
        <f t="shared" si="48"/>
        <v>#REF!</v>
      </c>
      <c r="AK76" s="70" t="e">
        <f t="shared" si="48"/>
        <v>#REF!</v>
      </c>
      <c r="AL76" s="70" t="e">
        <f t="shared" si="48"/>
        <v>#REF!</v>
      </c>
      <c r="AM76" s="70" t="e">
        <f t="shared" si="48"/>
        <v>#REF!</v>
      </c>
      <c r="AN76" s="70" t="e">
        <f t="shared" si="48"/>
        <v>#REF!</v>
      </c>
      <c r="AO76" s="70" t="e">
        <f t="shared" si="48"/>
        <v>#REF!</v>
      </c>
      <c r="AP76" s="70"/>
      <c r="AQ76" s="70"/>
      <c r="AR76" s="70" t="e">
        <f t="shared" ref="AR76:BA76" si="49">AR27+AR28+AR32+AR35</f>
        <v>#REF!</v>
      </c>
      <c r="AS76" s="70" t="e">
        <f t="shared" si="49"/>
        <v>#REF!</v>
      </c>
      <c r="AT76" s="70" t="e">
        <f t="shared" si="49"/>
        <v>#REF!</v>
      </c>
      <c r="AU76" s="70" t="e">
        <f t="shared" si="49"/>
        <v>#REF!</v>
      </c>
      <c r="AV76" s="70" t="e">
        <f t="shared" si="49"/>
        <v>#REF!</v>
      </c>
      <c r="AW76" s="70" t="e">
        <f t="shared" si="49"/>
        <v>#REF!</v>
      </c>
      <c r="AX76" s="70" t="e">
        <f t="shared" si="49"/>
        <v>#REF!</v>
      </c>
      <c r="AY76" s="70" t="e">
        <f t="shared" si="49"/>
        <v>#REF!</v>
      </c>
      <c r="AZ76" s="70" t="e">
        <f t="shared" si="49"/>
        <v>#REF!</v>
      </c>
      <c r="BA76" s="70" t="e">
        <f t="shared" si="49"/>
        <v>#REF!</v>
      </c>
    </row>
    <row r="77" spans="27:53" hidden="1">
      <c r="AA77" s="71" t="s">
        <v>42</v>
      </c>
      <c r="AB77" s="35"/>
      <c r="AF77" s="70" t="e">
        <f t="shared" ref="AF77:AO77" si="50">AF38+AF39+AF43+AF46</f>
        <v>#REF!</v>
      </c>
      <c r="AG77" s="70" t="e">
        <f t="shared" si="50"/>
        <v>#REF!</v>
      </c>
      <c r="AH77" s="70" t="e">
        <f t="shared" si="50"/>
        <v>#REF!</v>
      </c>
      <c r="AI77" s="70" t="e">
        <f t="shared" si="50"/>
        <v>#REF!</v>
      </c>
      <c r="AJ77" s="70" t="e">
        <f t="shared" si="50"/>
        <v>#REF!</v>
      </c>
      <c r="AK77" s="70" t="e">
        <f t="shared" si="50"/>
        <v>#REF!</v>
      </c>
      <c r="AL77" s="70" t="e">
        <f t="shared" si="50"/>
        <v>#REF!</v>
      </c>
      <c r="AM77" s="70" t="e">
        <f t="shared" si="50"/>
        <v>#REF!</v>
      </c>
      <c r="AN77" s="70" t="e">
        <f t="shared" si="50"/>
        <v>#REF!</v>
      </c>
      <c r="AO77" s="70" t="e">
        <f t="shared" si="50"/>
        <v>#REF!</v>
      </c>
      <c r="AP77" s="70"/>
      <c r="AQ77" s="70"/>
      <c r="AR77" s="70" t="e">
        <f t="shared" ref="AR77:BA77" si="51">AR38+AR39+AR43+AR46</f>
        <v>#REF!</v>
      </c>
      <c r="AS77" s="70" t="e">
        <f t="shared" si="51"/>
        <v>#REF!</v>
      </c>
      <c r="AT77" s="70" t="e">
        <f t="shared" si="51"/>
        <v>#REF!</v>
      </c>
      <c r="AU77" s="70" t="e">
        <f t="shared" si="51"/>
        <v>#REF!</v>
      </c>
      <c r="AV77" s="70" t="e">
        <f t="shared" si="51"/>
        <v>#REF!</v>
      </c>
      <c r="AW77" s="70" t="e">
        <f t="shared" si="51"/>
        <v>#REF!</v>
      </c>
      <c r="AX77" s="70" t="e">
        <f t="shared" si="51"/>
        <v>#REF!</v>
      </c>
      <c r="AY77" s="70" t="e">
        <f t="shared" si="51"/>
        <v>#REF!</v>
      </c>
      <c r="AZ77" s="70" t="e">
        <f t="shared" si="51"/>
        <v>#REF!</v>
      </c>
      <c r="BA77" s="70" t="e">
        <f t="shared" si="51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435" t="s">
        <v>55</v>
      </c>
      <c r="G89" s="435" t="s">
        <v>73</v>
      </c>
      <c r="H89" s="435" t="s">
        <v>74</v>
      </c>
      <c r="I89" s="435" t="s">
        <v>58</v>
      </c>
      <c r="J89" s="435" t="s">
        <v>59</v>
      </c>
      <c r="K89" s="435" t="s">
        <v>60</v>
      </c>
      <c r="L89" s="434" t="s">
        <v>75</v>
      </c>
      <c r="M89" s="434" t="s">
        <v>76</v>
      </c>
      <c r="N89" s="434" t="s">
        <v>61</v>
      </c>
      <c r="O89" s="434" t="s">
        <v>62</v>
      </c>
      <c r="P89" s="434" t="s">
        <v>63</v>
      </c>
      <c r="AN89" s="38"/>
      <c r="AZ89" s="36"/>
    </row>
    <row r="90" spans="1:52" ht="25.5">
      <c r="A90" s="44" t="str">
        <f t="shared" ref="A90:C92" si="52">A4</f>
        <v>Substation General Construction</v>
      </c>
      <c r="B90" s="45" t="str">
        <f t="shared" si="52"/>
        <v>Light-Duty Truck, catalyst</v>
      </c>
      <c r="C90" s="46">
        <f t="shared" si="52"/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1" si="53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si="52"/>
        <v>Substation Above Grade Construction</v>
      </c>
      <c r="B91" s="45" t="str">
        <f t="shared" si="52"/>
        <v>Light-Duty Truck, catalyst</v>
      </c>
      <c r="C91" s="46">
        <f t="shared" si="52"/>
        <v>6</v>
      </c>
      <c r="D91" s="46">
        <v>35</v>
      </c>
      <c r="E91" s="46">
        <v>80</v>
      </c>
      <c r="F91" s="50">
        <f>C5*($E5*$F5+($G5))/453.59</f>
        <v>2.9143163152855203</v>
      </c>
      <c r="G91" s="50">
        <f>C5*($E5*$H5+($I5))/453.59</f>
        <v>0.26202394376626803</v>
      </c>
      <c r="H91" s="50">
        <f t="shared" ref="H91:H92" si="54">C5*(($E5*$J5)+($K5)+($L5)+($E5*$N5)+(($M5+$O5)))/453.59</f>
        <v>0.30299988194371996</v>
      </c>
      <c r="I91" s="50">
        <f>C5*($E5*$P5+($Q5))/453.59</f>
        <v>4.3607821629636952E-3</v>
      </c>
      <c r="J91" s="50">
        <f>C5*(($E5*($R5+$T5+$U5))+($S5))/453.59</f>
        <v>5.1144542731247376E-2</v>
      </c>
      <c r="K91" s="50">
        <f>$C5*(($E5*($V5+$X5+$Y5))+($W5))/453.59</f>
        <v>2.2272031945518852E-2</v>
      </c>
      <c r="L91" s="50">
        <f>$B$23*C5*(E5+6)</f>
        <v>5.0631495516431396E-2</v>
      </c>
      <c r="M91" s="50">
        <f t="shared" si="53"/>
        <v>2.0758913161736871E-2</v>
      </c>
      <c r="N91" s="50">
        <f>C5*($E5*$Z5+($AA5))/453.59</f>
        <v>332.54146035623342</v>
      </c>
      <c r="O91" s="50">
        <f>C5*($E5*$AB5+($AC5))/453.59</f>
        <v>1.9022852334181495E-2</v>
      </c>
      <c r="P91" s="50">
        <f>C5*($E5*$AD5+($AE5))/453.59</f>
        <v>3.4626719483060162E-2</v>
      </c>
      <c r="AN91" s="38"/>
      <c r="AZ91" s="36"/>
    </row>
    <row r="92" spans="1:52" ht="25.5">
      <c r="A92" s="44" t="str">
        <f t="shared" si="52"/>
        <v>Substation Wiring</v>
      </c>
      <c r="B92" s="45" t="str">
        <f t="shared" si="52"/>
        <v>Light-Duty Truck, catalyst</v>
      </c>
      <c r="C92" s="46">
        <f t="shared" si="52"/>
        <v>3</v>
      </c>
      <c r="D92" s="46">
        <v>35</v>
      </c>
      <c r="E92" s="46">
        <v>80</v>
      </c>
      <c r="F92" s="50">
        <f>C6*($E6*$F6+($G6))/453.59</f>
        <v>1.4571581576427601</v>
      </c>
      <c r="G92" s="50">
        <f>C6*($E6*$H6+($I6))/453.59</f>
        <v>0.13101197188313402</v>
      </c>
      <c r="H92" s="50">
        <f t="shared" si="54"/>
        <v>0.15149994097185998</v>
      </c>
      <c r="I92" s="50">
        <f>C6*($E6*$P6+($Q6))/453.59</f>
        <v>2.1803910814818476E-3</v>
      </c>
      <c r="J92" s="50">
        <f>C6*(($E6*($R6+$T6+$U6))+($S6))/453.59</f>
        <v>2.5572271365623688E-2</v>
      </c>
      <c r="K92" s="50">
        <f>$C6*(($E6*($V6+$X6+$Y6))+($W6))/453.59</f>
        <v>1.1136015972759426E-2</v>
      </c>
      <c r="L92" s="50">
        <f>$B$23*C6*(E6+6)</f>
        <v>2.5315747758215698E-2</v>
      </c>
      <c r="M92" s="50">
        <f t="shared" ref="M92" si="55">0.41*L92</f>
        <v>1.0379456580868435E-2</v>
      </c>
      <c r="N92" s="50">
        <f>C6*($E6*$Z6+($AA6))/453.59</f>
        <v>166.27073017811671</v>
      </c>
      <c r="O92" s="50">
        <f>C6*($E6*$AB6+($AC6))/453.59</f>
        <v>9.5114261670907474E-3</v>
      </c>
      <c r="P92" s="50">
        <f>C6*($E6*$AD6+($AE6))/453.59</f>
        <v>1.7313359741530081E-2</v>
      </c>
      <c r="AN92" s="38"/>
      <c r="AZ92" s="36"/>
    </row>
    <row r="93" spans="1:52">
      <c r="A93" s="61" t="s">
        <v>396</v>
      </c>
      <c r="B93" s="61"/>
      <c r="C93" s="61"/>
      <c r="D93" s="61"/>
      <c r="E93" s="61"/>
      <c r="F93" s="81">
        <f>SUM(F90:F91)</f>
        <v>4.3714744729282806</v>
      </c>
      <c r="G93" s="81">
        <f t="shared" ref="G93:P93" si="56">SUM(G90:G91)</f>
        <v>0.39303591564940205</v>
      </c>
      <c r="H93" s="81">
        <f t="shared" si="56"/>
        <v>0.45449982291557994</v>
      </c>
      <c r="I93" s="81">
        <f t="shared" si="56"/>
        <v>6.5411732444455428E-3</v>
      </c>
      <c r="J93" s="81">
        <f t="shared" si="56"/>
        <v>7.6716814096871061E-2</v>
      </c>
      <c r="K93" s="81">
        <f t="shared" si="56"/>
        <v>3.3408047918278276E-2</v>
      </c>
      <c r="L93" s="81">
        <f t="shared" si="56"/>
        <v>7.5947243274647094E-2</v>
      </c>
      <c r="M93" s="81">
        <f t="shared" si="56"/>
        <v>3.1138369742605306E-2</v>
      </c>
      <c r="N93" s="81">
        <f t="shared" si="56"/>
        <v>498.81219053435012</v>
      </c>
      <c r="O93" s="81">
        <f t="shared" si="56"/>
        <v>2.8534278501272242E-2</v>
      </c>
      <c r="P93" s="81">
        <f t="shared" si="56"/>
        <v>5.1940079224590242E-2</v>
      </c>
    </row>
    <row r="94" spans="1:52">
      <c r="A94" s="85"/>
      <c r="B94" s="85"/>
      <c r="C94" s="85"/>
      <c r="D94" s="85"/>
      <c r="E94" s="85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B-15
Construction Worker Commute Emission Calculations
Installation of 69kV Position at Miguel Substation</oddHeader>
    <oddFooter>&amp;CB-15</oddFooter>
  </headerFooter>
</worksheet>
</file>

<file path=xl/worksheets/sheet34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2"/>
  <sheetViews>
    <sheetView zoomScale="75" zoomScaleNormal="75" workbookViewId="0">
      <selection activeCell="B18" sqref="B18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861</v>
      </c>
    </row>
    <row r="2" spans="1:25">
      <c r="A2" s="83"/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304</v>
      </c>
      <c r="B7" s="29">
        <v>2015</v>
      </c>
      <c r="C7" s="22"/>
      <c r="D7" s="18"/>
      <c r="E7" s="23"/>
      <c r="F7" s="23"/>
      <c r="G7" s="23"/>
      <c r="H7" s="23"/>
      <c r="I7" s="23"/>
      <c r="J7" s="24"/>
      <c r="K7" s="25"/>
      <c r="L7" s="23"/>
      <c r="M7" s="33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/>
      <c r="B8" s="29"/>
      <c r="C8" s="97"/>
      <c r="D8" s="12"/>
      <c r="E8" s="102"/>
      <c r="F8" s="102"/>
      <c r="G8" s="102"/>
      <c r="H8" s="102"/>
      <c r="I8" s="102"/>
      <c r="J8" s="100"/>
      <c r="K8" s="103"/>
      <c r="L8" s="102"/>
      <c r="M8" s="104"/>
      <c r="N8" s="88"/>
      <c r="O8" s="88"/>
      <c r="P8" s="88"/>
      <c r="Q8" s="26"/>
      <c r="R8" s="26"/>
      <c r="S8" s="26"/>
      <c r="T8" s="26"/>
      <c r="U8" s="26"/>
      <c r="V8" s="26"/>
      <c r="W8" s="26"/>
      <c r="X8" s="26"/>
      <c r="Y8" s="26"/>
    </row>
    <row r="9" spans="1:25" s="3" customFormat="1">
      <c r="A9" s="17" t="s">
        <v>335</v>
      </c>
      <c r="B9" s="29"/>
      <c r="C9" s="97"/>
      <c r="D9" s="12"/>
      <c r="E9" s="102"/>
      <c r="F9" s="102"/>
      <c r="G9" s="102"/>
      <c r="H9" s="102"/>
      <c r="I9" s="102"/>
      <c r="J9" s="100"/>
      <c r="K9" s="103"/>
      <c r="L9" s="102"/>
      <c r="M9" s="104"/>
      <c r="N9" s="88"/>
      <c r="O9" s="88"/>
      <c r="P9" s="88"/>
      <c r="Q9" s="26"/>
      <c r="R9" s="26"/>
      <c r="S9" s="26"/>
      <c r="T9" s="26"/>
      <c r="U9" s="26"/>
      <c r="V9" s="26"/>
      <c r="W9" s="26"/>
      <c r="X9" s="26"/>
      <c r="Y9" s="26"/>
    </row>
    <row r="10" spans="1:25" s="3" customFormat="1">
      <c r="A10" s="24" t="s">
        <v>311</v>
      </c>
      <c r="B10" s="29" t="s">
        <v>27</v>
      </c>
      <c r="C10" s="97">
        <v>235</v>
      </c>
      <c r="D10" s="97"/>
      <c r="E10" s="102">
        <v>0.11792220738547983</v>
      </c>
      <c r="F10" s="102">
        <v>0.36512193352152528</v>
      </c>
      <c r="G10" s="102">
        <v>0.86781464282266541</v>
      </c>
      <c r="H10" s="102">
        <v>1.8739217498104396E-3</v>
      </c>
      <c r="I10" s="102">
        <v>2.9041712295589866E-2</v>
      </c>
      <c r="J10" s="100">
        <f t="shared" ref="J10" si="0">0.89*I10</f>
        <v>2.5847123943074982E-2</v>
      </c>
      <c r="K10" s="103">
        <v>166.54541562452522</v>
      </c>
      <c r="L10" s="102">
        <v>1.063993297769634E-2</v>
      </c>
      <c r="M10" s="104">
        <f t="shared" ref="M10" si="1">0.095*G10</f>
        <v>8.2442391068153209E-2</v>
      </c>
      <c r="N10" s="88">
        <v>1</v>
      </c>
      <c r="O10" s="88">
        <v>2</v>
      </c>
      <c r="P10" s="88">
        <v>20</v>
      </c>
      <c r="Q10" s="26">
        <f t="shared" ref="Q10" si="2">(E10*$N10*$O10)</f>
        <v>0.23584441477095966</v>
      </c>
      <c r="R10" s="26">
        <f t="shared" ref="R10" si="3">(F10*$N10*$O10)</f>
        <v>0.73024386704305055</v>
      </c>
      <c r="S10" s="26">
        <f t="shared" ref="S10" si="4">(G10*$N10*$O10)</f>
        <v>1.7356292856453308</v>
      </c>
      <c r="T10" s="26">
        <f t="shared" ref="T10" si="5">(H10*$N10*$O10)</f>
        <v>3.7478434996208792E-3</v>
      </c>
      <c r="U10" s="26">
        <f t="shared" ref="U10" si="6">(I10*$N10*$O10)</f>
        <v>5.8083424591179732E-2</v>
      </c>
      <c r="V10" s="26">
        <f t="shared" ref="V10" si="7">(J10*$N10*$O10)</f>
        <v>5.1694247886149965E-2</v>
      </c>
      <c r="W10" s="26">
        <f t="shared" ref="W10" si="8">(K10*$N10*$O10)</f>
        <v>333.09083124905044</v>
      </c>
      <c r="X10" s="26">
        <f t="shared" ref="X10" si="9">(L10*$N10*$O10)</f>
        <v>2.127986595539268E-2</v>
      </c>
      <c r="Y10" s="26">
        <f t="shared" ref="Y10" si="10">(M10*$N10*$O10)</f>
        <v>0.16488478213630642</v>
      </c>
    </row>
    <row r="11" spans="1:25" s="3" customFormat="1">
      <c r="A11" s="17" t="s">
        <v>28</v>
      </c>
      <c r="B11" s="97"/>
      <c r="C11" s="22"/>
      <c r="D11" s="18"/>
      <c r="E11" s="23"/>
      <c r="F11" s="23"/>
      <c r="G11" s="23"/>
      <c r="H11" s="23"/>
      <c r="I11" s="23"/>
      <c r="J11" s="24"/>
      <c r="K11" s="25"/>
      <c r="L11" s="23"/>
      <c r="M11" s="23"/>
      <c r="N11" s="88"/>
      <c r="O11" s="88"/>
      <c r="P11" s="88"/>
      <c r="Q11" s="27">
        <f t="shared" ref="Q11:Y11" si="11">SUM(Q10:Q10)</f>
        <v>0.23584441477095966</v>
      </c>
      <c r="R11" s="27">
        <f t="shared" si="11"/>
        <v>0.73024386704305055</v>
      </c>
      <c r="S11" s="27">
        <f t="shared" si="11"/>
        <v>1.7356292856453308</v>
      </c>
      <c r="T11" s="27">
        <f t="shared" si="11"/>
        <v>3.7478434996208792E-3</v>
      </c>
      <c r="U11" s="27">
        <f t="shared" si="11"/>
        <v>5.8083424591179732E-2</v>
      </c>
      <c r="V11" s="27">
        <f t="shared" si="11"/>
        <v>5.1694247886149965E-2</v>
      </c>
      <c r="W11" s="27">
        <f t="shared" si="11"/>
        <v>333.09083124905044</v>
      </c>
      <c r="X11" s="27">
        <f t="shared" si="11"/>
        <v>2.127986595539268E-2</v>
      </c>
      <c r="Y11" s="27">
        <f t="shared" si="11"/>
        <v>0.16488478213630642</v>
      </c>
    </row>
    <row r="12" spans="1:25">
      <c r="A12" s="11" t="s">
        <v>103</v>
      </c>
      <c r="B12" s="438"/>
      <c r="C12" s="438"/>
      <c r="D12" s="438"/>
      <c r="E12" s="426"/>
      <c r="F12" s="426"/>
      <c r="G12" s="426"/>
      <c r="H12" s="426"/>
      <c r="I12" s="426"/>
      <c r="J12" s="426"/>
      <c r="K12" s="426"/>
      <c r="L12" s="426"/>
      <c r="M12" s="426"/>
      <c r="N12" s="17"/>
      <c r="O12" s="123"/>
      <c r="P12" s="123"/>
      <c r="Q12" s="20">
        <f>Q11</f>
        <v>0.23584441477095966</v>
      </c>
      <c r="R12" s="20">
        <f t="shared" ref="R12:Y12" si="12">R11</f>
        <v>0.73024386704305055</v>
      </c>
      <c r="S12" s="20">
        <f t="shared" si="12"/>
        <v>1.7356292856453308</v>
      </c>
      <c r="T12" s="20">
        <f t="shared" si="12"/>
        <v>3.7478434996208792E-3</v>
      </c>
      <c r="U12" s="20">
        <f t="shared" si="12"/>
        <v>5.8083424591179732E-2</v>
      </c>
      <c r="V12" s="20">
        <f t="shared" si="12"/>
        <v>5.1694247886149965E-2</v>
      </c>
      <c r="W12" s="20">
        <f t="shared" si="12"/>
        <v>333.09083124905044</v>
      </c>
      <c r="X12" s="20">
        <f t="shared" si="12"/>
        <v>2.127986595539268E-2</v>
      </c>
      <c r="Y12" s="20">
        <f t="shared" si="12"/>
        <v>0.16488478213630642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>&amp;CTable B-13
Construction Heavy Equipment Emissions
Installation of 69kV Position at Miguel Substation</oddHeader>
    <oddFooter>&amp;CB-13</oddFooter>
  </headerFooter>
</worksheet>
</file>

<file path=xl/worksheets/sheet34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3"/>
  <sheetViews>
    <sheetView zoomScale="75" workbookViewId="0">
      <selection activeCell="B26" sqref="B26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862</v>
      </c>
    </row>
    <row r="2" spans="1:30">
      <c r="A2" s="83"/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304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320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C9*(F9)*$B$381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6">
        <v>3.59998119015979E-2</v>
      </c>
      <c r="M10" s="556">
        <v>6.1739677411240299E-2</v>
      </c>
      <c r="N10" s="106">
        <v>6.5945508986370194E-2</v>
      </c>
      <c r="O10" s="556">
        <v>2.9999843251331498E-3</v>
      </c>
      <c r="P10" s="55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C10*(F10)*$B$381</f>
        <v>7.8498442661133934E-3</v>
      </c>
      <c r="AA10" s="50">
        <f>Z10*0.21</f>
        <v>1.6484672958838125E-3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2.5511993864868531E-2</v>
      </c>
      <c r="AA11" s="81">
        <f t="shared" si="0"/>
        <v>5.3575187116223916E-3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432"/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 ht="25.5" customHeight="1">
      <c r="A13" s="114" t="s">
        <v>335</v>
      </c>
      <c r="B13" s="74"/>
      <c r="C13" s="112"/>
      <c r="D13" s="112"/>
      <c r="E13" s="74"/>
      <c r="F13" s="74"/>
      <c r="G13" s="437"/>
      <c r="H13" s="41"/>
      <c r="I13" s="41"/>
      <c r="J13" s="41"/>
      <c r="K13" s="434"/>
      <c r="L13" s="434"/>
      <c r="M13" s="434"/>
      <c r="N13" s="434"/>
      <c r="O13" s="434"/>
      <c r="P13" s="434"/>
      <c r="Q13" s="41"/>
      <c r="R13" s="434"/>
      <c r="S13" s="43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 ht="12.75" customHeight="1">
      <c r="A14" s="78" t="s">
        <v>320</v>
      </c>
      <c r="B14" s="76" t="s">
        <v>95</v>
      </c>
      <c r="C14" s="79">
        <v>3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9.9891275533645019E-2</v>
      </c>
      <c r="U14" s="50">
        <f>C14*($F14*$H14)/453.59</f>
        <v>0.18440937782971867</v>
      </c>
      <c r="V14" s="50">
        <f>C14*(($F14*$I14))/453.59</f>
        <v>2.253067276294635E-2</v>
      </c>
      <c r="W14" s="50">
        <f>C14*($F14*$J14)/453.59</f>
        <v>1.3898613406074772E-3</v>
      </c>
      <c r="X14" s="50">
        <f>C14*(($F14*($K14+$L14+$M14)))/453.59</f>
        <v>3.6369464870151122E-2</v>
      </c>
      <c r="Y14" s="50">
        <f>C14*(($F14*($N14+$O14+$P14)))/453.59</f>
        <v>2.4166098982977401E-2</v>
      </c>
      <c r="Z14" s="50">
        <f>C14*(F14)*$B$381</f>
        <v>1.7662149598755138E-2</v>
      </c>
      <c r="AA14" s="50">
        <f>Z14*0.21</f>
        <v>3.7090514157385786E-3</v>
      </c>
      <c r="AB14" s="50">
        <f>C14*(($F14*($Q14)))/453.59</f>
        <v>96.814105590256631</v>
      </c>
      <c r="AC14" s="50">
        <f>C14*(($F14*($R14)))/453.59</f>
        <v>5.5322484357440338E-3</v>
      </c>
      <c r="AD14" s="50">
        <f>C14*(($F14*($S14)))/453.59</f>
        <v>2.4799901288000137E-3</v>
      </c>
    </row>
    <row r="15" spans="1:30">
      <c r="A15" s="75" t="s">
        <v>28</v>
      </c>
      <c r="B15" s="74"/>
      <c r="C15" s="112"/>
      <c r="D15" s="112"/>
      <c r="E15" s="74"/>
      <c r="F15" s="74"/>
      <c r="G15" s="437"/>
      <c r="H15" s="41"/>
      <c r="I15" s="41"/>
      <c r="J15" s="41"/>
      <c r="K15" s="434"/>
      <c r="L15" s="434"/>
      <c r="M15" s="434"/>
      <c r="N15" s="434"/>
      <c r="O15" s="434"/>
      <c r="P15" s="434"/>
      <c r="Q15" s="41"/>
      <c r="R15" s="434"/>
      <c r="S15" s="434"/>
      <c r="T15" s="81">
        <f t="shared" ref="T15:AD15" si="1">SUM(T14:T14)</f>
        <v>9.9891275533645019E-2</v>
      </c>
      <c r="U15" s="81">
        <f t="shared" si="1"/>
        <v>0.18440937782971867</v>
      </c>
      <c r="V15" s="81">
        <f t="shared" si="1"/>
        <v>2.253067276294635E-2</v>
      </c>
      <c r="W15" s="81">
        <f t="shared" si="1"/>
        <v>1.3898613406074772E-3</v>
      </c>
      <c r="X15" s="81">
        <f t="shared" si="1"/>
        <v>3.6369464870151122E-2</v>
      </c>
      <c r="Y15" s="81">
        <f t="shared" si="1"/>
        <v>2.4166098982977401E-2</v>
      </c>
      <c r="Z15" s="81">
        <f t="shared" si="1"/>
        <v>1.7662149598755138E-2</v>
      </c>
      <c r="AA15" s="81">
        <f t="shared" si="1"/>
        <v>3.7090514157385786E-3</v>
      </c>
      <c r="AB15" s="81">
        <f t="shared" si="1"/>
        <v>96.814105590256631</v>
      </c>
      <c r="AC15" s="81">
        <f t="shared" si="1"/>
        <v>5.5322484357440338E-3</v>
      </c>
      <c r="AD15" s="81">
        <f t="shared" si="1"/>
        <v>2.4799901288000137E-3</v>
      </c>
    </row>
    <row r="16" spans="1:30">
      <c r="A16" s="75" t="s">
        <v>388</v>
      </c>
      <c r="B16" s="74"/>
      <c r="C16" s="112"/>
      <c r="D16" s="112"/>
      <c r="E16" s="74"/>
      <c r="F16" s="74"/>
      <c r="G16" s="437"/>
      <c r="H16" s="41"/>
      <c r="I16" s="41"/>
      <c r="J16" s="41"/>
      <c r="K16" s="434"/>
      <c r="L16" s="434"/>
      <c r="M16" s="434"/>
      <c r="N16" s="434"/>
      <c r="O16" s="434"/>
      <c r="P16" s="434"/>
      <c r="Q16" s="41"/>
      <c r="R16" s="434"/>
      <c r="S16" s="434"/>
      <c r="T16" s="81">
        <f>T11+T15</f>
        <v>0.39072851835654249</v>
      </c>
      <c r="U16" s="81">
        <f t="shared" ref="U16:AD16" si="2">U11+U15</f>
        <v>1.2456056144453032</v>
      </c>
      <c r="V16" s="81">
        <f t="shared" si="2"/>
        <v>9.1355157250166866E-2</v>
      </c>
      <c r="W16" s="81">
        <f t="shared" si="2"/>
        <v>4.6689738551826346E-3</v>
      </c>
      <c r="X16" s="81">
        <f t="shared" si="2"/>
        <v>0.10261955151502915</v>
      </c>
      <c r="Y16" s="81">
        <f t="shared" si="2"/>
        <v>7.0344182612085943E-2</v>
      </c>
      <c r="Z16" s="81">
        <f t="shared" si="2"/>
        <v>4.3174143463623665E-2</v>
      </c>
      <c r="AA16" s="81">
        <f t="shared" si="2"/>
        <v>9.0665701273609702E-3</v>
      </c>
      <c r="AB16" s="81">
        <f t="shared" si="2"/>
        <v>495.35022090407864</v>
      </c>
      <c r="AC16" s="81">
        <f t="shared" si="2"/>
        <v>1.3751548399529145E-2</v>
      </c>
      <c r="AD16" s="81">
        <f t="shared" si="2"/>
        <v>1.2688891258678878E-2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371" spans="1:2" ht="25.5">
      <c r="A371" s="82" t="s">
        <v>109</v>
      </c>
    </row>
    <row r="373" spans="1:2">
      <c r="A373" s="36" t="s">
        <v>81</v>
      </c>
    </row>
    <row r="374" spans="1:2">
      <c r="A374" s="36" t="s">
        <v>82</v>
      </c>
    </row>
    <row r="375" spans="1:2">
      <c r="A375" s="36" t="s">
        <v>83</v>
      </c>
    </row>
    <row r="376" spans="1:2">
      <c r="A376" s="37" t="s">
        <v>96</v>
      </c>
    </row>
    <row r="377" spans="1:2">
      <c r="A377" s="36" t="s">
        <v>85</v>
      </c>
    </row>
    <row r="378" spans="1:2">
      <c r="A378" s="36" t="s">
        <v>86</v>
      </c>
    </row>
    <row r="379" spans="1:2">
      <c r="A379" s="36" t="s">
        <v>87</v>
      </c>
    </row>
    <row r="380" spans="1:2">
      <c r="A380" s="36" t="s">
        <v>0</v>
      </c>
    </row>
    <row r="381" spans="1:2">
      <c r="A381" s="37" t="s">
        <v>97</v>
      </c>
      <c r="B381" s="36">
        <f>(0.016*(0.03/2)^0.65*(2/3)^1.5)-0.00047</f>
        <v>9.8123053326417428E-5</v>
      </c>
    </row>
    <row r="382" spans="1:2">
      <c r="A382" s="37" t="s">
        <v>98</v>
      </c>
      <c r="B382" s="36">
        <f>(0.016*(0.03/2)^0.65*(13/3)^1.5)-0.00047</f>
        <v>8.9448292388582783E-3</v>
      </c>
    </row>
    <row r="383" spans="1:2">
      <c r="A383" s="37" t="s">
        <v>99</v>
      </c>
      <c r="B383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B-14
Construction Truck Trip Emissions
Installation of 69kV Position at Miguel Substation</oddHeader>
    <oddFooter>&amp;CB-14</oddFooter>
  </headerFooter>
</worksheet>
</file>

<file path=xl/worksheets/sheet34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B94" sqref="B94"/>
    </sheetView>
  </sheetViews>
  <sheetFormatPr defaultRowHeight="12.75"/>
  <cols>
    <col min="1" max="1" width="33" style="36" customWidth="1"/>
    <col min="2" max="3" width="22.42578125" style="36" customWidth="1"/>
    <col min="4" max="4" width="10.28515625" style="36" bestFit="1" customWidth="1"/>
    <col min="5" max="5" width="9.28515625" style="36" bestFit="1" customWidth="1"/>
    <col min="6" max="17" width="11.7109375" style="36" bestFit="1" customWidth="1"/>
    <col min="18" max="18" width="10.7109375" style="36" bestFit="1" customWidth="1"/>
    <col min="19" max="21" width="11.7109375" style="36" bestFit="1" customWidth="1"/>
    <col min="22" max="22" width="10.7109375" style="36" bestFit="1" customWidth="1"/>
    <col min="23" max="23" width="11.7109375" style="36" bestFit="1" customWidth="1"/>
    <col min="24" max="25" width="10.7109375" style="36" bestFit="1" customWidth="1"/>
    <col min="26" max="27" width="11.7109375" style="36" bestFit="1" customWidth="1"/>
    <col min="28" max="28" width="9.28515625" style="36" bestFit="1" customWidth="1"/>
    <col min="29" max="29" width="11.7109375" style="36" bestFit="1" customWidth="1"/>
    <col min="30" max="30" width="9.28515625" style="36" bestFit="1" customWidth="1"/>
    <col min="31" max="31" width="11.710937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863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51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335</v>
      </c>
      <c r="B5" s="45" t="s">
        <v>102</v>
      </c>
      <c r="C5" s="46">
        <v>3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43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51">
      <c r="A88" s="599"/>
      <c r="B88" s="599"/>
      <c r="C88" s="41" t="s">
        <v>66</v>
      </c>
      <c r="D88" s="41" t="s">
        <v>67</v>
      </c>
      <c r="E88" s="41" t="s">
        <v>68</v>
      </c>
      <c r="F88" s="435" t="s">
        <v>55</v>
      </c>
      <c r="G88" s="435" t="s">
        <v>73</v>
      </c>
      <c r="H88" s="435" t="s">
        <v>74</v>
      </c>
      <c r="I88" s="435" t="s">
        <v>58</v>
      </c>
      <c r="J88" s="435" t="s">
        <v>59</v>
      </c>
      <c r="K88" s="435" t="s">
        <v>60</v>
      </c>
      <c r="L88" s="434" t="s">
        <v>75</v>
      </c>
      <c r="M88" s="434" t="s">
        <v>76</v>
      </c>
      <c r="N88" s="434" t="s">
        <v>61</v>
      </c>
      <c r="O88" s="434" t="s">
        <v>62</v>
      </c>
      <c r="P88" s="434" t="s">
        <v>63</v>
      </c>
      <c r="AN88" s="38"/>
      <c r="AZ88" s="36"/>
    </row>
    <row r="89" spans="1:52" ht="25.5">
      <c r="A89" s="44" t="str">
        <f t="shared" ref="A89:C90" si="52">A4</f>
        <v>Substation General Construction</v>
      </c>
      <c r="B89" s="45" t="str">
        <f t="shared" si="52"/>
        <v>Light-Duty Truck, catalyst</v>
      </c>
      <c r="C89" s="46">
        <f t="shared" si="52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" si="53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si="52"/>
        <v>Substation Wiring</v>
      </c>
      <c r="B90" s="45" t="str">
        <f t="shared" si="52"/>
        <v>Light-Duty Truck, catalyst</v>
      </c>
      <c r="C90" s="46">
        <f t="shared" si="52"/>
        <v>3</v>
      </c>
      <c r="D90" s="46">
        <v>35</v>
      </c>
      <c r="E90" s="46">
        <v>80</v>
      </c>
      <c r="F90" s="50">
        <f>C5*($E5*$F5+($G5))/453.59</f>
        <v>1.4571581576427601</v>
      </c>
      <c r="G90" s="50">
        <f>C5*($E5*$H5+($I5))/453.59</f>
        <v>0.13101197188313402</v>
      </c>
      <c r="H90" s="50">
        <f>C5*(($E5*$J5)+($K5)+($L5)+($E5*$N5)+(($M5+$O5)))/453.59</f>
        <v>0.15149994097185998</v>
      </c>
      <c r="I90" s="50">
        <f>C5*($E5*$P5+($Q5))/453.59</f>
        <v>2.1803910814818476E-3</v>
      </c>
      <c r="J90" s="50">
        <f>C5*(($E5*($R5+$T5+$U5))+($S5))/453.59</f>
        <v>2.5572271365623688E-2</v>
      </c>
      <c r="K90" s="50">
        <f>$C5*(($E5*($V5+$X5+$Y5))+($W5))/453.59</f>
        <v>1.1136015972759426E-2</v>
      </c>
      <c r="L90" s="50">
        <f>$B$22*C5*(E5+6)</f>
        <v>2.5315747758215698E-2</v>
      </c>
      <c r="M90" s="50">
        <f t="shared" ref="M90" si="54">0.41*L90</f>
        <v>1.0379456580868435E-2</v>
      </c>
      <c r="N90" s="50">
        <f>C5*($E5*$Z5+($AA5))/453.59</f>
        <v>166.27073017811671</v>
      </c>
      <c r="O90" s="50">
        <f>C5*($E5*$AB5+($AC5))/453.59</f>
        <v>9.5114261670907474E-3</v>
      </c>
      <c r="P90" s="50">
        <f>C5*($E5*$AD5+($AE5))/453.59</f>
        <v>1.7313359741530081E-2</v>
      </c>
      <c r="AN90" s="38"/>
      <c r="AZ90" s="36"/>
    </row>
    <row r="91" spans="1:52">
      <c r="A91" s="61" t="s">
        <v>396</v>
      </c>
      <c r="B91" s="61"/>
      <c r="C91" s="61"/>
      <c r="D91" s="61"/>
      <c r="E91" s="61"/>
      <c r="F91" s="81">
        <f t="shared" ref="F91:P91" si="55">SUM(F89:F90)</f>
        <v>2.9143163152855203</v>
      </c>
      <c r="G91" s="81">
        <f t="shared" si="55"/>
        <v>0.26202394376626803</v>
      </c>
      <c r="H91" s="81">
        <f t="shared" si="55"/>
        <v>0.30299988194371996</v>
      </c>
      <c r="I91" s="81">
        <f t="shared" si="55"/>
        <v>4.3607821629636952E-3</v>
      </c>
      <c r="J91" s="81">
        <f t="shared" si="55"/>
        <v>5.1144542731247376E-2</v>
      </c>
      <c r="K91" s="81">
        <f t="shared" si="55"/>
        <v>2.2272031945518852E-2</v>
      </c>
      <c r="L91" s="81">
        <f t="shared" si="55"/>
        <v>5.0631495516431396E-2</v>
      </c>
      <c r="M91" s="81">
        <f t="shared" si="55"/>
        <v>2.0758913161736871E-2</v>
      </c>
      <c r="N91" s="81">
        <f t="shared" si="55"/>
        <v>332.54146035623342</v>
      </c>
      <c r="O91" s="81">
        <f t="shared" si="55"/>
        <v>1.9022852334181495E-2</v>
      </c>
      <c r="P91" s="81">
        <f t="shared" si="55"/>
        <v>3.4626719483060162E-2</v>
      </c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1" firstPageNumber="16" orientation="landscape" useFirstPageNumber="1" r:id="rId1"/>
  <headerFooter alignWithMargins="0">
    <oddHeader>&amp;CTable B-15
Construction Worker Commute Emission Calculations
Installation of 69kV Position at Miguel Substation</oddHeader>
    <oddFooter>&amp;CB-15</oddFooter>
  </headerFooter>
</worksheet>
</file>

<file path=xl/worksheets/sheet34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2"/>
  <sheetViews>
    <sheetView zoomScale="75" zoomScaleNormal="75" workbookViewId="0">
      <selection activeCell="D36" sqref="D36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864</v>
      </c>
    </row>
    <row r="2" spans="1:25">
      <c r="A2" s="83"/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304</v>
      </c>
      <c r="B7" s="29">
        <v>2015</v>
      </c>
      <c r="C7" s="22"/>
      <c r="D7" s="18"/>
      <c r="E7" s="23"/>
      <c r="F7" s="23"/>
      <c r="G7" s="23"/>
      <c r="H7" s="23"/>
      <c r="I7" s="23"/>
      <c r="J7" s="24"/>
      <c r="K7" s="25"/>
      <c r="L7" s="23"/>
      <c r="M7" s="33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/>
      <c r="B8" s="29"/>
      <c r="C8" s="97"/>
      <c r="D8" s="12"/>
      <c r="E8" s="102"/>
      <c r="F8" s="102"/>
      <c r="G8" s="102"/>
      <c r="H8" s="102"/>
      <c r="I8" s="102"/>
      <c r="J8" s="100"/>
      <c r="K8" s="103"/>
      <c r="L8" s="102"/>
      <c r="M8" s="104"/>
      <c r="N8" s="98"/>
      <c r="O8" s="98"/>
      <c r="P8" s="99"/>
      <c r="Q8" s="34"/>
      <c r="R8" s="26"/>
      <c r="S8" s="26"/>
      <c r="T8" s="26"/>
      <c r="U8" s="26"/>
      <c r="V8" s="26"/>
      <c r="W8" s="26"/>
      <c r="X8" s="26"/>
      <c r="Y8" s="26"/>
    </row>
    <row r="9" spans="1:25" s="3" customFormat="1">
      <c r="A9" s="17" t="s">
        <v>335</v>
      </c>
      <c r="B9" s="29"/>
      <c r="C9" s="97"/>
      <c r="D9" s="12"/>
      <c r="E9" s="102"/>
      <c r="F9" s="102"/>
      <c r="G9" s="102"/>
      <c r="H9" s="102"/>
      <c r="I9" s="102"/>
      <c r="J9" s="100"/>
      <c r="K9" s="103"/>
      <c r="L9" s="102"/>
      <c r="M9" s="104"/>
      <c r="N9" s="98"/>
      <c r="O9" s="98"/>
      <c r="P9" s="99"/>
      <c r="Q9" s="34"/>
      <c r="R9" s="26"/>
      <c r="S9" s="26"/>
      <c r="T9" s="26"/>
      <c r="U9" s="26"/>
      <c r="V9" s="26"/>
      <c r="W9" s="26"/>
      <c r="X9" s="26"/>
      <c r="Y9" s="26"/>
    </row>
    <row r="10" spans="1:25" s="3" customFormat="1">
      <c r="A10" s="24" t="s">
        <v>311</v>
      </c>
      <c r="B10" s="29" t="s">
        <v>27</v>
      </c>
      <c r="C10" s="97">
        <v>235</v>
      </c>
      <c r="D10" s="97"/>
      <c r="E10" s="102">
        <v>0.11792220738547983</v>
      </c>
      <c r="F10" s="102">
        <v>0.36512193352152528</v>
      </c>
      <c r="G10" s="102">
        <v>0.86781464282266541</v>
      </c>
      <c r="H10" s="102">
        <v>1.8739217498104396E-3</v>
      </c>
      <c r="I10" s="102">
        <v>2.9041712295589866E-2</v>
      </c>
      <c r="J10" s="100">
        <f t="shared" ref="J10" si="0">0.89*I10</f>
        <v>2.5847123943074982E-2</v>
      </c>
      <c r="K10" s="103">
        <v>166.54541562452522</v>
      </c>
      <c r="L10" s="102">
        <v>1.063993297769634E-2</v>
      </c>
      <c r="M10" s="104">
        <f t="shared" ref="M10" si="1">0.095*G10</f>
        <v>8.2442391068153209E-2</v>
      </c>
      <c r="N10" s="98">
        <v>1</v>
      </c>
      <c r="O10" s="98">
        <v>2</v>
      </c>
      <c r="P10" s="88">
        <v>20</v>
      </c>
      <c r="Q10" s="34">
        <f t="shared" ref="Q10:Y10" si="2">(E10*$N10*$O10)</f>
        <v>0.23584441477095966</v>
      </c>
      <c r="R10" s="26">
        <f t="shared" si="2"/>
        <v>0.73024386704305055</v>
      </c>
      <c r="S10" s="26">
        <f t="shared" si="2"/>
        <v>1.7356292856453308</v>
      </c>
      <c r="T10" s="26">
        <f t="shared" si="2"/>
        <v>3.7478434996208792E-3</v>
      </c>
      <c r="U10" s="26">
        <f t="shared" si="2"/>
        <v>5.8083424591179732E-2</v>
      </c>
      <c r="V10" s="26">
        <f t="shared" si="2"/>
        <v>5.1694247886149965E-2</v>
      </c>
      <c r="W10" s="26">
        <f t="shared" si="2"/>
        <v>333.09083124905044</v>
      </c>
      <c r="X10" s="26">
        <f t="shared" si="2"/>
        <v>2.127986595539268E-2</v>
      </c>
      <c r="Y10" s="26">
        <f t="shared" si="2"/>
        <v>0.16488478213630642</v>
      </c>
    </row>
    <row r="11" spans="1:25" s="3" customFormat="1">
      <c r="A11" s="17" t="s">
        <v>28</v>
      </c>
      <c r="B11" s="97"/>
      <c r="C11" s="22"/>
      <c r="D11" s="18"/>
      <c r="E11" s="23"/>
      <c r="F11" s="23"/>
      <c r="G11" s="23"/>
      <c r="H11" s="23"/>
      <c r="I11" s="23"/>
      <c r="J11" s="24"/>
      <c r="K11" s="25"/>
      <c r="L11" s="23"/>
      <c r="M11" s="23"/>
      <c r="N11" s="88"/>
      <c r="O11" s="88"/>
      <c r="P11" s="88"/>
      <c r="Q11" s="27">
        <f t="shared" ref="Q11:Y11" si="3">SUM(Q10:Q10)</f>
        <v>0.23584441477095966</v>
      </c>
      <c r="R11" s="27">
        <f t="shared" si="3"/>
        <v>0.73024386704305055</v>
      </c>
      <c r="S11" s="27">
        <f t="shared" si="3"/>
        <v>1.7356292856453308</v>
      </c>
      <c r="T11" s="27">
        <f t="shared" si="3"/>
        <v>3.7478434996208792E-3</v>
      </c>
      <c r="U11" s="27">
        <f t="shared" si="3"/>
        <v>5.8083424591179732E-2</v>
      </c>
      <c r="V11" s="27">
        <f t="shared" si="3"/>
        <v>5.1694247886149965E-2</v>
      </c>
      <c r="W11" s="27">
        <f t="shared" si="3"/>
        <v>333.09083124905044</v>
      </c>
      <c r="X11" s="27">
        <f t="shared" si="3"/>
        <v>2.127986595539268E-2</v>
      </c>
      <c r="Y11" s="27">
        <f t="shared" si="3"/>
        <v>0.16488478213630642</v>
      </c>
    </row>
    <row r="12" spans="1:25">
      <c r="A12" s="11" t="s">
        <v>103</v>
      </c>
      <c r="B12" s="438"/>
      <c r="C12" s="438"/>
      <c r="D12" s="438"/>
      <c r="E12" s="426"/>
      <c r="F12" s="426"/>
      <c r="G12" s="426"/>
      <c r="H12" s="426"/>
      <c r="I12" s="426"/>
      <c r="J12" s="426"/>
      <c r="K12" s="426"/>
      <c r="L12" s="426"/>
      <c r="M12" s="426"/>
      <c r="N12" s="17"/>
      <c r="O12" s="123"/>
      <c r="P12" s="123"/>
      <c r="Q12" s="20">
        <f>Q11</f>
        <v>0.23584441477095966</v>
      </c>
      <c r="R12" s="20">
        <f t="shared" ref="R12:Y12" si="4">R11</f>
        <v>0.73024386704305055</v>
      </c>
      <c r="S12" s="20">
        <f t="shared" si="4"/>
        <v>1.7356292856453308</v>
      </c>
      <c r="T12" s="20">
        <f t="shared" si="4"/>
        <v>3.7478434996208792E-3</v>
      </c>
      <c r="U12" s="20">
        <f t="shared" si="4"/>
        <v>5.8083424591179732E-2</v>
      </c>
      <c r="V12" s="20">
        <f t="shared" si="4"/>
        <v>5.1694247886149965E-2</v>
      </c>
      <c r="W12" s="20">
        <f t="shared" si="4"/>
        <v>333.09083124905044</v>
      </c>
      <c r="X12" s="20">
        <f t="shared" si="4"/>
        <v>2.127986595539268E-2</v>
      </c>
      <c r="Y12" s="20">
        <f t="shared" si="4"/>
        <v>0.16488478213630642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>&amp;CTable B-13
Construction Heavy Equipment Emissions
Installation of 69kV Position at Miguel Substation</oddHeader>
    <oddFooter>&amp;CB-13</oddFooter>
  </headerFooter>
</worksheet>
</file>

<file path=xl/worksheets/sheet34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3"/>
  <sheetViews>
    <sheetView zoomScale="75" workbookViewId="0">
      <selection activeCell="B19" sqref="B19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865</v>
      </c>
    </row>
    <row r="2" spans="1:30">
      <c r="A2" s="83"/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304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320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C9*(F9)*$B$381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6">
        <v>3.59998119015979E-2</v>
      </c>
      <c r="M10" s="556">
        <v>6.1739677411240299E-2</v>
      </c>
      <c r="N10" s="106">
        <v>6.5945508986370194E-2</v>
      </c>
      <c r="O10" s="556">
        <v>2.9999843251331498E-3</v>
      </c>
      <c r="P10" s="55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C10*(F10)*$B$381</f>
        <v>7.8498442661133934E-3</v>
      </c>
      <c r="AA10" s="50">
        <f>Z10*0.21</f>
        <v>1.6484672958838125E-3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2.5511993864868531E-2</v>
      </c>
      <c r="AA11" s="81">
        <f t="shared" si="0"/>
        <v>5.3575187116223916E-3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432"/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 ht="25.5" customHeight="1">
      <c r="A13" s="114" t="s">
        <v>335</v>
      </c>
      <c r="B13" s="74"/>
      <c r="C13" s="112"/>
      <c r="D13" s="112"/>
      <c r="E13" s="74"/>
      <c r="F13" s="74"/>
      <c r="G13" s="437"/>
      <c r="H13" s="41"/>
      <c r="I13" s="41"/>
      <c r="J13" s="41"/>
      <c r="K13" s="434"/>
      <c r="L13" s="434"/>
      <c r="M13" s="434"/>
      <c r="N13" s="434"/>
      <c r="O13" s="434"/>
      <c r="P13" s="434"/>
      <c r="Q13" s="41"/>
      <c r="R13" s="434"/>
      <c r="S13" s="43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 ht="12.75" customHeight="1">
      <c r="A14" s="78" t="s">
        <v>320</v>
      </c>
      <c r="B14" s="76" t="s">
        <v>95</v>
      </c>
      <c r="C14" s="79">
        <v>3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9.9891275533645019E-2</v>
      </c>
      <c r="U14" s="50">
        <f>C14*($F14*$H14)/453.59</f>
        <v>0.18440937782971867</v>
      </c>
      <c r="V14" s="50">
        <f>C14*(($F14*$I14))/453.59</f>
        <v>2.253067276294635E-2</v>
      </c>
      <c r="W14" s="50">
        <f>C14*($F14*$J14)/453.59</f>
        <v>1.3898613406074772E-3</v>
      </c>
      <c r="X14" s="50">
        <f>C14*(($F14*($K14+$L14+$M14)))/453.59</f>
        <v>3.6369464870151122E-2</v>
      </c>
      <c r="Y14" s="50">
        <f>C14*(($F14*($N14+$O14+$P14)))/453.59</f>
        <v>2.4166098982977401E-2</v>
      </c>
      <c r="Z14" s="50">
        <f>C14*(F14)*$B$381</f>
        <v>1.7662149598755138E-2</v>
      </c>
      <c r="AA14" s="50">
        <f>Z14*0.21</f>
        <v>3.7090514157385786E-3</v>
      </c>
      <c r="AB14" s="50">
        <f>C14*(($F14*($Q14)))/453.59</f>
        <v>96.814105590256631</v>
      </c>
      <c r="AC14" s="50">
        <f>C14*(($F14*($R14)))/453.59</f>
        <v>5.5322484357440338E-3</v>
      </c>
      <c r="AD14" s="50">
        <f>C14*(($F14*($S14)))/453.59</f>
        <v>2.4799901288000137E-3</v>
      </c>
    </row>
    <row r="15" spans="1:30">
      <c r="A15" s="75" t="s">
        <v>28</v>
      </c>
      <c r="B15" s="74"/>
      <c r="C15" s="112"/>
      <c r="D15" s="112"/>
      <c r="E15" s="74"/>
      <c r="F15" s="74"/>
      <c r="G15" s="437"/>
      <c r="H15" s="41"/>
      <c r="I15" s="41"/>
      <c r="J15" s="41"/>
      <c r="K15" s="434"/>
      <c r="L15" s="434"/>
      <c r="M15" s="434"/>
      <c r="N15" s="434"/>
      <c r="O15" s="434"/>
      <c r="P15" s="434"/>
      <c r="Q15" s="41"/>
      <c r="R15" s="434"/>
      <c r="S15" s="434"/>
      <c r="T15" s="81">
        <f t="shared" ref="T15:AD15" si="1">SUM(T14:T14)</f>
        <v>9.9891275533645019E-2</v>
      </c>
      <c r="U15" s="81">
        <f t="shared" si="1"/>
        <v>0.18440937782971867</v>
      </c>
      <c r="V15" s="81">
        <f t="shared" si="1"/>
        <v>2.253067276294635E-2</v>
      </c>
      <c r="W15" s="81">
        <f t="shared" si="1"/>
        <v>1.3898613406074772E-3</v>
      </c>
      <c r="X15" s="81">
        <f t="shared" si="1"/>
        <v>3.6369464870151122E-2</v>
      </c>
      <c r="Y15" s="81">
        <f t="shared" si="1"/>
        <v>2.4166098982977401E-2</v>
      </c>
      <c r="Z15" s="81">
        <f t="shared" si="1"/>
        <v>1.7662149598755138E-2</v>
      </c>
      <c r="AA15" s="81">
        <f t="shared" si="1"/>
        <v>3.7090514157385786E-3</v>
      </c>
      <c r="AB15" s="81">
        <f t="shared" si="1"/>
        <v>96.814105590256631</v>
      </c>
      <c r="AC15" s="81">
        <f t="shared" si="1"/>
        <v>5.5322484357440338E-3</v>
      </c>
      <c r="AD15" s="81">
        <f t="shared" si="1"/>
        <v>2.4799901288000137E-3</v>
      </c>
    </row>
    <row r="16" spans="1:30">
      <c r="A16" s="75" t="s">
        <v>388</v>
      </c>
      <c r="B16" s="74"/>
      <c r="C16" s="112"/>
      <c r="D16" s="112"/>
      <c r="E16" s="74"/>
      <c r="F16" s="74"/>
      <c r="G16" s="437"/>
      <c r="H16" s="41"/>
      <c r="I16" s="41"/>
      <c r="J16" s="41"/>
      <c r="K16" s="434"/>
      <c r="L16" s="434"/>
      <c r="M16" s="434"/>
      <c r="N16" s="434"/>
      <c r="O16" s="434"/>
      <c r="P16" s="434"/>
      <c r="Q16" s="41"/>
      <c r="R16" s="434"/>
      <c r="S16" s="434"/>
      <c r="T16" s="81">
        <f>T11+T15</f>
        <v>0.39072851835654249</v>
      </c>
      <c r="U16" s="81">
        <f t="shared" ref="U16:AD16" si="2">U11+U15</f>
        <v>1.2456056144453032</v>
      </c>
      <c r="V16" s="81">
        <f t="shared" si="2"/>
        <v>9.1355157250166866E-2</v>
      </c>
      <c r="W16" s="81">
        <f t="shared" si="2"/>
        <v>4.6689738551826346E-3</v>
      </c>
      <c r="X16" s="81">
        <f t="shared" si="2"/>
        <v>0.10261955151502915</v>
      </c>
      <c r="Y16" s="81">
        <f t="shared" si="2"/>
        <v>7.0344182612085943E-2</v>
      </c>
      <c r="Z16" s="81">
        <f t="shared" si="2"/>
        <v>4.3174143463623665E-2</v>
      </c>
      <c r="AA16" s="81">
        <f t="shared" si="2"/>
        <v>9.0665701273609702E-3</v>
      </c>
      <c r="AB16" s="81">
        <f t="shared" si="2"/>
        <v>495.35022090407864</v>
      </c>
      <c r="AC16" s="81">
        <f t="shared" si="2"/>
        <v>1.3751548399529145E-2</v>
      </c>
      <c r="AD16" s="81">
        <f t="shared" si="2"/>
        <v>1.2688891258678878E-2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371" spans="1:2" ht="25.5">
      <c r="A371" s="82" t="s">
        <v>109</v>
      </c>
    </row>
    <row r="373" spans="1:2">
      <c r="A373" s="36" t="s">
        <v>81</v>
      </c>
    </row>
    <row r="374" spans="1:2">
      <c r="A374" s="36" t="s">
        <v>82</v>
      </c>
    </row>
    <row r="375" spans="1:2">
      <c r="A375" s="36" t="s">
        <v>83</v>
      </c>
    </row>
    <row r="376" spans="1:2">
      <c r="A376" s="37" t="s">
        <v>96</v>
      </c>
    </row>
    <row r="377" spans="1:2">
      <c r="A377" s="36" t="s">
        <v>85</v>
      </c>
    </row>
    <row r="378" spans="1:2">
      <c r="A378" s="36" t="s">
        <v>86</v>
      </c>
    </row>
    <row r="379" spans="1:2">
      <c r="A379" s="36" t="s">
        <v>87</v>
      </c>
    </row>
    <row r="380" spans="1:2">
      <c r="A380" s="36" t="s">
        <v>0</v>
      </c>
    </row>
    <row r="381" spans="1:2">
      <c r="A381" s="37" t="s">
        <v>97</v>
      </c>
      <c r="B381" s="36">
        <f>(0.016*(0.03/2)^0.65*(2/3)^1.5)-0.00047</f>
        <v>9.8123053326417428E-5</v>
      </c>
    </row>
    <row r="382" spans="1:2">
      <c r="A382" s="37" t="s">
        <v>98</v>
      </c>
      <c r="B382" s="36">
        <f>(0.016*(0.03/2)^0.65*(13/3)^1.5)-0.00047</f>
        <v>8.9448292388582783E-3</v>
      </c>
    </row>
    <row r="383" spans="1:2">
      <c r="A383" s="37" t="s">
        <v>99</v>
      </c>
      <c r="B383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B-14
Construction Truck Trip Emissions
Installation of 69kV Position at Miguel Substation</oddHeader>
    <oddFooter>&amp;CB-14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90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553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78" t="s">
        <v>55</v>
      </c>
      <c r="H6" s="578" t="s">
        <v>56</v>
      </c>
      <c r="I6" s="574" t="s">
        <v>57</v>
      </c>
      <c r="J6" s="57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78" t="s">
        <v>61</v>
      </c>
      <c r="R6" s="574" t="s">
        <v>62</v>
      </c>
      <c r="S6" s="57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77" t="s">
        <v>69</v>
      </c>
      <c r="H7" s="41" t="s">
        <v>69</v>
      </c>
      <c r="I7" s="41" t="s">
        <v>69</v>
      </c>
      <c r="J7" s="41" t="s">
        <v>69</v>
      </c>
      <c r="K7" s="574" t="s">
        <v>69</v>
      </c>
      <c r="L7" s="574" t="s">
        <v>71</v>
      </c>
      <c r="M7" s="574" t="s">
        <v>72</v>
      </c>
      <c r="N7" s="574" t="s">
        <v>69</v>
      </c>
      <c r="O7" s="574" t="s">
        <v>71</v>
      </c>
      <c r="P7" s="574" t="s">
        <v>72</v>
      </c>
      <c r="Q7" s="41" t="s">
        <v>69</v>
      </c>
      <c r="R7" s="574" t="s">
        <v>69</v>
      </c>
      <c r="S7" s="57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C9*(F9)*$B$378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C10*(F10)*$B$378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 ht="25.5">
      <c r="A13" s="114" t="s">
        <v>315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326</v>
      </c>
      <c r="B14" s="76" t="s">
        <v>95</v>
      </c>
      <c r="C14" s="79">
        <v>3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9.9891275533645019E-2</v>
      </c>
      <c r="U14" s="50">
        <f>C14*($F14*$H14)/453.59</f>
        <v>0.18440937782971867</v>
      </c>
      <c r="V14" s="50">
        <f>C14*(($F14*$I14))/453.59</f>
        <v>2.253067276294635E-2</v>
      </c>
      <c r="W14" s="50">
        <f>C14*($F14*$J14)/453.59</f>
        <v>1.3898613406074772E-3</v>
      </c>
      <c r="X14" s="50">
        <f>C14*(($F14*($K14+$L14+$M14)))/453.59</f>
        <v>3.6369464870151122E-2</v>
      </c>
      <c r="Y14" s="50">
        <f>C14*(($F14*($N14+$O14+$P14)))/453.59</f>
        <v>2.4166098982977401E-2</v>
      </c>
      <c r="Z14" s="50">
        <f>C14*(F14)*$B$378</f>
        <v>0</v>
      </c>
      <c r="AA14" s="50">
        <f>Z14*0.21</f>
        <v>0</v>
      </c>
      <c r="AB14" s="50">
        <f>C14*(($F14*($Q14)))/453.59</f>
        <v>96.814105590256631</v>
      </c>
      <c r="AC14" s="50">
        <f>C14*(($F14*($R14)))/453.59</f>
        <v>5.5322484357440338E-3</v>
      </c>
      <c r="AD14" s="50">
        <f>C14*(($F14*($S14)))/453.59</f>
        <v>2.4799901288000137E-3</v>
      </c>
    </row>
    <row r="15" spans="1:30">
      <c r="A15" s="78" t="s">
        <v>327</v>
      </c>
      <c r="B15" s="76" t="s">
        <v>105</v>
      </c>
      <c r="C15" s="374">
        <v>1</v>
      </c>
      <c r="D15" s="77"/>
      <c r="E15" s="77">
        <v>35</v>
      </c>
      <c r="F15" s="77">
        <v>80</v>
      </c>
      <c r="G15" s="106">
        <v>1.08263976628415</v>
      </c>
      <c r="H15" s="106">
        <v>4.9712718909585103</v>
      </c>
      <c r="I15" s="106">
        <v>0.26248012575016899</v>
      </c>
      <c r="J15" s="106">
        <v>1.0711818E-2</v>
      </c>
      <c r="K15" s="106">
        <v>7.1679901072141505E-2</v>
      </c>
      <c r="L15" s="576">
        <v>3.59998119015979E-2</v>
      </c>
      <c r="M15" s="576">
        <v>6.1739677411240299E-2</v>
      </c>
      <c r="N15" s="106">
        <v>6.5945508986370194E-2</v>
      </c>
      <c r="O15" s="576">
        <v>2.9999843251331498E-3</v>
      </c>
      <c r="P15" s="576">
        <v>5.5859708133979398E-2</v>
      </c>
      <c r="Q15" s="106">
        <v>1710.7260798814</v>
      </c>
      <c r="R15" s="47">
        <v>1.5235246282551899E-2</v>
      </c>
      <c r="S15" s="80">
        <f>0.000025616*Q15</f>
        <v>4.3821959262241944E-2</v>
      </c>
      <c r="T15" s="50">
        <f>C15*($F15*$G15)/453.59</f>
        <v>0.19094596728925242</v>
      </c>
      <c r="U15" s="50">
        <f>C15*($F15*$H15)/453.59</f>
        <v>0.87678685878586582</v>
      </c>
      <c r="V15" s="50">
        <f>C15*(($F15*$I15))/453.59</f>
        <v>4.6293811724274173E-2</v>
      </c>
      <c r="W15" s="50">
        <f>C15*($F15*$J15)/453.59</f>
        <v>1.8892511739676801E-3</v>
      </c>
      <c r="X15" s="50">
        <f>C15*(($F15*($K15+$L15+$M15)))/453.59</f>
        <v>2.9880621774726907E-2</v>
      </c>
      <c r="Y15" s="50">
        <f>C15*(($F15*($N15+$O15+$P15)))/453.59</f>
        <v>2.2011984646131133E-2</v>
      </c>
      <c r="Z15" s="50">
        <f>C15*(F15)*$B$378</f>
        <v>0</v>
      </c>
      <c r="AA15" s="50">
        <f>Z15*0.21</f>
        <v>0</v>
      </c>
      <c r="AB15" s="50">
        <f>C15*(($F15*($Q15)))/453.59</f>
        <v>301.72200972356535</v>
      </c>
      <c r="AC15" s="50">
        <f>C15*(($F15*($R15)))/453.59</f>
        <v>2.6870515280410772E-3</v>
      </c>
      <c r="AD15" s="50">
        <f>C15*(($F15*($S15)))/453.59</f>
        <v>7.7289110010788503E-3</v>
      </c>
    </row>
    <row r="16" spans="1:30">
      <c r="A16" s="75" t="s">
        <v>28</v>
      </c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>
        <f t="shared" ref="T16:AD16" si="1">SUM(T14:T15)</f>
        <v>0.29083724282289747</v>
      </c>
      <c r="U16" s="81">
        <f t="shared" si="1"/>
        <v>1.0611962366155845</v>
      </c>
      <c r="V16" s="81">
        <f t="shared" si="1"/>
        <v>6.8824484487220519E-2</v>
      </c>
      <c r="W16" s="81">
        <f t="shared" si="1"/>
        <v>3.2791125145751575E-3</v>
      </c>
      <c r="X16" s="81">
        <f t="shared" si="1"/>
        <v>6.6250086644878026E-2</v>
      </c>
      <c r="Y16" s="81">
        <f t="shared" si="1"/>
        <v>4.6178083629108538E-2</v>
      </c>
      <c r="Z16" s="81">
        <f t="shared" si="1"/>
        <v>0</v>
      </c>
      <c r="AA16" s="81">
        <f t="shared" si="1"/>
        <v>0</v>
      </c>
      <c r="AB16" s="81">
        <f t="shared" si="1"/>
        <v>398.53611531382199</v>
      </c>
      <c r="AC16" s="81">
        <f t="shared" si="1"/>
        <v>8.2192999637851101E-3</v>
      </c>
      <c r="AD16" s="81">
        <f t="shared" si="1"/>
        <v>1.0208901129878864E-2</v>
      </c>
    </row>
    <row r="17" spans="1:30">
      <c r="A17" s="75"/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</row>
    <row r="18" spans="1:30">
      <c r="A18" s="114" t="s">
        <v>330</v>
      </c>
      <c r="B18" s="74"/>
      <c r="C18" s="112"/>
      <c r="D18" s="112"/>
      <c r="E18" s="74"/>
      <c r="F18" s="74"/>
      <c r="G18" s="577"/>
      <c r="H18" s="41"/>
      <c r="I18" s="41"/>
      <c r="J18" s="41"/>
      <c r="K18" s="574"/>
      <c r="L18" s="574"/>
      <c r="M18" s="574"/>
      <c r="N18" s="574"/>
      <c r="O18" s="574"/>
      <c r="P18" s="574"/>
      <c r="Q18" s="41"/>
      <c r="R18" s="574"/>
      <c r="S18" s="574"/>
      <c r="T18" s="61"/>
      <c r="U18" s="61"/>
      <c r="V18" s="61"/>
      <c r="W18" s="61"/>
      <c r="X18" s="61"/>
      <c r="Y18" s="61"/>
      <c r="Z18" s="62"/>
      <c r="AA18" s="62"/>
      <c r="AB18" s="62"/>
      <c r="AC18" s="62"/>
      <c r="AD18" s="62"/>
    </row>
    <row r="19" spans="1:30">
      <c r="A19" s="78" t="s">
        <v>320</v>
      </c>
      <c r="B19" s="76" t="s">
        <v>95</v>
      </c>
      <c r="C19" s="79">
        <v>12</v>
      </c>
      <c r="D19" s="77"/>
      <c r="E19" s="77">
        <v>35</v>
      </c>
      <c r="F19" s="77">
        <v>60</v>
      </c>
      <c r="G19" s="106">
        <v>0.25172046482947802</v>
      </c>
      <c r="H19" s="106">
        <v>0.464701387165456</v>
      </c>
      <c r="I19" s="106">
        <v>5.6776043658582402E-2</v>
      </c>
      <c r="J19" s="106">
        <v>3.5023733638119199E-3</v>
      </c>
      <c r="K19" s="106">
        <v>4.6899256897933901E-2</v>
      </c>
      <c r="L19" s="47">
        <v>7.99995847163921E-3</v>
      </c>
      <c r="M19" s="47">
        <v>3.6749815577381599E-2</v>
      </c>
      <c r="N19" s="106">
        <v>4.3147317248333997E-2</v>
      </c>
      <c r="O19" s="47">
        <v>1.9999896145790402E-3</v>
      </c>
      <c r="P19" s="47">
        <v>1.57499200131354E-2</v>
      </c>
      <c r="Q19" s="106">
        <v>243.966167526025</v>
      </c>
      <c r="R19" s="47">
        <f>0.000057143*Q19</f>
        <v>1.3940958710939646E-2</v>
      </c>
      <c r="S19" s="80">
        <f>0.000025616*Q19</f>
        <v>6.2494373473466567E-3</v>
      </c>
      <c r="T19" s="50">
        <f>C19*($F19*$G19)/453.59</f>
        <v>0.39956510213458007</v>
      </c>
      <c r="U19" s="50">
        <f>C19*($F19*$H19)/453.59</f>
        <v>0.73763751131887467</v>
      </c>
      <c r="V19" s="50">
        <f>C19*(($F19*$I19))/453.59</f>
        <v>9.01226910517854E-2</v>
      </c>
      <c r="W19" s="50">
        <f>C19*($F19*$J19)/453.59</f>
        <v>5.5594453624299087E-3</v>
      </c>
      <c r="X19" s="50">
        <f>C19*(($F19*($K19+$L19+$M19)))/453.59</f>
        <v>0.14547785948060449</v>
      </c>
      <c r="Y19" s="50">
        <f>C19*(($F19*($N19+$O19+$P19)))/453.59</f>
        <v>9.6664395931909605E-2</v>
      </c>
      <c r="Z19" s="50">
        <f>C19*(F19)*$B$378</f>
        <v>0</v>
      </c>
      <c r="AA19" s="50">
        <f>Z19*0.21</f>
        <v>0</v>
      </c>
      <c r="AB19" s="50">
        <f>C19*(($F19*($Q19)))/453.59</f>
        <v>387.25642236102652</v>
      </c>
      <c r="AC19" s="50">
        <f>C19*(($F19*($R19)))/453.59</f>
        <v>2.2128993742976135E-2</v>
      </c>
      <c r="AD19" s="50">
        <f>C19*(($F19*($S19)))/453.59</f>
        <v>9.9199605152000547E-3</v>
      </c>
    </row>
    <row r="20" spans="1:30">
      <c r="A20" s="78" t="s">
        <v>331</v>
      </c>
      <c r="B20" s="76" t="s">
        <v>105</v>
      </c>
      <c r="C20" s="374">
        <v>80</v>
      </c>
      <c r="D20" s="77"/>
      <c r="E20" s="77">
        <v>35</v>
      </c>
      <c r="F20" s="77">
        <v>80</v>
      </c>
      <c r="G20" s="106">
        <v>1.08263976628415</v>
      </c>
      <c r="H20" s="106">
        <v>4.9712718909585103</v>
      </c>
      <c r="I20" s="106">
        <v>0.26248012575016899</v>
      </c>
      <c r="J20" s="106">
        <v>1.0711818E-2</v>
      </c>
      <c r="K20" s="106">
        <v>7.1679901072141505E-2</v>
      </c>
      <c r="L20" s="576">
        <v>3.59998119015979E-2</v>
      </c>
      <c r="M20" s="576">
        <v>6.1739677411240299E-2</v>
      </c>
      <c r="N20" s="106">
        <v>6.5945508986370194E-2</v>
      </c>
      <c r="O20" s="576">
        <v>2.9999843251331498E-3</v>
      </c>
      <c r="P20" s="576">
        <v>5.5859708133979398E-2</v>
      </c>
      <c r="Q20" s="106">
        <v>1710.7260798814</v>
      </c>
      <c r="R20" s="47">
        <v>1.5235246282551899E-2</v>
      </c>
      <c r="S20" s="80">
        <f>0.000025616*Q20</f>
        <v>4.3821959262241944E-2</v>
      </c>
      <c r="T20" s="50">
        <f>C20*($F20*$G20)/453.59</f>
        <v>15.275677383140195</v>
      </c>
      <c r="U20" s="50">
        <f>C20*($F20*$H20)/453.59</f>
        <v>70.142948702869262</v>
      </c>
      <c r="V20" s="50">
        <f>C20*(($F20*$I20))/453.59</f>
        <v>3.7035049379419336</v>
      </c>
      <c r="W20" s="50">
        <f>C20*($F20*$J20)/453.59</f>
        <v>0.1511400939174144</v>
      </c>
      <c r="X20" s="50">
        <f>C20*(($F20*($K20+$L20+$M20)))/453.59</f>
        <v>2.3904497419781525</v>
      </c>
      <c r="Y20" s="50">
        <f>C20*(($F20*($N20+$O20+$P20)))/453.59</f>
        <v>1.7609587716904906</v>
      </c>
      <c r="Z20" s="50">
        <f>C20*(F20)*$B$378</f>
        <v>0</v>
      </c>
      <c r="AA20" s="50">
        <f>Z20*0.21</f>
        <v>0</v>
      </c>
      <c r="AB20" s="50">
        <f>C20*(($F20*($Q20)))/453.59</f>
        <v>24137.760777885233</v>
      </c>
      <c r="AC20" s="50">
        <f>C20*(($F20*($R20)))/453.59</f>
        <v>0.21496412224328618</v>
      </c>
      <c r="AD20" s="50">
        <f>C20*(($F20*($S20)))/453.59</f>
        <v>0.61831288008630803</v>
      </c>
    </row>
    <row r="21" spans="1:30">
      <c r="A21" s="75" t="s">
        <v>28</v>
      </c>
      <c r="B21" s="74"/>
      <c r="C21" s="112"/>
      <c r="D21" s="112"/>
      <c r="E21" s="74"/>
      <c r="F21" s="74"/>
      <c r="G21" s="577"/>
      <c r="H21" s="41"/>
      <c r="I21" s="41"/>
      <c r="J21" s="41"/>
      <c r="K21" s="574"/>
      <c r="L21" s="574"/>
      <c r="M21" s="574"/>
      <c r="N21" s="574"/>
      <c r="O21" s="574"/>
      <c r="P21" s="574"/>
      <c r="Q21" s="41"/>
      <c r="R21" s="574"/>
      <c r="S21" s="574"/>
      <c r="T21" s="81">
        <f>SUM(T19:T20)</f>
        <v>15.675242485274776</v>
      </c>
      <c r="U21" s="81">
        <f t="shared" ref="U21:AD21" si="2">SUM(U19:U20)</f>
        <v>70.880586214188142</v>
      </c>
      <c r="V21" s="81">
        <f t="shared" si="2"/>
        <v>3.7936276289937192</v>
      </c>
      <c r="W21" s="81">
        <f t="shared" si="2"/>
        <v>0.15669953927984431</v>
      </c>
      <c r="X21" s="81">
        <f t="shared" si="2"/>
        <v>2.5359276014587571</v>
      </c>
      <c r="Y21" s="81">
        <f t="shared" si="2"/>
        <v>1.8576231676224002</v>
      </c>
      <c r="Z21" s="81">
        <f t="shared" si="2"/>
        <v>0</v>
      </c>
      <c r="AA21" s="81">
        <f t="shared" si="2"/>
        <v>0</v>
      </c>
      <c r="AB21" s="81">
        <f t="shared" si="2"/>
        <v>24525.01720024626</v>
      </c>
      <c r="AC21" s="81">
        <f t="shared" si="2"/>
        <v>0.23709311598626231</v>
      </c>
      <c r="AD21" s="81">
        <f t="shared" si="2"/>
        <v>0.62823284060150808</v>
      </c>
    </row>
    <row r="22" spans="1:30">
      <c r="A22" s="573"/>
      <c r="B22" s="74"/>
      <c r="C22" s="112"/>
      <c r="D22" s="112"/>
      <c r="E22" s="74"/>
      <c r="F22" s="74"/>
      <c r="G22" s="577"/>
      <c r="H22" s="41"/>
      <c r="I22" s="41"/>
      <c r="J22" s="41"/>
      <c r="K22" s="574"/>
      <c r="L22" s="574"/>
      <c r="M22" s="574"/>
      <c r="N22" s="574"/>
      <c r="O22" s="574"/>
      <c r="P22" s="574"/>
      <c r="Q22" s="41"/>
      <c r="R22" s="574"/>
      <c r="S22" s="574"/>
      <c r="T22" s="61"/>
      <c r="U22" s="61"/>
      <c r="V22" s="61"/>
      <c r="W22" s="61"/>
      <c r="X22" s="61"/>
      <c r="Y22" s="61"/>
      <c r="Z22" s="62"/>
      <c r="AA22" s="62"/>
      <c r="AB22" s="62"/>
      <c r="AC22" s="62"/>
      <c r="AD22" s="62"/>
    </row>
    <row r="23" spans="1:30">
      <c r="A23" s="114" t="s">
        <v>426</v>
      </c>
      <c r="B23" s="74"/>
      <c r="C23" s="112"/>
      <c r="D23" s="112"/>
      <c r="E23" s="74"/>
      <c r="F23" s="74"/>
      <c r="G23" s="577"/>
      <c r="H23" s="41"/>
      <c r="I23" s="41"/>
      <c r="J23" s="41"/>
      <c r="K23" s="574"/>
      <c r="L23" s="574"/>
      <c r="M23" s="574"/>
      <c r="N23" s="574"/>
      <c r="O23" s="574"/>
      <c r="P23" s="574"/>
      <c r="Q23" s="41"/>
      <c r="R23" s="574"/>
      <c r="S23" s="574"/>
      <c r="T23" s="61"/>
      <c r="U23" s="61"/>
      <c r="V23" s="61"/>
      <c r="W23" s="61"/>
      <c r="X23" s="61"/>
      <c r="Y23" s="61"/>
      <c r="Z23" s="62"/>
      <c r="AA23" s="62"/>
      <c r="AB23" s="62"/>
      <c r="AC23" s="62"/>
      <c r="AD23" s="62"/>
    </row>
    <row r="24" spans="1:30">
      <c r="A24" s="78" t="s">
        <v>320</v>
      </c>
      <c r="B24" s="76" t="s">
        <v>95</v>
      </c>
      <c r="C24" s="79">
        <v>10</v>
      </c>
      <c r="D24" s="77"/>
      <c r="E24" s="77">
        <v>35</v>
      </c>
      <c r="F24" s="77">
        <v>60</v>
      </c>
      <c r="G24" s="106">
        <v>0.25172046482947802</v>
      </c>
      <c r="H24" s="106">
        <v>0.464701387165456</v>
      </c>
      <c r="I24" s="106">
        <v>5.6776043658582402E-2</v>
      </c>
      <c r="J24" s="106">
        <v>3.5023733638119199E-3</v>
      </c>
      <c r="K24" s="106">
        <v>4.6899256897933901E-2</v>
      </c>
      <c r="L24" s="47">
        <v>7.99995847163921E-3</v>
      </c>
      <c r="M24" s="47">
        <v>3.6749815577381599E-2</v>
      </c>
      <c r="N24" s="106">
        <v>4.3147317248333997E-2</v>
      </c>
      <c r="O24" s="47">
        <v>1.9999896145790402E-3</v>
      </c>
      <c r="P24" s="47">
        <v>1.57499200131354E-2</v>
      </c>
      <c r="Q24" s="106">
        <v>243.966167526025</v>
      </c>
      <c r="R24" s="47">
        <f>0.000057143*Q24</f>
        <v>1.3940958710939646E-2</v>
      </c>
      <c r="S24" s="80">
        <f>0.000025616*Q24</f>
        <v>6.2494373473466567E-3</v>
      </c>
      <c r="T24" s="50">
        <f>C24*($F24*$G24)/453.59</f>
        <v>0.33297091844548338</v>
      </c>
      <c r="U24" s="50">
        <f>C24*($F24*$H24)/453.59</f>
        <v>0.61469792609906215</v>
      </c>
      <c r="V24" s="50">
        <f>C24*(($F24*$I24))/453.59</f>
        <v>7.5102242543154479E-2</v>
      </c>
      <c r="W24" s="50">
        <f>C24*($F24*$J24)/453.59</f>
        <v>4.6328711353582578E-3</v>
      </c>
      <c r="X24" s="50">
        <f>C24*(($F24*($K24+$L24+$M24)))/453.59</f>
        <v>0.12123154956717042</v>
      </c>
      <c r="Y24" s="50">
        <f>C24*(($F24*($N24+$O24+$P24)))/453.59</f>
        <v>8.0553663276591345E-2</v>
      </c>
      <c r="Z24" s="50">
        <f>C24*(F24)*$B$378</f>
        <v>0</v>
      </c>
      <c r="AA24" s="50">
        <f>Z24*0.21</f>
        <v>0</v>
      </c>
      <c r="AB24" s="50">
        <f>C24*(($F24*($Q24)))/453.59</f>
        <v>322.71368530085539</v>
      </c>
      <c r="AC24" s="50">
        <f>C24*(($F24*($R24)))/453.59</f>
        <v>1.8440828119146779E-2</v>
      </c>
      <c r="AD24" s="50">
        <f>C24*(($F24*($S24)))/453.59</f>
        <v>8.2666337626667117E-3</v>
      </c>
    </row>
    <row r="25" spans="1:30">
      <c r="A25" s="75" t="s">
        <v>28</v>
      </c>
      <c r="B25" s="74"/>
      <c r="C25" s="112"/>
      <c r="D25" s="112"/>
      <c r="E25" s="74"/>
      <c r="F25" s="74"/>
      <c r="G25" s="577"/>
      <c r="H25" s="41"/>
      <c r="I25" s="41"/>
      <c r="J25" s="41"/>
      <c r="K25" s="574"/>
      <c r="L25" s="574"/>
      <c r="M25" s="574"/>
      <c r="N25" s="574"/>
      <c r="O25" s="574"/>
      <c r="P25" s="574"/>
      <c r="Q25" s="41"/>
      <c r="R25" s="574"/>
      <c r="S25" s="574"/>
      <c r="T25" s="81">
        <f t="shared" ref="T25:AD25" si="3">SUM(T24:T24)</f>
        <v>0.33297091844548338</v>
      </c>
      <c r="U25" s="81">
        <f t="shared" si="3"/>
        <v>0.61469792609906215</v>
      </c>
      <c r="V25" s="81">
        <f t="shared" si="3"/>
        <v>7.5102242543154479E-2</v>
      </c>
      <c r="W25" s="81">
        <f t="shared" si="3"/>
        <v>4.6328711353582578E-3</v>
      </c>
      <c r="X25" s="81">
        <f t="shared" si="3"/>
        <v>0.12123154956717042</v>
      </c>
      <c r="Y25" s="81">
        <f t="shared" si="3"/>
        <v>8.0553663276591345E-2</v>
      </c>
      <c r="Z25" s="81">
        <f t="shared" si="3"/>
        <v>0</v>
      </c>
      <c r="AA25" s="81">
        <f t="shared" si="3"/>
        <v>0</v>
      </c>
      <c r="AB25" s="81">
        <f t="shared" si="3"/>
        <v>322.71368530085539</v>
      </c>
      <c r="AC25" s="81">
        <f t="shared" si="3"/>
        <v>1.8440828119146779E-2</v>
      </c>
      <c r="AD25" s="81">
        <f t="shared" si="3"/>
        <v>8.2666337626667117E-3</v>
      </c>
    </row>
    <row r="26" spans="1:30">
      <c r="A26" s="75" t="s">
        <v>388</v>
      </c>
      <c r="B26" s="74"/>
      <c r="C26" s="112"/>
      <c r="D26" s="112"/>
      <c r="E26" s="74"/>
      <c r="F26" s="74"/>
      <c r="G26" s="577"/>
      <c r="H26" s="41"/>
      <c r="I26" s="41"/>
      <c r="J26" s="41"/>
      <c r="K26" s="574"/>
      <c r="L26" s="574"/>
      <c r="M26" s="574"/>
      <c r="N26" s="574"/>
      <c r="O26" s="574"/>
      <c r="P26" s="574"/>
      <c r="Q26" s="41"/>
      <c r="R26" s="574"/>
      <c r="S26" s="574"/>
      <c r="T26" s="81">
        <f>T11+T16+T21+T25</f>
        <v>16.589887889366054</v>
      </c>
      <c r="U26" s="81">
        <f t="shared" ref="U26:AD26" si="4">U11+U16+U21+U25</f>
        <v>73.617676613518384</v>
      </c>
      <c r="V26" s="81">
        <f t="shared" si="4"/>
        <v>4.0063788405113145</v>
      </c>
      <c r="W26" s="81">
        <f t="shared" si="4"/>
        <v>0.1678906354443529</v>
      </c>
      <c r="X26" s="81">
        <f t="shared" si="4"/>
        <v>2.7896593243156835</v>
      </c>
      <c r="Y26" s="81">
        <f t="shared" si="4"/>
        <v>2.0305329981572089</v>
      </c>
      <c r="Z26" s="81">
        <f t="shared" si="4"/>
        <v>0</v>
      </c>
      <c r="AA26" s="81">
        <f t="shared" si="4"/>
        <v>0</v>
      </c>
      <c r="AB26" s="81">
        <f t="shared" si="4"/>
        <v>25644.80311617476</v>
      </c>
      <c r="AC26" s="81">
        <f t="shared" si="4"/>
        <v>0.27197254403297932</v>
      </c>
      <c r="AD26" s="81">
        <f t="shared" si="4"/>
        <v>0.65691727662393251</v>
      </c>
    </row>
    <row r="27" spans="1:30">
      <c r="A27" s="370"/>
      <c r="B27" s="371"/>
      <c r="C27" s="372"/>
      <c r="D27" s="372"/>
      <c r="E27" s="371"/>
      <c r="F27" s="371"/>
      <c r="G27" s="373"/>
      <c r="H27" s="373"/>
      <c r="I27" s="373"/>
      <c r="J27" s="373"/>
      <c r="K27" s="373"/>
      <c r="L27" s="373"/>
      <c r="M27" s="373"/>
      <c r="N27" s="373"/>
      <c r="O27" s="373"/>
      <c r="P27" s="373"/>
      <c r="Q27" s="373"/>
      <c r="R27" s="373"/>
      <c r="S27" s="373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</row>
    <row r="28" spans="1:30">
      <c r="A28" s="370"/>
      <c r="B28" s="371"/>
      <c r="C28" s="372"/>
      <c r="D28" s="372"/>
      <c r="E28" s="371"/>
      <c r="F28" s="371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</row>
    <row r="29" spans="1:30">
      <c r="A29" s="370"/>
      <c r="B29" s="371"/>
      <c r="C29" s="372"/>
      <c r="D29" s="372"/>
      <c r="E29" s="371"/>
      <c r="F29" s="371"/>
      <c r="G29" s="373"/>
      <c r="H29" s="373"/>
      <c r="I29" s="373"/>
      <c r="J29" s="373"/>
      <c r="K29" s="373"/>
      <c r="L29" s="373"/>
      <c r="M29" s="373"/>
      <c r="N29" s="373"/>
      <c r="O29" s="373"/>
      <c r="P29" s="373"/>
      <c r="Q29" s="373"/>
      <c r="R29" s="373"/>
      <c r="S29" s="373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</row>
    <row r="30" spans="1:30">
      <c r="A30" s="370"/>
      <c r="B30" s="371"/>
      <c r="C30" s="372"/>
      <c r="D30" s="372"/>
      <c r="E30" s="371"/>
      <c r="F30" s="371"/>
      <c r="G30" s="373"/>
      <c r="H30" s="373"/>
      <c r="I30" s="373"/>
      <c r="J30" s="373"/>
      <c r="K30" s="373"/>
      <c r="L30" s="373"/>
      <c r="M30" s="373"/>
      <c r="N30" s="373"/>
      <c r="O30" s="373"/>
      <c r="P30" s="373"/>
      <c r="Q30" s="373"/>
      <c r="R30" s="373"/>
      <c r="S30" s="373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</row>
    <row r="378" spans="1:1" ht="25.5">
      <c r="A378" s="82" t="s">
        <v>109</v>
      </c>
    </row>
    <row r="380" spans="1:1">
      <c r="A380" s="36" t="s">
        <v>81</v>
      </c>
    </row>
    <row r="381" spans="1:1">
      <c r="A381" s="36" t="s">
        <v>82</v>
      </c>
    </row>
    <row r="382" spans="1:1">
      <c r="A382" s="36" t="s">
        <v>83</v>
      </c>
    </row>
    <row r="383" spans="1:1">
      <c r="A383" s="37" t="s">
        <v>96</v>
      </c>
    </row>
    <row r="384" spans="1:1">
      <c r="A384" s="36" t="s">
        <v>85</v>
      </c>
    </row>
    <row r="385" spans="1:2">
      <c r="A385" s="36" t="s">
        <v>86</v>
      </c>
    </row>
    <row r="386" spans="1:2">
      <c r="A386" s="36" t="s">
        <v>87</v>
      </c>
    </row>
    <row r="387" spans="1:2">
      <c r="A387" s="36" t="s">
        <v>0</v>
      </c>
    </row>
    <row r="388" spans="1:2">
      <c r="A388" s="37" t="s">
        <v>97</v>
      </c>
      <c r="B388" s="36">
        <f>(0.016*(0.03/2)^0.65*(2/3)^1.5)-0.00047</f>
        <v>9.8123053326417428E-5</v>
      </c>
    </row>
    <row r="389" spans="1:2">
      <c r="A389" s="37" t="s">
        <v>98</v>
      </c>
      <c r="B389" s="36">
        <f>(0.016*(0.03/2)^0.65*(13/3)^1.5)-0.00047</f>
        <v>8.9448292388582783E-3</v>
      </c>
    </row>
    <row r="390" spans="1:2">
      <c r="A390" s="37" t="s">
        <v>99</v>
      </c>
      <c r="B39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35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B93" sqref="B93"/>
    </sheetView>
  </sheetViews>
  <sheetFormatPr defaultRowHeight="12.75"/>
  <cols>
    <col min="1" max="1" width="33" style="36" customWidth="1"/>
    <col min="2" max="3" width="22.42578125" style="36" customWidth="1"/>
    <col min="4" max="4" width="10.28515625" style="36" bestFit="1" customWidth="1"/>
    <col min="5" max="5" width="9.28515625" style="36" bestFit="1" customWidth="1"/>
    <col min="6" max="17" width="11.7109375" style="36" bestFit="1" customWidth="1"/>
    <col min="18" max="18" width="10.7109375" style="36" bestFit="1" customWidth="1"/>
    <col min="19" max="21" width="11.7109375" style="36" bestFit="1" customWidth="1"/>
    <col min="22" max="22" width="10.7109375" style="36" bestFit="1" customWidth="1"/>
    <col min="23" max="23" width="11.7109375" style="36" bestFit="1" customWidth="1"/>
    <col min="24" max="25" width="10.7109375" style="36" bestFit="1" customWidth="1"/>
    <col min="26" max="27" width="11.7109375" style="36" bestFit="1" customWidth="1"/>
    <col min="28" max="28" width="9.28515625" style="36" bestFit="1" customWidth="1"/>
    <col min="29" max="29" width="11.7109375" style="36" bestFit="1" customWidth="1"/>
    <col min="30" max="30" width="9.28515625" style="36" bestFit="1" customWidth="1"/>
    <col min="31" max="31" width="11.710937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866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51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335</v>
      </c>
      <c r="B5" s="45" t="s">
        <v>102</v>
      </c>
      <c r="C5" s="46">
        <v>3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43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51">
      <c r="A88" s="599"/>
      <c r="B88" s="599"/>
      <c r="C88" s="41" t="s">
        <v>66</v>
      </c>
      <c r="D88" s="41" t="s">
        <v>67</v>
      </c>
      <c r="E88" s="41" t="s">
        <v>68</v>
      </c>
      <c r="F88" s="435" t="s">
        <v>55</v>
      </c>
      <c r="G88" s="435" t="s">
        <v>73</v>
      </c>
      <c r="H88" s="435" t="s">
        <v>74</v>
      </c>
      <c r="I88" s="435" t="s">
        <v>58</v>
      </c>
      <c r="J88" s="435" t="s">
        <v>59</v>
      </c>
      <c r="K88" s="435" t="s">
        <v>60</v>
      </c>
      <c r="L88" s="434" t="s">
        <v>75</v>
      </c>
      <c r="M88" s="434" t="s">
        <v>76</v>
      </c>
      <c r="N88" s="434" t="s">
        <v>61</v>
      </c>
      <c r="O88" s="434" t="s">
        <v>62</v>
      </c>
      <c r="P88" s="434" t="s">
        <v>63</v>
      </c>
      <c r="AN88" s="38"/>
      <c r="AZ88" s="36"/>
    </row>
    <row r="89" spans="1:52" ht="25.5">
      <c r="A89" s="44" t="str">
        <f t="shared" ref="A89:C90" si="52">A4</f>
        <v>Substation General Construction</v>
      </c>
      <c r="B89" s="45" t="str">
        <f t="shared" si="52"/>
        <v>Light-Duty Truck, catalyst</v>
      </c>
      <c r="C89" s="46">
        <f t="shared" si="52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53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si="52"/>
        <v>Substation Wiring</v>
      </c>
      <c r="B90" s="45" t="str">
        <f t="shared" si="52"/>
        <v>Light-Duty Truck, catalyst</v>
      </c>
      <c r="C90" s="46">
        <f t="shared" si="52"/>
        <v>3</v>
      </c>
      <c r="D90" s="46">
        <v>35</v>
      </c>
      <c r="E90" s="46">
        <v>80</v>
      </c>
      <c r="F90" s="50">
        <f>C5*($E5*$F5+($G5))/453.59</f>
        <v>1.4571581576427601</v>
      </c>
      <c r="G90" s="50">
        <f>C5*($E5*$H5+($I5))/453.59</f>
        <v>0.13101197188313402</v>
      </c>
      <c r="H90" s="50">
        <f>C5*(($E5*$J5)+($K5)+($L5)+($E5*$N5)+(($M5+$O5)))/453.59</f>
        <v>0.15149994097185998</v>
      </c>
      <c r="I90" s="50">
        <f>C5*($E5*$P5+($Q5))/453.59</f>
        <v>2.1803910814818476E-3</v>
      </c>
      <c r="J90" s="50">
        <f>C5*(($E5*($R5+$T5+$U5))+($S5))/453.59</f>
        <v>2.5572271365623688E-2</v>
      </c>
      <c r="K90" s="50">
        <f>$C5*(($E5*($V5+$X5+$Y5))+($W5))/453.59</f>
        <v>1.1136015972759426E-2</v>
      </c>
      <c r="L90" s="50">
        <f>$B$22*C5*(E5+6)</f>
        <v>2.5315747758215698E-2</v>
      </c>
      <c r="M90" s="50">
        <f t="shared" si="53"/>
        <v>1.0379456580868435E-2</v>
      </c>
      <c r="N90" s="50">
        <f>C5*($E5*$Z5+($AA5))/453.59</f>
        <v>166.27073017811671</v>
      </c>
      <c r="O90" s="50">
        <f>C5*($E5*$AB5+($AC5))/453.59</f>
        <v>9.5114261670907474E-3</v>
      </c>
      <c r="P90" s="50">
        <f>C5*($E5*$AD5+($AE5))/453.59</f>
        <v>1.7313359741530081E-2</v>
      </c>
      <c r="AN90" s="38"/>
      <c r="AZ90" s="36"/>
    </row>
    <row r="91" spans="1:52">
      <c r="A91" s="61" t="s">
        <v>396</v>
      </c>
      <c r="B91" s="61"/>
      <c r="C91" s="61"/>
      <c r="D91" s="61"/>
      <c r="E91" s="61"/>
      <c r="F91" s="81">
        <f t="shared" ref="F91:P91" si="54">SUM(F89:F90)</f>
        <v>2.9143163152855203</v>
      </c>
      <c r="G91" s="81">
        <f t="shared" si="54"/>
        <v>0.26202394376626803</v>
      </c>
      <c r="H91" s="81">
        <f t="shared" si="54"/>
        <v>0.30299988194371996</v>
      </c>
      <c r="I91" s="81">
        <f t="shared" si="54"/>
        <v>4.3607821629636952E-3</v>
      </c>
      <c r="J91" s="81">
        <f t="shared" si="54"/>
        <v>5.1144542731247376E-2</v>
      </c>
      <c r="K91" s="81">
        <f t="shared" si="54"/>
        <v>2.2272031945518852E-2</v>
      </c>
      <c r="L91" s="81">
        <f t="shared" si="54"/>
        <v>5.0631495516431396E-2</v>
      </c>
      <c r="M91" s="81">
        <f t="shared" si="54"/>
        <v>2.0758913161736871E-2</v>
      </c>
      <c r="N91" s="81">
        <f t="shared" si="54"/>
        <v>332.54146035623342</v>
      </c>
      <c r="O91" s="81">
        <f t="shared" si="54"/>
        <v>1.9022852334181495E-2</v>
      </c>
      <c r="P91" s="81">
        <f t="shared" si="54"/>
        <v>3.4626719483060162E-2</v>
      </c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1" firstPageNumber="16" orientation="landscape" useFirstPageNumber="1" r:id="rId1"/>
  <headerFooter alignWithMargins="0">
    <oddHeader>&amp;CTable B-15
Construction Worker Commute Emission Calculations
Installation of 69kV Position at Miguel Substation</oddHeader>
    <oddFooter>&amp;CB-15</oddFooter>
  </headerFooter>
</worksheet>
</file>

<file path=xl/worksheets/sheet35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2"/>
  <sheetViews>
    <sheetView zoomScale="75" zoomScaleNormal="75" workbookViewId="0">
      <selection activeCell="E32" sqref="E31:E32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867</v>
      </c>
    </row>
    <row r="2" spans="1:25">
      <c r="A2" s="83"/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304</v>
      </c>
      <c r="B7" s="29">
        <v>2015</v>
      </c>
      <c r="C7" s="22"/>
      <c r="D7" s="18"/>
      <c r="E7" s="23"/>
      <c r="F7" s="23"/>
      <c r="G7" s="23"/>
      <c r="H7" s="23"/>
      <c r="I7" s="23"/>
      <c r="J7" s="24"/>
      <c r="K7" s="25"/>
      <c r="L7" s="23"/>
      <c r="M7" s="33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/>
      <c r="B8" s="29"/>
      <c r="C8" s="97"/>
      <c r="D8" s="12"/>
      <c r="E8" s="102"/>
      <c r="F8" s="102"/>
      <c r="G8" s="102"/>
      <c r="H8" s="102"/>
      <c r="I8" s="102"/>
      <c r="J8" s="100"/>
      <c r="K8" s="103"/>
      <c r="L8" s="102"/>
      <c r="M8" s="104"/>
      <c r="N8" s="98"/>
      <c r="O8" s="98"/>
      <c r="P8" s="99"/>
      <c r="Q8" s="34"/>
      <c r="R8" s="26"/>
      <c r="S8" s="26"/>
      <c r="T8" s="26"/>
      <c r="U8" s="26"/>
      <c r="V8" s="26"/>
      <c r="W8" s="26"/>
      <c r="X8" s="26"/>
      <c r="Y8" s="26"/>
    </row>
    <row r="9" spans="1:25" s="3" customFormat="1">
      <c r="A9" s="17" t="s">
        <v>335</v>
      </c>
      <c r="B9" s="29"/>
      <c r="C9" s="97"/>
      <c r="D9" s="12"/>
      <c r="E9" s="102"/>
      <c r="F9" s="102"/>
      <c r="G9" s="102"/>
      <c r="H9" s="102"/>
      <c r="I9" s="102"/>
      <c r="J9" s="100"/>
      <c r="K9" s="103"/>
      <c r="L9" s="102"/>
      <c r="M9" s="104"/>
      <c r="N9" s="98"/>
      <c r="O9" s="98"/>
      <c r="P9" s="99"/>
      <c r="Q9" s="34"/>
      <c r="R9" s="26"/>
      <c r="S9" s="26"/>
      <c r="T9" s="26"/>
      <c r="U9" s="26"/>
      <c r="V9" s="26"/>
      <c r="W9" s="26"/>
      <c r="X9" s="26"/>
      <c r="Y9" s="26"/>
    </row>
    <row r="10" spans="1:25" s="3" customFormat="1">
      <c r="A10" s="24" t="s">
        <v>311</v>
      </c>
      <c r="B10" s="29" t="s">
        <v>27</v>
      </c>
      <c r="C10" s="97">
        <v>235</v>
      </c>
      <c r="D10" s="97"/>
      <c r="E10" s="102">
        <v>0.11792220738547983</v>
      </c>
      <c r="F10" s="102">
        <v>0.36512193352152528</v>
      </c>
      <c r="G10" s="102">
        <v>0.86781464282266541</v>
      </c>
      <c r="H10" s="102">
        <v>1.8739217498104396E-3</v>
      </c>
      <c r="I10" s="102">
        <v>2.9041712295589866E-2</v>
      </c>
      <c r="J10" s="100">
        <f t="shared" ref="J10" si="0">0.89*I10</f>
        <v>2.5847123943074982E-2</v>
      </c>
      <c r="K10" s="103">
        <v>166.54541562452522</v>
      </c>
      <c r="L10" s="102">
        <v>1.063993297769634E-2</v>
      </c>
      <c r="M10" s="104">
        <f t="shared" ref="M10" si="1">0.095*G10</f>
        <v>8.2442391068153209E-2</v>
      </c>
      <c r="N10" s="98">
        <v>1</v>
      </c>
      <c r="O10" s="98">
        <v>2</v>
      </c>
      <c r="P10" s="88">
        <v>20</v>
      </c>
      <c r="Q10" s="34">
        <f t="shared" ref="Q10:Y10" si="2">(E10*$N10*$O10)</f>
        <v>0.23584441477095966</v>
      </c>
      <c r="R10" s="26">
        <f t="shared" si="2"/>
        <v>0.73024386704305055</v>
      </c>
      <c r="S10" s="26">
        <f t="shared" si="2"/>
        <v>1.7356292856453308</v>
      </c>
      <c r="T10" s="26">
        <f t="shared" si="2"/>
        <v>3.7478434996208792E-3</v>
      </c>
      <c r="U10" s="26">
        <f t="shared" si="2"/>
        <v>5.8083424591179732E-2</v>
      </c>
      <c r="V10" s="26">
        <f t="shared" si="2"/>
        <v>5.1694247886149965E-2</v>
      </c>
      <c r="W10" s="26">
        <f t="shared" si="2"/>
        <v>333.09083124905044</v>
      </c>
      <c r="X10" s="26">
        <f t="shared" si="2"/>
        <v>2.127986595539268E-2</v>
      </c>
      <c r="Y10" s="26">
        <f t="shared" si="2"/>
        <v>0.16488478213630642</v>
      </c>
    </row>
    <row r="11" spans="1:25" s="3" customFormat="1">
      <c r="A11" s="17" t="s">
        <v>28</v>
      </c>
      <c r="B11" s="97"/>
      <c r="C11" s="22"/>
      <c r="D11" s="18"/>
      <c r="E11" s="23"/>
      <c r="F11" s="23"/>
      <c r="G11" s="23"/>
      <c r="H11" s="23"/>
      <c r="I11" s="23"/>
      <c r="J11" s="24"/>
      <c r="K11" s="25"/>
      <c r="L11" s="23"/>
      <c r="M11" s="23"/>
      <c r="N11" s="88"/>
      <c r="O11" s="88"/>
      <c r="P11" s="88"/>
      <c r="Q11" s="27">
        <f t="shared" ref="Q11:Y11" si="3">SUM(Q10:Q10)</f>
        <v>0.23584441477095966</v>
      </c>
      <c r="R11" s="27">
        <f t="shared" si="3"/>
        <v>0.73024386704305055</v>
      </c>
      <c r="S11" s="27">
        <f t="shared" si="3"/>
        <v>1.7356292856453308</v>
      </c>
      <c r="T11" s="27">
        <f t="shared" si="3"/>
        <v>3.7478434996208792E-3</v>
      </c>
      <c r="U11" s="27">
        <f t="shared" si="3"/>
        <v>5.8083424591179732E-2</v>
      </c>
      <c r="V11" s="27">
        <f t="shared" si="3"/>
        <v>5.1694247886149965E-2</v>
      </c>
      <c r="W11" s="27">
        <f t="shared" si="3"/>
        <v>333.09083124905044</v>
      </c>
      <c r="X11" s="27">
        <f t="shared" si="3"/>
        <v>2.127986595539268E-2</v>
      </c>
      <c r="Y11" s="27">
        <f t="shared" si="3"/>
        <v>0.16488478213630642</v>
      </c>
    </row>
    <row r="12" spans="1:25">
      <c r="A12" s="11" t="s">
        <v>103</v>
      </c>
      <c r="B12" s="438"/>
      <c r="C12" s="438"/>
      <c r="D12" s="438"/>
      <c r="E12" s="426"/>
      <c r="F12" s="426"/>
      <c r="G12" s="426"/>
      <c r="H12" s="426"/>
      <c r="I12" s="426"/>
      <c r="J12" s="426"/>
      <c r="K12" s="426"/>
      <c r="L12" s="426"/>
      <c r="M12" s="426"/>
      <c r="N12" s="17"/>
      <c r="O12" s="123"/>
      <c r="P12" s="123"/>
      <c r="Q12" s="20">
        <f>Q11</f>
        <v>0.23584441477095966</v>
      </c>
      <c r="R12" s="20">
        <f t="shared" ref="R12:Y12" si="4">R11</f>
        <v>0.73024386704305055</v>
      </c>
      <c r="S12" s="20">
        <f t="shared" si="4"/>
        <v>1.7356292856453308</v>
      </c>
      <c r="T12" s="20">
        <f t="shared" si="4"/>
        <v>3.7478434996208792E-3</v>
      </c>
      <c r="U12" s="20">
        <f t="shared" si="4"/>
        <v>5.8083424591179732E-2</v>
      </c>
      <c r="V12" s="20">
        <f t="shared" si="4"/>
        <v>5.1694247886149965E-2</v>
      </c>
      <c r="W12" s="20">
        <f t="shared" si="4"/>
        <v>333.09083124905044</v>
      </c>
      <c r="X12" s="20">
        <f t="shared" si="4"/>
        <v>2.127986595539268E-2</v>
      </c>
      <c r="Y12" s="20">
        <f t="shared" si="4"/>
        <v>0.16488478213630642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>&amp;CTable B-13
Construction Heavy Equipment Emissions
Installation of 69kV Position at Miguel Substation</oddHeader>
    <oddFooter>&amp;CB-13</oddFooter>
  </headerFooter>
</worksheet>
</file>

<file path=xl/worksheets/sheet35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3"/>
  <sheetViews>
    <sheetView zoomScale="75" workbookViewId="0">
      <selection activeCell="B25" sqref="B25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868</v>
      </c>
    </row>
    <row r="2" spans="1:30">
      <c r="A2" s="83"/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304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320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C9*(F9)*$B$381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6">
        <v>3.59998119015979E-2</v>
      </c>
      <c r="M10" s="556">
        <v>6.1739677411240299E-2</v>
      </c>
      <c r="N10" s="106">
        <v>6.5945508986370194E-2</v>
      </c>
      <c r="O10" s="556">
        <v>2.9999843251331498E-3</v>
      </c>
      <c r="P10" s="55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C10*(F10)*$B$381</f>
        <v>7.8498442661133934E-3</v>
      </c>
      <c r="AA10" s="50">
        <f>Z10*0.21</f>
        <v>1.6484672958838125E-3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2.5511993864868531E-2</v>
      </c>
      <c r="AA11" s="81">
        <f t="shared" si="0"/>
        <v>5.3575187116223916E-3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432"/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 ht="25.5" customHeight="1">
      <c r="A13" s="114" t="s">
        <v>335</v>
      </c>
      <c r="B13" s="74"/>
      <c r="C13" s="112"/>
      <c r="D13" s="112"/>
      <c r="E13" s="74"/>
      <c r="F13" s="74"/>
      <c r="G13" s="437"/>
      <c r="H13" s="41"/>
      <c r="I13" s="41"/>
      <c r="J13" s="41"/>
      <c r="K13" s="434"/>
      <c r="L13" s="434"/>
      <c r="M13" s="434"/>
      <c r="N13" s="434"/>
      <c r="O13" s="434"/>
      <c r="P13" s="434"/>
      <c r="Q13" s="41"/>
      <c r="R13" s="434"/>
      <c r="S13" s="43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 ht="12.75" customHeight="1">
      <c r="A14" s="78" t="s">
        <v>320</v>
      </c>
      <c r="B14" s="76" t="s">
        <v>95</v>
      </c>
      <c r="C14" s="79">
        <v>3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9.9891275533645019E-2</v>
      </c>
      <c r="U14" s="50">
        <f>C14*($F14*$H14)/453.59</f>
        <v>0.18440937782971867</v>
      </c>
      <c r="V14" s="50">
        <f>C14*(($F14*$I14))/453.59</f>
        <v>2.253067276294635E-2</v>
      </c>
      <c r="W14" s="50">
        <f>C14*($F14*$J14)/453.59</f>
        <v>1.3898613406074772E-3</v>
      </c>
      <c r="X14" s="50">
        <f>C14*(($F14*($K14+$L14+$M14)))/453.59</f>
        <v>3.6369464870151122E-2</v>
      </c>
      <c r="Y14" s="50">
        <f>C14*(($F14*($N14+$O14+$P14)))/453.59</f>
        <v>2.4166098982977401E-2</v>
      </c>
      <c r="Z14" s="50">
        <f>C14*(F14)*$B$381</f>
        <v>1.7662149598755138E-2</v>
      </c>
      <c r="AA14" s="50">
        <f>Z14*0.21</f>
        <v>3.7090514157385786E-3</v>
      </c>
      <c r="AB14" s="50">
        <f>C14*(($F14*($Q14)))/453.59</f>
        <v>96.814105590256631</v>
      </c>
      <c r="AC14" s="50">
        <f>C14*(($F14*($R14)))/453.59</f>
        <v>5.5322484357440338E-3</v>
      </c>
      <c r="AD14" s="50">
        <f>C14*(($F14*($S14)))/453.59</f>
        <v>2.4799901288000137E-3</v>
      </c>
    </row>
    <row r="15" spans="1:30">
      <c r="A15" s="75" t="s">
        <v>28</v>
      </c>
      <c r="B15" s="74"/>
      <c r="C15" s="112"/>
      <c r="D15" s="112"/>
      <c r="E15" s="74"/>
      <c r="F15" s="74"/>
      <c r="G15" s="437"/>
      <c r="H15" s="41"/>
      <c r="I15" s="41"/>
      <c r="J15" s="41"/>
      <c r="K15" s="434"/>
      <c r="L15" s="434"/>
      <c r="M15" s="434"/>
      <c r="N15" s="434"/>
      <c r="O15" s="434"/>
      <c r="P15" s="434"/>
      <c r="Q15" s="41"/>
      <c r="R15" s="434"/>
      <c r="S15" s="434"/>
      <c r="T15" s="81">
        <f t="shared" ref="T15:AD15" si="1">SUM(T14:T14)</f>
        <v>9.9891275533645019E-2</v>
      </c>
      <c r="U15" s="81">
        <f t="shared" si="1"/>
        <v>0.18440937782971867</v>
      </c>
      <c r="V15" s="81">
        <f t="shared" si="1"/>
        <v>2.253067276294635E-2</v>
      </c>
      <c r="W15" s="81">
        <f t="shared" si="1"/>
        <v>1.3898613406074772E-3</v>
      </c>
      <c r="X15" s="81">
        <f t="shared" si="1"/>
        <v>3.6369464870151122E-2</v>
      </c>
      <c r="Y15" s="81">
        <f t="shared" si="1"/>
        <v>2.4166098982977401E-2</v>
      </c>
      <c r="Z15" s="81">
        <f t="shared" si="1"/>
        <v>1.7662149598755138E-2</v>
      </c>
      <c r="AA15" s="81">
        <f t="shared" si="1"/>
        <v>3.7090514157385786E-3</v>
      </c>
      <c r="AB15" s="81">
        <f t="shared" si="1"/>
        <v>96.814105590256631</v>
      </c>
      <c r="AC15" s="81">
        <f t="shared" si="1"/>
        <v>5.5322484357440338E-3</v>
      </c>
      <c r="AD15" s="81">
        <f t="shared" si="1"/>
        <v>2.4799901288000137E-3</v>
      </c>
    </row>
    <row r="16" spans="1:30">
      <c r="A16" s="75" t="s">
        <v>388</v>
      </c>
      <c r="B16" s="74"/>
      <c r="C16" s="112"/>
      <c r="D16" s="112"/>
      <c r="E16" s="74"/>
      <c r="F16" s="74"/>
      <c r="G16" s="437"/>
      <c r="H16" s="41"/>
      <c r="I16" s="41"/>
      <c r="J16" s="41"/>
      <c r="K16" s="434"/>
      <c r="L16" s="434"/>
      <c r="M16" s="434"/>
      <c r="N16" s="434"/>
      <c r="O16" s="434"/>
      <c r="P16" s="434"/>
      <c r="Q16" s="41"/>
      <c r="R16" s="434"/>
      <c r="S16" s="434"/>
      <c r="T16" s="81">
        <f>T11+T15</f>
        <v>0.39072851835654249</v>
      </c>
      <c r="U16" s="81">
        <f t="shared" ref="U16:AD16" si="2">U11+U15</f>
        <v>1.2456056144453032</v>
      </c>
      <c r="V16" s="81">
        <f t="shared" si="2"/>
        <v>9.1355157250166866E-2</v>
      </c>
      <c r="W16" s="81">
        <f t="shared" si="2"/>
        <v>4.6689738551826346E-3</v>
      </c>
      <c r="X16" s="81">
        <f t="shared" si="2"/>
        <v>0.10261955151502915</v>
      </c>
      <c r="Y16" s="81">
        <f t="shared" si="2"/>
        <v>7.0344182612085943E-2</v>
      </c>
      <c r="Z16" s="81">
        <f t="shared" si="2"/>
        <v>4.3174143463623665E-2</v>
      </c>
      <c r="AA16" s="81">
        <f t="shared" si="2"/>
        <v>9.0665701273609702E-3</v>
      </c>
      <c r="AB16" s="81">
        <f t="shared" si="2"/>
        <v>495.35022090407864</v>
      </c>
      <c r="AC16" s="81">
        <f t="shared" si="2"/>
        <v>1.3751548399529145E-2</v>
      </c>
      <c r="AD16" s="81">
        <f t="shared" si="2"/>
        <v>1.2688891258678878E-2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371" spans="1:2" ht="25.5">
      <c r="A371" s="82" t="s">
        <v>109</v>
      </c>
    </row>
    <row r="373" spans="1:2">
      <c r="A373" s="36" t="s">
        <v>81</v>
      </c>
    </row>
    <row r="374" spans="1:2">
      <c r="A374" s="36" t="s">
        <v>82</v>
      </c>
    </row>
    <row r="375" spans="1:2">
      <c r="A375" s="36" t="s">
        <v>83</v>
      </c>
    </row>
    <row r="376" spans="1:2">
      <c r="A376" s="37" t="s">
        <v>96</v>
      </c>
    </row>
    <row r="377" spans="1:2">
      <c r="A377" s="36" t="s">
        <v>85</v>
      </c>
    </row>
    <row r="378" spans="1:2">
      <c r="A378" s="36" t="s">
        <v>86</v>
      </c>
    </row>
    <row r="379" spans="1:2">
      <c r="A379" s="36" t="s">
        <v>87</v>
      </c>
    </row>
    <row r="380" spans="1:2">
      <c r="A380" s="36" t="s">
        <v>0</v>
      </c>
    </row>
    <row r="381" spans="1:2">
      <c r="A381" s="37" t="s">
        <v>97</v>
      </c>
      <c r="B381" s="36">
        <f>(0.016*(0.03/2)^0.65*(2/3)^1.5)-0.00047</f>
        <v>9.8123053326417428E-5</v>
      </c>
    </row>
    <row r="382" spans="1:2">
      <c r="A382" s="37" t="s">
        <v>98</v>
      </c>
      <c r="B382" s="36">
        <f>(0.016*(0.03/2)^0.65*(13/3)^1.5)-0.00047</f>
        <v>8.9448292388582783E-3</v>
      </c>
    </row>
    <row r="383" spans="1:2">
      <c r="A383" s="37" t="s">
        <v>99</v>
      </c>
      <c r="B383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B-14
Construction Truck Trip Emissions
Installation of 69kV Position at Miguel Substation</oddHeader>
    <oddFooter>&amp;CB-14</oddFooter>
  </headerFooter>
</worksheet>
</file>

<file path=xl/worksheets/sheet35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B97" sqref="B97"/>
    </sheetView>
  </sheetViews>
  <sheetFormatPr defaultRowHeight="12.75"/>
  <cols>
    <col min="1" max="1" width="33" style="36" customWidth="1"/>
    <col min="2" max="3" width="22.42578125" style="36" customWidth="1"/>
    <col min="4" max="4" width="10.28515625" style="36" bestFit="1" customWidth="1"/>
    <col min="5" max="5" width="9.28515625" style="36" bestFit="1" customWidth="1"/>
    <col min="6" max="17" width="11.7109375" style="36" bestFit="1" customWidth="1"/>
    <col min="18" max="18" width="10.7109375" style="36" bestFit="1" customWidth="1"/>
    <col min="19" max="21" width="11.7109375" style="36" bestFit="1" customWidth="1"/>
    <col min="22" max="22" width="10.7109375" style="36" bestFit="1" customWidth="1"/>
    <col min="23" max="23" width="11.7109375" style="36" bestFit="1" customWidth="1"/>
    <col min="24" max="25" width="10.7109375" style="36" bestFit="1" customWidth="1"/>
    <col min="26" max="27" width="11.7109375" style="36" bestFit="1" customWidth="1"/>
    <col min="28" max="28" width="9.28515625" style="36" bestFit="1" customWidth="1"/>
    <col min="29" max="29" width="11.7109375" style="36" bestFit="1" customWidth="1"/>
    <col min="30" max="30" width="9.28515625" style="36" bestFit="1" customWidth="1"/>
    <col min="31" max="31" width="11.710937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869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51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335</v>
      </c>
      <c r="B5" s="45" t="s">
        <v>102</v>
      </c>
      <c r="C5" s="46">
        <v>3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43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51">
      <c r="A88" s="599"/>
      <c r="B88" s="599"/>
      <c r="C88" s="41" t="s">
        <v>66</v>
      </c>
      <c r="D88" s="41" t="s">
        <v>67</v>
      </c>
      <c r="E88" s="41" t="s">
        <v>68</v>
      </c>
      <c r="F88" s="435" t="s">
        <v>55</v>
      </c>
      <c r="G88" s="435" t="s">
        <v>73</v>
      </c>
      <c r="H88" s="435" t="s">
        <v>74</v>
      </c>
      <c r="I88" s="435" t="s">
        <v>58</v>
      </c>
      <c r="J88" s="435" t="s">
        <v>59</v>
      </c>
      <c r="K88" s="435" t="s">
        <v>60</v>
      </c>
      <c r="L88" s="434" t="s">
        <v>75</v>
      </c>
      <c r="M88" s="434" t="s">
        <v>76</v>
      </c>
      <c r="N88" s="434" t="s">
        <v>61</v>
      </c>
      <c r="O88" s="434" t="s">
        <v>62</v>
      </c>
      <c r="P88" s="434" t="s">
        <v>63</v>
      </c>
      <c r="AN88" s="38"/>
      <c r="AZ88" s="36"/>
    </row>
    <row r="89" spans="1:52" ht="25.5">
      <c r="A89" s="44" t="str">
        <f t="shared" ref="A89:C90" si="52">A4</f>
        <v>Substation General Construction</v>
      </c>
      <c r="B89" s="45" t="str">
        <f t="shared" si="52"/>
        <v>Light-Duty Truck, catalyst</v>
      </c>
      <c r="C89" s="46">
        <f t="shared" si="52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53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si="52"/>
        <v>Substation Wiring</v>
      </c>
      <c r="B90" s="45" t="str">
        <f t="shared" si="52"/>
        <v>Light-Duty Truck, catalyst</v>
      </c>
      <c r="C90" s="46">
        <f t="shared" si="52"/>
        <v>3</v>
      </c>
      <c r="D90" s="46">
        <v>35</v>
      </c>
      <c r="E90" s="46">
        <v>80</v>
      </c>
      <c r="F90" s="50">
        <f>C5*($E5*$F5+($G5))/453.59</f>
        <v>1.4571581576427601</v>
      </c>
      <c r="G90" s="50">
        <f>C5*($E5*$H5+($I5))/453.59</f>
        <v>0.13101197188313402</v>
      </c>
      <c r="H90" s="50">
        <f>C5*(($E5*$J5)+($K5)+($L5)+($E5*$N5)+(($M5+$O5)))/453.59</f>
        <v>0.15149994097185998</v>
      </c>
      <c r="I90" s="50">
        <f>C5*($E5*$P5+($Q5))/453.59</f>
        <v>2.1803910814818476E-3</v>
      </c>
      <c r="J90" s="50">
        <f>C5*(($E5*($R5+$T5+$U5))+($S5))/453.59</f>
        <v>2.5572271365623688E-2</v>
      </c>
      <c r="K90" s="50">
        <f>$C5*(($E5*($V5+$X5+$Y5))+($W5))/453.59</f>
        <v>1.1136015972759426E-2</v>
      </c>
      <c r="L90" s="50">
        <f>$B$22*C5*(E5+6)</f>
        <v>2.5315747758215698E-2</v>
      </c>
      <c r="M90" s="50">
        <f t="shared" si="53"/>
        <v>1.0379456580868435E-2</v>
      </c>
      <c r="N90" s="50">
        <f>C5*($E5*$Z5+($AA5))/453.59</f>
        <v>166.27073017811671</v>
      </c>
      <c r="O90" s="50">
        <f>C5*($E5*$AB5+($AC5))/453.59</f>
        <v>9.5114261670907474E-3</v>
      </c>
      <c r="P90" s="50">
        <f>C5*($E5*$AD5+($AE5))/453.59</f>
        <v>1.7313359741530081E-2</v>
      </c>
      <c r="AN90" s="38"/>
      <c r="AZ90" s="36"/>
    </row>
    <row r="91" spans="1:52">
      <c r="A91" s="61" t="s">
        <v>396</v>
      </c>
      <c r="B91" s="61"/>
      <c r="C91" s="61"/>
      <c r="D91" s="61"/>
      <c r="E91" s="61"/>
      <c r="F91" s="81">
        <f t="shared" ref="F91:P91" si="54">SUM(F89:F90)</f>
        <v>2.9143163152855203</v>
      </c>
      <c r="G91" s="81">
        <f t="shared" si="54"/>
        <v>0.26202394376626803</v>
      </c>
      <c r="H91" s="81">
        <f t="shared" si="54"/>
        <v>0.30299988194371996</v>
      </c>
      <c r="I91" s="81">
        <f t="shared" si="54"/>
        <v>4.3607821629636952E-3</v>
      </c>
      <c r="J91" s="81">
        <f t="shared" si="54"/>
        <v>5.1144542731247376E-2</v>
      </c>
      <c r="K91" s="81">
        <f t="shared" si="54"/>
        <v>2.2272031945518852E-2</v>
      </c>
      <c r="L91" s="81">
        <f t="shared" si="54"/>
        <v>5.0631495516431396E-2</v>
      </c>
      <c r="M91" s="81">
        <f t="shared" si="54"/>
        <v>2.0758913161736871E-2</v>
      </c>
      <c r="N91" s="81">
        <f t="shared" si="54"/>
        <v>332.54146035623342</v>
      </c>
      <c r="O91" s="81">
        <f t="shared" si="54"/>
        <v>1.9022852334181495E-2</v>
      </c>
      <c r="P91" s="81">
        <f t="shared" si="54"/>
        <v>3.4626719483060162E-2</v>
      </c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1" firstPageNumber="16" orientation="landscape" useFirstPageNumber="1" r:id="rId1"/>
  <headerFooter alignWithMargins="0">
    <oddHeader>&amp;CTable B-15
Construction Worker Commute Emission Calculations
Installation of 69kV Position at Miguel Substation</oddHeader>
    <oddFooter>&amp;CB-15</oddFooter>
  </headerFooter>
</worksheet>
</file>

<file path=xl/worksheets/sheet35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9"/>
  <sheetViews>
    <sheetView zoomScale="75" zoomScaleNormal="75" workbookViewId="0">
      <selection activeCell="C21" sqref="C21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870</v>
      </c>
    </row>
    <row r="2" spans="1:25">
      <c r="A2" s="83"/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304</v>
      </c>
      <c r="B7" s="29">
        <v>2015</v>
      </c>
      <c r="C7" s="22"/>
      <c r="D7" s="18"/>
      <c r="E7" s="23"/>
      <c r="F7" s="23"/>
      <c r="G7" s="23"/>
      <c r="H7" s="23"/>
      <c r="I7" s="23"/>
      <c r="J7" s="24"/>
      <c r="K7" s="25"/>
      <c r="L7" s="23"/>
      <c r="M7" s="33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/>
      <c r="B8" s="29"/>
      <c r="C8" s="97"/>
      <c r="D8" s="12"/>
      <c r="E8" s="102"/>
      <c r="F8" s="102"/>
      <c r="G8" s="102"/>
      <c r="H8" s="102"/>
      <c r="I8" s="102"/>
      <c r="J8" s="100"/>
      <c r="K8" s="103"/>
      <c r="L8" s="102"/>
      <c r="M8" s="104"/>
      <c r="N8" s="98"/>
      <c r="O8" s="98"/>
      <c r="P8" s="99"/>
      <c r="Q8" s="34"/>
      <c r="R8" s="26"/>
      <c r="S8" s="26"/>
      <c r="T8" s="26"/>
      <c r="U8" s="26"/>
      <c r="V8" s="26"/>
      <c r="W8" s="26"/>
      <c r="X8" s="26"/>
      <c r="Y8" s="26"/>
    </row>
    <row r="9" spans="1:25">
      <c r="A9" s="11" t="s">
        <v>103</v>
      </c>
      <c r="B9" s="438"/>
      <c r="C9" s="438"/>
      <c r="D9" s="438"/>
      <c r="E9" s="426"/>
      <c r="F9" s="426"/>
      <c r="G9" s="426"/>
      <c r="H9" s="426"/>
      <c r="I9" s="426"/>
      <c r="J9" s="426"/>
      <c r="K9" s="426"/>
      <c r="L9" s="426"/>
      <c r="M9" s="426"/>
      <c r="N9" s="17"/>
      <c r="O9" s="123"/>
      <c r="P9" s="123"/>
      <c r="Q9" s="20">
        <v>0</v>
      </c>
      <c r="R9" s="20">
        <v>0</v>
      </c>
      <c r="S9" s="20">
        <v>0</v>
      </c>
      <c r="T9" s="20">
        <v>0</v>
      </c>
      <c r="U9" s="20">
        <v>0</v>
      </c>
      <c r="V9" s="20">
        <v>0</v>
      </c>
      <c r="W9" s="20">
        <v>0</v>
      </c>
      <c r="X9" s="20">
        <v>0</v>
      </c>
      <c r="Y9" s="20">
        <v>0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>&amp;CTable B-13
Construction Heavy Equipment Emissions
Installation of 69kV Position at Miguel Substation</oddHeader>
    <oddFooter>&amp;CB-13</oddFooter>
  </headerFooter>
</worksheet>
</file>

<file path=xl/worksheets/sheet35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0"/>
  <sheetViews>
    <sheetView zoomScale="75" workbookViewId="0">
      <selection activeCell="B26" sqref="B26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871</v>
      </c>
    </row>
    <row r="2" spans="1:30">
      <c r="A2" s="83"/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304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320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C9*(F9)*$B$378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6">
        <v>3.59998119015979E-2</v>
      </c>
      <c r="M10" s="556">
        <v>6.1739677411240299E-2</v>
      </c>
      <c r="N10" s="106">
        <v>6.5945508986370194E-2</v>
      </c>
      <c r="O10" s="556">
        <v>2.9999843251331498E-3</v>
      </c>
      <c r="P10" s="55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C10*(F10)*$B$378</f>
        <v>7.8498442661133934E-3</v>
      </c>
      <c r="AA10" s="50">
        <f>Z10*0.21</f>
        <v>1.6484672958838125E-3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2.5511993864868531E-2</v>
      </c>
      <c r="AA11" s="81">
        <f t="shared" si="0"/>
        <v>5.3575187116223916E-3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432"/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>
      <c r="A13" s="75" t="s">
        <v>388</v>
      </c>
      <c r="B13" s="74"/>
      <c r="C13" s="112"/>
      <c r="D13" s="112"/>
      <c r="E13" s="74"/>
      <c r="F13" s="74"/>
      <c r="G13" s="437"/>
      <c r="H13" s="41"/>
      <c r="I13" s="41"/>
      <c r="J13" s="41"/>
      <c r="K13" s="434"/>
      <c r="L13" s="434"/>
      <c r="M13" s="434"/>
      <c r="N13" s="434"/>
      <c r="O13" s="434"/>
      <c r="P13" s="434"/>
      <c r="Q13" s="41"/>
      <c r="R13" s="434"/>
      <c r="S13" s="434"/>
      <c r="T13" s="81">
        <f>T11</f>
        <v>0.29083724282289747</v>
      </c>
      <c r="U13" s="81">
        <f t="shared" ref="U13:AD13" si="1">U11</f>
        <v>1.0611962366155845</v>
      </c>
      <c r="V13" s="81">
        <f t="shared" si="1"/>
        <v>6.8824484487220519E-2</v>
      </c>
      <c r="W13" s="81">
        <f t="shared" si="1"/>
        <v>3.2791125145751575E-3</v>
      </c>
      <c r="X13" s="81">
        <f t="shared" si="1"/>
        <v>6.6250086644878026E-2</v>
      </c>
      <c r="Y13" s="81">
        <f t="shared" si="1"/>
        <v>4.6178083629108538E-2</v>
      </c>
      <c r="Z13" s="81">
        <f t="shared" si="1"/>
        <v>2.5511993864868531E-2</v>
      </c>
      <c r="AA13" s="81">
        <f t="shared" si="1"/>
        <v>5.3575187116223916E-3</v>
      </c>
      <c r="AB13" s="81">
        <f t="shared" si="1"/>
        <v>398.53611531382199</v>
      </c>
      <c r="AC13" s="81">
        <f t="shared" si="1"/>
        <v>8.2192999637851101E-3</v>
      </c>
      <c r="AD13" s="81">
        <f t="shared" si="1"/>
        <v>1.0208901129878864E-2</v>
      </c>
    </row>
    <row r="14" spans="1:30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</row>
    <row r="15" spans="1:30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</row>
    <row r="16" spans="1:30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368" spans="1:1" ht="25.5">
      <c r="A368" s="82" t="s">
        <v>109</v>
      </c>
    </row>
    <row r="370" spans="1:2">
      <c r="A370" s="36" t="s">
        <v>81</v>
      </c>
    </row>
    <row r="371" spans="1:2">
      <c r="A371" s="36" t="s">
        <v>82</v>
      </c>
    </row>
    <row r="372" spans="1:2">
      <c r="A372" s="36" t="s">
        <v>83</v>
      </c>
    </row>
    <row r="373" spans="1:2">
      <c r="A373" s="37" t="s">
        <v>96</v>
      </c>
    </row>
    <row r="374" spans="1:2">
      <c r="A374" s="36" t="s">
        <v>85</v>
      </c>
    </row>
    <row r="375" spans="1:2">
      <c r="A375" s="36" t="s">
        <v>86</v>
      </c>
    </row>
    <row r="376" spans="1:2">
      <c r="A376" s="36" t="s">
        <v>87</v>
      </c>
    </row>
    <row r="377" spans="1:2">
      <c r="A377" s="36" t="s">
        <v>0</v>
      </c>
    </row>
    <row r="378" spans="1:2">
      <c r="A378" s="37" t="s">
        <v>97</v>
      </c>
      <c r="B378" s="36">
        <f>(0.016*(0.03/2)^0.65*(2/3)^1.5)-0.00047</f>
        <v>9.8123053326417428E-5</v>
      </c>
    </row>
    <row r="379" spans="1:2">
      <c r="A379" s="37" t="s">
        <v>98</v>
      </c>
      <c r="B379" s="36">
        <f>(0.016*(0.03/2)^0.65*(13/3)^1.5)-0.00047</f>
        <v>8.9448292388582783E-3</v>
      </c>
    </row>
    <row r="380" spans="1:2">
      <c r="A380" s="37" t="s">
        <v>99</v>
      </c>
      <c r="B38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B-14
Construction Truck Trip Emissions
Installation of 69kV Position at Miguel Substation</oddHeader>
    <oddFooter>&amp;CB-14</oddFooter>
  </headerFooter>
</worksheet>
</file>

<file path=xl/worksheets/sheet35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B96" sqref="B96"/>
    </sheetView>
  </sheetViews>
  <sheetFormatPr defaultRowHeight="12.75"/>
  <cols>
    <col min="1" max="1" width="33" style="36" customWidth="1"/>
    <col min="2" max="3" width="22.42578125" style="36" customWidth="1"/>
    <col min="4" max="4" width="10.28515625" style="36" bestFit="1" customWidth="1"/>
    <col min="5" max="5" width="9.28515625" style="36" bestFit="1" customWidth="1"/>
    <col min="6" max="17" width="11.7109375" style="36" bestFit="1" customWidth="1"/>
    <col min="18" max="18" width="10.7109375" style="36" bestFit="1" customWidth="1"/>
    <col min="19" max="21" width="11.7109375" style="36" bestFit="1" customWidth="1"/>
    <col min="22" max="22" width="10.7109375" style="36" bestFit="1" customWidth="1"/>
    <col min="23" max="23" width="11.7109375" style="36" bestFit="1" customWidth="1"/>
    <col min="24" max="25" width="10.7109375" style="36" bestFit="1" customWidth="1"/>
    <col min="26" max="27" width="11.7109375" style="36" bestFit="1" customWidth="1"/>
    <col min="28" max="28" width="9.28515625" style="36" bestFit="1" customWidth="1"/>
    <col min="29" max="29" width="11.7109375" style="36" bestFit="1" customWidth="1"/>
    <col min="30" max="30" width="9.28515625" style="36" bestFit="1" customWidth="1"/>
    <col min="31" max="31" width="11.710937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872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51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43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51">
      <c r="A87" s="599"/>
      <c r="B87" s="599"/>
      <c r="C87" s="41" t="s">
        <v>66</v>
      </c>
      <c r="D87" s="41" t="s">
        <v>67</v>
      </c>
      <c r="E87" s="41" t="s">
        <v>68</v>
      </c>
      <c r="F87" s="435" t="s">
        <v>55</v>
      </c>
      <c r="G87" s="435" t="s">
        <v>73</v>
      </c>
      <c r="H87" s="435" t="s">
        <v>74</v>
      </c>
      <c r="I87" s="435" t="s">
        <v>58</v>
      </c>
      <c r="J87" s="435" t="s">
        <v>59</v>
      </c>
      <c r="K87" s="435" t="s">
        <v>60</v>
      </c>
      <c r="L87" s="434" t="s">
        <v>75</v>
      </c>
      <c r="M87" s="434" t="s">
        <v>76</v>
      </c>
      <c r="N87" s="434" t="s">
        <v>61</v>
      </c>
      <c r="O87" s="434" t="s">
        <v>62</v>
      </c>
      <c r="P87" s="434" t="s">
        <v>63</v>
      </c>
      <c r="AN87" s="38"/>
      <c r="AZ87" s="36"/>
    </row>
    <row r="88" spans="1:52" ht="25.5">
      <c r="A88" s="44" t="str">
        <f>A4</f>
        <v>Substation General Construction</v>
      </c>
      <c r="B88" s="45" t="str">
        <f>B4</f>
        <v>Light-Duty Truck, catalyst</v>
      </c>
      <c r="C88" s="46">
        <f>C4</f>
        <v>3</v>
      </c>
      <c r="D88" s="46">
        <v>35</v>
      </c>
      <c r="E88" s="46">
        <v>80</v>
      </c>
      <c r="F88" s="50">
        <f>C4*($E4*$F4+($G4))/453.59</f>
        <v>1.4571581576427601</v>
      </c>
      <c r="G88" s="50">
        <f>C4*($E4*$H4+($I4))/453.59</f>
        <v>0.13101197188313402</v>
      </c>
      <c r="H88" s="50">
        <f>C4*(($E4*$J4)+($K4)+($L4)+($E4*$N4)+(($M4+$O4)))/453.59</f>
        <v>0.15149994097185998</v>
      </c>
      <c r="I88" s="50">
        <f>C4*($E4*$P4+($Q4))/453.59</f>
        <v>2.1803910814818476E-3</v>
      </c>
      <c r="J88" s="50">
        <f>C4*(($E4*($R4+$T4+$U4))+($S4))/453.59</f>
        <v>2.5572271365623688E-2</v>
      </c>
      <c r="K88" s="50">
        <f>$C4*(($E4*($V4+$X4+$Y4))+($W4))/453.59</f>
        <v>1.1136015972759426E-2</v>
      </c>
      <c r="L88" s="50">
        <f>$B$21*C4*(E4+6)</f>
        <v>2.5315747758215698E-2</v>
      </c>
      <c r="M88" s="50">
        <f t="shared" ref="M88" si="52">0.41*L88</f>
        <v>1.0379456580868435E-2</v>
      </c>
      <c r="N88" s="50">
        <f>C4*($E4*$Z4+($AA4))/453.59</f>
        <v>166.27073017811671</v>
      </c>
      <c r="O88" s="50">
        <f>C4*($E4*$AB4+($AC4))/453.59</f>
        <v>9.5114261670907474E-3</v>
      </c>
      <c r="P88" s="50">
        <f>C4*($E4*$AD4+($AE4))/453.59</f>
        <v>1.7313359741530081E-2</v>
      </c>
      <c r="AN88" s="38"/>
      <c r="AZ88" s="36"/>
    </row>
    <row r="89" spans="1:52">
      <c r="A89" s="61" t="s">
        <v>396</v>
      </c>
      <c r="B89" s="61"/>
      <c r="C89" s="61"/>
      <c r="D89" s="61"/>
      <c r="E89" s="61"/>
      <c r="F89" s="81">
        <f t="shared" ref="F89:P89" si="53">SUM(F88:F88)</f>
        <v>1.4571581576427601</v>
      </c>
      <c r="G89" s="81">
        <f t="shared" si="53"/>
        <v>0.13101197188313402</v>
      </c>
      <c r="H89" s="81">
        <f t="shared" si="53"/>
        <v>0.15149994097185998</v>
      </c>
      <c r="I89" s="81">
        <f t="shared" si="53"/>
        <v>2.1803910814818476E-3</v>
      </c>
      <c r="J89" s="81">
        <f t="shared" si="53"/>
        <v>2.5572271365623688E-2</v>
      </c>
      <c r="K89" s="81">
        <f t="shared" si="53"/>
        <v>1.1136015972759426E-2</v>
      </c>
      <c r="L89" s="81">
        <f t="shared" si="53"/>
        <v>2.5315747758215698E-2</v>
      </c>
      <c r="M89" s="81">
        <f t="shared" si="53"/>
        <v>1.0379456580868435E-2</v>
      </c>
      <c r="N89" s="81">
        <f t="shared" si="53"/>
        <v>166.27073017811671</v>
      </c>
      <c r="O89" s="81">
        <f t="shared" si="53"/>
        <v>9.5114261670907474E-3</v>
      </c>
      <c r="P89" s="81">
        <f t="shared" si="53"/>
        <v>1.7313359741530081E-2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1" firstPageNumber="16" orientation="landscape" useFirstPageNumber="1" r:id="rId1"/>
  <headerFooter alignWithMargins="0">
    <oddHeader>&amp;CTable B-15
Construction Worker Commute Emission Calculations
Installation of 69kV Position at Miguel Substation</oddHeader>
    <oddFooter>&amp;CB-15</oddFooter>
  </headerFooter>
</worksheet>
</file>

<file path=xl/worksheets/sheet35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9"/>
  <sheetViews>
    <sheetView zoomScale="75" zoomScaleNormal="75" workbookViewId="0">
      <selection activeCell="A19" sqref="A19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873</v>
      </c>
    </row>
    <row r="2" spans="1:25">
      <c r="A2" s="83"/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304</v>
      </c>
      <c r="B7" s="29">
        <v>2015</v>
      </c>
      <c r="C7" s="22"/>
      <c r="D7" s="18"/>
      <c r="E7" s="23"/>
      <c r="F7" s="23"/>
      <c r="G7" s="23"/>
      <c r="H7" s="23"/>
      <c r="I7" s="23"/>
      <c r="J7" s="24"/>
      <c r="K7" s="25"/>
      <c r="L7" s="23"/>
      <c r="M7" s="33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/>
      <c r="B8" s="29"/>
      <c r="C8" s="97"/>
      <c r="D8" s="12"/>
      <c r="E8" s="102"/>
      <c r="F8" s="102"/>
      <c r="G8" s="102"/>
      <c r="H8" s="102"/>
      <c r="I8" s="102"/>
      <c r="J8" s="100"/>
      <c r="K8" s="103"/>
      <c r="L8" s="102"/>
      <c r="M8" s="104"/>
      <c r="N8" s="98"/>
      <c r="O8" s="98"/>
      <c r="P8" s="99"/>
      <c r="Q8" s="34"/>
      <c r="R8" s="26"/>
      <c r="S8" s="26"/>
      <c r="T8" s="26"/>
      <c r="U8" s="26"/>
      <c r="V8" s="26"/>
      <c r="W8" s="26"/>
      <c r="X8" s="26"/>
      <c r="Y8" s="26"/>
    </row>
    <row r="9" spans="1:25">
      <c r="A9" s="11" t="s">
        <v>103</v>
      </c>
      <c r="B9" s="438"/>
      <c r="C9" s="438"/>
      <c r="D9" s="438"/>
      <c r="E9" s="426"/>
      <c r="F9" s="426"/>
      <c r="G9" s="426"/>
      <c r="H9" s="426"/>
      <c r="I9" s="426"/>
      <c r="J9" s="426"/>
      <c r="K9" s="426"/>
      <c r="L9" s="426"/>
      <c r="M9" s="426"/>
      <c r="N9" s="17"/>
      <c r="O9" s="123"/>
      <c r="P9" s="123"/>
      <c r="Q9" s="20">
        <v>0</v>
      </c>
      <c r="R9" s="20">
        <v>0</v>
      </c>
      <c r="S9" s="20">
        <v>0</v>
      </c>
      <c r="T9" s="20">
        <v>0</v>
      </c>
      <c r="U9" s="20">
        <v>0</v>
      </c>
      <c r="V9" s="20">
        <v>0</v>
      </c>
      <c r="W9" s="20">
        <v>0</v>
      </c>
      <c r="X9" s="20">
        <v>0</v>
      </c>
      <c r="Y9" s="20">
        <v>0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>&amp;CTable B-13
Construction Heavy Equipment Emissions
Installation of 69kV Position at Miguel Substation</oddHeader>
    <oddFooter>&amp;CB-13</oddFooter>
  </headerFooter>
</worksheet>
</file>

<file path=xl/worksheets/sheet35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0"/>
  <sheetViews>
    <sheetView zoomScale="75" workbookViewId="0">
      <selection activeCell="E18" sqref="E18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874</v>
      </c>
    </row>
    <row r="2" spans="1:30">
      <c r="A2" s="83"/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304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320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C9*(F9)*$B$378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6">
        <v>3.59998119015979E-2</v>
      </c>
      <c r="M10" s="556">
        <v>6.1739677411240299E-2</v>
      </c>
      <c r="N10" s="106">
        <v>6.5945508986370194E-2</v>
      </c>
      <c r="O10" s="556">
        <v>2.9999843251331498E-3</v>
      </c>
      <c r="P10" s="55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C10*(F10)*$B$378</f>
        <v>7.8498442661133934E-3</v>
      </c>
      <c r="AA10" s="50">
        <f>Z10*0.21</f>
        <v>1.6484672958838125E-3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2.5511993864868531E-2</v>
      </c>
      <c r="AA11" s="81">
        <f t="shared" si="0"/>
        <v>5.3575187116223916E-3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432"/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>
      <c r="A13" s="75" t="s">
        <v>388</v>
      </c>
      <c r="B13" s="74"/>
      <c r="C13" s="112"/>
      <c r="D13" s="112"/>
      <c r="E13" s="74"/>
      <c r="F13" s="74"/>
      <c r="G13" s="437"/>
      <c r="H13" s="41"/>
      <c r="I13" s="41"/>
      <c r="J13" s="41"/>
      <c r="K13" s="434"/>
      <c r="L13" s="434"/>
      <c r="M13" s="434"/>
      <c r="N13" s="434"/>
      <c r="O13" s="434"/>
      <c r="P13" s="434"/>
      <c r="Q13" s="41"/>
      <c r="R13" s="434"/>
      <c r="S13" s="434"/>
      <c r="T13" s="81">
        <f>T11</f>
        <v>0.29083724282289747</v>
      </c>
      <c r="U13" s="81">
        <f t="shared" ref="U13:AD13" si="1">U11</f>
        <v>1.0611962366155845</v>
      </c>
      <c r="V13" s="81">
        <f t="shared" si="1"/>
        <v>6.8824484487220519E-2</v>
      </c>
      <c r="W13" s="81">
        <f t="shared" si="1"/>
        <v>3.2791125145751575E-3</v>
      </c>
      <c r="X13" s="81">
        <f t="shared" si="1"/>
        <v>6.6250086644878026E-2</v>
      </c>
      <c r="Y13" s="81">
        <f t="shared" si="1"/>
        <v>4.6178083629108538E-2</v>
      </c>
      <c r="Z13" s="81">
        <f t="shared" si="1"/>
        <v>2.5511993864868531E-2</v>
      </c>
      <c r="AA13" s="81">
        <f t="shared" si="1"/>
        <v>5.3575187116223916E-3</v>
      </c>
      <c r="AB13" s="81">
        <f t="shared" si="1"/>
        <v>398.53611531382199</v>
      </c>
      <c r="AC13" s="81">
        <f t="shared" si="1"/>
        <v>8.2192999637851101E-3</v>
      </c>
      <c r="AD13" s="81">
        <f t="shared" si="1"/>
        <v>1.0208901129878864E-2</v>
      </c>
    </row>
    <row r="14" spans="1:30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</row>
    <row r="15" spans="1:30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</row>
    <row r="16" spans="1:30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368" spans="1:1" ht="25.5">
      <c r="A368" s="82" t="s">
        <v>109</v>
      </c>
    </row>
    <row r="370" spans="1:2">
      <c r="A370" s="36" t="s">
        <v>81</v>
      </c>
    </row>
    <row r="371" spans="1:2">
      <c r="A371" s="36" t="s">
        <v>82</v>
      </c>
    </row>
    <row r="372" spans="1:2">
      <c r="A372" s="36" t="s">
        <v>83</v>
      </c>
    </row>
    <row r="373" spans="1:2">
      <c r="A373" s="37" t="s">
        <v>96</v>
      </c>
    </row>
    <row r="374" spans="1:2">
      <c r="A374" s="36" t="s">
        <v>85</v>
      </c>
    </row>
    <row r="375" spans="1:2">
      <c r="A375" s="36" t="s">
        <v>86</v>
      </c>
    </row>
    <row r="376" spans="1:2">
      <c r="A376" s="36" t="s">
        <v>87</v>
      </c>
    </row>
    <row r="377" spans="1:2">
      <c r="A377" s="36" t="s">
        <v>0</v>
      </c>
    </row>
    <row r="378" spans="1:2">
      <c r="A378" s="37" t="s">
        <v>97</v>
      </c>
      <c r="B378" s="36">
        <f>(0.016*(0.03/2)^0.65*(2/3)^1.5)-0.00047</f>
        <v>9.8123053326417428E-5</v>
      </c>
    </row>
    <row r="379" spans="1:2">
      <c r="A379" s="37" t="s">
        <v>98</v>
      </c>
      <c r="B379" s="36">
        <f>(0.016*(0.03/2)^0.65*(13/3)^1.5)-0.00047</f>
        <v>8.9448292388582783E-3</v>
      </c>
    </row>
    <row r="380" spans="1:2">
      <c r="A380" s="37" t="s">
        <v>99</v>
      </c>
      <c r="B38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B-14
Construction Truck Trip Emissions
Installation of 69kV Position at Miguel Substation</oddHeader>
    <oddFooter>&amp;CB-14</oddFooter>
  </headerFooter>
</worksheet>
</file>

<file path=xl/worksheets/sheet35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A94" sqref="A94"/>
    </sheetView>
  </sheetViews>
  <sheetFormatPr defaultRowHeight="12.75"/>
  <cols>
    <col min="1" max="1" width="33" style="36" customWidth="1"/>
    <col min="2" max="3" width="22.42578125" style="36" customWidth="1"/>
    <col min="4" max="4" width="10.28515625" style="36" bestFit="1" customWidth="1"/>
    <col min="5" max="5" width="9.28515625" style="36" bestFit="1" customWidth="1"/>
    <col min="6" max="17" width="11.7109375" style="36" bestFit="1" customWidth="1"/>
    <col min="18" max="18" width="10.7109375" style="36" bestFit="1" customWidth="1"/>
    <col min="19" max="21" width="11.7109375" style="36" bestFit="1" customWidth="1"/>
    <col min="22" max="22" width="10.7109375" style="36" bestFit="1" customWidth="1"/>
    <col min="23" max="23" width="11.7109375" style="36" bestFit="1" customWidth="1"/>
    <col min="24" max="25" width="10.7109375" style="36" bestFit="1" customWidth="1"/>
    <col min="26" max="27" width="11.7109375" style="36" bestFit="1" customWidth="1"/>
    <col min="28" max="28" width="9.28515625" style="36" bestFit="1" customWidth="1"/>
    <col min="29" max="29" width="11.7109375" style="36" bestFit="1" customWidth="1"/>
    <col min="30" max="30" width="9.28515625" style="36" bestFit="1" customWidth="1"/>
    <col min="31" max="31" width="11.710937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875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51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43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51">
      <c r="A87" s="599"/>
      <c r="B87" s="599"/>
      <c r="C87" s="41" t="s">
        <v>66</v>
      </c>
      <c r="D87" s="41" t="s">
        <v>67</v>
      </c>
      <c r="E87" s="41" t="s">
        <v>68</v>
      </c>
      <c r="F87" s="435" t="s">
        <v>55</v>
      </c>
      <c r="G87" s="435" t="s">
        <v>73</v>
      </c>
      <c r="H87" s="435" t="s">
        <v>74</v>
      </c>
      <c r="I87" s="435" t="s">
        <v>58</v>
      </c>
      <c r="J87" s="435" t="s">
        <v>59</v>
      </c>
      <c r="K87" s="435" t="s">
        <v>60</v>
      </c>
      <c r="L87" s="434" t="s">
        <v>75</v>
      </c>
      <c r="M87" s="434" t="s">
        <v>76</v>
      </c>
      <c r="N87" s="434" t="s">
        <v>61</v>
      </c>
      <c r="O87" s="434" t="s">
        <v>62</v>
      </c>
      <c r="P87" s="434" t="s">
        <v>63</v>
      </c>
      <c r="AN87" s="38"/>
      <c r="AZ87" s="36"/>
    </row>
    <row r="88" spans="1:52" ht="25.5">
      <c r="A88" s="44" t="str">
        <f>A4</f>
        <v>Substation General Construction</v>
      </c>
      <c r="B88" s="45" t="str">
        <f>B4</f>
        <v>Light-Duty Truck, catalyst</v>
      </c>
      <c r="C88" s="46">
        <f>C4</f>
        <v>3</v>
      </c>
      <c r="D88" s="46">
        <v>35</v>
      </c>
      <c r="E88" s="46">
        <v>80</v>
      </c>
      <c r="F88" s="50">
        <f>C4*($E4*$F4+($G4))/453.59</f>
        <v>1.4571581576427601</v>
      </c>
      <c r="G88" s="50">
        <f>C4*($E4*$H4+($I4))/453.59</f>
        <v>0.13101197188313402</v>
      </c>
      <c r="H88" s="50">
        <f>C4*(($E4*$J4)+($K4)+($L4)+($E4*$N4)+(($M4+$O4)))/453.59</f>
        <v>0.15149994097185998</v>
      </c>
      <c r="I88" s="50">
        <f>C4*($E4*$P4+($Q4))/453.59</f>
        <v>2.1803910814818476E-3</v>
      </c>
      <c r="J88" s="50">
        <f>C4*(($E4*($R4+$T4+$U4))+($S4))/453.59</f>
        <v>2.5572271365623688E-2</v>
      </c>
      <c r="K88" s="50">
        <f>$C4*(($E4*($V4+$X4+$Y4))+($W4))/453.59</f>
        <v>1.1136015972759426E-2</v>
      </c>
      <c r="L88" s="50">
        <f>$B$21*C4*(E4+6)</f>
        <v>2.5315747758215698E-2</v>
      </c>
      <c r="M88" s="50">
        <f t="shared" ref="M88" si="52">0.41*L88</f>
        <v>1.0379456580868435E-2</v>
      </c>
      <c r="N88" s="50">
        <f>C4*($E4*$Z4+($AA4))/453.59</f>
        <v>166.27073017811671</v>
      </c>
      <c r="O88" s="50">
        <f>C4*($E4*$AB4+($AC4))/453.59</f>
        <v>9.5114261670907474E-3</v>
      </c>
      <c r="P88" s="50">
        <f>C4*($E4*$AD4+($AE4))/453.59</f>
        <v>1.7313359741530081E-2</v>
      </c>
      <c r="AN88" s="38"/>
      <c r="AZ88" s="36"/>
    </row>
    <row r="89" spans="1:52">
      <c r="A89" s="61" t="s">
        <v>396</v>
      </c>
      <c r="B89" s="61"/>
      <c r="C89" s="61"/>
      <c r="D89" s="61"/>
      <c r="E89" s="61"/>
      <c r="F89" s="81">
        <f t="shared" ref="F89:P89" si="53">SUM(F88:F88)</f>
        <v>1.4571581576427601</v>
      </c>
      <c r="G89" s="81">
        <f t="shared" si="53"/>
        <v>0.13101197188313402</v>
      </c>
      <c r="H89" s="81">
        <f t="shared" si="53"/>
        <v>0.15149994097185998</v>
      </c>
      <c r="I89" s="81">
        <f t="shared" si="53"/>
        <v>2.1803910814818476E-3</v>
      </c>
      <c r="J89" s="81">
        <f t="shared" si="53"/>
        <v>2.5572271365623688E-2</v>
      </c>
      <c r="K89" s="81">
        <f t="shared" si="53"/>
        <v>1.1136015972759426E-2</v>
      </c>
      <c r="L89" s="81">
        <f t="shared" si="53"/>
        <v>2.5315747758215698E-2</v>
      </c>
      <c r="M89" s="81">
        <f t="shared" si="53"/>
        <v>1.0379456580868435E-2</v>
      </c>
      <c r="N89" s="81">
        <f t="shared" si="53"/>
        <v>166.27073017811671</v>
      </c>
      <c r="O89" s="81">
        <f t="shared" si="53"/>
        <v>9.5114261670907474E-3</v>
      </c>
      <c r="P89" s="81">
        <f t="shared" si="53"/>
        <v>1.7313359741530081E-2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1" firstPageNumber="16" orientation="landscape" useFirstPageNumber="1" r:id="rId1"/>
  <headerFooter alignWithMargins="0">
    <oddHeader>&amp;CTable B-15
Construction Worker Commute Emission Calculations
Installation of 69kV Position at Miguel Substation</oddHeader>
    <oddFooter>&amp;CB-15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5"/>
  <sheetViews>
    <sheetView zoomScale="85" zoomScaleNormal="85" workbookViewId="0">
      <selection activeCell="C8" sqref="C8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554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7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74" t="s">
        <v>69</v>
      </c>
      <c r="S3" s="42" t="s">
        <v>118</v>
      </c>
      <c r="T3" s="574" t="s">
        <v>71</v>
      </c>
      <c r="U3" s="574" t="s">
        <v>72</v>
      </c>
      <c r="V3" s="574" t="s">
        <v>69</v>
      </c>
      <c r="W3" s="42" t="s">
        <v>118</v>
      </c>
      <c r="X3" s="574" t="s">
        <v>71</v>
      </c>
      <c r="Y3" s="574" t="s">
        <v>72</v>
      </c>
      <c r="Z3" s="41" t="s">
        <v>69</v>
      </c>
      <c r="AA3" s="42" t="s">
        <v>118</v>
      </c>
      <c r="AB3" s="574" t="s">
        <v>69</v>
      </c>
      <c r="AC3" s="42" t="s">
        <v>118</v>
      </c>
      <c r="AD3" s="574" t="s">
        <v>69</v>
      </c>
      <c r="AE3" s="42" t="s">
        <v>118</v>
      </c>
    </row>
    <row r="4" spans="1:67" ht="25.5">
      <c r="A4" s="44" t="s">
        <v>346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7" si="0">0.000049261*AA4</f>
        <v>2.2095931710230707E-2</v>
      </c>
      <c r="AD4" s="49">
        <v>3.2599999999999997E-2</v>
      </c>
      <c r="AE4" s="47">
        <f t="shared" ref="AE4:AE7" si="1">0.000021675*AA4</f>
        <v>9.7222817202097123E-3</v>
      </c>
    </row>
    <row r="5" spans="1:67" ht="25.5">
      <c r="A5" s="44" t="s">
        <v>328</v>
      </c>
      <c r="B5" s="45" t="s">
        <v>102</v>
      </c>
      <c r="C5" s="46">
        <v>3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ref="AC5" si="2">0.000049261*AA5</f>
        <v>2.2095931710230707E-2</v>
      </c>
      <c r="AD5" s="49">
        <v>3.2599999999999997E-2</v>
      </c>
      <c r="AE5" s="47">
        <f t="shared" ref="AE5" si="3">0.000021675*AA5</f>
        <v>9.7222817202097123E-3</v>
      </c>
    </row>
    <row r="6" spans="1:67" ht="25.5">
      <c r="A6" s="44" t="s">
        <v>330</v>
      </c>
      <c r="B6" s="45" t="s">
        <v>102</v>
      </c>
      <c r="C6" s="46">
        <v>20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 ht="25.5">
      <c r="A7" s="44" t="s">
        <v>426</v>
      </c>
      <c r="B7" s="45" t="s">
        <v>102</v>
      </c>
      <c r="C7" s="46">
        <v>14</v>
      </c>
      <c r="D7" s="46">
        <v>35</v>
      </c>
      <c r="E7" s="46">
        <v>80</v>
      </c>
      <c r="F7" s="47">
        <v>2.3611622044318601</v>
      </c>
      <c r="G7" s="48">
        <v>31.4244798871777</v>
      </c>
      <c r="H7" s="48">
        <v>0.22493614397154399</v>
      </c>
      <c r="I7" s="48">
        <v>1.8136819244333999</v>
      </c>
      <c r="J7" s="47">
        <v>5.7965153248686403E-2</v>
      </c>
      <c r="K7" s="48">
        <v>2.3946366793705498</v>
      </c>
      <c r="L7" s="48">
        <v>1.62197187247403</v>
      </c>
      <c r="M7" s="48">
        <v>0.70709499821369304</v>
      </c>
      <c r="N7" s="48">
        <v>0.16038404042738499</v>
      </c>
      <c r="O7" s="48">
        <v>0.71464703099800198</v>
      </c>
      <c r="P7" s="48">
        <v>4.0478385316323803E-3</v>
      </c>
      <c r="Q7" s="48">
        <v>5.8407810191933099E-3</v>
      </c>
      <c r="R7" s="47">
        <v>3.2157701660956101E-3</v>
      </c>
      <c r="S7" s="48">
        <v>2.9198634356063399E-2</v>
      </c>
      <c r="T7" s="48">
        <v>7.9999583995993707E-3</v>
      </c>
      <c r="U7" s="48">
        <v>3.6749815874576097E-2</v>
      </c>
      <c r="V7" s="48">
        <v>2.9606446234606999E-3</v>
      </c>
      <c r="W7" s="48">
        <v>2.6884174180557701E-2</v>
      </c>
      <c r="X7" s="48">
        <v>1.9999896010969099E-3</v>
      </c>
      <c r="Y7" s="48">
        <v>1.57499197860352E-2</v>
      </c>
      <c r="Z7" s="48">
        <v>308.63789988642998</v>
      </c>
      <c r="AA7" s="48">
        <v>448.54817624958298</v>
      </c>
      <c r="AB7" s="47">
        <v>1.77E-2</v>
      </c>
      <c r="AC7" s="47">
        <f t="shared" si="0"/>
        <v>2.2095931710230707E-2</v>
      </c>
      <c r="AD7" s="49">
        <v>3.2599999999999997E-2</v>
      </c>
      <c r="AE7" s="47">
        <f t="shared" si="1"/>
        <v>9.7222817202097123E-3</v>
      </c>
    </row>
    <row r="8" spans="1:67">
      <c r="A8" s="52"/>
      <c r="B8" s="52"/>
      <c r="C8" s="53"/>
      <c r="D8" s="54"/>
      <c r="E8" s="54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</row>
    <row r="9" spans="1:67" ht="25.5">
      <c r="A9" s="55" t="s">
        <v>504</v>
      </c>
      <c r="B9" s="37"/>
      <c r="C9" s="37"/>
    </row>
    <row r="10" spans="1:67">
      <c r="A10" s="55" t="s">
        <v>77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84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</row>
    <row r="11" spans="1:67">
      <c r="A11" s="55" t="s">
        <v>78</v>
      </c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t="38.25" hidden="1">
      <c r="A12" s="55" t="s">
        <v>79</v>
      </c>
      <c r="B12" s="37"/>
      <c r="C12" s="37"/>
      <c r="AA12" s="57"/>
      <c r="AB12" s="58" t="s">
        <v>80</v>
      </c>
      <c r="AC12" s="57"/>
      <c r="AD12" s="57"/>
      <c r="AE12" s="57"/>
      <c r="AF12" s="57" t="e">
        <f>#REF!/60</f>
        <v>#REF!</v>
      </c>
      <c r="AG12" s="57" t="e">
        <f>#REF!/60</f>
        <v>#REF!</v>
      </c>
      <c r="AH12" s="57" t="e">
        <f>#REF!/60</f>
        <v>#REF!</v>
      </c>
      <c r="AI12" s="57" t="e">
        <f>#REF!/60</f>
        <v>#REF!</v>
      </c>
      <c r="AJ12" s="57" t="e">
        <f>#REF!/60</f>
        <v>#REF!</v>
      </c>
      <c r="AK12" s="57" t="e">
        <f>#REF!/60</f>
        <v>#REF!</v>
      </c>
      <c r="AL12" s="57" t="e">
        <f>#REF!/60</f>
        <v>#REF!</v>
      </c>
      <c r="AM12" s="57" t="e">
        <f>#REF!/60</f>
        <v>#REF!</v>
      </c>
      <c r="AN12" s="57" t="e">
        <f>#REF!/60</f>
        <v>#REF!</v>
      </c>
      <c r="AO12" s="57" t="e">
        <f>#REF!/60</f>
        <v>#REF!</v>
      </c>
      <c r="AP12" s="57"/>
      <c r="AQ12" s="57"/>
      <c r="AR12" s="57" t="e">
        <f>#REF!/60</f>
        <v>#REF!</v>
      </c>
      <c r="AS12" s="57" t="e">
        <f>#REF!/60</f>
        <v>#REF!</v>
      </c>
      <c r="AT12" s="57" t="e">
        <f>#REF!/60</f>
        <v>#REF!</v>
      </c>
      <c r="AU12" s="57" t="e">
        <f>#REF!/60</f>
        <v>#REF!</v>
      </c>
      <c r="AV12" s="57" t="e">
        <f>#REF!/60</f>
        <v>#REF!</v>
      </c>
      <c r="AW12" s="57" t="e">
        <f>#REF!/60</f>
        <v>#REF!</v>
      </c>
      <c r="AX12" s="57" t="e">
        <f>#REF!/60</f>
        <v>#REF!</v>
      </c>
      <c r="AY12" s="57" t="e">
        <f>#REF!/60</f>
        <v>#REF!</v>
      </c>
      <c r="AZ12" s="57" t="e">
        <f>#REF!/60</f>
        <v>#REF!</v>
      </c>
      <c r="BA12" s="57" t="e">
        <f>#REF!/60</f>
        <v>#REF!</v>
      </c>
    </row>
    <row r="13" spans="1:67" hidden="1">
      <c r="A13" s="55"/>
      <c r="B13" s="37"/>
      <c r="C13" s="3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9"/>
      <c r="AS13" s="59"/>
      <c r="AT13" s="59"/>
      <c r="AU13" s="59"/>
      <c r="AV13" s="59"/>
      <c r="AW13" s="59"/>
      <c r="AX13" s="59"/>
      <c r="AY13" s="59"/>
      <c r="AZ13" s="60"/>
      <c r="BA13" s="59"/>
    </row>
    <row r="14" spans="1:67" hidden="1">
      <c r="A14" s="37"/>
      <c r="B14" s="37"/>
      <c r="C14" s="37"/>
      <c r="AF14" s="596" t="s">
        <v>64</v>
      </c>
      <c r="AG14" s="596"/>
      <c r="AH14" s="596"/>
      <c r="AI14" s="596"/>
      <c r="AJ14" s="596"/>
      <c r="AK14" s="597"/>
      <c r="AL14" s="597"/>
      <c r="AM14" s="597"/>
      <c r="AN14" s="597"/>
      <c r="AO14" s="597"/>
      <c r="AP14" s="576"/>
      <c r="AQ14" s="56"/>
      <c r="AR14" s="596" t="s">
        <v>65</v>
      </c>
      <c r="AS14" s="596"/>
      <c r="AT14" s="596"/>
      <c r="AU14" s="596"/>
      <c r="AV14" s="596"/>
      <c r="AW14" s="597"/>
      <c r="AX14" s="597"/>
      <c r="AY14" s="597"/>
      <c r="AZ14" s="597"/>
      <c r="BA14" s="597"/>
    </row>
    <row r="15" spans="1:67" ht="63.75" hidden="1">
      <c r="A15" s="37"/>
      <c r="B15" s="37"/>
      <c r="C15" s="37"/>
      <c r="AF15" s="61" t="s">
        <v>55</v>
      </c>
      <c r="AG15" s="61" t="s">
        <v>73</v>
      </c>
      <c r="AH15" s="61" t="s">
        <v>74</v>
      </c>
      <c r="AI15" s="61" t="s">
        <v>58</v>
      </c>
      <c r="AJ15" s="61" t="s">
        <v>59</v>
      </c>
      <c r="AK15" s="61" t="s">
        <v>60</v>
      </c>
      <c r="AL15" s="62" t="s">
        <v>75</v>
      </c>
      <c r="AM15" s="62" t="s">
        <v>76</v>
      </c>
      <c r="AN15" s="62" t="s">
        <v>61</v>
      </c>
      <c r="AO15" s="62" t="s">
        <v>62</v>
      </c>
      <c r="AP15" s="62"/>
      <c r="AQ15" s="43"/>
      <c r="AR15" s="61" t="s">
        <v>55</v>
      </c>
      <c r="AS15" s="61" t="s">
        <v>73</v>
      </c>
      <c r="AT15" s="61" t="s">
        <v>74</v>
      </c>
      <c r="AU15" s="61" t="s">
        <v>58</v>
      </c>
      <c r="AV15" s="61" t="s">
        <v>59</v>
      </c>
      <c r="AW15" s="61" t="s">
        <v>60</v>
      </c>
      <c r="AX15" s="62" t="s">
        <v>75</v>
      </c>
      <c r="AY15" s="62" t="s">
        <v>76</v>
      </c>
      <c r="AZ15" s="63" t="s">
        <v>61</v>
      </c>
      <c r="BA15" s="61" t="s">
        <v>62</v>
      </c>
    </row>
    <row r="16" spans="1:67" hidden="1">
      <c r="A16" s="37" t="s">
        <v>81</v>
      </c>
      <c r="B16" s="37"/>
      <c r="C16" s="37"/>
      <c r="AA16" s="64" t="s">
        <v>29</v>
      </c>
      <c r="AB16" s="65" t="s">
        <v>30</v>
      </c>
      <c r="AC16" s="65" t="s">
        <v>31</v>
      </c>
      <c r="AD16" s="65"/>
      <c r="AE16" s="65"/>
      <c r="AQ16" s="38"/>
    </row>
    <row r="17" spans="1:53" hidden="1">
      <c r="A17" s="37" t="s">
        <v>82</v>
      </c>
      <c r="B17" s="37"/>
      <c r="C17" s="37"/>
      <c r="AA17" s="64"/>
      <c r="AB17" s="65" t="s">
        <v>32</v>
      </c>
      <c r="AC17" s="65">
        <v>13.25</v>
      </c>
      <c r="AD17" s="65"/>
      <c r="AE17" s="65"/>
      <c r="AF17" s="36" t="e">
        <f>AF$12*$AC17</f>
        <v>#REF!</v>
      </c>
      <c r="AG17" s="36" t="e">
        <f t="shared" ref="AG17:AO25" si="4">AG$12*$AC17</f>
        <v>#REF!</v>
      </c>
      <c r="AH17" s="36" t="e">
        <f t="shared" si="4"/>
        <v>#REF!</v>
      </c>
      <c r="AI17" s="36" t="e">
        <f t="shared" si="4"/>
        <v>#REF!</v>
      </c>
      <c r="AJ17" s="36" t="e">
        <f t="shared" si="4"/>
        <v>#REF!</v>
      </c>
      <c r="AK17" s="36" t="e">
        <f t="shared" si="4"/>
        <v>#REF!</v>
      </c>
      <c r="AL17" s="36" t="e">
        <f t="shared" si="4"/>
        <v>#REF!</v>
      </c>
      <c r="AM17" s="36" t="e">
        <f t="shared" si="4"/>
        <v>#REF!</v>
      </c>
      <c r="AN17" s="36" t="e">
        <f t="shared" si="4"/>
        <v>#REF!</v>
      </c>
      <c r="AO17" s="36" t="e">
        <f t="shared" si="4"/>
        <v>#REF!</v>
      </c>
      <c r="AQ17" s="38"/>
      <c r="AR17" s="36" t="e">
        <f>AR$12*$AC17</f>
        <v>#REF!</v>
      </c>
      <c r="AS17" s="36" t="e">
        <f t="shared" ref="AS17:BA25" si="5">AS$12*$AC17</f>
        <v>#REF!</v>
      </c>
      <c r="AT17" s="36" t="e">
        <f t="shared" si="5"/>
        <v>#REF!</v>
      </c>
      <c r="AU17" s="36" t="e">
        <f t="shared" si="5"/>
        <v>#REF!</v>
      </c>
      <c r="AV17" s="36" t="e">
        <f t="shared" si="5"/>
        <v>#REF!</v>
      </c>
      <c r="AW17" s="36" t="e">
        <f t="shared" si="5"/>
        <v>#REF!</v>
      </c>
      <c r="AX17" s="36" t="e">
        <f t="shared" si="5"/>
        <v>#REF!</v>
      </c>
      <c r="AY17" s="36" t="e">
        <f t="shared" si="5"/>
        <v>#REF!</v>
      </c>
      <c r="AZ17" s="36" t="e">
        <f t="shared" si="5"/>
        <v>#REF!</v>
      </c>
      <c r="BA17" s="36" t="e">
        <f t="shared" si="5"/>
        <v>#REF!</v>
      </c>
    </row>
    <row r="18" spans="1:53" hidden="1">
      <c r="A18" s="37" t="s">
        <v>83</v>
      </c>
      <c r="B18" s="37"/>
      <c r="C18" s="37"/>
      <c r="AA18" s="64"/>
      <c r="AB18" s="65" t="s">
        <v>33</v>
      </c>
      <c r="AC18" s="65">
        <v>20.298999999999999</v>
      </c>
      <c r="AD18" s="65"/>
      <c r="AE18" s="65"/>
      <c r="AF18" s="36" t="e">
        <f t="shared" ref="AF18:AF25" si="6">AF$12*$AC18</f>
        <v>#REF!</v>
      </c>
      <c r="AG18" s="36" t="e">
        <f t="shared" si="4"/>
        <v>#REF!</v>
      </c>
      <c r="AH18" s="36" t="e">
        <f t="shared" si="4"/>
        <v>#REF!</v>
      </c>
      <c r="AI18" s="36" t="e">
        <f t="shared" si="4"/>
        <v>#REF!</v>
      </c>
      <c r="AJ18" s="36" t="e">
        <f t="shared" si="4"/>
        <v>#REF!</v>
      </c>
      <c r="AK18" s="36" t="e">
        <f t="shared" si="4"/>
        <v>#REF!</v>
      </c>
      <c r="AL18" s="36" t="e">
        <f t="shared" si="4"/>
        <v>#REF!</v>
      </c>
      <c r="AM18" s="36" t="e">
        <f t="shared" si="4"/>
        <v>#REF!</v>
      </c>
      <c r="AN18" s="36" t="e">
        <f t="shared" si="4"/>
        <v>#REF!</v>
      </c>
      <c r="AO18" s="36" t="e">
        <f t="shared" si="4"/>
        <v>#REF!</v>
      </c>
      <c r="AQ18" s="38"/>
      <c r="AR18" s="36" t="e">
        <f t="shared" ref="AR18:AR25" si="7">AR$12*$AC18</f>
        <v>#REF!</v>
      </c>
      <c r="AS18" s="36" t="e">
        <f t="shared" si="5"/>
        <v>#REF!</v>
      </c>
      <c r="AT18" s="36" t="e">
        <f t="shared" si="5"/>
        <v>#REF!</v>
      </c>
      <c r="AU18" s="36" t="e">
        <f t="shared" si="5"/>
        <v>#REF!</v>
      </c>
      <c r="AV18" s="36" t="e">
        <f t="shared" si="5"/>
        <v>#REF!</v>
      </c>
      <c r="AW18" s="36" t="e">
        <f t="shared" si="5"/>
        <v>#REF!</v>
      </c>
      <c r="AX18" s="36" t="e">
        <f t="shared" si="5"/>
        <v>#REF!</v>
      </c>
      <c r="AY18" s="36" t="e">
        <f t="shared" si="5"/>
        <v>#REF!</v>
      </c>
      <c r="AZ18" s="36" t="e">
        <f t="shared" si="5"/>
        <v>#REF!</v>
      </c>
      <c r="BA18" s="36" t="e">
        <f t="shared" si="5"/>
        <v>#REF!</v>
      </c>
    </row>
    <row r="19" spans="1:53" hidden="1">
      <c r="A19" s="37" t="s">
        <v>84</v>
      </c>
      <c r="B19" s="37"/>
      <c r="C19" s="37"/>
      <c r="AA19" s="64"/>
      <c r="AB19" s="65" t="s">
        <v>34</v>
      </c>
      <c r="AC19" s="65">
        <v>21.68</v>
      </c>
      <c r="AD19" s="65"/>
      <c r="AE19" s="65"/>
      <c r="AF19" s="36" t="e">
        <f t="shared" si="6"/>
        <v>#REF!</v>
      </c>
      <c r="AG19" s="36" t="e">
        <f t="shared" si="4"/>
        <v>#REF!</v>
      </c>
      <c r="AH19" s="36" t="e">
        <f t="shared" si="4"/>
        <v>#REF!</v>
      </c>
      <c r="AI19" s="36" t="e">
        <f t="shared" si="4"/>
        <v>#REF!</v>
      </c>
      <c r="AJ19" s="36" t="e">
        <f t="shared" si="4"/>
        <v>#REF!</v>
      </c>
      <c r="AK19" s="36" t="e">
        <f t="shared" si="4"/>
        <v>#REF!</v>
      </c>
      <c r="AL19" s="36" t="e">
        <f t="shared" si="4"/>
        <v>#REF!</v>
      </c>
      <c r="AM19" s="36" t="e">
        <f t="shared" si="4"/>
        <v>#REF!</v>
      </c>
      <c r="AN19" s="36" t="e">
        <f t="shared" si="4"/>
        <v>#REF!</v>
      </c>
      <c r="AO19" s="36" t="e">
        <f t="shared" si="4"/>
        <v>#REF!</v>
      </c>
      <c r="AQ19" s="38"/>
      <c r="AR19" s="36" t="e">
        <f t="shared" si="7"/>
        <v>#REF!</v>
      </c>
      <c r="AS19" s="36" t="e">
        <f t="shared" si="5"/>
        <v>#REF!</v>
      </c>
      <c r="AT19" s="36" t="e">
        <f t="shared" si="5"/>
        <v>#REF!</v>
      </c>
      <c r="AU19" s="36" t="e">
        <f t="shared" si="5"/>
        <v>#REF!</v>
      </c>
      <c r="AV19" s="36" t="e">
        <f t="shared" si="5"/>
        <v>#REF!</v>
      </c>
      <c r="AW19" s="36" t="e">
        <f t="shared" si="5"/>
        <v>#REF!</v>
      </c>
      <c r="AX19" s="36" t="e">
        <f t="shared" si="5"/>
        <v>#REF!</v>
      </c>
      <c r="AY19" s="36" t="e">
        <f t="shared" si="5"/>
        <v>#REF!</v>
      </c>
      <c r="AZ19" s="36" t="e">
        <f t="shared" si="5"/>
        <v>#REF!</v>
      </c>
      <c r="BA19" s="36" t="e">
        <f t="shared" si="5"/>
        <v>#REF!</v>
      </c>
    </row>
    <row r="20" spans="1:53" hidden="1">
      <c r="A20" s="37" t="s">
        <v>85</v>
      </c>
      <c r="B20" s="37"/>
      <c r="C20" s="37"/>
      <c r="AA20" s="64"/>
      <c r="AB20" s="65" t="s">
        <v>35</v>
      </c>
      <c r="AC20" s="65">
        <v>9.3046500000000005</v>
      </c>
      <c r="AD20" s="65"/>
      <c r="AE20" s="65"/>
      <c r="AF20" s="36" t="e">
        <f t="shared" si="6"/>
        <v>#REF!</v>
      </c>
      <c r="AG20" s="36" t="e">
        <f t="shared" si="4"/>
        <v>#REF!</v>
      </c>
      <c r="AH20" s="36" t="e">
        <f t="shared" si="4"/>
        <v>#REF!</v>
      </c>
      <c r="AI20" s="36" t="e">
        <f t="shared" si="4"/>
        <v>#REF!</v>
      </c>
      <c r="AJ20" s="36" t="e">
        <f t="shared" si="4"/>
        <v>#REF!</v>
      </c>
      <c r="AK20" s="36" t="e">
        <f t="shared" si="4"/>
        <v>#REF!</v>
      </c>
      <c r="AL20" s="36" t="e">
        <f t="shared" si="4"/>
        <v>#REF!</v>
      </c>
      <c r="AM20" s="36" t="e">
        <f t="shared" si="4"/>
        <v>#REF!</v>
      </c>
      <c r="AN20" s="36" t="e">
        <f t="shared" si="4"/>
        <v>#REF!</v>
      </c>
      <c r="AO20" s="36" t="e">
        <f t="shared" si="4"/>
        <v>#REF!</v>
      </c>
      <c r="AQ20" s="38"/>
      <c r="AR20" s="36" t="e">
        <f t="shared" si="7"/>
        <v>#REF!</v>
      </c>
      <c r="AS20" s="36" t="e">
        <f t="shared" si="5"/>
        <v>#REF!</v>
      </c>
      <c r="AT20" s="36" t="e">
        <f t="shared" si="5"/>
        <v>#REF!</v>
      </c>
      <c r="AU20" s="36" t="e">
        <f t="shared" si="5"/>
        <v>#REF!</v>
      </c>
      <c r="AV20" s="36" t="e">
        <f t="shared" si="5"/>
        <v>#REF!</v>
      </c>
      <c r="AW20" s="36" t="e">
        <f t="shared" si="5"/>
        <v>#REF!</v>
      </c>
      <c r="AX20" s="36" t="e">
        <f t="shared" si="5"/>
        <v>#REF!</v>
      </c>
      <c r="AY20" s="36" t="e">
        <f t="shared" si="5"/>
        <v>#REF!</v>
      </c>
      <c r="AZ20" s="36" t="e">
        <f t="shared" si="5"/>
        <v>#REF!</v>
      </c>
      <c r="BA20" s="36" t="e">
        <f t="shared" si="5"/>
        <v>#REF!</v>
      </c>
    </row>
    <row r="21" spans="1:53" hidden="1">
      <c r="A21" s="37" t="s">
        <v>86</v>
      </c>
      <c r="B21" s="37"/>
      <c r="C21" s="37"/>
      <c r="AA21" s="64"/>
      <c r="AB21" s="65" t="s">
        <v>36</v>
      </c>
      <c r="AC21" s="65">
        <v>5.0347999999999997</v>
      </c>
      <c r="AD21" s="65"/>
      <c r="AE21" s="65"/>
      <c r="AF21" s="36" t="e">
        <f t="shared" si="6"/>
        <v>#REF!</v>
      </c>
      <c r="AG21" s="36" t="e">
        <f t="shared" si="4"/>
        <v>#REF!</v>
      </c>
      <c r="AH21" s="36" t="e">
        <f t="shared" si="4"/>
        <v>#REF!</v>
      </c>
      <c r="AI21" s="36" t="e">
        <f t="shared" si="4"/>
        <v>#REF!</v>
      </c>
      <c r="AJ21" s="36" t="e">
        <f t="shared" si="4"/>
        <v>#REF!</v>
      </c>
      <c r="AK21" s="36" t="e">
        <f t="shared" si="4"/>
        <v>#REF!</v>
      </c>
      <c r="AL21" s="36" t="e">
        <f t="shared" si="4"/>
        <v>#REF!</v>
      </c>
      <c r="AM21" s="36" t="e">
        <f t="shared" si="4"/>
        <v>#REF!</v>
      </c>
      <c r="AN21" s="36" t="e">
        <f t="shared" si="4"/>
        <v>#REF!</v>
      </c>
      <c r="AO21" s="36" t="e">
        <f t="shared" si="4"/>
        <v>#REF!</v>
      </c>
      <c r="AQ21" s="38"/>
      <c r="AR21" s="36" t="e">
        <f t="shared" si="7"/>
        <v>#REF!</v>
      </c>
      <c r="AS21" s="36" t="e">
        <f t="shared" si="5"/>
        <v>#REF!</v>
      </c>
      <c r="AT21" s="36" t="e">
        <f t="shared" si="5"/>
        <v>#REF!</v>
      </c>
      <c r="AU21" s="36" t="e">
        <f t="shared" si="5"/>
        <v>#REF!</v>
      </c>
      <c r="AV21" s="36" t="e">
        <f t="shared" si="5"/>
        <v>#REF!</v>
      </c>
      <c r="AW21" s="36" t="e">
        <f t="shared" si="5"/>
        <v>#REF!</v>
      </c>
      <c r="AX21" s="36" t="e">
        <f t="shared" si="5"/>
        <v>#REF!</v>
      </c>
      <c r="AY21" s="36" t="e">
        <f t="shared" si="5"/>
        <v>#REF!</v>
      </c>
      <c r="AZ21" s="36" t="e">
        <f t="shared" si="5"/>
        <v>#REF!</v>
      </c>
      <c r="BA21" s="36" t="e">
        <f t="shared" si="5"/>
        <v>#REF!</v>
      </c>
    </row>
    <row r="22" spans="1:53" hidden="1">
      <c r="A22" s="37" t="s">
        <v>87</v>
      </c>
      <c r="B22" s="37"/>
      <c r="C22" s="37"/>
      <c r="AA22" s="64"/>
      <c r="AB22" s="65" t="s">
        <v>37</v>
      </c>
      <c r="AC22" s="65">
        <v>0</v>
      </c>
      <c r="AD22" s="65"/>
      <c r="AE22" s="65"/>
      <c r="AF22" s="36" t="e">
        <f t="shared" si="6"/>
        <v>#REF!</v>
      </c>
      <c r="AG22" s="36" t="e">
        <f t="shared" si="4"/>
        <v>#REF!</v>
      </c>
      <c r="AH22" s="36" t="e">
        <f t="shared" si="4"/>
        <v>#REF!</v>
      </c>
      <c r="AI22" s="36" t="e">
        <f t="shared" si="4"/>
        <v>#REF!</v>
      </c>
      <c r="AJ22" s="36" t="e">
        <f t="shared" si="4"/>
        <v>#REF!</v>
      </c>
      <c r="AK22" s="36" t="e">
        <f t="shared" si="4"/>
        <v>#REF!</v>
      </c>
      <c r="AL22" s="36" t="e">
        <f t="shared" si="4"/>
        <v>#REF!</v>
      </c>
      <c r="AM22" s="36" t="e">
        <f t="shared" si="4"/>
        <v>#REF!</v>
      </c>
      <c r="AN22" s="36" t="e">
        <f t="shared" si="4"/>
        <v>#REF!</v>
      </c>
      <c r="AO22" s="36" t="e">
        <f t="shared" si="4"/>
        <v>#REF!</v>
      </c>
      <c r="AQ22" s="38"/>
      <c r="AR22" s="36" t="e">
        <f t="shared" si="7"/>
        <v>#REF!</v>
      </c>
      <c r="AS22" s="36" t="e">
        <f t="shared" si="5"/>
        <v>#REF!</v>
      </c>
      <c r="AT22" s="36" t="e">
        <f t="shared" si="5"/>
        <v>#REF!</v>
      </c>
      <c r="AU22" s="36" t="e">
        <f t="shared" si="5"/>
        <v>#REF!</v>
      </c>
      <c r="AV22" s="36" t="e">
        <f t="shared" si="5"/>
        <v>#REF!</v>
      </c>
      <c r="AW22" s="36" t="e">
        <f t="shared" si="5"/>
        <v>#REF!</v>
      </c>
      <c r="AX22" s="36" t="e">
        <f t="shared" si="5"/>
        <v>#REF!</v>
      </c>
      <c r="AY22" s="36" t="e">
        <f t="shared" si="5"/>
        <v>#REF!</v>
      </c>
      <c r="AZ22" s="36" t="e">
        <f t="shared" si="5"/>
        <v>#REF!</v>
      </c>
      <c r="BA22" s="36" t="e">
        <f t="shared" si="5"/>
        <v>#REF!</v>
      </c>
    </row>
    <row r="23" spans="1:53" hidden="1">
      <c r="A23" s="37" t="s">
        <v>0</v>
      </c>
      <c r="B23" s="37"/>
      <c r="C23" s="37"/>
      <c r="AA23" s="64"/>
      <c r="AB23" s="65" t="s">
        <v>38</v>
      </c>
      <c r="AC23" s="65">
        <v>0</v>
      </c>
      <c r="AD23" s="65"/>
      <c r="AE23" s="65"/>
      <c r="AF23" s="36" t="e">
        <f t="shared" si="6"/>
        <v>#REF!</v>
      </c>
      <c r="AG23" s="36" t="e">
        <f t="shared" si="4"/>
        <v>#REF!</v>
      </c>
      <c r="AH23" s="36" t="e">
        <f t="shared" si="4"/>
        <v>#REF!</v>
      </c>
      <c r="AI23" s="36" t="e">
        <f t="shared" si="4"/>
        <v>#REF!</v>
      </c>
      <c r="AJ23" s="36" t="e">
        <f t="shared" si="4"/>
        <v>#REF!</v>
      </c>
      <c r="AK23" s="36" t="e">
        <f t="shared" si="4"/>
        <v>#REF!</v>
      </c>
      <c r="AL23" s="36" t="e">
        <f t="shared" si="4"/>
        <v>#REF!</v>
      </c>
      <c r="AM23" s="36" t="e">
        <f t="shared" si="4"/>
        <v>#REF!</v>
      </c>
      <c r="AN23" s="36" t="e">
        <f t="shared" si="4"/>
        <v>#REF!</v>
      </c>
      <c r="AO23" s="36" t="e">
        <f t="shared" si="4"/>
        <v>#REF!</v>
      </c>
      <c r="AQ23" s="38"/>
      <c r="AR23" s="36" t="e">
        <f t="shared" si="7"/>
        <v>#REF!</v>
      </c>
      <c r="AS23" s="36" t="e">
        <f t="shared" si="5"/>
        <v>#REF!</v>
      </c>
      <c r="AT23" s="36" t="e">
        <f t="shared" si="5"/>
        <v>#REF!</v>
      </c>
      <c r="AU23" s="36" t="e">
        <f t="shared" si="5"/>
        <v>#REF!</v>
      </c>
      <c r="AV23" s="36" t="e">
        <f t="shared" si="5"/>
        <v>#REF!</v>
      </c>
      <c r="AW23" s="36" t="e">
        <f t="shared" si="5"/>
        <v>#REF!</v>
      </c>
      <c r="AX23" s="36" t="e">
        <f t="shared" si="5"/>
        <v>#REF!</v>
      </c>
      <c r="AY23" s="36" t="e">
        <f t="shared" si="5"/>
        <v>#REF!</v>
      </c>
      <c r="AZ23" s="36" t="e">
        <f t="shared" si="5"/>
        <v>#REF!</v>
      </c>
      <c r="BA23" s="36" t="e">
        <f t="shared" si="5"/>
        <v>#REF!</v>
      </c>
    </row>
    <row r="24" spans="1:53" hidden="1">
      <c r="A24" s="37" t="s">
        <v>59</v>
      </c>
      <c r="B24" s="37">
        <f>(0.016*(0.03/2)^0.65*(2/3)^1.5)-0.00047</f>
        <v>9.8123053326417428E-5</v>
      </c>
      <c r="C24" s="37"/>
      <c r="AA24" s="64"/>
      <c r="AB24" s="65" t="s">
        <v>39</v>
      </c>
      <c r="AC24" s="65">
        <v>0</v>
      </c>
      <c r="AD24" s="65"/>
      <c r="AE24" s="65"/>
      <c r="AF24" s="36" t="e">
        <f t="shared" si="6"/>
        <v>#REF!</v>
      </c>
      <c r="AG24" s="36" t="e">
        <f t="shared" si="4"/>
        <v>#REF!</v>
      </c>
      <c r="AH24" s="36" t="e">
        <f t="shared" si="4"/>
        <v>#REF!</v>
      </c>
      <c r="AI24" s="36" t="e">
        <f t="shared" si="4"/>
        <v>#REF!</v>
      </c>
      <c r="AJ24" s="36" t="e">
        <f t="shared" si="4"/>
        <v>#REF!</v>
      </c>
      <c r="AK24" s="36" t="e">
        <f t="shared" si="4"/>
        <v>#REF!</v>
      </c>
      <c r="AL24" s="36" t="e">
        <f t="shared" si="4"/>
        <v>#REF!</v>
      </c>
      <c r="AM24" s="36" t="e">
        <f t="shared" si="4"/>
        <v>#REF!</v>
      </c>
      <c r="AN24" s="36" t="e">
        <f t="shared" si="4"/>
        <v>#REF!</v>
      </c>
      <c r="AO24" s="36" t="e">
        <f t="shared" si="4"/>
        <v>#REF!</v>
      </c>
      <c r="AQ24" s="38"/>
      <c r="AR24" s="36" t="e">
        <f t="shared" si="7"/>
        <v>#REF!</v>
      </c>
      <c r="AS24" s="36" t="e">
        <f t="shared" si="5"/>
        <v>#REF!</v>
      </c>
      <c r="AT24" s="36" t="e">
        <f t="shared" si="5"/>
        <v>#REF!</v>
      </c>
      <c r="AU24" s="36" t="e">
        <f t="shared" si="5"/>
        <v>#REF!</v>
      </c>
      <c r="AV24" s="36" t="e">
        <f t="shared" si="5"/>
        <v>#REF!</v>
      </c>
      <c r="AW24" s="36" t="e">
        <f t="shared" si="5"/>
        <v>#REF!</v>
      </c>
      <c r="AX24" s="36" t="e">
        <f t="shared" si="5"/>
        <v>#REF!</v>
      </c>
      <c r="AY24" s="36" t="e">
        <f t="shared" si="5"/>
        <v>#REF!</v>
      </c>
      <c r="AZ24" s="36" t="e">
        <f t="shared" si="5"/>
        <v>#REF!</v>
      </c>
      <c r="BA24" s="36" t="e">
        <f t="shared" si="5"/>
        <v>#REF!</v>
      </c>
    </row>
    <row r="25" spans="1:53" hidden="1">
      <c r="A25" s="37"/>
      <c r="B25" s="37"/>
      <c r="C25" s="37"/>
      <c r="AA25" s="64"/>
      <c r="AB25" s="65" t="s">
        <v>40</v>
      </c>
      <c r="AC25" s="65">
        <v>0</v>
      </c>
      <c r="AD25" s="65"/>
      <c r="AE25" s="65"/>
      <c r="AF25" s="36" t="e">
        <f t="shared" si="6"/>
        <v>#REF!</v>
      </c>
      <c r="AG25" s="36" t="e">
        <f t="shared" si="4"/>
        <v>#REF!</v>
      </c>
      <c r="AH25" s="36" t="e">
        <f t="shared" si="4"/>
        <v>#REF!</v>
      </c>
      <c r="AI25" s="36" t="e">
        <f t="shared" si="4"/>
        <v>#REF!</v>
      </c>
      <c r="AJ25" s="36" t="e">
        <f t="shared" si="4"/>
        <v>#REF!</v>
      </c>
      <c r="AK25" s="36" t="e">
        <f t="shared" si="4"/>
        <v>#REF!</v>
      </c>
      <c r="AL25" s="36" t="e">
        <f t="shared" si="4"/>
        <v>#REF!</v>
      </c>
      <c r="AM25" s="36" t="e">
        <f t="shared" si="4"/>
        <v>#REF!</v>
      </c>
      <c r="AN25" s="36" t="e">
        <f t="shared" si="4"/>
        <v>#REF!</v>
      </c>
      <c r="AO25" s="36" t="e">
        <f t="shared" si="4"/>
        <v>#REF!</v>
      </c>
      <c r="AQ25" s="38"/>
      <c r="AR25" s="36" t="e">
        <f t="shared" si="7"/>
        <v>#REF!</v>
      </c>
      <c r="AS25" s="36" t="e">
        <f t="shared" si="5"/>
        <v>#REF!</v>
      </c>
      <c r="AT25" s="36" t="e">
        <f t="shared" si="5"/>
        <v>#REF!</v>
      </c>
      <c r="AU25" s="36" t="e">
        <f t="shared" si="5"/>
        <v>#REF!</v>
      </c>
      <c r="AV25" s="36" t="e">
        <f t="shared" si="5"/>
        <v>#REF!</v>
      </c>
      <c r="AW25" s="36" t="e">
        <f t="shared" si="5"/>
        <v>#REF!</v>
      </c>
      <c r="AX25" s="36" t="e">
        <f t="shared" si="5"/>
        <v>#REF!</v>
      </c>
      <c r="AY25" s="36" t="e">
        <f t="shared" si="5"/>
        <v>#REF!</v>
      </c>
      <c r="AZ25" s="36" t="e">
        <f t="shared" si="5"/>
        <v>#REF!</v>
      </c>
      <c r="BA25" s="36" t="e">
        <f t="shared" si="5"/>
        <v>#REF!</v>
      </c>
    </row>
    <row r="26" spans="1:53" hidden="1">
      <c r="A26" s="37"/>
      <c r="B26" s="37"/>
      <c r="C26" s="37"/>
      <c r="AA26" s="64"/>
      <c r="AB26" s="65"/>
      <c r="AC26" s="65"/>
      <c r="AD26" s="65"/>
      <c r="AE26" s="65"/>
      <c r="AQ26" s="38"/>
    </row>
    <row r="27" spans="1:53" hidden="1">
      <c r="A27" s="37"/>
      <c r="B27" s="37"/>
      <c r="C27" s="37"/>
      <c r="AA27" s="64" t="s">
        <v>41</v>
      </c>
      <c r="AB27" s="65" t="s">
        <v>30</v>
      </c>
      <c r="AC27" s="65" t="s">
        <v>31</v>
      </c>
      <c r="AD27" s="65"/>
      <c r="AE27" s="65"/>
      <c r="AQ27" s="38"/>
    </row>
    <row r="28" spans="1:53" hidden="1">
      <c r="A28" s="37" t="s">
        <v>88</v>
      </c>
      <c r="B28" s="37"/>
      <c r="C28" s="37"/>
      <c r="AA28" s="64"/>
      <c r="AB28" s="65" t="s">
        <v>32</v>
      </c>
      <c r="AC28" s="65">
        <v>0</v>
      </c>
      <c r="AD28" s="65"/>
      <c r="AE28" s="65"/>
      <c r="AF28" s="36" t="e">
        <f t="shared" ref="AF28:AO36" si="8">AF$12*$AC28</f>
        <v>#REF!</v>
      </c>
      <c r="AG28" s="36" t="e">
        <f t="shared" si="8"/>
        <v>#REF!</v>
      </c>
      <c r="AH28" s="36" t="e">
        <f t="shared" si="8"/>
        <v>#REF!</v>
      </c>
      <c r="AI28" s="36" t="e">
        <f t="shared" si="8"/>
        <v>#REF!</v>
      </c>
      <c r="AJ28" s="36" t="e">
        <f t="shared" si="8"/>
        <v>#REF!</v>
      </c>
      <c r="AK28" s="36" t="e">
        <f t="shared" si="8"/>
        <v>#REF!</v>
      </c>
      <c r="AL28" s="36" t="e">
        <f t="shared" si="8"/>
        <v>#REF!</v>
      </c>
      <c r="AM28" s="36" t="e">
        <f t="shared" si="8"/>
        <v>#REF!</v>
      </c>
      <c r="AN28" s="36" t="e">
        <f t="shared" si="8"/>
        <v>#REF!</v>
      </c>
      <c r="AO28" s="36" t="e">
        <f t="shared" si="8"/>
        <v>#REF!</v>
      </c>
      <c r="AQ28" s="38"/>
      <c r="AR28" s="36" t="e">
        <f t="shared" ref="AR28:BA36" si="9">AR$12*$AC28</f>
        <v>#REF!</v>
      </c>
      <c r="AS28" s="36" t="e">
        <f t="shared" si="9"/>
        <v>#REF!</v>
      </c>
      <c r="AT28" s="36" t="e">
        <f t="shared" si="9"/>
        <v>#REF!</v>
      </c>
      <c r="AU28" s="36" t="e">
        <f t="shared" si="9"/>
        <v>#REF!</v>
      </c>
      <c r="AV28" s="36" t="e">
        <f t="shared" si="9"/>
        <v>#REF!</v>
      </c>
      <c r="AW28" s="36" t="e">
        <f t="shared" si="9"/>
        <v>#REF!</v>
      </c>
      <c r="AX28" s="36" t="e">
        <f t="shared" si="9"/>
        <v>#REF!</v>
      </c>
      <c r="AY28" s="36" t="e">
        <f t="shared" si="9"/>
        <v>#REF!</v>
      </c>
      <c r="AZ28" s="36" t="e">
        <f t="shared" si="9"/>
        <v>#REF!</v>
      </c>
      <c r="BA28" s="36" t="e">
        <f t="shared" si="9"/>
        <v>#REF!</v>
      </c>
    </row>
    <row r="29" spans="1:53" hidden="1">
      <c r="A29" s="37" t="s">
        <v>89</v>
      </c>
      <c r="B29" s="37"/>
      <c r="C29" s="37"/>
      <c r="AA29" s="64"/>
      <c r="AB29" s="65" t="s">
        <v>33</v>
      </c>
      <c r="AC29" s="65">
        <v>6.2010000000000005</v>
      </c>
      <c r="AD29" s="65"/>
      <c r="AE29" s="65"/>
      <c r="AF29" s="36" t="e">
        <f t="shared" si="8"/>
        <v>#REF!</v>
      </c>
      <c r="AG29" s="36" t="e">
        <f t="shared" si="8"/>
        <v>#REF!</v>
      </c>
      <c r="AH29" s="36" t="e">
        <f t="shared" si="8"/>
        <v>#REF!</v>
      </c>
      <c r="AI29" s="36" t="e">
        <f t="shared" si="8"/>
        <v>#REF!</v>
      </c>
      <c r="AJ29" s="36" t="e">
        <f t="shared" si="8"/>
        <v>#REF!</v>
      </c>
      <c r="AK29" s="36" t="e">
        <f t="shared" si="8"/>
        <v>#REF!</v>
      </c>
      <c r="AL29" s="36" t="e">
        <f t="shared" si="8"/>
        <v>#REF!</v>
      </c>
      <c r="AM29" s="36" t="e">
        <f t="shared" si="8"/>
        <v>#REF!</v>
      </c>
      <c r="AN29" s="36" t="e">
        <f t="shared" si="8"/>
        <v>#REF!</v>
      </c>
      <c r="AO29" s="36" t="e">
        <f t="shared" si="8"/>
        <v>#REF!</v>
      </c>
      <c r="AQ29" s="38"/>
      <c r="AR29" s="36" t="e">
        <f t="shared" si="9"/>
        <v>#REF!</v>
      </c>
      <c r="AS29" s="36" t="e">
        <f t="shared" si="9"/>
        <v>#REF!</v>
      </c>
      <c r="AT29" s="36" t="e">
        <f t="shared" si="9"/>
        <v>#REF!</v>
      </c>
      <c r="AU29" s="36" t="e">
        <f t="shared" si="9"/>
        <v>#REF!</v>
      </c>
      <c r="AV29" s="36" t="e">
        <f t="shared" si="9"/>
        <v>#REF!</v>
      </c>
      <c r="AW29" s="36" t="e">
        <f t="shared" si="9"/>
        <v>#REF!</v>
      </c>
      <c r="AX29" s="36" t="e">
        <f t="shared" si="9"/>
        <v>#REF!</v>
      </c>
      <c r="AY29" s="36" t="e">
        <f t="shared" si="9"/>
        <v>#REF!</v>
      </c>
      <c r="AZ29" s="36" t="e">
        <f t="shared" si="9"/>
        <v>#REF!</v>
      </c>
      <c r="BA29" s="36" t="e">
        <f t="shared" si="9"/>
        <v>#REF!</v>
      </c>
    </row>
    <row r="30" spans="1:53" hidden="1">
      <c r="A30" s="37" t="s">
        <v>90</v>
      </c>
      <c r="B30" s="37"/>
      <c r="C30" s="37"/>
      <c r="AA30" s="64"/>
      <c r="AB30" s="65" t="s">
        <v>34</v>
      </c>
      <c r="AC30" s="65">
        <v>0</v>
      </c>
      <c r="AD30" s="65"/>
      <c r="AE30" s="65"/>
      <c r="AF30" s="36" t="e">
        <f t="shared" si="8"/>
        <v>#REF!</v>
      </c>
      <c r="AG30" s="36" t="e">
        <f t="shared" si="8"/>
        <v>#REF!</v>
      </c>
      <c r="AH30" s="36" t="e">
        <f t="shared" si="8"/>
        <v>#REF!</v>
      </c>
      <c r="AI30" s="36" t="e">
        <f t="shared" si="8"/>
        <v>#REF!</v>
      </c>
      <c r="AJ30" s="36" t="e">
        <f t="shared" si="8"/>
        <v>#REF!</v>
      </c>
      <c r="AK30" s="36" t="e">
        <f t="shared" si="8"/>
        <v>#REF!</v>
      </c>
      <c r="AL30" s="36" t="e">
        <f t="shared" si="8"/>
        <v>#REF!</v>
      </c>
      <c r="AM30" s="36" t="e">
        <f t="shared" si="8"/>
        <v>#REF!</v>
      </c>
      <c r="AN30" s="36" t="e">
        <f t="shared" si="8"/>
        <v>#REF!</v>
      </c>
      <c r="AO30" s="36" t="e">
        <f t="shared" si="8"/>
        <v>#REF!</v>
      </c>
      <c r="AQ30" s="38"/>
      <c r="AR30" s="36" t="e">
        <f t="shared" si="9"/>
        <v>#REF!</v>
      </c>
      <c r="AS30" s="36" t="e">
        <f t="shared" si="9"/>
        <v>#REF!</v>
      </c>
      <c r="AT30" s="36" t="e">
        <f t="shared" si="9"/>
        <v>#REF!</v>
      </c>
      <c r="AU30" s="36" t="e">
        <f t="shared" si="9"/>
        <v>#REF!</v>
      </c>
      <c r="AV30" s="36" t="e">
        <f t="shared" si="9"/>
        <v>#REF!</v>
      </c>
      <c r="AW30" s="36" t="e">
        <f t="shared" si="9"/>
        <v>#REF!</v>
      </c>
      <c r="AX30" s="36" t="e">
        <f t="shared" si="9"/>
        <v>#REF!</v>
      </c>
      <c r="AY30" s="36" t="e">
        <f t="shared" si="9"/>
        <v>#REF!</v>
      </c>
      <c r="AZ30" s="36" t="e">
        <f t="shared" si="9"/>
        <v>#REF!</v>
      </c>
      <c r="BA30" s="36" t="e">
        <f t="shared" si="9"/>
        <v>#REF!</v>
      </c>
    </row>
    <row r="31" spans="1:53" hidden="1">
      <c r="A31" s="37" t="s">
        <v>91</v>
      </c>
      <c r="B31" s="37"/>
      <c r="C31" s="37"/>
      <c r="AA31" s="64"/>
      <c r="AB31" s="65" t="s">
        <v>35</v>
      </c>
      <c r="AC31" s="65">
        <v>9.8037500000000009</v>
      </c>
      <c r="AD31" s="65"/>
      <c r="AE31" s="65"/>
      <c r="AF31" s="36" t="e">
        <f t="shared" si="8"/>
        <v>#REF!</v>
      </c>
      <c r="AG31" s="36" t="e">
        <f t="shared" si="8"/>
        <v>#REF!</v>
      </c>
      <c r="AH31" s="36" t="e">
        <f t="shared" si="8"/>
        <v>#REF!</v>
      </c>
      <c r="AI31" s="36" t="e">
        <f t="shared" si="8"/>
        <v>#REF!</v>
      </c>
      <c r="AJ31" s="36" t="e">
        <f t="shared" si="8"/>
        <v>#REF!</v>
      </c>
      <c r="AK31" s="36" t="e">
        <f t="shared" si="8"/>
        <v>#REF!</v>
      </c>
      <c r="AL31" s="36" t="e">
        <f t="shared" si="8"/>
        <v>#REF!</v>
      </c>
      <c r="AM31" s="36" t="e">
        <f t="shared" si="8"/>
        <v>#REF!</v>
      </c>
      <c r="AN31" s="36" t="e">
        <f t="shared" si="8"/>
        <v>#REF!</v>
      </c>
      <c r="AO31" s="36" t="e">
        <f t="shared" si="8"/>
        <v>#REF!</v>
      </c>
      <c r="AQ31" s="38"/>
      <c r="AR31" s="36" t="e">
        <f t="shared" si="9"/>
        <v>#REF!</v>
      </c>
      <c r="AS31" s="36" t="e">
        <f t="shared" si="9"/>
        <v>#REF!</v>
      </c>
      <c r="AT31" s="36" t="e">
        <f t="shared" si="9"/>
        <v>#REF!</v>
      </c>
      <c r="AU31" s="36" t="e">
        <f t="shared" si="9"/>
        <v>#REF!</v>
      </c>
      <c r="AV31" s="36" t="e">
        <f t="shared" si="9"/>
        <v>#REF!</v>
      </c>
      <c r="AW31" s="36" t="e">
        <f t="shared" si="9"/>
        <v>#REF!</v>
      </c>
      <c r="AX31" s="36" t="e">
        <f t="shared" si="9"/>
        <v>#REF!</v>
      </c>
      <c r="AY31" s="36" t="e">
        <f t="shared" si="9"/>
        <v>#REF!</v>
      </c>
      <c r="AZ31" s="36" t="e">
        <f t="shared" si="9"/>
        <v>#REF!</v>
      </c>
      <c r="BA31" s="36" t="e">
        <f t="shared" si="9"/>
        <v>#REF!</v>
      </c>
    </row>
    <row r="32" spans="1:53" hidden="1">
      <c r="A32" s="37" t="s">
        <v>92</v>
      </c>
      <c r="B32" s="37"/>
      <c r="C32" s="37"/>
      <c r="AA32" s="64"/>
      <c r="AB32" s="65" t="s">
        <v>36</v>
      </c>
      <c r="AC32" s="65">
        <v>7.2451999999999996</v>
      </c>
      <c r="AD32" s="65"/>
      <c r="AE32" s="65"/>
      <c r="AF32" s="36" t="e">
        <f t="shared" si="8"/>
        <v>#REF!</v>
      </c>
      <c r="AG32" s="36" t="e">
        <f t="shared" si="8"/>
        <v>#REF!</v>
      </c>
      <c r="AH32" s="36" t="e">
        <f t="shared" si="8"/>
        <v>#REF!</v>
      </c>
      <c r="AI32" s="36" t="e">
        <f t="shared" si="8"/>
        <v>#REF!</v>
      </c>
      <c r="AJ32" s="36" t="e">
        <f t="shared" si="8"/>
        <v>#REF!</v>
      </c>
      <c r="AK32" s="36" t="e">
        <f t="shared" si="8"/>
        <v>#REF!</v>
      </c>
      <c r="AL32" s="36" t="e">
        <f t="shared" si="8"/>
        <v>#REF!</v>
      </c>
      <c r="AM32" s="36" t="e">
        <f t="shared" si="8"/>
        <v>#REF!</v>
      </c>
      <c r="AN32" s="36" t="e">
        <f t="shared" si="8"/>
        <v>#REF!</v>
      </c>
      <c r="AO32" s="36" t="e">
        <f t="shared" si="8"/>
        <v>#REF!</v>
      </c>
      <c r="AQ32" s="38"/>
      <c r="AR32" s="36" t="e">
        <f t="shared" si="9"/>
        <v>#REF!</v>
      </c>
      <c r="AS32" s="36" t="e">
        <f t="shared" si="9"/>
        <v>#REF!</v>
      </c>
      <c r="AT32" s="36" t="e">
        <f t="shared" si="9"/>
        <v>#REF!</v>
      </c>
      <c r="AU32" s="36" t="e">
        <f t="shared" si="9"/>
        <v>#REF!</v>
      </c>
      <c r="AV32" s="36" t="e">
        <f t="shared" si="9"/>
        <v>#REF!</v>
      </c>
      <c r="AW32" s="36" t="e">
        <f t="shared" si="9"/>
        <v>#REF!</v>
      </c>
      <c r="AX32" s="36" t="e">
        <f t="shared" si="9"/>
        <v>#REF!</v>
      </c>
      <c r="AY32" s="36" t="e">
        <f t="shared" si="9"/>
        <v>#REF!</v>
      </c>
      <c r="AZ32" s="36" t="e">
        <f t="shared" si="9"/>
        <v>#REF!</v>
      </c>
      <c r="BA32" s="36" t="e">
        <f t="shared" si="9"/>
        <v>#REF!</v>
      </c>
    </row>
    <row r="33" spans="1:53" hidden="1">
      <c r="A33" s="37" t="s">
        <v>84</v>
      </c>
      <c r="B33" s="37"/>
      <c r="C33" s="37"/>
      <c r="AA33" s="64"/>
      <c r="AB33" s="65" t="s">
        <v>37</v>
      </c>
      <c r="AC33" s="65">
        <v>3.6</v>
      </c>
      <c r="AD33" s="65"/>
      <c r="AE33" s="65"/>
      <c r="AF33" s="36" t="e">
        <f t="shared" si="8"/>
        <v>#REF!</v>
      </c>
      <c r="AG33" s="36" t="e">
        <f t="shared" si="8"/>
        <v>#REF!</v>
      </c>
      <c r="AH33" s="36" t="e">
        <f t="shared" si="8"/>
        <v>#REF!</v>
      </c>
      <c r="AI33" s="36" t="e">
        <f t="shared" si="8"/>
        <v>#REF!</v>
      </c>
      <c r="AJ33" s="36" t="e">
        <f t="shared" si="8"/>
        <v>#REF!</v>
      </c>
      <c r="AK33" s="36" t="e">
        <f t="shared" si="8"/>
        <v>#REF!</v>
      </c>
      <c r="AL33" s="36" t="e">
        <f t="shared" si="8"/>
        <v>#REF!</v>
      </c>
      <c r="AM33" s="36" t="e">
        <f t="shared" si="8"/>
        <v>#REF!</v>
      </c>
      <c r="AN33" s="36" t="e">
        <f t="shared" si="8"/>
        <v>#REF!</v>
      </c>
      <c r="AO33" s="36" t="e">
        <f t="shared" si="8"/>
        <v>#REF!</v>
      </c>
      <c r="AQ33" s="38"/>
      <c r="AR33" s="36" t="e">
        <f t="shared" si="9"/>
        <v>#REF!</v>
      </c>
      <c r="AS33" s="36" t="e">
        <f t="shared" si="9"/>
        <v>#REF!</v>
      </c>
      <c r="AT33" s="36" t="e">
        <f t="shared" si="9"/>
        <v>#REF!</v>
      </c>
      <c r="AU33" s="36" t="e">
        <f t="shared" si="9"/>
        <v>#REF!</v>
      </c>
      <c r="AV33" s="36" t="e">
        <f t="shared" si="9"/>
        <v>#REF!</v>
      </c>
      <c r="AW33" s="36" t="e">
        <f t="shared" si="9"/>
        <v>#REF!</v>
      </c>
      <c r="AX33" s="36" t="e">
        <f t="shared" si="9"/>
        <v>#REF!</v>
      </c>
      <c r="AY33" s="36" t="e">
        <f t="shared" si="9"/>
        <v>#REF!</v>
      </c>
      <c r="AZ33" s="36" t="e">
        <f t="shared" si="9"/>
        <v>#REF!</v>
      </c>
      <c r="BA33" s="36" t="e">
        <f t="shared" si="9"/>
        <v>#REF!</v>
      </c>
    </row>
    <row r="34" spans="1:53" hidden="1">
      <c r="A34" s="37" t="s">
        <v>93</v>
      </c>
      <c r="B34" s="37"/>
      <c r="C34" s="37"/>
      <c r="AA34" s="64"/>
      <c r="AB34" s="65" t="s">
        <v>38</v>
      </c>
      <c r="AC34" s="65">
        <v>6.1984000000000004</v>
      </c>
      <c r="AD34" s="65"/>
      <c r="AE34" s="65"/>
      <c r="AF34" s="36" t="e">
        <f t="shared" si="8"/>
        <v>#REF!</v>
      </c>
      <c r="AG34" s="36" t="e">
        <f t="shared" si="8"/>
        <v>#REF!</v>
      </c>
      <c r="AH34" s="36" t="e">
        <f t="shared" si="8"/>
        <v>#REF!</v>
      </c>
      <c r="AI34" s="36" t="e">
        <f t="shared" si="8"/>
        <v>#REF!</v>
      </c>
      <c r="AJ34" s="36" t="e">
        <f t="shared" si="8"/>
        <v>#REF!</v>
      </c>
      <c r="AK34" s="36" t="e">
        <f t="shared" si="8"/>
        <v>#REF!</v>
      </c>
      <c r="AL34" s="36" t="e">
        <f t="shared" si="8"/>
        <v>#REF!</v>
      </c>
      <c r="AM34" s="36" t="e">
        <f t="shared" si="8"/>
        <v>#REF!</v>
      </c>
      <c r="AN34" s="36" t="e">
        <f t="shared" si="8"/>
        <v>#REF!</v>
      </c>
      <c r="AO34" s="36" t="e">
        <f t="shared" si="8"/>
        <v>#REF!</v>
      </c>
      <c r="AQ34" s="38"/>
      <c r="AR34" s="36" t="e">
        <f t="shared" si="9"/>
        <v>#REF!</v>
      </c>
      <c r="AS34" s="36" t="e">
        <f t="shared" si="9"/>
        <v>#REF!</v>
      </c>
      <c r="AT34" s="36" t="e">
        <f t="shared" si="9"/>
        <v>#REF!</v>
      </c>
      <c r="AU34" s="36" t="e">
        <f t="shared" si="9"/>
        <v>#REF!</v>
      </c>
      <c r="AV34" s="36" t="e">
        <f t="shared" si="9"/>
        <v>#REF!</v>
      </c>
      <c r="AW34" s="36" t="e">
        <f t="shared" si="9"/>
        <v>#REF!</v>
      </c>
      <c r="AX34" s="36" t="e">
        <f t="shared" si="9"/>
        <v>#REF!</v>
      </c>
      <c r="AY34" s="36" t="e">
        <f t="shared" si="9"/>
        <v>#REF!</v>
      </c>
      <c r="AZ34" s="36" t="e">
        <f t="shared" si="9"/>
        <v>#REF!</v>
      </c>
      <c r="BA34" s="36" t="e">
        <f t="shared" si="9"/>
        <v>#REF!</v>
      </c>
    </row>
    <row r="35" spans="1:53" hidden="1">
      <c r="A35" s="37" t="s">
        <v>94</v>
      </c>
      <c r="B35" s="37"/>
      <c r="C35" s="37"/>
      <c r="AA35" s="64"/>
      <c r="AB35" s="65" t="s">
        <v>39</v>
      </c>
      <c r="AC35" s="65">
        <v>5.1995100000000001</v>
      </c>
      <c r="AD35" s="65"/>
      <c r="AE35" s="65"/>
      <c r="AF35" s="36" t="e">
        <f t="shared" si="8"/>
        <v>#REF!</v>
      </c>
      <c r="AG35" s="36" t="e">
        <f t="shared" si="8"/>
        <v>#REF!</v>
      </c>
      <c r="AH35" s="36" t="e">
        <f t="shared" si="8"/>
        <v>#REF!</v>
      </c>
      <c r="AI35" s="36" t="e">
        <f t="shared" si="8"/>
        <v>#REF!</v>
      </c>
      <c r="AJ35" s="36" t="e">
        <f t="shared" si="8"/>
        <v>#REF!</v>
      </c>
      <c r="AK35" s="36" t="e">
        <f t="shared" si="8"/>
        <v>#REF!</v>
      </c>
      <c r="AL35" s="36" t="e">
        <f t="shared" si="8"/>
        <v>#REF!</v>
      </c>
      <c r="AM35" s="36" t="e">
        <f t="shared" si="8"/>
        <v>#REF!</v>
      </c>
      <c r="AN35" s="36" t="e">
        <f t="shared" si="8"/>
        <v>#REF!</v>
      </c>
      <c r="AO35" s="36" t="e">
        <f t="shared" si="8"/>
        <v>#REF!</v>
      </c>
      <c r="AQ35" s="38"/>
      <c r="AR35" s="36" t="e">
        <f t="shared" si="9"/>
        <v>#REF!</v>
      </c>
      <c r="AS35" s="36" t="e">
        <f t="shared" si="9"/>
        <v>#REF!</v>
      </c>
      <c r="AT35" s="36" t="e">
        <f t="shared" si="9"/>
        <v>#REF!</v>
      </c>
      <c r="AU35" s="36" t="e">
        <f t="shared" si="9"/>
        <v>#REF!</v>
      </c>
      <c r="AV35" s="36" t="e">
        <f t="shared" si="9"/>
        <v>#REF!</v>
      </c>
      <c r="AW35" s="36" t="e">
        <f t="shared" si="9"/>
        <v>#REF!</v>
      </c>
      <c r="AX35" s="36" t="e">
        <f t="shared" si="9"/>
        <v>#REF!</v>
      </c>
      <c r="AY35" s="36" t="e">
        <f t="shared" si="9"/>
        <v>#REF!</v>
      </c>
      <c r="AZ35" s="36" t="e">
        <f t="shared" si="9"/>
        <v>#REF!</v>
      </c>
      <c r="BA35" s="36" t="e">
        <f t="shared" si="9"/>
        <v>#REF!</v>
      </c>
    </row>
    <row r="36" spans="1:53" hidden="1">
      <c r="A36" s="37" t="s">
        <v>0</v>
      </c>
      <c r="B36" s="37"/>
      <c r="C36" s="37"/>
      <c r="AA36" s="64"/>
      <c r="AB36" s="65" t="s">
        <v>40</v>
      </c>
      <c r="AC36" s="65">
        <v>17.71416</v>
      </c>
      <c r="AD36" s="65"/>
      <c r="AE36" s="65"/>
      <c r="AF36" s="36" t="e">
        <f t="shared" si="8"/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si="9"/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37" s="37" t="s">
        <v>59</v>
      </c>
      <c r="B37" s="37">
        <f>0.39*1.5*(8.5/12)^0.9*(2/3)^0.45</f>
        <v>0.35737873826145539</v>
      </c>
      <c r="C37" s="37"/>
      <c r="AA37" s="64"/>
      <c r="AB37" s="65"/>
      <c r="AC37" s="65"/>
      <c r="AD37" s="65"/>
      <c r="AE37" s="65"/>
      <c r="AQ37" s="38"/>
    </row>
    <row r="38" spans="1:53" hidden="1">
      <c r="A38" s="37" t="s">
        <v>60</v>
      </c>
      <c r="B38" s="37">
        <f>0.39*0.15*(8.5/12)^0.9*(2/3)^0.45</f>
        <v>3.5737873826145544E-2</v>
      </c>
      <c r="C38" s="37"/>
      <c r="AA38" s="64" t="s">
        <v>42</v>
      </c>
      <c r="AB38" s="65" t="s">
        <v>30</v>
      </c>
      <c r="AC38" s="65" t="s">
        <v>31</v>
      </c>
      <c r="AD38" s="65"/>
      <c r="AE38" s="65"/>
      <c r="AQ38" s="38"/>
    </row>
    <row r="39" spans="1:53" hidden="1">
      <c r="AA39" s="64"/>
      <c r="AB39" s="65" t="s">
        <v>32</v>
      </c>
      <c r="AC39" s="65">
        <v>0</v>
      </c>
      <c r="AD39" s="65"/>
      <c r="AE39" s="65"/>
      <c r="AF39" s="36" t="e">
        <f t="shared" ref="AF39:AO47" si="10">AF$12*$AC39</f>
        <v>#REF!</v>
      </c>
      <c r="AG39" s="36" t="e">
        <f t="shared" si="10"/>
        <v>#REF!</v>
      </c>
      <c r="AH39" s="36" t="e">
        <f t="shared" si="10"/>
        <v>#REF!</v>
      </c>
      <c r="AI39" s="36" t="e">
        <f t="shared" si="10"/>
        <v>#REF!</v>
      </c>
      <c r="AJ39" s="36" t="e">
        <f t="shared" si="10"/>
        <v>#REF!</v>
      </c>
      <c r="AK39" s="36" t="e">
        <f t="shared" si="10"/>
        <v>#REF!</v>
      </c>
      <c r="AL39" s="36" t="e">
        <f t="shared" si="10"/>
        <v>#REF!</v>
      </c>
      <c r="AM39" s="36" t="e">
        <f t="shared" si="10"/>
        <v>#REF!</v>
      </c>
      <c r="AN39" s="36" t="e">
        <f t="shared" si="10"/>
        <v>#REF!</v>
      </c>
      <c r="AO39" s="36" t="e">
        <f t="shared" si="10"/>
        <v>#REF!</v>
      </c>
      <c r="AQ39" s="38"/>
      <c r="AR39" s="36" t="e">
        <f t="shared" ref="AR39:BA47" si="11">AR$12*$AC39</f>
        <v>#REF!</v>
      </c>
      <c r="AS39" s="36" t="e">
        <f t="shared" si="11"/>
        <v>#REF!</v>
      </c>
      <c r="AT39" s="36" t="e">
        <f t="shared" si="11"/>
        <v>#REF!</v>
      </c>
      <c r="AU39" s="36" t="e">
        <f t="shared" si="11"/>
        <v>#REF!</v>
      </c>
      <c r="AV39" s="36" t="e">
        <f t="shared" si="11"/>
        <v>#REF!</v>
      </c>
      <c r="AW39" s="36" t="e">
        <f t="shared" si="11"/>
        <v>#REF!</v>
      </c>
      <c r="AX39" s="36" t="e">
        <f t="shared" si="11"/>
        <v>#REF!</v>
      </c>
      <c r="AY39" s="36" t="e">
        <f t="shared" si="11"/>
        <v>#REF!</v>
      </c>
      <c r="AZ39" s="36" t="e">
        <f t="shared" si="11"/>
        <v>#REF!</v>
      </c>
      <c r="BA39" s="36" t="e">
        <f t="shared" si="11"/>
        <v>#REF!</v>
      </c>
    </row>
    <row r="40" spans="1:53" hidden="1">
      <c r="AA40" s="64"/>
      <c r="AB40" s="65" t="s">
        <v>33</v>
      </c>
      <c r="AC40" s="65">
        <v>0</v>
      </c>
      <c r="AD40" s="65"/>
      <c r="AE40" s="65"/>
      <c r="AF40" s="36" t="e">
        <f t="shared" si="10"/>
        <v>#REF!</v>
      </c>
      <c r="AG40" s="36" t="e">
        <f t="shared" si="10"/>
        <v>#REF!</v>
      </c>
      <c r="AH40" s="36" t="e">
        <f t="shared" si="10"/>
        <v>#REF!</v>
      </c>
      <c r="AI40" s="36" t="e">
        <f t="shared" si="10"/>
        <v>#REF!</v>
      </c>
      <c r="AJ40" s="36" t="e">
        <f t="shared" si="10"/>
        <v>#REF!</v>
      </c>
      <c r="AK40" s="36" t="e">
        <f t="shared" si="10"/>
        <v>#REF!</v>
      </c>
      <c r="AL40" s="36" t="e">
        <f t="shared" si="10"/>
        <v>#REF!</v>
      </c>
      <c r="AM40" s="36" t="e">
        <f t="shared" si="10"/>
        <v>#REF!</v>
      </c>
      <c r="AN40" s="36" t="e">
        <f t="shared" si="10"/>
        <v>#REF!</v>
      </c>
      <c r="AO40" s="36" t="e">
        <f t="shared" si="10"/>
        <v>#REF!</v>
      </c>
      <c r="AQ40" s="38"/>
      <c r="AR40" s="36" t="e">
        <f t="shared" si="11"/>
        <v>#REF!</v>
      </c>
      <c r="AS40" s="36" t="e">
        <f t="shared" si="11"/>
        <v>#REF!</v>
      </c>
      <c r="AT40" s="36" t="e">
        <f t="shared" si="11"/>
        <v>#REF!</v>
      </c>
      <c r="AU40" s="36" t="e">
        <f t="shared" si="11"/>
        <v>#REF!</v>
      </c>
      <c r="AV40" s="36" t="e">
        <f t="shared" si="11"/>
        <v>#REF!</v>
      </c>
      <c r="AW40" s="36" t="e">
        <f t="shared" si="11"/>
        <v>#REF!</v>
      </c>
      <c r="AX40" s="36" t="e">
        <f t="shared" si="11"/>
        <v>#REF!</v>
      </c>
      <c r="AY40" s="36" t="e">
        <f t="shared" si="11"/>
        <v>#REF!</v>
      </c>
      <c r="AZ40" s="36" t="e">
        <f t="shared" si="11"/>
        <v>#REF!</v>
      </c>
      <c r="BA40" s="36" t="e">
        <f t="shared" si="11"/>
        <v>#REF!</v>
      </c>
    </row>
    <row r="41" spans="1:53" hidden="1">
      <c r="AA41" s="64"/>
      <c r="AB41" s="65" t="s">
        <v>34</v>
      </c>
      <c r="AC41" s="65">
        <v>0</v>
      </c>
      <c r="AD41" s="65"/>
      <c r="AE41" s="65"/>
      <c r="AF41" s="36" t="e">
        <f t="shared" si="10"/>
        <v>#REF!</v>
      </c>
      <c r="AG41" s="36" t="e">
        <f t="shared" si="10"/>
        <v>#REF!</v>
      </c>
      <c r="AH41" s="36" t="e">
        <f t="shared" si="10"/>
        <v>#REF!</v>
      </c>
      <c r="AI41" s="36" t="e">
        <f t="shared" si="10"/>
        <v>#REF!</v>
      </c>
      <c r="AJ41" s="36" t="e">
        <f t="shared" si="10"/>
        <v>#REF!</v>
      </c>
      <c r="AK41" s="36" t="e">
        <f t="shared" si="10"/>
        <v>#REF!</v>
      </c>
      <c r="AL41" s="36" t="e">
        <f t="shared" si="10"/>
        <v>#REF!</v>
      </c>
      <c r="AM41" s="36" t="e">
        <f t="shared" si="10"/>
        <v>#REF!</v>
      </c>
      <c r="AN41" s="36" t="e">
        <f t="shared" si="10"/>
        <v>#REF!</v>
      </c>
      <c r="AO41" s="36" t="e">
        <f t="shared" si="10"/>
        <v>#REF!</v>
      </c>
      <c r="AQ41" s="38"/>
      <c r="AR41" s="36" t="e">
        <f t="shared" si="11"/>
        <v>#REF!</v>
      </c>
      <c r="AS41" s="36" t="e">
        <f t="shared" si="11"/>
        <v>#REF!</v>
      </c>
      <c r="AT41" s="36" t="e">
        <f t="shared" si="11"/>
        <v>#REF!</v>
      </c>
      <c r="AU41" s="36" t="e">
        <f t="shared" si="11"/>
        <v>#REF!</v>
      </c>
      <c r="AV41" s="36" t="e">
        <f t="shared" si="11"/>
        <v>#REF!</v>
      </c>
      <c r="AW41" s="36" t="e">
        <f t="shared" si="11"/>
        <v>#REF!</v>
      </c>
      <c r="AX41" s="36" t="e">
        <f t="shared" si="11"/>
        <v>#REF!</v>
      </c>
      <c r="AY41" s="36" t="e">
        <f t="shared" si="11"/>
        <v>#REF!</v>
      </c>
      <c r="AZ41" s="36" t="e">
        <f t="shared" si="11"/>
        <v>#REF!</v>
      </c>
      <c r="BA41" s="36" t="e">
        <f t="shared" si="11"/>
        <v>#REF!</v>
      </c>
    </row>
    <row r="42" spans="1:53" hidden="1">
      <c r="AA42" s="64"/>
      <c r="AB42" s="65" t="s">
        <v>35</v>
      </c>
      <c r="AC42" s="65">
        <v>16.541599999999999</v>
      </c>
      <c r="AD42" s="65"/>
      <c r="AE42" s="65"/>
      <c r="AF42" s="36" t="e">
        <f t="shared" si="10"/>
        <v>#REF!</v>
      </c>
      <c r="AG42" s="36" t="e">
        <f t="shared" si="10"/>
        <v>#REF!</v>
      </c>
      <c r="AH42" s="36" t="e">
        <f t="shared" si="10"/>
        <v>#REF!</v>
      </c>
      <c r="AI42" s="36" t="e">
        <f t="shared" si="10"/>
        <v>#REF!</v>
      </c>
      <c r="AJ42" s="36" t="e">
        <f t="shared" si="10"/>
        <v>#REF!</v>
      </c>
      <c r="AK42" s="36" t="e">
        <f t="shared" si="10"/>
        <v>#REF!</v>
      </c>
      <c r="AL42" s="36" t="e">
        <f t="shared" si="10"/>
        <v>#REF!</v>
      </c>
      <c r="AM42" s="36" t="e">
        <f t="shared" si="10"/>
        <v>#REF!</v>
      </c>
      <c r="AN42" s="36" t="e">
        <f t="shared" si="10"/>
        <v>#REF!</v>
      </c>
      <c r="AO42" s="36" t="e">
        <f t="shared" si="10"/>
        <v>#REF!</v>
      </c>
      <c r="AQ42" s="38"/>
      <c r="AR42" s="36" t="e">
        <f t="shared" si="11"/>
        <v>#REF!</v>
      </c>
      <c r="AS42" s="36" t="e">
        <f t="shared" si="11"/>
        <v>#REF!</v>
      </c>
      <c r="AT42" s="36" t="e">
        <f t="shared" si="11"/>
        <v>#REF!</v>
      </c>
      <c r="AU42" s="36" t="e">
        <f t="shared" si="11"/>
        <v>#REF!</v>
      </c>
      <c r="AV42" s="36" t="e">
        <f t="shared" si="11"/>
        <v>#REF!</v>
      </c>
      <c r="AW42" s="36" t="e">
        <f t="shared" si="11"/>
        <v>#REF!</v>
      </c>
      <c r="AX42" s="36" t="e">
        <f t="shared" si="11"/>
        <v>#REF!</v>
      </c>
      <c r="AY42" s="36" t="e">
        <f t="shared" si="11"/>
        <v>#REF!</v>
      </c>
      <c r="AZ42" s="36" t="e">
        <f t="shared" si="11"/>
        <v>#REF!</v>
      </c>
      <c r="BA42" s="36" t="e">
        <f t="shared" si="11"/>
        <v>#REF!</v>
      </c>
    </row>
    <row r="43" spans="1:53" hidden="1">
      <c r="AA43" s="64"/>
      <c r="AB43" s="65" t="s">
        <v>36</v>
      </c>
      <c r="AC43" s="65">
        <v>0</v>
      </c>
      <c r="AD43" s="65"/>
      <c r="AE43" s="65"/>
      <c r="AF43" s="36" t="e">
        <f t="shared" si="10"/>
        <v>#REF!</v>
      </c>
      <c r="AG43" s="36" t="e">
        <f t="shared" si="10"/>
        <v>#REF!</v>
      </c>
      <c r="AH43" s="36" t="e">
        <f t="shared" si="10"/>
        <v>#REF!</v>
      </c>
      <c r="AI43" s="36" t="e">
        <f t="shared" si="10"/>
        <v>#REF!</v>
      </c>
      <c r="AJ43" s="36" t="e">
        <f t="shared" si="10"/>
        <v>#REF!</v>
      </c>
      <c r="AK43" s="36" t="e">
        <f t="shared" si="10"/>
        <v>#REF!</v>
      </c>
      <c r="AL43" s="36" t="e">
        <f t="shared" si="10"/>
        <v>#REF!</v>
      </c>
      <c r="AM43" s="36" t="e">
        <f t="shared" si="10"/>
        <v>#REF!</v>
      </c>
      <c r="AN43" s="36" t="e">
        <f t="shared" si="10"/>
        <v>#REF!</v>
      </c>
      <c r="AO43" s="36" t="e">
        <f t="shared" si="10"/>
        <v>#REF!</v>
      </c>
      <c r="AQ43" s="38"/>
      <c r="AR43" s="36" t="e">
        <f t="shared" si="11"/>
        <v>#REF!</v>
      </c>
      <c r="AS43" s="36" t="e">
        <f t="shared" si="11"/>
        <v>#REF!</v>
      </c>
      <c r="AT43" s="36" t="e">
        <f t="shared" si="11"/>
        <v>#REF!</v>
      </c>
      <c r="AU43" s="36" t="e">
        <f t="shared" si="11"/>
        <v>#REF!</v>
      </c>
      <c r="AV43" s="36" t="e">
        <f t="shared" si="11"/>
        <v>#REF!</v>
      </c>
      <c r="AW43" s="36" t="e">
        <f t="shared" si="11"/>
        <v>#REF!</v>
      </c>
      <c r="AX43" s="36" t="e">
        <f t="shared" si="11"/>
        <v>#REF!</v>
      </c>
      <c r="AY43" s="36" t="e">
        <f t="shared" si="11"/>
        <v>#REF!</v>
      </c>
      <c r="AZ43" s="36" t="e">
        <f t="shared" si="11"/>
        <v>#REF!</v>
      </c>
      <c r="BA43" s="36" t="e">
        <f t="shared" si="11"/>
        <v>#REF!</v>
      </c>
    </row>
    <row r="44" spans="1:53" hidden="1">
      <c r="AA44" s="64"/>
      <c r="AB44" s="65" t="s">
        <v>37</v>
      </c>
      <c r="AC44" s="65">
        <v>0</v>
      </c>
      <c r="AD44" s="65"/>
      <c r="AE44" s="65"/>
      <c r="AF44" s="36" t="e">
        <f t="shared" si="10"/>
        <v>#REF!</v>
      </c>
      <c r="AG44" s="36" t="e">
        <f t="shared" si="10"/>
        <v>#REF!</v>
      </c>
      <c r="AH44" s="36" t="e">
        <f t="shared" si="10"/>
        <v>#REF!</v>
      </c>
      <c r="AI44" s="36" t="e">
        <f t="shared" si="10"/>
        <v>#REF!</v>
      </c>
      <c r="AJ44" s="36" t="e">
        <f t="shared" si="10"/>
        <v>#REF!</v>
      </c>
      <c r="AK44" s="36" t="e">
        <f t="shared" si="10"/>
        <v>#REF!</v>
      </c>
      <c r="AL44" s="36" t="e">
        <f t="shared" si="10"/>
        <v>#REF!</v>
      </c>
      <c r="AM44" s="36" t="e">
        <f t="shared" si="10"/>
        <v>#REF!</v>
      </c>
      <c r="AN44" s="36" t="e">
        <f t="shared" si="10"/>
        <v>#REF!</v>
      </c>
      <c r="AO44" s="36" t="e">
        <f t="shared" si="10"/>
        <v>#REF!</v>
      </c>
      <c r="AQ44" s="38"/>
      <c r="AR44" s="36" t="e">
        <f t="shared" si="11"/>
        <v>#REF!</v>
      </c>
      <c r="AS44" s="36" t="e">
        <f t="shared" si="11"/>
        <v>#REF!</v>
      </c>
      <c r="AT44" s="36" t="e">
        <f t="shared" si="11"/>
        <v>#REF!</v>
      </c>
      <c r="AU44" s="36" t="e">
        <f t="shared" si="11"/>
        <v>#REF!</v>
      </c>
      <c r="AV44" s="36" t="e">
        <f t="shared" si="11"/>
        <v>#REF!</v>
      </c>
      <c r="AW44" s="36" t="e">
        <f t="shared" si="11"/>
        <v>#REF!</v>
      </c>
      <c r="AX44" s="36" t="e">
        <f t="shared" si="11"/>
        <v>#REF!</v>
      </c>
      <c r="AY44" s="36" t="e">
        <f t="shared" si="11"/>
        <v>#REF!</v>
      </c>
      <c r="AZ44" s="36" t="e">
        <f t="shared" si="11"/>
        <v>#REF!</v>
      </c>
      <c r="BA44" s="36" t="e">
        <f t="shared" si="11"/>
        <v>#REF!</v>
      </c>
    </row>
    <row r="45" spans="1:53" hidden="1">
      <c r="AA45" s="64"/>
      <c r="AB45" s="65" t="s">
        <v>38</v>
      </c>
      <c r="AC45" s="65">
        <v>14.601599999999999</v>
      </c>
      <c r="AD45" s="65"/>
      <c r="AE45" s="65"/>
      <c r="AF45" s="36" t="e">
        <f t="shared" si="10"/>
        <v>#REF!</v>
      </c>
      <c r="AG45" s="36" t="e">
        <f t="shared" si="10"/>
        <v>#REF!</v>
      </c>
      <c r="AH45" s="36" t="e">
        <f t="shared" si="10"/>
        <v>#REF!</v>
      </c>
      <c r="AI45" s="36" t="e">
        <f t="shared" si="10"/>
        <v>#REF!</v>
      </c>
      <c r="AJ45" s="36" t="e">
        <f t="shared" si="10"/>
        <v>#REF!</v>
      </c>
      <c r="AK45" s="36" t="e">
        <f t="shared" si="10"/>
        <v>#REF!</v>
      </c>
      <c r="AL45" s="36" t="e">
        <f t="shared" si="10"/>
        <v>#REF!</v>
      </c>
      <c r="AM45" s="36" t="e">
        <f t="shared" si="10"/>
        <v>#REF!</v>
      </c>
      <c r="AN45" s="36" t="e">
        <f t="shared" si="10"/>
        <v>#REF!</v>
      </c>
      <c r="AO45" s="36" t="e">
        <f t="shared" si="10"/>
        <v>#REF!</v>
      </c>
      <c r="AQ45" s="38"/>
      <c r="AR45" s="36" t="e">
        <f t="shared" si="11"/>
        <v>#REF!</v>
      </c>
      <c r="AS45" s="36" t="e">
        <f t="shared" si="11"/>
        <v>#REF!</v>
      </c>
      <c r="AT45" s="36" t="e">
        <f t="shared" si="11"/>
        <v>#REF!</v>
      </c>
      <c r="AU45" s="36" t="e">
        <f t="shared" si="11"/>
        <v>#REF!</v>
      </c>
      <c r="AV45" s="36" t="e">
        <f t="shared" si="11"/>
        <v>#REF!</v>
      </c>
      <c r="AW45" s="36" t="e">
        <f t="shared" si="11"/>
        <v>#REF!</v>
      </c>
      <c r="AX45" s="36" t="e">
        <f t="shared" si="11"/>
        <v>#REF!</v>
      </c>
      <c r="AY45" s="36" t="e">
        <f t="shared" si="11"/>
        <v>#REF!</v>
      </c>
      <c r="AZ45" s="36" t="e">
        <f t="shared" si="11"/>
        <v>#REF!</v>
      </c>
      <c r="BA45" s="36" t="e">
        <f t="shared" si="11"/>
        <v>#REF!</v>
      </c>
    </row>
    <row r="46" spans="1:53" hidden="1">
      <c r="AA46" s="64"/>
      <c r="AB46" s="65" t="s">
        <v>39</v>
      </c>
      <c r="AC46" s="65">
        <v>14.570489999999999</v>
      </c>
      <c r="AD46" s="65"/>
      <c r="AE46" s="65"/>
      <c r="AF46" s="36" t="e">
        <f t="shared" si="10"/>
        <v>#REF!</v>
      </c>
      <c r="AG46" s="36" t="e">
        <f t="shared" si="10"/>
        <v>#REF!</v>
      </c>
      <c r="AH46" s="36" t="e">
        <f t="shared" si="10"/>
        <v>#REF!</v>
      </c>
      <c r="AI46" s="36" t="e">
        <f t="shared" si="10"/>
        <v>#REF!</v>
      </c>
      <c r="AJ46" s="36" t="e">
        <f t="shared" si="10"/>
        <v>#REF!</v>
      </c>
      <c r="AK46" s="36" t="e">
        <f t="shared" si="10"/>
        <v>#REF!</v>
      </c>
      <c r="AL46" s="36" t="e">
        <f t="shared" si="10"/>
        <v>#REF!</v>
      </c>
      <c r="AM46" s="36" t="e">
        <f t="shared" si="10"/>
        <v>#REF!</v>
      </c>
      <c r="AN46" s="36" t="e">
        <f t="shared" si="10"/>
        <v>#REF!</v>
      </c>
      <c r="AO46" s="36" t="e">
        <f t="shared" si="10"/>
        <v>#REF!</v>
      </c>
      <c r="AQ46" s="38"/>
      <c r="AR46" s="36" t="e">
        <f t="shared" si="11"/>
        <v>#REF!</v>
      </c>
      <c r="AS46" s="36" t="e">
        <f t="shared" si="11"/>
        <v>#REF!</v>
      </c>
      <c r="AT46" s="36" t="e">
        <f t="shared" si="11"/>
        <v>#REF!</v>
      </c>
      <c r="AU46" s="36" t="e">
        <f t="shared" si="11"/>
        <v>#REF!</v>
      </c>
      <c r="AV46" s="36" t="e">
        <f t="shared" si="11"/>
        <v>#REF!</v>
      </c>
      <c r="AW46" s="36" t="e">
        <f t="shared" si="11"/>
        <v>#REF!</v>
      </c>
      <c r="AX46" s="36" t="e">
        <f t="shared" si="11"/>
        <v>#REF!</v>
      </c>
      <c r="AY46" s="36" t="e">
        <f t="shared" si="11"/>
        <v>#REF!</v>
      </c>
      <c r="AZ46" s="36" t="e">
        <f t="shared" si="11"/>
        <v>#REF!</v>
      </c>
      <c r="BA46" s="36" t="e">
        <f t="shared" si="11"/>
        <v>#REF!</v>
      </c>
    </row>
    <row r="47" spans="1:53" hidden="1">
      <c r="AA47" s="64"/>
      <c r="AB47" s="65" t="s">
        <v>40</v>
      </c>
      <c r="AC47" s="65">
        <v>14.14584</v>
      </c>
      <c r="AD47" s="65"/>
      <c r="AE47" s="65"/>
      <c r="AF47" s="36" t="e">
        <f t="shared" si="10"/>
        <v>#REF!</v>
      </c>
      <c r="AG47" s="36" t="e">
        <f t="shared" si="10"/>
        <v>#REF!</v>
      </c>
      <c r="AH47" s="36" t="e">
        <f t="shared" si="10"/>
        <v>#REF!</v>
      </c>
      <c r="AI47" s="36" t="e">
        <f t="shared" si="10"/>
        <v>#REF!</v>
      </c>
      <c r="AJ47" s="36" t="e">
        <f t="shared" si="10"/>
        <v>#REF!</v>
      </c>
      <c r="AK47" s="36" t="e">
        <f t="shared" si="10"/>
        <v>#REF!</v>
      </c>
      <c r="AL47" s="36" t="e">
        <f t="shared" si="10"/>
        <v>#REF!</v>
      </c>
      <c r="AM47" s="36" t="e">
        <f t="shared" si="10"/>
        <v>#REF!</v>
      </c>
      <c r="AN47" s="36" t="e">
        <f t="shared" si="10"/>
        <v>#REF!</v>
      </c>
      <c r="AO47" s="36" t="e">
        <f t="shared" si="10"/>
        <v>#REF!</v>
      </c>
      <c r="AQ47" s="38"/>
      <c r="AR47" s="36" t="e">
        <f t="shared" si="11"/>
        <v>#REF!</v>
      </c>
      <c r="AS47" s="36" t="e">
        <f t="shared" si="11"/>
        <v>#REF!</v>
      </c>
      <c r="AT47" s="36" t="e">
        <f t="shared" si="11"/>
        <v>#REF!</v>
      </c>
      <c r="AU47" s="36" t="e">
        <f t="shared" si="11"/>
        <v>#REF!</v>
      </c>
      <c r="AV47" s="36" t="e">
        <f t="shared" si="11"/>
        <v>#REF!</v>
      </c>
      <c r="AW47" s="36" t="e">
        <f t="shared" si="11"/>
        <v>#REF!</v>
      </c>
      <c r="AX47" s="36" t="e">
        <f t="shared" si="11"/>
        <v>#REF!</v>
      </c>
      <c r="AY47" s="36" t="e">
        <f t="shared" si="11"/>
        <v>#REF!</v>
      </c>
      <c r="AZ47" s="36" t="e">
        <f t="shared" si="11"/>
        <v>#REF!</v>
      </c>
      <c r="BA47" s="36" t="e">
        <f t="shared" si="11"/>
        <v>#REF!</v>
      </c>
    </row>
    <row r="48" spans="1:53" hidden="1">
      <c r="AQ48" s="38"/>
    </row>
    <row r="49" spans="27:53" hidden="1">
      <c r="AQ49" s="38"/>
    </row>
    <row r="50" spans="27:53" ht="63.75" hidden="1">
      <c r="AA50" s="66" t="s">
        <v>43</v>
      </c>
      <c r="AB50" s="67"/>
      <c r="AC50" s="68"/>
      <c r="AD50" s="68"/>
      <c r="AE50" s="68"/>
      <c r="AF50" s="61" t="s">
        <v>55</v>
      </c>
      <c r="AG50" s="61" t="s">
        <v>73</v>
      </c>
      <c r="AH50" s="61" t="s">
        <v>57</v>
      </c>
      <c r="AI50" s="61" t="s">
        <v>58</v>
      </c>
      <c r="AJ50" s="61" t="s">
        <v>59</v>
      </c>
      <c r="AK50" s="61" t="s">
        <v>60</v>
      </c>
      <c r="AL50" s="62" t="s">
        <v>75</v>
      </c>
      <c r="AM50" s="62" t="s">
        <v>76</v>
      </c>
      <c r="AN50" s="62" t="s">
        <v>61</v>
      </c>
      <c r="AO50" s="62" t="s">
        <v>62</v>
      </c>
      <c r="AP50" s="62"/>
      <c r="AQ50" s="43"/>
      <c r="AR50" s="61" t="s">
        <v>55</v>
      </c>
      <c r="AS50" s="61" t="s">
        <v>73</v>
      </c>
      <c r="AT50" s="61" t="s">
        <v>74</v>
      </c>
      <c r="AU50" s="61" t="s">
        <v>58</v>
      </c>
      <c r="AV50" s="61" t="s">
        <v>59</v>
      </c>
      <c r="AW50" s="61" t="s">
        <v>60</v>
      </c>
      <c r="AX50" s="62" t="s">
        <v>75</v>
      </c>
      <c r="AY50" s="62" t="s">
        <v>76</v>
      </c>
      <c r="AZ50" s="63" t="s">
        <v>61</v>
      </c>
      <c r="BA50" s="61" t="s">
        <v>62</v>
      </c>
    </row>
    <row r="51" spans="27:53" hidden="1">
      <c r="AA51" s="69" t="s">
        <v>44</v>
      </c>
      <c r="AB51" s="35"/>
      <c r="AG51" s="70"/>
      <c r="AQ51" s="38"/>
    </row>
    <row r="52" spans="27:53" hidden="1">
      <c r="AA52" s="71" t="s">
        <v>29</v>
      </c>
      <c r="AB52" s="35"/>
      <c r="AF52" s="70" t="e">
        <f t="shared" ref="AF52:AO52" si="12">AF17+AF19+AF20</f>
        <v>#REF!</v>
      </c>
      <c r="AG52" s="70" t="e">
        <f t="shared" si="12"/>
        <v>#REF!</v>
      </c>
      <c r="AH52" s="70" t="e">
        <f t="shared" si="12"/>
        <v>#REF!</v>
      </c>
      <c r="AI52" s="70" t="e">
        <f t="shared" si="12"/>
        <v>#REF!</v>
      </c>
      <c r="AJ52" s="70" t="e">
        <f t="shared" si="12"/>
        <v>#REF!</v>
      </c>
      <c r="AK52" s="70" t="e">
        <f t="shared" si="12"/>
        <v>#REF!</v>
      </c>
      <c r="AL52" s="70" t="e">
        <f t="shared" si="12"/>
        <v>#REF!</v>
      </c>
      <c r="AM52" s="70" t="e">
        <f t="shared" si="12"/>
        <v>#REF!</v>
      </c>
      <c r="AN52" s="70" t="e">
        <f t="shared" si="12"/>
        <v>#REF!</v>
      </c>
      <c r="AO52" s="70" t="e">
        <f t="shared" si="12"/>
        <v>#REF!</v>
      </c>
      <c r="AP52" s="70"/>
      <c r="AQ52" s="70"/>
      <c r="AR52" s="70" t="e">
        <f t="shared" ref="AR52:BA52" si="13">AR17+AR19+AR20</f>
        <v>#REF!</v>
      </c>
      <c r="AS52" s="70" t="e">
        <f t="shared" si="13"/>
        <v>#REF!</v>
      </c>
      <c r="AT52" s="70" t="e">
        <f t="shared" si="13"/>
        <v>#REF!</v>
      </c>
      <c r="AU52" s="70" t="e">
        <f t="shared" si="13"/>
        <v>#REF!</v>
      </c>
      <c r="AV52" s="70" t="e">
        <f t="shared" si="13"/>
        <v>#REF!</v>
      </c>
      <c r="AW52" s="70" t="e">
        <f t="shared" si="13"/>
        <v>#REF!</v>
      </c>
      <c r="AX52" s="70" t="e">
        <f t="shared" si="13"/>
        <v>#REF!</v>
      </c>
      <c r="AY52" s="70" t="e">
        <f t="shared" si="13"/>
        <v>#REF!</v>
      </c>
      <c r="AZ52" s="70" t="e">
        <f t="shared" si="13"/>
        <v>#REF!</v>
      </c>
      <c r="BA52" s="70" t="e">
        <f t="shared" si="13"/>
        <v>#REF!</v>
      </c>
    </row>
    <row r="53" spans="27:53" hidden="1">
      <c r="AA53" s="71" t="s">
        <v>41</v>
      </c>
      <c r="AB53" s="35"/>
      <c r="AF53" s="70" t="e">
        <f t="shared" ref="AF53:AO53" si="14">AF28+AF30+AF31</f>
        <v>#REF!</v>
      </c>
      <c r="AG53" s="70" t="e">
        <f t="shared" si="14"/>
        <v>#REF!</v>
      </c>
      <c r="AH53" s="70" t="e">
        <f t="shared" si="14"/>
        <v>#REF!</v>
      </c>
      <c r="AI53" s="70" t="e">
        <f t="shared" si="14"/>
        <v>#REF!</v>
      </c>
      <c r="AJ53" s="70" t="e">
        <f t="shared" si="14"/>
        <v>#REF!</v>
      </c>
      <c r="AK53" s="70" t="e">
        <f t="shared" si="14"/>
        <v>#REF!</v>
      </c>
      <c r="AL53" s="70" t="e">
        <f t="shared" si="14"/>
        <v>#REF!</v>
      </c>
      <c r="AM53" s="70" t="e">
        <f t="shared" si="14"/>
        <v>#REF!</v>
      </c>
      <c r="AN53" s="70" t="e">
        <f t="shared" si="14"/>
        <v>#REF!</v>
      </c>
      <c r="AO53" s="70" t="e">
        <f t="shared" si="14"/>
        <v>#REF!</v>
      </c>
      <c r="AP53" s="70"/>
      <c r="AQ53" s="70"/>
      <c r="AR53" s="70" t="e">
        <f t="shared" ref="AR53:BA53" si="15">AR28+AR30+AR31</f>
        <v>#REF!</v>
      </c>
      <c r="AS53" s="70" t="e">
        <f t="shared" si="15"/>
        <v>#REF!</v>
      </c>
      <c r="AT53" s="70" t="e">
        <f t="shared" si="15"/>
        <v>#REF!</v>
      </c>
      <c r="AU53" s="70" t="e">
        <f t="shared" si="15"/>
        <v>#REF!</v>
      </c>
      <c r="AV53" s="70" t="e">
        <f t="shared" si="15"/>
        <v>#REF!</v>
      </c>
      <c r="AW53" s="70" t="e">
        <f t="shared" si="15"/>
        <v>#REF!</v>
      </c>
      <c r="AX53" s="70" t="e">
        <f t="shared" si="15"/>
        <v>#REF!</v>
      </c>
      <c r="AY53" s="70" t="e">
        <f t="shared" si="15"/>
        <v>#REF!</v>
      </c>
      <c r="AZ53" s="70" t="e">
        <f t="shared" si="15"/>
        <v>#REF!</v>
      </c>
      <c r="BA53" s="70" t="e">
        <f t="shared" si="15"/>
        <v>#REF!</v>
      </c>
    </row>
    <row r="54" spans="27:53" hidden="1">
      <c r="AA54" s="71" t="s">
        <v>42</v>
      </c>
      <c r="AB54" s="35"/>
      <c r="AF54" s="70" t="e">
        <f t="shared" ref="AF54:AO54" si="16">AF39+AF41+AF42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AR39+AR41+AR42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69" t="s">
        <v>45</v>
      </c>
      <c r="AB55" s="35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</row>
    <row r="56" spans="27:53" hidden="1">
      <c r="AA56" s="71" t="s">
        <v>29</v>
      </c>
      <c r="AB56" s="35"/>
      <c r="AF56" s="70" t="e">
        <f t="shared" ref="AF56:AO56" si="18">AF17+AF19+AF21+AF23</f>
        <v>#REF!</v>
      </c>
      <c r="AG56" s="70" t="e">
        <f t="shared" si="18"/>
        <v>#REF!</v>
      </c>
      <c r="AH56" s="70" t="e">
        <f t="shared" si="18"/>
        <v>#REF!</v>
      </c>
      <c r="AI56" s="70" t="e">
        <f t="shared" si="18"/>
        <v>#REF!</v>
      </c>
      <c r="AJ56" s="70" t="e">
        <f t="shared" si="18"/>
        <v>#REF!</v>
      </c>
      <c r="AK56" s="70" t="e">
        <f t="shared" si="18"/>
        <v>#REF!</v>
      </c>
      <c r="AL56" s="70" t="e">
        <f t="shared" si="18"/>
        <v>#REF!</v>
      </c>
      <c r="AM56" s="70" t="e">
        <f t="shared" si="18"/>
        <v>#REF!</v>
      </c>
      <c r="AN56" s="70" t="e">
        <f t="shared" si="18"/>
        <v>#REF!</v>
      </c>
      <c r="AO56" s="70" t="e">
        <f t="shared" si="18"/>
        <v>#REF!</v>
      </c>
      <c r="AP56" s="70"/>
      <c r="AQ56" s="70"/>
      <c r="AR56" s="70" t="e">
        <f t="shared" ref="AR56:BA56" si="19">AR17+AR19+AR21+AR23</f>
        <v>#REF!</v>
      </c>
      <c r="AS56" s="70" t="e">
        <f t="shared" si="19"/>
        <v>#REF!</v>
      </c>
      <c r="AT56" s="70" t="e">
        <f t="shared" si="19"/>
        <v>#REF!</v>
      </c>
      <c r="AU56" s="70" t="e">
        <f t="shared" si="19"/>
        <v>#REF!</v>
      </c>
      <c r="AV56" s="70" t="e">
        <f t="shared" si="19"/>
        <v>#REF!</v>
      </c>
      <c r="AW56" s="70" t="e">
        <f t="shared" si="19"/>
        <v>#REF!</v>
      </c>
      <c r="AX56" s="70" t="e">
        <f t="shared" si="19"/>
        <v>#REF!</v>
      </c>
      <c r="AY56" s="70" t="e">
        <f t="shared" si="19"/>
        <v>#REF!</v>
      </c>
      <c r="AZ56" s="70" t="e">
        <f t="shared" si="19"/>
        <v>#REF!</v>
      </c>
      <c r="BA56" s="70" t="e">
        <f t="shared" si="19"/>
        <v>#REF!</v>
      </c>
    </row>
    <row r="57" spans="27:53" hidden="1">
      <c r="AA57" s="71" t="s">
        <v>41</v>
      </c>
      <c r="AB57" s="35"/>
      <c r="AF57" s="70" t="e">
        <f t="shared" ref="AF57:AO57" si="20">AF28+AF30+AF32+AF34</f>
        <v>#REF!</v>
      </c>
      <c r="AG57" s="70" t="e">
        <f t="shared" si="20"/>
        <v>#REF!</v>
      </c>
      <c r="AH57" s="70" t="e">
        <f t="shared" si="20"/>
        <v>#REF!</v>
      </c>
      <c r="AI57" s="70" t="e">
        <f t="shared" si="20"/>
        <v>#REF!</v>
      </c>
      <c r="AJ57" s="70" t="e">
        <f t="shared" si="20"/>
        <v>#REF!</v>
      </c>
      <c r="AK57" s="70" t="e">
        <f t="shared" si="20"/>
        <v>#REF!</v>
      </c>
      <c r="AL57" s="70" t="e">
        <f t="shared" si="20"/>
        <v>#REF!</v>
      </c>
      <c r="AM57" s="70" t="e">
        <f t="shared" si="20"/>
        <v>#REF!</v>
      </c>
      <c r="AN57" s="70" t="e">
        <f t="shared" si="20"/>
        <v>#REF!</v>
      </c>
      <c r="AO57" s="70" t="e">
        <f t="shared" si="20"/>
        <v>#REF!</v>
      </c>
      <c r="AP57" s="70"/>
      <c r="AQ57" s="70"/>
      <c r="AR57" s="70" t="e">
        <f t="shared" ref="AR57:BA57" si="21">AR28+AR30+AR32+AR34</f>
        <v>#REF!</v>
      </c>
      <c r="AS57" s="70" t="e">
        <f t="shared" si="21"/>
        <v>#REF!</v>
      </c>
      <c r="AT57" s="70" t="e">
        <f t="shared" si="21"/>
        <v>#REF!</v>
      </c>
      <c r="AU57" s="70" t="e">
        <f t="shared" si="21"/>
        <v>#REF!</v>
      </c>
      <c r="AV57" s="70" t="e">
        <f t="shared" si="21"/>
        <v>#REF!</v>
      </c>
      <c r="AW57" s="70" t="e">
        <f t="shared" si="21"/>
        <v>#REF!</v>
      </c>
      <c r="AX57" s="70" t="e">
        <f t="shared" si="21"/>
        <v>#REF!</v>
      </c>
      <c r="AY57" s="70" t="e">
        <f t="shared" si="21"/>
        <v>#REF!</v>
      </c>
      <c r="AZ57" s="70" t="e">
        <f t="shared" si="21"/>
        <v>#REF!</v>
      </c>
      <c r="BA57" s="70" t="e">
        <f t="shared" si="21"/>
        <v>#REF!</v>
      </c>
    </row>
    <row r="58" spans="27:53" hidden="1">
      <c r="AA58" s="71" t="s">
        <v>42</v>
      </c>
      <c r="AB58" s="35"/>
      <c r="AF58" s="70" t="e">
        <f t="shared" ref="AF58:AO58" si="22">AF39+AF41+AF43+AF45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AR39+AR41+AR43+AR45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69" t="s">
        <v>46</v>
      </c>
      <c r="AB59" s="35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</row>
    <row r="60" spans="27:53" hidden="1">
      <c r="AA60" s="71" t="s">
        <v>29</v>
      </c>
      <c r="AB60" s="35"/>
      <c r="AF60" s="70" t="e">
        <f t="shared" ref="AF60:AO60" si="24">AF17+AF19+AF21+AF22+AF24</f>
        <v>#REF!</v>
      </c>
      <c r="AG60" s="70" t="e">
        <f t="shared" si="24"/>
        <v>#REF!</v>
      </c>
      <c r="AH60" s="70" t="e">
        <f t="shared" si="24"/>
        <v>#REF!</v>
      </c>
      <c r="AI60" s="70" t="e">
        <f t="shared" si="24"/>
        <v>#REF!</v>
      </c>
      <c r="AJ60" s="70" t="e">
        <f t="shared" si="24"/>
        <v>#REF!</v>
      </c>
      <c r="AK60" s="70" t="e">
        <f t="shared" si="24"/>
        <v>#REF!</v>
      </c>
      <c r="AL60" s="70" t="e">
        <f t="shared" si="24"/>
        <v>#REF!</v>
      </c>
      <c r="AM60" s="70" t="e">
        <f t="shared" si="24"/>
        <v>#REF!</v>
      </c>
      <c r="AN60" s="70" t="e">
        <f t="shared" si="24"/>
        <v>#REF!</v>
      </c>
      <c r="AO60" s="70" t="e">
        <f t="shared" si="24"/>
        <v>#REF!</v>
      </c>
      <c r="AP60" s="70"/>
      <c r="AQ60" s="70"/>
      <c r="AR60" s="70" t="e">
        <f t="shared" ref="AR60:BA60" si="25">AR17+AR19+AR21+AR22+AR24</f>
        <v>#REF!</v>
      </c>
      <c r="AS60" s="70" t="e">
        <f t="shared" si="25"/>
        <v>#REF!</v>
      </c>
      <c r="AT60" s="70" t="e">
        <f t="shared" si="25"/>
        <v>#REF!</v>
      </c>
      <c r="AU60" s="70" t="e">
        <f t="shared" si="25"/>
        <v>#REF!</v>
      </c>
      <c r="AV60" s="70" t="e">
        <f t="shared" si="25"/>
        <v>#REF!</v>
      </c>
      <c r="AW60" s="70" t="e">
        <f t="shared" si="25"/>
        <v>#REF!</v>
      </c>
      <c r="AX60" s="70" t="e">
        <f t="shared" si="25"/>
        <v>#REF!</v>
      </c>
      <c r="AY60" s="70" t="e">
        <f t="shared" si="25"/>
        <v>#REF!</v>
      </c>
      <c r="AZ60" s="70" t="e">
        <f t="shared" si="25"/>
        <v>#REF!</v>
      </c>
      <c r="BA60" s="70" t="e">
        <f t="shared" si="25"/>
        <v>#REF!</v>
      </c>
    </row>
    <row r="61" spans="27:53" hidden="1">
      <c r="AA61" s="71" t="s">
        <v>41</v>
      </c>
      <c r="AB61" s="35"/>
      <c r="AF61" s="70" t="e">
        <f t="shared" ref="AF61:AO61" si="26">AF28+AF30+AF32+AF33+AF35</f>
        <v>#REF!</v>
      </c>
      <c r="AG61" s="70" t="e">
        <f t="shared" si="26"/>
        <v>#REF!</v>
      </c>
      <c r="AH61" s="70" t="e">
        <f t="shared" si="26"/>
        <v>#REF!</v>
      </c>
      <c r="AI61" s="70" t="e">
        <f t="shared" si="26"/>
        <v>#REF!</v>
      </c>
      <c r="AJ61" s="70" t="e">
        <f t="shared" si="26"/>
        <v>#REF!</v>
      </c>
      <c r="AK61" s="70" t="e">
        <f t="shared" si="26"/>
        <v>#REF!</v>
      </c>
      <c r="AL61" s="70" t="e">
        <f t="shared" si="26"/>
        <v>#REF!</v>
      </c>
      <c r="AM61" s="70" t="e">
        <f t="shared" si="26"/>
        <v>#REF!</v>
      </c>
      <c r="AN61" s="70" t="e">
        <f t="shared" si="26"/>
        <v>#REF!</v>
      </c>
      <c r="AO61" s="70" t="e">
        <f t="shared" si="26"/>
        <v>#REF!</v>
      </c>
      <c r="AP61" s="70"/>
      <c r="AQ61" s="70"/>
      <c r="AR61" s="70" t="e">
        <f t="shared" ref="AR61:BA61" si="27">AR28+AR30+AR32+AR33+AR35</f>
        <v>#REF!</v>
      </c>
      <c r="AS61" s="70" t="e">
        <f t="shared" si="27"/>
        <v>#REF!</v>
      </c>
      <c r="AT61" s="70" t="e">
        <f t="shared" si="27"/>
        <v>#REF!</v>
      </c>
      <c r="AU61" s="70" t="e">
        <f t="shared" si="27"/>
        <v>#REF!</v>
      </c>
      <c r="AV61" s="70" t="e">
        <f t="shared" si="27"/>
        <v>#REF!</v>
      </c>
      <c r="AW61" s="70" t="e">
        <f t="shared" si="27"/>
        <v>#REF!</v>
      </c>
      <c r="AX61" s="70" t="e">
        <f t="shared" si="27"/>
        <v>#REF!</v>
      </c>
      <c r="AY61" s="70" t="e">
        <f t="shared" si="27"/>
        <v>#REF!</v>
      </c>
      <c r="AZ61" s="70" t="e">
        <f t="shared" si="27"/>
        <v>#REF!</v>
      </c>
      <c r="BA61" s="70" t="e">
        <f t="shared" si="27"/>
        <v>#REF!</v>
      </c>
    </row>
    <row r="62" spans="27:53" hidden="1">
      <c r="AA62" s="71" t="s">
        <v>42</v>
      </c>
      <c r="AB62" s="35"/>
      <c r="AF62" s="70" t="e">
        <f t="shared" ref="AF62:AO62" si="28">AF39+AF41+AF43+AF44+AF46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AR39+AR41+AR43+AR44+AR46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69" t="s">
        <v>47</v>
      </c>
      <c r="AB63" s="35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</row>
    <row r="64" spans="27:53" hidden="1">
      <c r="AA64" s="71" t="s">
        <v>29</v>
      </c>
      <c r="AB64" s="35"/>
      <c r="AF64" s="70" t="e">
        <f t="shared" ref="AF64:AO64" si="30">AF17+AF19+AF21+AF22+AF25</f>
        <v>#REF!</v>
      </c>
      <c r="AG64" s="70" t="e">
        <f t="shared" si="30"/>
        <v>#REF!</v>
      </c>
      <c r="AH64" s="70" t="e">
        <f t="shared" si="30"/>
        <v>#REF!</v>
      </c>
      <c r="AI64" s="70" t="e">
        <f t="shared" si="30"/>
        <v>#REF!</v>
      </c>
      <c r="AJ64" s="70" t="e">
        <f t="shared" si="30"/>
        <v>#REF!</v>
      </c>
      <c r="AK64" s="70" t="e">
        <f t="shared" si="30"/>
        <v>#REF!</v>
      </c>
      <c r="AL64" s="70" t="e">
        <f t="shared" si="30"/>
        <v>#REF!</v>
      </c>
      <c r="AM64" s="70" t="e">
        <f t="shared" si="30"/>
        <v>#REF!</v>
      </c>
      <c r="AN64" s="70" t="e">
        <f t="shared" si="30"/>
        <v>#REF!</v>
      </c>
      <c r="AO64" s="70" t="e">
        <f t="shared" si="30"/>
        <v>#REF!</v>
      </c>
      <c r="AP64" s="70"/>
      <c r="AQ64" s="70"/>
      <c r="AR64" s="70" t="e">
        <f t="shared" ref="AR64:BA64" si="31">AR17+AR19+AR21+AR22+AR25</f>
        <v>#REF!</v>
      </c>
      <c r="AS64" s="70" t="e">
        <f t="shared" si="31"/>
        <v>#REF!</v>
      </c>
      <c r="AT64" s="70" t="e">
        <f t="shared" si="31"/>
        <v>#REF!</v>
      </c>
      <c r="AU64" s="70" t="e">
        <f t="shared" si="31"/>
        <v>#REF!</v>
      </c>
      <c r="AV64" s="70" t="e">
        <f t="shared" si="31"/>
        <v>#REF!</v>
      </c>
      <c r="AW64" s="70" t="e">
        <f t="shared" si="31"/>
        <v>#REF!</v>
      </c>
      <c r="AX64" s="70" t="e">
        <f t="shared" si="31"/>
        <v>#REF!</v>
      </c>
      <c r="AY64" s="70" t="e">
        <f t="shared" si="31"/>
        <v>#REF!</v>
      </c>
      <c r="AZ64" s="70" t="e">
        <f t="shared" si="31"/>
        <v>#REF!</v>
      </c>
      <c r="BA64" s="70" t="e">
        <f t="shared" si="31"/>
        <v>#REF!</v>
      </c>
    </row>
    <row r="65" spans="27:53" hidden="1">
      <c r="AA65" s="71" t="s">
        <v>41</v>
      </c>
      <c r="AB65" s="35"/>
      <c r="AF65" s="70" t="e">
        <f t="shared" ref="AF65:AO65" si="32">AF28+AF30+AF32+AF33+AF36</f>
        <v>#REF!</v>
      </c>
      <c r="AG65" s="70" t="e">
        <f t="shared" si="32"/>
        <v>#REF!</v>
      </c>
      <c r="AH65" s="70" t="e">
        <f t="shared" si="32"/>
        <v>#REF!</v>
      </c>
      <c r="AI65" s="70" t="e">
        <f t="shared" si="32"/>
        <v>#REF!</v>
      </c>
      <c r="AJ65" s="70" t="e">
        <f t="shared" si="32"/>
        <v>#REF!</v>
      </c>
      <c r="AK65" s="70" t="e">
        <f t="shared" si="32"/>
        <v>#REF!</v>
      </c>
      <c r="AL65" s="70" t="e">
        <f t="shared" si="32"/>
        <v>#REF!</v>
      </c>
      <c r="AM65" s="70" t="e">
        <f t="shared" si="32"/>
        <v>#REF!</v>
      </c>
      <c r="AN65" s="70" t="e">
        <f t="shared" si="32"/>
        <v>#REF!</v>
      </c>
      <c r="AO65" s="70" t="e">
        <f t="shared" si="32"/>
        <v>#REF!</v>
      </c>
      <c r="AP65" s="70"/>
      <c r="AQ65" s="70"/>
      <c r="AR65" s="70" t="e">
        <f t="shared" ref="AR65:BA65" si="33">AR28+AR30+AR32+AR33+AR36</f>
        <v>#REF!</v>
      </c>
      <c r="AS65" s="70" t="e">
        <f t="shared" si="33"/>
        <v>#REF!</v>
      </c>
      <c r="AT65" s="70" t="e">
        <f t="shared" si="33"/>
        <v>#REF!</v>
      </c>
      <c r="AU65" s="70" t="e">
        <f t="shared" si="33"/>
        <v>#REF!</v>
      </c>
      <c r="AV65" s="70" t="e">
        <f t="shared" si="33"/>
        <v>#REF!</v>
      </c>
      <c r="AW65" s="70" t="e">
        <f t="shared" si="33"/>
        <v>#REF!</v>
      </c>
      <c r="AX65" s="70" t="e">
        <f t="shared" si="33"/>
        <v>#REF!</v>
      </c>
      <c r="AY65" s="70" t="e">
        <f t="shared" si="33"/>
        <v>#REF!</v>
      </c>
      <c r="AZ65" s="70" t="e">
        <f t="shared" si="33"/>
        <v>#REF!</v>
      </c>
      <c r="BA65" s="70" t="e">
        <f t="shared" si="33"/>
        <v>#REF!</v>
      </c>
    </row>
    <row r="66" spans="27:53" hidden="1">
      <c r="AA66" s="71" t="s">
        <v>42</v>
      </c>
      <c r="AB66" s="35"/>
      <c r="AF66" s="70" t="e">
        <f t="shared" ref="AF66:AO66" si="34">AF39+AF41+AF43+AF44+AF47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AR39+AR41+AR43+AR44+AR47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69" t="s">
        <v>48</v>
      </c>
      <c r="AB67" s="35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</row>
    <row r="68" spans="27:53" hidden="1">
      <c r="AA68" s="71" t="s">
        <v>29</v>
      </c>
      <c r="AB68" s="35"/>
      <c r="AF68" s="70" t="e">
        <f t="shared" ref="AF68:AO68" si="36">AF17+AF18+AF23</f>
        <v>#REF!</v>
      </c>
      <c r="AG68" s="70" t="e">
        <f t="shared" si="36"/>
        <v>#REF!</v>
      </c>
      <c r="AH68" s="70" t="e">
        <f t="shared" si="36"/>
        <v>#REF!</v>
      </c>
      <c r="AI68" s="70" t="e">
        <f t="shared" si="36"/>
        <v>#REF!</v>
      </c>
      <c r="AJ68" s="70" t="e">
        <f t="shared" si="36"/>
        <v>#REF!</v>
      </c>
      <c r="AK68" s="70" t="e">
        <f t="shared" si="36"/>
        <v>#REF!</v>
      </c>
      <c r="AL68" s="70" t="e">
        <f t="shared" si="36"/>
        <v>#REF!</v>
      </c>
      <c r="AM68" s="70" t="e">
        <f t="shared" si="36"/>
        <v>#REF!</v>
      </c>
      <c r="AN68" s="70" t="e">
        <f t="shared" si="36"/>
        <v>#REF!</v>
      </c>
      <c r="AO68" s="70" t="e">
        <f t="shared" si="36"/>
        <v>#REF!</v>
      </c>
      <c r="AP68" s="70"/>
      <c r="AQ68" s="70"/>
      <c r="AR68" s="70" t="e">
        <f t="shared" ref="AR68:BA68" si="37">AR17+AR18+AR23</f>
        <v>#REF!</v>
      </c>
      <c r="AS68" s="70" t="e">
        <f t="shared" si="37"/>
        <v>#REF!</v>
      </c>
      <c r="AT68" s="70" t="e">
        <f t="shared" si="37"/>
        <v>#REF!</v>
      </c>
      <c r="AU68" s="70" t="e">
        <f t="shared" si="37"/>
        <v>#REF!</v>
      </c>
      <c r="AV68" s="70" t="e">
        <f t="shared" si="37"/>
        <v>#REF!</v>
      </c>
      <c r="AW68" s="70" t="e">
        <f t="shared" si="37"/>
        <v>#REF!</v>
      </c>
      <c r="AX68" s="70" t="e">
        <f t="shared" si="37"/>
        <v>#REF!</v>
      </c>
      <c r="AY68" s="70" t="e">
        <f t="shared" si="37"/>
        <v>#REF!</v>
      </c>
      <c r="AZ68" s="70" t="e">
        <f t="shared" si="37"/>
        <v>#REF!</v>
      </c>
      <c r="BA68" s="70" t="e">
        <f t="shared" si="37"/>
        <v>#REF!</v>
      </c>
    </row>
    <row r="69" spans="27:53" hidden="1">
      <c r="AA69" s="71" t="s">
        <v>41</v>
      </c>
      <c r="AB69" s="35"/>
      <c r="AF69" s="70" t="e">
        <f t="shared" ref="AF69:AO69" si="38">AF28+AF29+AF34</f>
        <v>#REF!</v>
      </c>
      <c r="AG69" s="70" t="e">
        <f t="shared" si="38"/>
        <v>#REF!</v>
      </c>
      <c r="AH69" s="70" t="e">
        <f t="shared" si="38"/>
        <v>#REF!</v>
      </c>
      <c r="AI69" s="70" t="e">
        <f t="shared" si="38"/>
        <v>#REF!</v>
      </c>
      <c r="AJ69" s="70" t="e">
        <f t="shared" si="38"/>
        <v>#REF!</v>
      </c>
      <c r="AK69" s="70" t="e">
        <f t="shared" si="38"/>
        <v>#REF!</v>
      </c>
      <c r="AL69" s="70" t="e">
        <f t="shared" si="38"/>
        <v>#REF!</v>
      </c>
      <c r="AM69" s="70" t="e">
        <f t="shared" si="38"/>
        <v>#REF!</v>
      </c>
      <c r="AN69" s="70" t="e">
        <f t="shared" si="38"/>
        <v>#REF!</v>
      </c>
      <c r="AO69" s="70" t="e">
        <f t="shared" si="38"/>
        <v>#REF!</v>
      </c>
      <c r="AP69" s="70"/>
      <c r="AQ69" s="70"/>
      <c r="AR69" s="70" t="e">
        <f t="shared" ref="AR69:BA69" si="39">AR28+AR29+AR34</f>
        <v>#REF!</v>
      </c>
      <c r="AS69" s="70" t="e">
        <f t="shared" si="39"/>
        <v>#REF!</v>
      </c>
      <c r="AT69" s="70" t="e">
        <f t="shared" si="39"/>
        <v>#REF!</v>
      </c>
      <c r="AU69" s="70" t="e">
        <f t="shared" si="39"/>
        <v>#REF!</v>
      </c>
      <c r="AV69" s="70" t="e">
        <f t="shared" si="39"/>
        <v>#REF!</v>
      </c>
      <c r="AW69" s="70" t="e">
        <f t="shared" si="39"/>
        <v>#REF!</v>
      </c>
      <c r="AX69" s="70" t="e">
        <f t="shared" si="39"/>
        <v>#REF!</v>
      </c>
      <c r="AY69" s="70" t="e">
        <f t="shared" si="39"/>
        <v>#REF!</v>
      </c>
      <c r="AZ69" s="70" t="e">
        <f t="shared" si="39"/>
        <v>#REF!</v>
      </c>
      <c r="BA69" s="70" t="e">
        <f t="shared" si="39"/>
        <v>#REF!</v>
      </c>
    </row>
    <row r="70" spans="27:53" hidden="1">
      <c r="AA70" s="71" t="s">
        <v>42</v>
      </c>
      <c r="AB70" s="35"/>
      <c r="AF70" s="70" t="e">
        <f t="shared" ref="AF70:AO70" si="40">AF39+AF40+AF45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AR39+AR40+AR45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2" t="s">
        <v>49</v>
      </c>
      <c r="AB71" s="35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</row>
    <row r="72" spans="27:53" hidden="1">
      <c r="AA72" s="71" t="s">
        <v>29</v>
      </c>
      <c r="AB72" s="35"/>
      <c r="AF72" s="70" t="e">
        <f t="shared" ref="AF72:AO72" si="42">AF17+AF18+AF22+AF24</f>
        <v>#REF!</v>
      </c>
      <c r="AG72" s="70" t="e">
        <f t="shared" si="42"/>
        <v>#REF!</v>
      </c>
      <c r="AH72" s="70" t="e">
        <f t="shared" si="42"/>
        <v>#REF!</v>
      </c>
      <c r="AI72" s="70" t="e">
        <f t="shared" si="42"/>
        <v>#REF!</v>
      </c>
      <c r="AJ72" s="70" t="e">
        <f t="shared" si="42"/>
        <v>#REF!</v>
      </c>
      <c r="AK72" s="70" t="e">
        <f t="shared" si="42"/>
        <v>#REF!</v>
      </c>
      <c r="AL72" s="70" t="e">
        <f t="shared" si="42"/>
        <v>#REF!</v>
      </c>
      <c r="AM72" s="70" t="e">
        <f t="shared" si="42"/>
        <v>#REF!</v>
      </c>
      <c r="AN72" s="70" t="e">
        <f t="shared" si="42"/>
        <v>#REF!</v>
      </c>
      <c r="AO72" s="70" t="e">
        <f t="shared" si="42"/>
        <v>#REF!</v>
      </c>
      <c r="AP72" s="70"/>
      <c r="AQ72" s="70"/>
      <c r="AR72" s="70" t="e">
        <f t="shared" ref="AR72:BA72" si="43">AR17+AR18+AR22+AR24</f>
        <v>#REF!</v>
      </c>
      <c r="AS72" s="70" t="e">
        <f t="shared" si="43"/>
        <v>#REF!</v>
      </c>
      <c r="AT72" s="70" t="e">
        <f t="shared" si="43"/>
        <v>#REF!</v>
      </c>
      <c r="AU72" s="70" t="e">
        <f t="shared" si="43"/>
        <v>#REF!</v>
      </c>
      <c r="AV72" s="70" t="e">
        <f t="shared" si="43"/>
        <v>#REF!</v>
      </c>
      <c r="AW72" s="70" t="e">
        <f t="shared" si="43"/>
        <v>#REF!</v>
      </c>
      <c r="AX72" s="70" t="e">
        <f t="shared" si="43"/>
        <v>#REF!</v>
      </c>
      <c r="AY72" s="70" t="e">
        <f t="shared" si="43"/>
        <v>#REF!</v>
      </c>
      <c r="AZ72" s="70" t="e">
        <f t="shared" si="43"/>
        <v>#REF!</v>
      </c>
      <c r="BA72" s="70" t="e">
        <f t="shared" si="43"/>
        <v>#REF!</v>
      </c>
    </row>
    <row r="73" spans="27:53" hidden="1">
      <c r="AA73" s="71" t="s">
        <v>41</v>
      </c>
      <c r="AB73" s="35"/>
      <c r="AF73" s="70" t="e">
        <f t="shared" ref="AF73:AO73" si="44">AF28+AF29+AF33+AF35</f>
        <v>#REF!</v>
      </c>
      <c r="AG73" s="70" t="e">
        <f t="shared" si="44"/>
        <v>#REF!</v>
      </c>
      <c r="AH73" s="70" t="e">
        <f t="shared" si="44"/>
        <v>#REF!</v>
      </c>
      <c r="AI73" s="70" t="e">
        <f t="shared" si="44"/>
        <v>#REF!</v>
      </c>
      <c r="AJ73" s="70" t="e">
        <f t="shared" si="44"/>
        <v>#REF!</v>
      </c>
      <c r="AK73" s="70" t="e">
        <f t="shared" si="44"/>
        <v>#REF!</v>
      </c>
      <c r="AL73" s="70" t="e">
        <f t="shared" si="44"/>
        <v>#REF!</v>
      </c>
      <c r="AM73" s="70" t="e">
        <f t="shared" si="44"/>
        <v>#REF!</v>
      </c>
      <c r="AN73" s="70" t="e">
        <f t="shared" si="44"/>
        <v>#REF!</v>
      </c>
      <c r="AO73" s="70" t="e">
        <f t="shared" si="44"/>
        <v>#REF!</v>
      </c>
      <c r="AP73" s="70"/>
      <c r="AQ73" s="70"/>
      <c r="AR73" s="70" t="e">
        <f t="shared" ref="AR73:BA73" si="45">AR28+AR29+AR33+AR35</f>
        <v>#REF!</v>
      </c>
      <c r="AS73" s="70" t="e">
        <f t="shared" si="45"/>
        <v>#REF!</v>
      </c>
      <c r="AT73" s="70" t="e">
        <f t="shared" si="45"/>
        <v>#REF!</v>
      </c>
      <c r="AU73" s="70" t="e">
        <f t="shared" si="45"/>
        <v>#REF!</v>
      </c>
      <c r="AV73" s="70" t="e">
        <f t="shared" si="45"/>
        <v>#REF!</v>
      </c>
      <c r="AW73" s="70" t="e">
        <f t="shared" si="45"/>
        <v>#REF!</v>
      </c>
      <c r="AX73" s="70" t="e">
        <f t="shared" si="45"/>
        <v>#REF!</v>
      </c>
      <c r="AY73" s="70" t="e">
        <f t="shared" si="45"/>
        <v>#REF!</v>
      </c>
      <c r="AZ73" s="70" t="e">
        <f t="shared" si="45"/>
        <v>#REF!</v>
      </c>
      <c r="BA73" s="70" t="e">
        <f t="shared" si="45"/>
        <v>#REF!</v>
      </c>
    </row>
    <row r="74" spans="27:53" hidden="1">
      <c r="AA74" s="71" t="s">
        <v>42</v>
      </c>
      <c r="AB74" s="35"/>
      <c r="AF74" s="70" t="e">
        <f t="shared" ref="AF74:AO74" si="46">AF39+AF40+AF44+AF46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AR39+AR40+AR44+AR46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69" t="s">
        <v>50</v>
      </c>
      <c r="AB75" s="35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</row>
    <row r="76" spans="27:53" hidden="1">
      <c r="AA76" s="71" t="s">
        <v>29</v>
      </c>
      <c r="AB76" s="35"/>
      <c r="AF76" s="70" t="e">
        <f t="shared" ref="AF76:AO76" si="48">AF17+AF18+AF22+AF25</f>
        <v>#REF!</v>
      </c>
      <c r="AG76" s="70" t="e">
        <f t="shared" si="48"/>
        <v>#REF!</v>
      </c>
      <c r="AH76" s="70" t="e">
        <f t="shared" si="48"/>
        <v>#REF!</v>
      </c>
      <c r="AI76" s="70" t="e">
        <f t="shared" si="48"/>
        <v>#REF!</v>
      </c>
      <c r="AJ76" s="70" t="e">
        <f t="shared" si="48"/>
        <v>#REF!</v>
      </c>
      <c r="AK76" s="70" t="e">
        <f t="shared" si="48"/>
        <v>#REF!</v>
      </c>
      <c r="AL76" s="70" t="e">
        <f t="shared" si="48"/>
        <v>#REF!</v>
      </c>
      <c r="AM76" s="70" t="e">
        <f t="shared" si="48"/>
        <v>#REF!</v>
      </c>
      <c r="AN76" s="70" t="e">
        <f t="shared" si="48"/>
        <v>#REF!</v>
      </c>
      <c r="AO76" s="70" t="e">
        <f t="shared" si="48"/>
        <v>#REF!</v>
      </c>
      <c r="AP76" s="70"/>
      <c r="AQ76" s="70"/>
      <c r="AR76" s="70" t="e">
        <f t="shared" ref="AR76:BA76" si="49">AR17+AR18+AR22+AR25</f>
        <v>#REF!</v>
      </c>
      <c r="AS76" s="70" t="e">
        <f t="shared" si="49"/>
        <v>#REF!</v>
      </c>
      <c r="AT76" s="70" t="e">
        <f t="shared" si="49"/>
        <v>#REF!</v>
      </c>
      <c r="AU76" s="70" t="e">
        <f t="shared" si="49"/>
        <v>#REF!</v>
      </c>
      <c r="AV76" s="70" t="e">
        <f t="shared" si="49"/>
        <v>#REF!</v>
      </c>
      <c r="AW76" s="70" t="e">
        <f t="shared" si="49"/>
        <v>#REF!</v>
      </c>
      <c r="AX76" s="70" t="e">
        <f t="shared" si="49"/>
        <v>#REF!</v>
      </c>
      <c r="AY76" s="70" t="e">
        <f t="shared" si="49"/>
        <v>#REF!</v>
      </c>
      <c r="AZ76" s="70" t="e">
        <f t="shared" si="49"/>
        <v>#REF!</v>
      </c>
      <c r="BA76" s="70" t="e">
        <f t="shared" si="49"/>
        <v>#REF!</v>
      </c>
    </row>
    <row r="77" spans="27:53" hidden="1">
      <c r="AA77" s="71" t="s">
        <v>41</v>
      </c>
      <c r="AB77" s="35"/>
      <c r="AF77" s="70" t="e">
        <f t="shared" ref="AF77:AO77" si="50">AF28+AF29+AF33+AF36</f>
        <v>#REF!</v>
      </c>
      <c r="AG77" s="70" t="e">
        <f t="shared" si="50"/>
        <v>#REF!</v>
      </c>
      <c r="AH77" s="70" t="e">
        <f t="shared" si="50"/>
        <v>#REF!</v>
      </c>
      <c r="AI77" s="70" t="e">
        <f t="shared" si="50"/>
        <v>#REF!</v>
      </c>
      <c r="AJ77" s="70" t="e">
        <f t="shared" si="50"/>
        <v>#REF!</v>
      </c>
      <c r="AK77" s="70" t="e">
        <f t="shared" si="50"/>
        <v>#REF!</v>
      </c>
      <c r="AL77" s="70" t="e">
        <f t="shared" si="50"/>
        <v>#REF!</v>
      </c>
      <c r="AM77" s="70" t="e">
        <f t="shared" si="50"/>
        <v>#REF!</v>
      </c>
      <c r="AN77" s="70" t="e">
        <f t="shared" si="50"/>
        <v>#REF!</v>
      </c>
      <c r="AO77" s="70" t="e">
        <f t="shared" si="50"/>
        <v>#REF!</v>
      </c>
      <c r="AP77" s="70"/>
      <c r="AQ77" s="70"/>
      <c r="AR77" s="70" t="e">
        <f t="shared" ref="AR77:BA77" si="51">AR28+AR29+AR33+AR36</f>
        <v>#REF!</v>
      </c>
      <c r="AS77" s="70" t="e">
        <f t="shared" si="51"/>
        <v>#REF!</v>
      </c>
      <c r="AT77" s="70" t="e">
        <f t="shared" si="51"/>
        <v>#REF!</v>
      </c>
      <c r="AU77" s="70" t="e">
        <f t="shared" si="51"/>
        <v>#REF!</v>
      </c>
      <c r="AV77" s="70" t="e">
        <f t="shared" si="51"/>
        <v>#REF!</v>
      </c>
      <c r="AW77" s="70" t="e">
        <f t="shared" si="51"/>
        <v>#REF!</v>
      </c>
      <c r="AX77" s="70" t="e">
        <f t="shared" si="51"/>
        <v>#REF!</v>
      </c>
      <c r="AY77" s="70" t="e">
        <f t="shared" si="51"/>
        <v>#REF!</v>
      </c>
      <c r="AZ77" s="70" t="e">
        <f t="shared" si="51"/>
        <v>#REF!</v>
      </c>
      <c r="BA77" s="70" t="e">
        <f t="shared" si="51"/>
        <v>#REF!</v>
      </c>
    </row>
    <row r="78" spans="27:53" hidden="1">
      <c r="AA78" s="71" t="s">
        <v>42</v>
      </c>
      <c r="AB78" s="35"/>
      <c r="AF78" s="70" t="e">
        <f t="shared" ref="AF78:AO78" si="52">AF39+AF40+AF44+AF47</f>
        <v>#REF!</v>
      </c>
      <c r="AG78" s="70" t="e">
        <f t="shared" si="52"/>
        <v>#REF!</v>
      </c>
      <c r="AH78" s="70" t="e">
        <f t="shared" si="52"/>
        <v>#REF!</v>
      </c>
      <c r="AI78" s="70" t="e">
        <f t="shared" si="52"/>
        <v>#REF!</v>
      </c>
      <c r="AJ78" s="70" t="e">
        <f t="shared" si="52"/>
        <v>#REF!</v>
      </c>
      <c r="AK78" s="70" t="e">
        <f t="shared" si="52"/>
        <v>#REF!</v>
      </c>
      <c r="AL78" s="70" t="e">
        <f t="shared" si="52"/>
        <v>#REF!</v>
      </c>
      <c r="AM78" s="70" t="e">
        <f t="shared" si="52"/>
        <v>#REF!</v>
      </c>
      <c r="AN78" s="70" t="e">
        <f t="shared" si="52"/>
        <v>#REF!</v>
      </c>
      <c r="AO78" s="70" t="e">
        <f t="shared" si="52"/>
        <v>#REF!</v>
      </c>
      <c r="AP78" s="70"/>
      <c r="AQ78" s="70"/>
      <c r="AR78" s="70" t="e">
        <f t="shared" ref="AR78:BA78" si="53">AR39+AR40+AR44+AR47</f>
        <v>#REF!</v>
      </c>
      <c r="AS78" s="70" t="e">
        <f t="shared" si="53"/>
        <v>#REF!</v>
      </c>
      <c r="AT78" s="70" t="e">
        <f t="shared" si="53"/>
        <v>#REF!</v>
      </c>
      <c r="AU78" s="70" t="e">
        <f t="shared" si="53"/>
        <v>#REF!</v>
      </c>
      <c r="AV78" s="70" t="e">
        <f t="shared" si="53"/>
        <v>#REF!</v>
      </c>
      <c r="AW78" s="70" t="e">
        <f t="shared" si="53"/>
        <v>#REF!</v>
      </c>
      <c r="AX78" s="70" t="e">
        <f t="shared" si="53"/>
        <v>#REF!</v>
      </c>
      <c r="AY78" s="70" t="e">
        <f t="shared" si="53"/>
        <v>#REF!</v>
      </c>
      <c r="AZ78" s="70" t="e">
        <f t="shared" si="53"/>
        <v>#REF!</v>
      </c>
      <c r="BA78" s="70" t="e">
        <f t="shared" si="53"/>
        <v>#REF!</v>
      </c>
    </row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7" spans="1:52" hidden="1"/>
    <row r="89" spans="1:52">
      <c r="A89" s="598" t="s">
        <v>108</v>
      </c>
      <c r="B89" s="598" t="s">
        <v>52</v>
      </c>
      <c r="C89" s="39" t="s">
        <v>101</v>
      </c>
      <c r="D89" s="39" t="s">
        <v>53</v>
      </c>
      <c r="E89" s="39" t="s">
        <v>54</v>
      </c>
      <c r="F89" s="587" t="s">
        <v>64</v>
      </c>
      <c r="G89" s="600"/>
      <c r="H89" s="600"/>
      <c r="I89" s="600"/>
      <c r="J89" s="600"/>
      <c r="K89" s="600"/>
      <c r="L89" s="600"/>
      <c r="M89" s="600"/>
      <c r="N89" s="600"/>
      <c r="O89" s="600"/>
      <c r="P89" s="590"/>
      <c r="AN89" s="38"/>
      <c r="AZ89" s="36"/>
    </row>
    <row r="90" spans="1:52" ht="63.75">
      <c r="A90" s="599"/>
      <c r="B90" s="599"/>
      <c r="C90" s="41" t="s">
        <v>66</v>
      </c>
      <c r="D90" s="41" t="s">
        <v>67</v>
      </c>
      <c r="E90" s="41" t="s">
        <v>68</v>
      </c>
      <c r="F90" s="575" t="s">
        <v>55</v>
      </c>
      <c r="G90" s="575" t="s">
        <v>73</v>
      </c>
      <c r="H90" s="575" t="s">
        <v>74</v>
      </c>
      <c r="I90" s="575" t="s">
        <v>58</v>
      </c>
      <c r="J90" s="575" t="s">
        <v>59</v>
      </c>
      <c r="K90" s="575" t="s">
        <v>60</v>
      </c>
      <c r="L90" s="574" t="s">
        <v>75</v>
      </c>
      <c r="M90" s="574" t="s">
        <v>76</v>
      </c>
      <c r="N90" s="574" t="s">
        <v>61</v>
      </c>
      <c r="O90" s="574" t="s">
        <v>62</v>
      </c>
      <c r="P90" s="574" t="s">
        <v>63</v>
      </c>
      <c r="AN90" s="38"/>
      <c r="AZ90" s="36"/>
    </row>
    <row r="91" spans="1:52" s="57" customFormat="1" ht="25.5">
      <c r="A91" s="44" t="str">
        <f>A4</f>
        <v>General Construction</v>
      </c>
      <c r="B91" s="45" t="str">
        <f>B4</f>
        <v>Light-Duty Truck, catalyst</v>
      </c>
      <c r="C91" s="46">
        <f>C4</f>
        <v>3</v>
      </c>
      <c r="D91" s="46">
        <v>35</v>
      </c>
      <c r="E91" s="46">
        <v>80</v>
      </c>
      <c r="F91" s="50">
        <f>C4*($E4*$F4+($G4))/453.59</f>
        <v>1.4571581576427601</v>
      </c>
      <c r="G91" s="50">
        <f>C4*($E4*$H4+($I4))/453.59</f>
        <v>0.13101197188313402</v>
      </c>
      <c r="H91" s="50">
        <f>C4*(($E4*$J4)+($K4)+($L4)+($E4*$N4)+(($M4+$O4)))/453.59</f>
        <v>0.15149994097185998</v>
      </c>
      <c r="I91" s="50">
        <f>C4*($E4*$P4+($Q4))/453.59</f>
        <v>2.1803910814818476E-3</v>
      </c>
      <c r="J91" s="50">
        <f>C4*(($E4*($R4+$T4+$U4))+($S4))/453.59</f>
        <v>2.5572271365623688E-2</v>
      </c>
      <c r="K91" s="50">
        <f>$C4*(($E4*($V4+$X4+$Y4))+($W4))/453.59</f>
        <v>1.1136015972759426E-2</v>
      </c>
      <c r="L91" s="50">
        <f>$B$24*C4*(E4+6)</f>
        <v>2.5315747758215698E-2</v>
      </c>
      <c r="M91" s="50">
        <f t="shared" ref="M91:M94" si="54">0.41*L91</f>
        <v>1.0379456580868435E-2</v>
      </c>
      <c r="N91" s="50">
        <f>C4*($E4*$Z4+($AA4))/453.59</f>
        <v>166.27073017811671</v>
      </c>
      <c r="O91" s="50">
        <f>C4*($E4*$AB4+($AC4))/453.59</f>
        <v>9.5114261670907474E-3</v>
      </c>
      <c r="P91" s="50">
        <f>C4*($E4*$AD4+($AE4))/453.59</f>
        <v>1.7313359741530081E-2</v>
      </c>
      <c r="Q91" s="580"/>
      <c r="AN91" s="84"/>
    </row>
    <row r="92" spans="1:52" s="57" customFormat="1" ht="25.5">
      <c r="A92" s="44" t="str">
        <f t="shared" ref="A92:C94" si="55">A5</f>
        <v>Substation General Construction</v>
      </c>
      <c r="B92" s="45" t="s">
        <v>102</v>
      </c>
      <c r="C92" s="46">
        <v>3</v>
      </c>
      <c r="D92" s="46">
        <v>35</v>
      </c>
      <c r="E92" s="46">
        <v>80</v>
      </c>
      <c r="F92" s="50">
        <f t="shared" ref="F92" si="56">C5*($E5*$F5+($G5))/453.59</f>
        <v>1.4571581576427601</v>
      </c>
      <c r="G92" s="50">
        <f t="shared" ref="G92" si="57">C5*($E5*$H5+($I5))/453.59</f>
        <v>0.13101197188313402</v>
      </c>
      <c r="H92" s="50">
        <f t="shared" ref="H92" si="58">C5*(($E5*$J5)+($K5)+($L5)+($E5*$N5)+(($M5+$O5)))/453.59</f>
        <v>0.15149994097185998</v>
      </c>
      <c r="I92" s="50">
        <f t="shared" ref="I92" si="59">C5*($E5*$P5+($Q5))/453.59</f>
        <v>2.1803910814818476E-3</v>
      </c>
      <c r="J92" s="50">
        <f t="shared" ref="J92" si="60">C5*(($E5*($R5+$T5+$U5))+($S5))/453.59</f>
        <v>2.5572271365623688E-2</v>
      </c>
      <c r="K92" s="50">
        <f t="shared" ref="K92:K94" si="61">$C5*(($E5*($V5+$X5+$Y5))+($W5))/453.59</f>
        <v>1.1136015972759426E-2</v>
      </c>
      <c r="L92" s="50">
        <f>$B$24*C5*(E5+6)</f>
        <v>2.5315747758215698E-2</v>
      </c>
      <c r="M92" s="50">
        <f t="shared" ref="M92" si="62">0.41*L92</f>
        <v>1.0379456580868435E-2</v>
      </c>
      <c r="N92" s="50">
        <f t="shared" ref="N92" si="63">C5*($E5*$Z5+($AA5))/453.59</f>
        <v>166.27073017811671</v>
      </c>
      <c r="O92" s="50">
        <f t="shared" ref="O92" si="64">C5*($E5*$AB5+($AC5))/453.59</f>
        <v>9.5114261670907474E-3</v>
      </c>
      <c r="P92" s="50">
        <f t="shared" ref="P92" si="65">C5*($E5*$AD5+($AE5))/453.59</f>
        <v>1.7313359741530081E-2</v>
      </c>
      <c r="Q92" s="581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63"/>
      <c r="AE92" s="53"/>
      <c r="AN92" s="84"/>
    </row>
    <row r="93" spans="1:52" s="57" customFormat="1" ht="25.5">
      <c r="A93" s="44" t="str">
        <f t="shared" si="55"/>
        <v>Site and Access Road Grading</v>
      </c>
      <c r="B93" s="45" t="str">
        <f t="shared" si="55"/>
        <v>Light-Duty Truck, catalyst</v>
      </c>
      <c r="C93" s="46">
        <f t="shared" si="55"/>
        <v>20</v>
      </c>
      <c r="D93" s="46">
        <v>35</v>
      </c>
      <c r="E93" s="46">
        <v>80</v>
      </c>
      <c r="F93" s="50">
        <f t="shared" ref="F93:F94" si="66">C6*($E6*$F6+($G6))/453.59</f>
        <v>9.7143877176184024</v>
      </c>
      <c r="G93" s="50">
        <f t="shared" ref="G93:G94" si="67">C6*($E6*$H6+($I6))/453.59</f>
        <v>0.87341314588756025</v>
      </c>
      <c r="H93" s="50">
        <f t="shared" ref="H93:H94" si="68">C6*(($E6*$J6)+($K6)+($L6)+($E6*$N6)+(($M6+$O6)))/453.59</f>
        <v>1.0099996064790666</v>
      </c>
      <c r="I93" s="50">
        <f t="shared" ref="I93:I94" si="69">C6*($E6*$P6+($Q6))/453.59</f>
        <v>1.453594054321232E-2</v>
      </c>
      <c r="J93" s="50">
        <f t="shared" ref="J93:J94" si="70">C6*(($E6*($R6+$T6+$U6))+($S6))/453.59</f>
        <v>0.17048180910415792</v>
      </c>
      <c r="K93" s="50">
        <f t="shared" si="61"/>
        <v>7.4240106485062823E-2</v>
      </c>
      <c r="L93" s="50">
        <f>$B$24*C6*(E6+6)</f>
        <v>0.16877165172143796</v>
      </c>
      <c r="M93" s="50">
        <f t="shared" si="54"/>
        <v>6.9196377205789555E-2</v>
      </c>
      <c r="N93" s="50">
        <f t="shared" ref="N93:N94" si="71">C6*($E6*$Z6+($AA6))/453.59</f>
        <v>1108.4715345207778</v>
      </c>
      <c r="O93" s="50">
        <f t="shared" ref="O93:O94" si="72">C6*($E6*$AB6+($AC6))/453.59</f>
        <v>6.3409507780604987E-2</v>
      </c>
      <c r="P93" s="50">
        <f t="shared" ref="P93:P94" si="73">C6*($E6*$AD6+($AE6))/453.59</f>
        <v>0.11542239827686719</v>
      </c>
      <c r="Q93" s="580"/>
      <c r="AN93" s="84"/>
    </row>
    <row r="94" spans="1:52" ht="25.5">
      <c r="A94" s="44" t="str">
        <f t="shared" si="55"/>
        <v>Storm Drain and Erosion Control</v>
      </c>
      <c r="B94" s="45" t="str">
        <f t="shared" si="55"/>
        <v>Light-Duty Truck, catalyst</v>
      </c>
      <c r="C94" s="46">
        <f t="shared" si="55"/>
        <v>14</v>
      </c>
      <c r="D94" s="46">
        <v>35</v>
      </c>
      <c r="E94" s="46">
        <v>80</v>
      </c>
      <c r="F94" s="50">
        <f t="shared" si="66"/>
        <v>6.8000714023328808</v>
      </c>
      <c r="G94" s="50">
        <f t="shared" si="67"/>
        <v>0.61138920212129211</v>
      </c>
      <c r="H94" s="50">
        <f t="shared" si="68"/>
        <v>0.70699972453534654</v>
      </c>
      <c r="I94" s="50">
        <f t="shared" si="69"/>
        <v>1.0175158380248623E-2</v>
      </c>
      <c r="J94" s="50">
        <f t="shared" si="70"/>
        <v>0.11933726637291055</v>
      </c>
      <c r="K94" s="50">
        <f t="shared" si="61"/>
        <v>5.1968074539543989E-2</v>
      </c>
      <c r="L94" s="50">
        <f>$B$24*C7*(E7+6)</f>
        <v>0.11814015620500659</v>
      </c>
      <c r="M94" s="50">
        <f t="shared" si="54"/>
        <v>4.8437464044052699E-2</v>
      </c>
      <c r="N94" s="50">
        <f t="shared" si="71"/>
        <v>775.93007416454452</v>
      </c>
      <c r="O94" s="50">
        <f t="shared" si="72"/>
        <v>4.4386655446423486E-2</v>
      </c>
      <c r="P94" s="50">
        <f t="shared" si="73"/>
        <v>8.0795678793807044E-2</v>
      </c>
      <c r="AN94" s="38"/>
      <c r="AZ94" s="36"/>
    </row>
    <row r="95" spans="1:52">
      <c r="A95" s="61" t="s">
        <v>389</v>
      </c>
      <c r="B95" s="40"/>
      <c r="C95" s="40"/>
      <c r="D95" s="40"/>
      <c r="E95" s="40"/>
      <c r="F95" s="81">
        <f>SUM(F91:F94)</f>
        <v>19.428775435236801</v>
      </c>
      <c r="G95" s="81">
        <f t="shared" ref="G95:P95" si="74">SUM(G91:G94)</f>
        <v>1.7468262917751205</v>
      </c>
      <c r="H95" s="81">
        <f t="shared" si="74"/>
        <v>2.0199992129581332</v>
      </c>
      <c r="I95" s="81">
        <f t="shared" si="74"/>
        <v>2.9071881086424639E-2</v>
      </c>
      <c r="J95" s="81">
        <f t="shared" si="74"/>
        <v>0.34096361820831583</v>
      </c>
      <c r="K95" s="81">
        <f t="shared" si="74"/>
        <v>0.14848021297012567</v>
      </c>
      <c r="L95" s="81">
        <f t="shared" si="74"/>
        <v>0.33754330344287597</v>
      </c>
      <c r="M95" s="81">
        <f t="shared" si="74"/>
        <v>0.13839275441157911</v>
      </c>
      <c r="N95" s="81">
        <f t="shared" si="74"/>
        <v>2216.9430690415556</v>
      </c>
      <c r="O95" s="81">
        <f t="shared" si="74"/>
        <v>0.12681901556120997</v>
      </c>
      <c r="P95" s="81">
        <f t="shared" si="74"/>
        <v>0.23084479655373441</v>
      </c>
      <c r="AN95" s="38"/>
      <c r="AZ95" s="36"/>
    </row>
  </sheetData>
  <mergeCells count="16">
    <mergeCell ref="AR14:BA14"/>
    <mergeCell ref="A89:A90"/>
    <mergeCell ref="B89:B90"/>
    <mergeCell ref="F89:P89"/>
    <mergeCell ref="R2:U2"/>
    <mergeCell ref="V2:Y2"/>
    <mergeCell ref="Z2:AA2"/>
    <mergeCell ref="AB2:AC2"/>
    <mergeCell ref="AD2:AE2"/>
    <mergeCell ref="AF14:AO14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36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9"/>
  <sheetViews>
    <sheetView zoomScale="75" zoomScaleNormal="75" workbookViewId="0">
      <selection activeCell="B32" sqref="B32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876</v>
      </c>
    </row>
    <row r="2" spans="1:25">
      <c r="A2" s="83"/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304</v>
      </c>
      <c r="B7" s="29">
        <v>2015</v>
      </c>
      <c r="C7" s="22"/>
      <c r="D7" s="18"/>
      <c r="E7" s="23"/>
      <c r="F7" s="23"/>
      <c r="G7" s="23"/>
      <c r="H7" s="23"/>
      <c r="I7" s="23"/>
      <c r="J7" s="24"/>
      <c r="K7" s="25"/>
      <c r="L7" s="23"/>
      <c r="M7" s="33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/>
      <c r="B8" s="29"/>
      <c r="C8" s="97"/>
      <c r="D8" s="12"/>
      <c r="E8" s="102"/>
      <c r="F8" s="102"/>
      <c r="G8" s="102"/>
      <c r="H8" s="102"/>
      <c r="I8" s="102"/>
      <c r="J8" s="100"/>
      <c r="K8" s="103"/>
      <c r="L8" s="102"/>
      <c r="M8" s="104"/>
      <c r="N8" s="98"/>
      <c r="O8" s="98"/>
      <c r="P8" s="99"/>
      <c r="Q8" s="34"/>
      <c r="R8" s="26"/>
      <c r="S8" s="26"/>
      <c r="T8" s="26"/>
      <c r="U8" s="26"/>
      <c r="V8" s="26"/>
      <c r="W8" s="26"/>
      <c r="X8" s="26"/>
      <c r="Y8" s="26"/>
    </row>
    <row r="9" spans="1:25">
      <c r="A9" s="11" t="s">
        <v>103</v>
      </c>
      <c r="B9" s="438"/>
      <c r="C9" s="438"/>
      <c r="D9" s="438"/>
      <c r="E9" s="426"/>
      <c r="F9" s="426"/>
      <c r="G9" s="426"/>
      <c r="H9" s="426"/>
      <c r="I9" s="426"/>
      <c r="J9" s="426"/>
      <c r="K9" s="426"/>
      <c r="L9" s="426"/>
      <c r="M9" s="426"/>
      <c r="N9" s="17"/>
      <c r="O9" s="123"/>
      <c r="P9" s="123"/>
      <c r="Q9" s="20">
        <v>0</v>
      </c>
      <c r="R9" s="20">
        <v>0</v>
      </c>
      <c r="S9" s="20">
        <v>0</v>
      </c>
      <c r="T9" s="20">
        <v>0</v>
      </c>
      <c r="U9" s="20">
        <v>0</v>
      </c>
      <c r="V9" s="20">
        <v>0</v>
      </c>
      <c r="W9" s="20">
        <v>0</v>
      </c>
      <c r="X9" s="20">
        <v>0</v>
      </c>
      <c r="Y9" s="20">
        <v>0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>&amp;CTable B-13
Construction Heavy Equipment Emissions
Installation of 69kV Position at Miguel Substation</oddHeader>
    <oddFooter>&amp;CB-13</oddFooter>
  </headerFooter>
</worksheet>
</file>

<file path=xl/worksheets/sheet36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0"/>
  <sheetViews>
    <sheetView zoomScale="75" workbookViewId="0">
      <selection activeCell="A27" sqref="A27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877</v>
      </c>
    </row>
    <row r="2" spans="1:30">
      <c r="A2" s="83"/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304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320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C9*(F9)*$B$378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6">
        <v>3.59998119015979E-2</v>
      </c>
      <c r="M10" s="556">
        <v>6.1739677411240299E-2</v>
      </c>
      <c r="N10" s="106">
        <v>6.5945508986370194E-2</v>
      </c>
      <c r="O10" s="556">
        <v>2.9999843251331498E-3</v>
      </c>
      <c r="P10" s="55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C10*(F10)*$B$378</f>
        <v>7.8498442661133934E-3</v>
      </c>
      <c r="AA10" s="50">
        <f>Z10*0.21</f>
        <v>1.6484672958838125E-3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2.5511993864868531E-2</v>
      </c>
      <c r="AA11" s="81">
        <f t="shared" si="0"/>
        <v>5.3575187116223916E-3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432"/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>
      <c r="A13" s="75" t="s">
        <v>388</v>
      </c>
      <c r="B13" s="74"/>
      <c r="C13" s="112"/>
      <c r="D13" s="112"/>
      <c r="E13" s="74"/>
      <c r="F13" s="74"/>
      <c r="G13" s="437"/>
      <c r="H13" s="41"/>
      <c r="I13" s="41"/>
      <c r="J13" s="41"/>
      <c r="K13" s="434"/>
      <c r="L13" s="434"/>
      <c r="M13" s="434"/>
      <c r="N13" s="434"/>
      <c r="O13" s="434"/>
      <c r="P13" s="434"/>
      <c r="Q13" s="41"/>
      <c r="R13" s="434"/>
      <c r="S13" s="434"/>
      <c r="T13" s="81">
        <f>T11</f>
        <v>0.29083724282289747</v>
      </c>
      <c r="U13" s="81">
        <f t="shared" ref="U13:AD13" si="1">U11</f>
        <v>1.0611962366155845</v>
      </c>
      <c r="V13" s="81">
        <f t="shared" si="1"/>
        <v>6.8824484487220519E-2</v>
      </c>
      <c r="W13" s="81">
        <f t="shared" si="1"/>
        <v>3.2791125145751575E-3</v>
      </c>
      <c r="X13" s="81">
        <f t="shared" si="1"/>
        <v>6.6250086644878026E-2</v>
      </c>
      <c r="Y13" s="81">
        <f t="shared" si="1"/>
        <v>4.6178083629108538E-2</v>
      </c>
      <c r="Z13" s="81">
        <f t="shared" si="1"/>
        <v>2.5511993864868531E-2</v>
      </c>
      <c r="AA13" s="81">
        <f t="shared" si="1"/>
        <v>5.3575187116223916E-3</v>
      </c>
      <c r="AB13" s="81">
        <f t="shared" si="1"/>
        <v>398.53611531382199</v>
      </c>
      <c r="AC13" s="81">
        <f t="shared" si="1"/>
        <v>8.2192999637851101E-3</v>
      </c>
      <c r="AD13" s="81">
        <f t="shared" si="1"/>
        <v>1.0208901129878864E-2</v>
      </c>
    </row>
    <row r="14" spans="1:30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</row>
    <row r="15" spans="1:30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</row>
    <row r="16" spans="1:30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368" spans="1:1" ht="25.5">
      <c r="A368" s="82" t="s">
        <v>109</v>
      </c>
    </row>
    <row r="370" spans="1:2">
      <c r="A370" s="36" t="s">
        <v>81</v>
      </c>
    </row>
    <row r="371" spans="1:2">
      <c r="A371" s="36" t="s">
        <v>82</v>
      </c>
    </row>
    <row r="372" spans="1:2">
      <c r="A372" s="36" t="s">
        <v>83</v>
      </c>
    </row>
    <row r="373" spans="1:2">
      <c r="A373" s="37" t="s">
        <v>96</v>
      </c>
    </row>
    <row r="374" spans="1:2">
      <c r="A374" s="36" t="s">
        <v>85</v>
      </c>
    </row>
    <row r="375" spans="1:2">
      <c r="A375" s="36" t="s">
        <v>86</v>
      </c>
    </row>
    <row r="376" spans="1:2">
      <c r="A376" s="36" t="s">
        <v>87</v>
      </c>
    </row>
    <row r="377" spans="1:2">
      <c r="A377" s="36" t="s">
        <v>0</v>
      </c>
    </row>
    <row r="378" spans="1:2">
      <c r="A378" s="37" t="s">
        <v>97</v>
      </c>
      <c r="B378" s="36">
        <f>(0.016*(0.03/2)^0.65*(2/3)^1.5)-0.00047</f>
        <v>9.8123053326417428E-5</v>
      </c>
    </row>
    <row r="379" spans="1:2">
      <c r="A379" s="37" t="s">
        <v>98</v>
      </c>
      <c r="B379" s="36">
        <f>(0.016*(0.03/2)^0.65*(13/3)^1.5)-0.00047</f>
        <v>8.9448292388582783E-3</v>
      </c>
    </row>
    <row r="380" spans="1:2">
      <c r="A380" s="37" t="s">
        <v>99</v>
      </c>
      <c r="B38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B-14
Construction Truck Trip Emissions
Installation of 69kV Position at Miguel Substation</oddHeader>
    <oddFooter>&amp;CB-14</oddFooter>
  </headerFooter>
</worksheet>
</file>

<file path=xl/worksheets/sheet36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D109" sqref="D109"/>
    </sheetView>
  </sheetViews>
  <sheetFormatPr defaultRowHeight="12.75"/>
  <cols>
    <col min="1" max="1" width="33" style="36" customWidth="1"/>
    <col min="2" max="3" width="22.42578125" style="36" customWidth="1"/>
    <col min="4" max="4" width="10.28515625" style="36" bestFit="1" customWidth="1"/>
    <col min="5" max="5" width="9.28515625" style="36" bestFit="1" customWidth="1"/>
    <col min="6" max="17" width="11.7109375" style="36" bestFit="1" customWidth="1"/>
    <col min="18" max="18" width="10.7109375" style="36" bestFit="1" customWidth="1"/>
    <col min="19" max="21" width="11.7109375" style="36" bestFit="1" customWidth="1"/>
    <col min="22" max="22" width="10.7109375" style="36" bestFit="1" customWidth="1"/>
    <col min="23" max="23" width="11.7109375" style="36" bestFit="1" customWidth="1"/>
    <col min="24" max="25" width="10.7109375" style="36" bestFit="1" customWidth="1"/>
    <col min="26" max="27" width="11.7109375" style="36" bestFit="1" customWidth="1"/>
    <col min="28" max="28" width="9.28515625" style="36" bestFit="1" customWidth="1"/>
    <col min="29" max="29" width="11.7109375" style="36" bestFit="1" customWidth="1"/>
    <col min="30" max="30" width="9.28515625" style="36" bestFit="1" customWidth="1"/>
    <col min="31" max="31" width="11.710937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878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51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43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51">
      <c r="A87" s="599"/>
      <c r="B87" s="599"/>
      <c r="C87" s="41" t="s">
        <v>66</v>
      </c>
      <c r="D87" s="41" t="s">
        <v>67</v>
      </c>
      <c r="E87" s="41" t="s">
        <v>68</v>
      </c>
      <c r="F87" s="435" t="s">
        <v>55</v>
      </c>
      <c r="G87" s="435" t="s">
        <v>73</v>
      </c>
      <c r="H87" s="435" t="s">
        <v>74</v>
      </c>
      <c r="I87" s="435" t="s">
        <v>58</v>
      </c>
      <c r="J87" s="435" t="s">
        <v>59</v>
      </c>
      <c r="K87" s="435" t="s">
        <v>60</v>
      </c>
      <c r="L87" s="434" t="s">
        <v>75</v>
      </c>
      <c r="M87" s="434" t="s">
        <v>76</v>
      </c>
      <c r="N87" s="434" t="s">
        <v>61</v>
      </c>
      <c r="O87" s="434" t="s">
        <v>62</v>
      </c>
      <c r="P87" s="434" t="s">
        <v>63</v>
      </c>
      <c r="AN87" s="38"/>
      <c r="AZ87" s="36"/>
    </row>
    <row r="88" spans="1:52" ht="25.5">
      <c r="A88" s="44" t="str">
        <f>A4</f>
        <v>Substation General Construction</v>
      </c>
      <c r="B88" s="45" t="str">
        <f>B4</f>
        <v>Light-Duty Truck, catalyst</v>
      </c>
      <c r="C88" s="46">
        <f>C4</f>
        <v>3</v>
      </c>
      <c r="D88" s="46">
        <v>35</v>
      </c>
      <c r="E88" s="46">
        <v>80</v>
      </c>
      <c r="F88" s="50">
        <f>C4*($E4*$F4+($G4))/453.59</f>
        <v>1.4571581576427601</v>
      </c>
      <c r="G88" s="50">
        <f>C4*($E4*$H4+($I4))/453.59</f>
        <v>0.13101197188313402</v>
      </c>
      <c r="H88" s="50">
        <f>C4*(($E4*$J4)+($K4)+($L4)+($E4*$N4)+(($M4+$O4)))/453.59</f>
        <v>0.15149994097185998</v>
      </c>
      <c r="I88" s="50">
        <f>C4*($E4*$P4+($Q4))/453.59</f>
        <v>2.1803910814818476E-3</v>
      </c>
      <c r="J88" s="50">
        <f>C4*(($E4*($R4+$T4+$U4))+($S4))/453.59</f>
        <v>2.5572271365623688E-2</v>
      </c>
      <c r="K88" s="50">
        <f>$C4*(($E4*($V4+$X4+$Y4))+($W4))/453.59</f>
        <v>1.1136015972759426E-2</v>
      </c>
      <c r="L88" s="50">
        <f>$B$21*C4*(E4+6)</f>
        <v>2.5315747758215698E-2</v>
      </c>
      <c r="M88" s="50">
        <f t="shared" ref="M88" si="52">0.41*L88</f>
        <v>1.0379456580868435E-2</v>
      </c>
      <c r="N88" s="50">
        <f>C4*($E4*$Z4+($AA4))/453.59</f>
        <v>166.27073017811671</v>
      </c>
      <c r="O88" s="50">
        <f>C4*($E4*$AB4+($AC4))/453.59</f>
        <v>9.5114261670907474E-3</v>
      </c>
      <c r="P88" s="50">
        <f>C4*($E4*$AD4+($AE4))/453.59</f>
        <v>1.7313359741530081E-2</v>
      </c>
      <c r="AN88" s="38"/>
      <c r="AZ88" s="36"/>
    </row>
    <row r="89" spans="1:52">
      <c r="A89" s="61" t="s">
        <v>396</v>
      </c>
      <c r="B89" s="61"/>
      <c r="C89" s="61"/>
      <c r="D89" s="61"/>
      <c r="E89" s="61"/>
      <c r="F89" s="81">
        <f t="shared" ref="F89:P89" si="53">SUM(F88:F88)</f>
        <v>1.4571581576427601</v>
      </c>
      <c r="G89" s="81">
        <f t="shared" si="53"/>
        <v>0.13101197188313402</v>
      </c>
      <c r="H89" s="81">
        <f t="shared" si="53"/>
        <v>0.15149994097185998</v>
      </c>
      <c r="I89" s="81">
        <f t="shared" si="53"/>
        <v>2.1803910814818476E-3</v>
      </c>
      <c r="J89" s="81">
        <f t="shared" si="53"/>
        <v>2.5572271365623688E-2</v>
      </c>
      <c r="K89" s="81">
        <f t="shared" si="53"/>
        <v>1.1136015972759426E-2</v>
      </c>
      <c r="L89" s="81">
        <f t="shared" si="53"/>
        <v>2.5315747758215698E-2</v>
      </c>
      <c r="M89" s="81">
        <f t="shared" si="53"/>
        <v>1.0379456580868435E-2</v>
      </c>
      <c r="N89" s="81">
        <f t="shared" si="53"/>
        <v>166.27073017811671</v>
      </c>
      <c r="O89" s="81">
        <f t="shared" si="53"/>
        <v>9.5114261670907474E-3</v>
      </c>
      <c r="P89" s="81">
        <f t="shared" si="53"/>
        <v>1.7313359741530081E-2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1" firstPageNumber="16" orientation="landscape" useFirstPageNumber="1" r:id="rId1"/>
  <headerFooter alignWithMargins="0">
    <oddHeader>&amp;CTable B-15
Construction Worker Commute Emission Calculations
Installation of 69kV Position at Miguel Substation</oddHeader>
    <oddFooter>&amp;CB-15</oddFooter>
  </headerFooter>
</worksheet>
</file>

<file path=xl/worksheets/sheet36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9"/>
  <sheetViews>
    <sheetView zoomScale="75" zoomScaleNormal="75" workbookViewId="0">
      <selection activeCell="D32" sqref="D32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879</v>
      </c>
    </row>
    <row r="2" spans="1:25">
      <c r="A2" s="83"/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304</v>
      </c>
      <c r="B7" s="29">
        <v>2015</v>
      </c>
      <c r="C7" s="22"/>
      <c r="D7" s="18"/>
      <c r="E7" s="23"/>
      <c r="F7" s="23"/>
      <c r="G7" s="23"/>
      <c r="H7" s="23"/>
      <c r="I7" s="23"/>
      <c r="J7" s="24"/>
      <c r="K7" s="25"/>
      <c r="L7" s="23"/>
      <c r="M7" s="33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/>
      <c r="B8" s="29"/>
      <c r="C8" s="97"/>
      <c r="D8" s="12"/>
      <c r="E8" s="102"/>
      <c r="F8" s="102"/>
      <c r="G8" s="102"/>
      <c r="H8" s="102"/>
      <c r="I8" s="102"/>
      <c r="J8" s="100"/>
      <c r="K8" s="103"/>
      <c r="L8" s="102"/>
      <c r="M8" s="104"/>
      <c r="N8" s="98"/>
      <c r="O8" s="98"/>
      <c r="P8" s="99"/>
      <c r="Q8" s="34"/>
      <c r="R8" s="26"/>
      <c r="S8" s="26"/>
      <c r="T8" s="26"/>
      <c r="U8" s="26"/>
      <c r="V8" s="26"/>
      <c r="W8" s="26"/>
      <c r="X8" s="26"/>
      <c r="Y8" s="26"/>
    </row>
    <row r="9" spans="1:25">
      <c r="A9" s="11" t="s">
        <v>103</v>
      </c>
      <c r="B9" s="438"/>
      <c r="C9" s="438"/>
      <c r="D9" s="438"/>
      <c r="E9" s="426"/>
      <c r="F9" s="426"/>
      <c r="G9" s="426"/>
      <c r="H9" s="426"/>
      <c r="I9" s="426"/>
      <c r="J9" s="426"/>
      <c r="K9" s="426"/>
      <c r="L9" s="426"/>
      <c r="M9" s="426"/>
      <c r="N9" s="17"/>
      <c r="O9" s="123"/>
      <c r="P9" s="123"/>
      <c r="Q9" s="20">
        <v>0</v>
      </c>
      <c r="R9" s="20">
        <v>0</v>
      </c>
      <c r="S9" s="20">
        <v>0</v>
      </c>
      <c r="T9" s="20">
        <v>0</v>
      </c>
      <c r="U9" s="20">
        <v>0</v>
      </c>
      <c r="V9" s="20">
        <v>0</v>
      </c>
      <c r="W9" s="20">
        <v>0</v>
      </c>
      <c r="X9" s="20">
        <v>0</v>
      </c>
      <c r="Y9" s="20">
        <v>0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>&amp;CTable B-13
Construction Heavy Equipment Emissions
Installation of 69kV Position at Miguel Substation</oddHeader>
    <oddFooter>&amp;CB-13</oddFooter>
  </headerFooter>
</worksheet>
</file>

<file path=xl/worksheets/sheet36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0"/>
  <sheetViews>
    <sheetView zoomScale="75" workbookViewId="0">
      <selection activeCell="B30" sqref="B30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880</v>
      </c>
    </row>
    <row r="2" spans="1:30">
      <c r="A2" s="83"/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304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320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C9*(F9)*$B$378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6">
        <v>3.59998119015979E-2</v>
      </c>
      <c r="M10" s="556">
        <v>6.1739677411240299E-2</v>
      </c>
      <c r="N10" s="106">
        <v>6.5945508986370194E-2</v>
      </c>
      <c r="O10" s="556">
        <v>2.9999843251331498E-3</v>
      </c>
      <c r="P10" s="55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C10*(F10)*$B$378</f>
        <v>7.8498442661133934E-3</v>
      </c>
      <c r="AA10" s="50">
        <f>Z10*0.21</f>
        <v>1.6484672958838125E-3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2.5511993864868531E-2</v>
      </c>
      <c r="AA11" s="81">
        <f t="shared" si="0"/>
        <v>5.3575187116223916E-3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432"/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>
      <c r="A13" s="75" t="s">
        <v>388</v>
      </c>
      <c r="B13" s="74"/>
      <c r="C13" s="112"/>
      <c r="D13" s="112"/>
      <c r="E13" s="74"/>
      <c r="F13" s="74"/>
      <c r="G13" s="437"/>
      <c r="H13" s="41"/>
      <c r="I13" s="41"/>
      <c r="J13" s="41"/>
      <c r="K13" s="434"/>
      <c r="L13" s="434"/>
      <c r="M13" s="434"/>
      <c r="N13" s="434"/>
      <c r="O13" s="434"/>
      <c r="P13" s="434"/>
      <c r="Q13" s="41"/>
      <c r="R13" s="434"/>
      <c r="S13" s="434"/>
      <c r="T13" s="81">
        <f>T11</f>
        <v>0.29083724282289747</v>
      </c>
      <c r="U13" s="81">
        <f t="shared" ref="U13:AD13" si="1">U11</f>
        <v>1.0611962366155845</v>
      </c>
      <c r="V13" s="81">
        <f t="shared" si="1"/>
        <v>6.8824484487220519E-2</v>
      </c>
      <c r="W13" s="81">
        <f t="shared" si="1"/>
        <v>3.2791125145751575E-3</v>
      </c>
      <c r="X13" s="81">
        <f t="shared" si="1"/>
        <v>6.6250086644878026E-2</v>
      </c>
      <c r="Y13" s="81">
        <f t="shared" si="1"/>
        <v>4.6178083629108538E-2</v>
      </c>
      <c r="Z13" s="81">
        <f t="shared" si="1"/>
        <v>2.5511993864868531E-2</v>
      </c>
      <c r="AA13" s="81">
        <f t="shared" si="1"/>
        <v>5.3575187116223916E-3</v>
      </c>
      <c r="AB13" s="81">
        <f t="shared" si="1"/>
        <v>398.53611531382199</v>
      </c>
      <c r="AC13" s="81">
        <f t="shared" si="1"/>
        <v>8.2192999637851101E-3</v>
      </c>
      <c r="AD13" s="81">
        <f t="shared" si="1"/>
        <v>1.0208901129878864E-2</v>
      </c>
    </row>
    <row r="14" spans="1:30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</row>
    <row r="15" spans="1:30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</row>
    <row r="16" spans="1:30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368" spans="1:1" ht="25.5">
      <c r="A368" s="82" t="s">
        <v>109</v>
      </c>
    </row>
    <row r="370" spans="1:2">
      <c r="A370" s="36" t="s">
        <v>81</v>
      </c>
    </row>
    <row r="371" spans="1:2">
      <c r="A371" s="36" t="s">
        <v>82</v>
      </c>
    </row>
    <row r="372" spans="1:2">
      <c r="A372" s="36" t="s">
        <v>83</v>
      </c>
    </row>
    <row r="373" spans="1:2">
      <c r="A373" s="37" t="s">
        <v>96</v>
      </c>
    </row>
    <row r="374" spans="1:2">
      <c r="A374" s="36" t="s">
        <v>85</v>
      </c>
    </row>
    <row r="375" spans="1:2">
      <c r="A375" s="36" t="s">
        <v>86</v>
      </c>
    </row>
    <row r="376" spans="1:2">
      <c r="A376" s="36" t="s">
        <v>87</v>
      </c>
    </row>
    <row r="377" spans="1:2">
      <c r="A377" s="36" t="s">
        <v>0</v>
      </c>
    </row>
    <row r="378" spans="1:2">
      <c r="A378" s="37" t="s">
        <v>97</v>
      </c>
      <c r="B378" s="36">
        <f>(0.016*(0.03/2)^0.65*(2/3)^1.5)-0.00047</f>
        <v>9.8123053326417428E-5</v>
      </c>
    </row>
    <row r="379" spans="1:2">
      <c r="A379" s="37" t="s">
        <v>98</v>
      </c>
      <c r="B379" s="36">
        <f>(0.016*(0.03/2)^0.65*(13/3)^1.5)-0.00047</f>
        <v>8.9448292388582783E-3</v>
      </c>
    </row>
    <row r="380" spans="1:2">
      <c r="A380" s="37" t="s">
        <v>99</v>
      </c>
      <c r="B38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B-14
Construction Truck Trip Emissions
Installation of 69kV Position at Miguel Substation</oddHeader>
    <oddFooter>&amp;CB-14</oddFooter>
  </headerFooter>
</worksheet>
</file>

<file path=xl/worksheets/sheet36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D99" sqref="D99"/>
    </sheetView>
  </sheetViews>
  <sheetFormatPr defaultRowHeight="12.75"/>
  <cols>
    <col min="1" max="1" width="33" style="36" customWidth="1"/>
    <col min="2" max="3" width="22.42578125" style="36" customWidth="1"/>
    <col min="4" max="4" width="10.28515625" style="36" bestFit="1" customWidth="1"/>
    <col min="5" max="5" width="9.28515625" style="36" bestFit="1" customWidth="1"/>
    <col min="6" max="17" width="11.7109375" style="36" bestFit="1" customWidth="1"/>
    <col min="18" max="18" width="10.7109375" style="36" bestFit="1" customWidth="1"/>
    <col min="19" max="21" width="11.7109375" style="36" bestFit="1" customWidth="1"/>
    <col min="22" max="22" width="10.7109375" style="36" bestFit="1" customWidth="1"/>
    <col min="23" max="23" width="11.7109375" style="36" bestFit="1" customWidth="1"/>
    <col min="24" max="25" width="10.7109375" style="36" bestFit="1" customWidth="1"/>
    <col min="26" max="27" width="11.7109375" style="36" bestFit="1" customWidth="1"/>
    <col min="28" max="28" width="9.28515625" style="36" bestFit="1" customWidth="1"/>
    <col min="29" max="29" width="11.7109375" style="36" bestFit="1" customWidth="1"/>
    <col min="30" max="30" width="9.28515625" style="36" bestFit="1" customWidth="1"/>
    <col min="31" max="31" width="11.710937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881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51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43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51">
      <c r="A87" s="599"/>
      <c r="B87" s="599"/>
      <c r="C87" s="41" t="s">
        <v>66</v>
      </c>
      <c r="D87" s="41" t="s">
        <v>67</v>
      </c>
      <c r="E87" s="41" t="s">
        <v>68</v>
      </c>
      <c r="F87" s="435" t="s">
        <v>55</v>
      </c>
      <c r="G87" s="435" t="s">
        <v>73</v>
      </c>
      <c r="H87" s="435" t="s">
        <v>74</v>
      </c>
      <c r="I87" s="435" t="s">
        <v>58</v>
      </c>
      <c r="J87" s="435" t="s">
        <v>59</v>
      </c>
      <c r="K87" s="435" t="s">
        <v>60</v>
      </c>
      <c r="L87" s="434" t="s">
        <v>75</v>
      </c>
      <c r="M87" s="434" t="s">
        <v>76</v>
      </c>
      <c r="N87" s="434" t="s">
        <v>61</v>
      </c>
      <c r="O87" s="434" t="s">
        <v>62</v>
      </c>
      <c r="P87" s="434" t="s">
        <v>63</v>
      </c>
      <c r="AN87" s="38"/>
      <c r="AZ87" s="36"/>
    </row>
    <row r="88" spans="1:52" ht="25.5">
      <c r="A88" s="44" t="str">
        <f>A4</f>
        <v>Substation General Construction</v>
      </c>
      <c r="B88" s="45" t="str">
        <f>B4</f>
        <v>Light-Duty Truck, catalyst</v>
      </c>
      <c r="C88" s="46">
        <f>C4</f>
        <v>3</v>
      </c>
      <c r="D88" s="46">
        <v>35</v>
      </c>
      <c r="E88" s="46">
        <v>80</v>
      </c>
      <c r="F88" s="50">
        <f>C4*($E4*$F4+($G4))/453.59</f>
        <v>1.4571581576427601</v>
      </c>
      <c r="G88" s="50">
        <f>C4*($E4*$H4+($I4))/453.59</f>
        <v>0.13101197188313402</v>
      </c>
      <c r="H88" s="50">
        <f>C4*(($E4*$J4)+($K4)+($L4)+($E4*$N4)+(($M4+$O4)))/453.59</f>
        <v>0.15149994097185998</v>
      </c>
      <c r="I88" s="50">
        <f>C4*($E4*$P4+($Q4))/453.59</f>
        <v>2.1803910814818476E-3</v>
      </c>
      <c r="J88" s="50">
        <f>C4*(($E4*($R4+$T4+$U4))+($S4))/453.59</f>
        <v>2.5572271365623688E-2</v>
      </c>
      <c r="K88" s="50">
        <f>$C4*(($E4*($V4+$X4+$Y4))+($W4))/453.59</f>
        <v>1.1136015972759426E-2</v>
      </c>
      <c r="L88" s="50">
        <f>$B$21*C4*(E4+6)</f>
        <v>2.5315747758215698E-2</v>
      </c>
      <c r="M88" s="50">
        <f t="shared" ref="M88" si="52">0.41*L88</f>
        <v>1.0379456580868435E-2</v>
      </c>
      <c r="N88" s="50">
        <f>C4*($E4*$Z4+($AA4))/453.59</f>
        <v>166.27073017811671</v>
      </c>
      <c r="O88" s="50">
        <f>C4*($E4*$AB4+($AC4))/453.59</f>
        <v>9.5114261670907474E-3</v>
      </c>
      <c r="P88" s="50">
        <f>C4*($E4*$AD4+($AE4))/453.59</f>
        <v>1.7313359741530081E-2</v>
      </c>
      <c r="AN88" s="38"/>
      <c r="AZ88" s="36"/>
    </row>
    <row r="89" spans="1:52">
      <c r="A89" s="61" t="s">
        <v>396</v>
      </c>
      <c r="B89" s="61"/>
      <c r="C89" s="61"/>
      <c r="D89" s="61"/>
      <c r="E89" s="61"/>
      <c r="F89" s="81">
        <f t="shared" ref="F89:P89" si="53">SUM(F88:F88)</f>
        <v>1.4571581576427601</v>
      </c>
      <c r="G89" s="81">
        <f t="shared" si="53"/>
        <v>0.13101197188313402</v>
      </c>
      <c r="H89" s="81">
        <f t="shared" si="53"/>
        <v>0.15149994097185998</v>
      </c>
      <c r="I89" s="81">
        <f t="shared" si="53"/>
        <v>2.1803910814818476E-3</v>
      </c>
      <c r="J89" s="81">
        <f t="shared" si="53"/>
        <v>2.5572271365623688E-2</v>
      </c>
      <c r="K89" s="81">
        <f t="shared" si="53"/>
        <v>1.1136015972759426E-2</v>
      </c>
      <c r="L89" s="81">
        <f t="shared" si="53"/>
        <v>2.5315747758215698E-2</v>
      </c>
      <c r="M89" s="81">
        <f t="shared" si="53"/>
        <v>1.0379456580868435E-2</v>
      </c>
      <c r="N89" s="81">
        <f t="shared" si="53"/>
        <v>166.27073017811671</v>
      </c>
      <c r="O89" s="81">
        <f t="shared" si="53"/>
        <v>9.5114261670907474E-3</v>
      </c>
      <c r="P89" s="81">
        <f t="shared" si="53"/>
        <v>1.7313359741530081E-2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1" firstPageNumber="16" orientation="landscape" useFirstPageNumber="1" r:id="rId1"/>
  <headerFooter alignWithMargins="0">
    <oddHeader>&amp;CTable B-15
Construction Worker Commute Emission Calculations
Installation of 69kV Position at Miguel Substation</oddHeader>
    <oddFooter>&amp;CB-15</oddFooter>
  </headerFooter>
</worksheet>
</file>

<file path=xl/worksheets/sheet36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9"/>
  <sheetViews>
    <sheetView zoomScale="75" zoomScaleNormal="75" workbookViewId="0">
      <selection activeCell="D32" sqref="D32"/>
    </sheetView>
  </sheetViews>
  <sheetFormatPr defaultRowHeight="12.75"/>
  <cols>
    <col min="1" max="1" width="33.71093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882</v>
      </c>
    </row>
    <row r="2" spans="1:25">
      <c r="A2" s="83"/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304</v>
      </c>
      <c r="B7" s="29">
        <v>2015</v>
      </c>
      <c r="C7" s="22"/>
      <c r="D7" s="18"/>
      <c r="E7" s="23"/>
      <c r="F7" s="23"/>
      <c r="G7" s="23"/>
      <c r="H7" s="23"/>
      <c r="I7" s="23"/>
      <c r="J7" s="24"/>
      <c r="K7" s="25"/>
      <c r="L7" s="23"/>
      <c r="M7" s="33"/>
      <c r="N7" s="98"/>
      <c r="O7" s="98"/>
      <c r="P7" s="99"/>
      <c r="Q7" s="34"/>
      <c r="R7" s="26"/>
      <c r="S7" s="26"/>
      <c r="T7" s="26"/>
      <c r="U7" s="26"/>
      <c r="V7" s="26"/>
      <c r="W7" s="26"/>
      <c r="X7" s="26"/>
      <c r="Y7" s="26"/>
    </row>
    <row r="8" spans="1:25" s="3" customFormat="1">
      <c r="A8" s="24"/>
      <c r="B8" s="29"/>
      <c r="C8" s="97"/>
      <c r="D8" s="12"/>
      <c r="E8" s="102"/>
      <c r="F8" s="102"/>
      <c r="G8" s="102"/>
      <c r="H8" s="102"/>
      <c r="I8" s="102"/>
      <c r="J8" s="100"/>
      <c r="K8" s="103"/>
      <c r="L8" s="102"/>
      <c r="M8" s="104"/>
      <c r="N8" s="98"/>
      <c r="O8" s="98"/>
      <c r="P8" s="99"/>
      <c r="Q8" s="34"/>
      <c r="R8" s="26"/>
      <c r="S8" s="26"/>
      <c r="T8" s="26"/>
      <c r="U8" s="26"/>
      <c r="V8" s="26"/>
      <c r="W8" s="26"/>
      <c r="X8" s="26"/>
      <c r="Y8" s="26"/>
    </row>
    <row r="9" spans="1:25">
      <c r="A9" s="11" t="s">
        <v>103</v>
      </c>
      <c r="B9" s="438"/>
      <c r="C9" s="438"/>
      <c r="D9" s="438"/>
      <c r="E9" s="426"/>
      <c r="F9" s="426"/>
      <c r="G9" s="426"/>
      <c r="H9" s="426"/>
      <c r="I9" s="426"/>
      <c r="J9" s="426"/>
      <c r="K9" s="426"/>
      <c r="L9" s="426"/>
      <c r="M9" s="426"/>
      <c r="N9" s="17"/>
      <c r="O9" s="123"/>
      <c r="P9" s="123"/>
      <c r="Q9" s="20">
        <v>0</v>
      </c>
      <c r="R9" s="20">
        <v>0</v>
      </c>
      <c r="S9" s="20">
        <v>0</v>
      </c>
      <c r="T9" s="20">
        <v>0</v>
      </c>
      <c r="U9" s="20">
        <v>0</v>
      </c>
      <c r="V9" s="20">
        <v>0</v>
      </c>
      <c r="W9" s="20">
        <v>0</v>
      </c>
      <c r="X9" s="20">
        <v>0</v>
      </c>
      <c r="Y9" s="20">
        <v>0</v>
      </c>
    </row>
  </sheetData>
  <mergeCells count="2">
    <mergeCell ref="E3:L3"/>
    <mergeCell ref="Q3:X3"/>
  </mergeCells>
  <pageMargins left="0.75" right="0.75" top="1" bottom="1" header="0.5" footer="0.5"/>
  <pageSetup scale="48" orientation="landscape" r:id="rId1"/>
  <headerFooter alignWithMargins="0">
    <oddHeader>&amp;CTable B-13
Construction Heavy Equipment Emissions
Installation of 69kV Position at Miguel Substation</oddHeader>
    <oddFooter>&amp;CB-13</oddFooter>
  </headerFooter>
</worksheet>
</file>

<file path=xl/worksheets/sheet36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0"/>
  <sheetViews>
    <sheetView zoomScale="75" workbookViewId="0">
      <selection activeCell="G10" sqref="G10:S10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883</v>
      </c>
    </row>
    <row r="2" spans="1:30">
      <c r="A2" s="83"/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304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320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C9*(F9)*$B$378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6">
        <v>3.59998119015979E-2</v>
      </c>
      <c r="M10" s="556">
        <v>6.1739677411240299E-2</v>
      </c>
      <c r="N10" s="106">
        <v>6.5945508986370194E-2</v>
      </c>
      <c r="O10" s="556">
        <v>2.9999843251331498E-3</v>
      </c>
      <c r="P10" s="55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C10*(F10)*$B$378</f>
        <v>7.8498442661133934E-3</v>
      </c>
      <c r="AA10" s="50">
        <f>Z10*0.21</f>
        <v>1.6484672958838125E-3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2.5511993864868531E-2</v>
      </c>
      <c r="AA11" s="81">
        <f t="shared" si="0"/>
        <v>5.3575187116223916E-3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432"/>
      <c r="B12" s="74"/>
      <c r="C12" s="112"/>
      <c r="D12" s="112"/>
      <c r="E12" s="74"/>
      <c r="F12" s="74"/>
      <c r="G12" s="437"/>
      <c r="H12" s="41"/>
      <c r="I12" s="41"/>
      <c r="J12" s="41"/>
      <c r="K12" s="434"/>
      <c r="L12" s="434"/>
      <c r="M12" s="434"/>
      <c r="N12" s="434"/>
      <c r="O12" s="434"/>
      <c r="P12" s="434"/>
      <c r="Q12" s="41"/>
      <c r="R12" s="434"/>
      <c r="S12" s="434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>
      <c r="A13" s="75" t="s">
        <v>388</v>
      </c>
      <c r="B13" s="74"/>
      <c r="C13" s="112"/>
      <c r="D13" s="112"/>
      <c r="E13" s="74"/>
      <c r="F13" s="74"/>
      <c r="G13" s="437"/>
      <c r="H13" s="41"/>
      <c r="I13" s="41"/>
      <c r="J13" s="41"/>
      <c r="K13" s="434"/>
      <c r="L13" s="434"/>
      <c r="M13" s="434"/>
      <c r="N13" s="434"/>
      <c r="O13" s="434"/>
      <c r="P13" s="434"/>
      <c r="Q13" s="41"/>
      <c r="R13" s="434"/>
      <c r="S13" s="434"/>
      <c r="T13" s="81">
        <f>T11</f>
        <v>0.29083724282289747</v>
      </c>
      <c r="U13" s="81">
        <f t="shared" ref="U13:AD13" si="1">U11</f>
        <v>1.0611962366155845</v>
      </c>
      <c r="V13" s="81">
        <f t="shared" si="1"/>
        <v>6.8824484487220519E-2</v>
      </c>
      <c r="W13" s="81">
        <f t="shared" si="1"/>
        <v>3.2791125145751575E-3</v>
      </c>
      <c r="X13" s="81">
        <f t="shared" si="1"/>
        <v>6.6250086644878026E-2</v>
      </c>
      <c r="Y13" s="81">
        <f t="shared" si="1"/>
        <v>4.6178083629108538E-2</v>
      </c>
      <c r="Z13" s="81">
        <f t="shared" si="1"/>
        <v>2.5511993864868531E-2</v>
      </c>
      <c r="AA13" s="81">
        <f t="shared" si="1"/>
        <v>5.3575187116223916E-3</v>
      </c>
      <c r="AB13" s="81">
        <f t="shared" si="1"/>
        <v>398.53611531382199</v>
      </c>
      <c r="AC13" s="81">
        <f t="shared" si="1"/>
        <v>8.2192999637851101E-3</v>
      </c>
      <c r="AD13" s="81">
        <f t="shared" si="1"/>
        <v>1.0208901129878864E-2</v>
      </c>
    </row>
    <row r="14" spans="1:30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</row>
    <row r="15" spans="1:30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</row>
    <row r="16" spans="1:30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368" spans="1:1" ht="25.5">
      <c r="A368" s="82" t="s">
        <v>109</v>
      </c>
    </row>
    <row r="370" spans="1:2">
      <c r="A370" s="36" t="s">
        <v>81</v>
      </c>
    </row>
    <row r="371" spans="1:2">
      <c r="A371" s="36" t="s">
        <v>82</v>
      </c>
    </row>
    <row r="372" spans="1:2">
      <c r="A372" s="36" t="s">
        <v>83</v>
      </c>
    </row>
    <row r="373" spans="1:2">
      <c r="A373" s="37" t="s">
        <v>96</v>
      </c>
    </row>
    <row r="374" spans="1:2">
      <c r="A374" s="36" t="s">
        <v>85</v>
      </c>
    </row>
    <row r="375" spans="1:2">
      <c r="A375" s="36" t="s">
        <v>86</v>
      </c>
    </row>
    <row r="376" spans="1:2">
      <c r="A376" s="36" t="s">
        <v>87</v>
      </c>
    </row>
    <row r="377" spans="1:2">
      <c r="A377" s="36" t="s">
        <v>0</v>
      </c>
    </row>
    <row r="378" spans="1:2">
      <c r="A378" s="37" t="s">
        <v>97</v>
      </c>
      <c r="B378" s="36">
        <f>(0.016*(0.03/2)^0.65*(2/3)^1.5)-0.00047</f>
        <v>9.8123053326417428E-5</v>
      </c>
    </row>
    <row r="379" spans="1:2">
      <c r="A379" s="37" t="s">
        <v>98</v>
      </c>
      <c r="B379" s="36">
        <f>(0.016*(0.03/2)^0.65*(13/3)^1.5)-0.00047</f>
        <v>8.9448292388582783E-3</v>
      </c>
    </row>
    <row r="380" spans="1:2">
      <c r="A380" s="37" t="s">
        <v>99</v>
      </c>
      <c r="B38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B-14
Construction Truck Trip Emissions
Installation of 69kV Position at Miguel Substation</oddHeader>
    <oddFooter>&amp;CB-14</oddFooter>
  </headerFooter>
</worksheet>
</file>

<file path=xl/worksheets/sheet36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C103" sqref="C103"/>
    </sheetView>
  </sheetViews>
  <sheetFormatPr defaultRowHeight="12.75"/>
  <cols>
    <col min="1" max="1" width="33" style="36" customWidth="1"/>
    <col min="2" max="3" width="22.42578125" style="36" customWidth="1"/>
    <col min="4" max="4" width="10.28515625" style="36" bestFit="1" customWidth="1"/>
    <col min="5" max="5" width="9.28515625" style="36" bestFit="1" customWidth="1"/>
    <col min="6" max="17" width="11.7109375" style="36" bestFit="1" customWidth="1"/>
    <col min="18" max="18" width="10.7109375" style="36" bestFit="1" customWidth="1"/>
    <col min="19" max="21" width="11.7109375" style="36" bestFit="1" customWidth="1"/>
    <col min="22" max="22" width="10.7109375" style="36" bestFit="1" customWidth="1"/>
    <col min="23" max="23" width="11.7109375" style="36" bestFit="1" customWidth="1"/>
    <col min="24" max="25" width="10.7109375" style="36" bestFit="1" customWidth="1"/>
    <col min="26" max="27" width="11.7109375" style="36" bestFit="1" customWidth="1"/>
    <col min="28" max="28" width="9.28515625" style="36" bestFit="1" customWidth="1"/>
    <col min="29" max="29" width="11.7109375" style="36" bestFit="1" customWidth="1"/>
    <col min="30" max="30" width="9.28515625" style="36" bestFit="1" customWidth="1"/>
    <col min="31" max="31" width="11.710937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884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51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43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51">
      <c r="A87" s="599"/>
      <c r="B87" s="599"/>
      <c r="C87" s="41" t="s">
        <v>66</v>
      </c>
      <c r="D87" s="41" t="s">
        <v>67</v>
      </c>
      <c r="E87" s="41" t="s">
        <v>68</v>
      </c>
      <c r="F87" s="435" t="s">
        <v>55</v>
      </c>
      <c r="G87" s="435" t="s">
        <v>73</v>
      </c>
      <c r="H87" s="435" t="s">
        <v>74</v>
      </c>
      <c r="I87" s="435" t="s">
        <v>58</v>
      </c>
      <c r="J87" s="435" t="s">
        <v>59</v>
      </c>
      <c r="K87" s="435" t="s">
        <v>60</v>
      </c>
      <c r="L87" s="434" t="s">
        <v>75</v>
      </c>
      <c r="M87" s="434" t="s">
        <v>76</v>
      </c>
      <c r="N87" s="434" t="s">
        <v>61</v>
      </c>
      <c r="O87" s="434" t="s">
        <v>62</v>
      </c>
      <c r="P87" s="434" t="s">
        <v>63</v>
      </c>
      <c r="AN87" s="38"/>
      <c r="AZ87" s="36"/>
    </row>
    <row r="88" spans="1:52" ht="25.5">
      <c r="A88" s="44" t="str">
        <f>A4</f>
        <v>Substation General Construction</v>
      </c>
      <c r="B88" s="45" t="str">
        <f>B4</f>
        <v>Light-Duty Truck, catalyst</v>
      </c>
      <c r="C88" s="46">
        <f>C4</f>
        <v>3</v>
      </c>
      <c r="D88" s="46">
        <v>35</v>
      </c>
      <c r="E88" s="46">
        <v>80</v>
      </c>
      <c r="F88" s="50">
        <f>C4*($E4*$F4+($G4))/453.59</f>
        <v>1.4571581576427601</v>
      </c>
      <c r="G88" s="50">
        <f>C4*($E4*$H4+($I4))/453.59</f>
        <v>0.13101197188313402</v>
      </c>
      <c r="H88" s="50">
        <f>C4*(($E4*$J4)+($K4)+($L4)+($E4*$N4)+(($M4+$O4)))/453.59</f>
        <v>0.15149994097185998</v>
      </c>
      <c r="I88" s="50">
        <f>C4*($E4*$P4+($Q4))/453.59</f>
        <v>2.1803910814818476E-3</v>
      </c>
      <c r="J88" s="50">
        <f>C4*(($E4*($R4+$T4+$U4))+($S4))/453.59</f>
        <v>2.5572271365623688E-2</v>
      </c>
      <c r="K88" s="50">
        <f>$C4*(($E4*($V4+$X4+$Y4))+($W4))/453.59</f>
        <v>1.1136015972759426E-2</v>
      </c>
      <c r="L88" s="50">
        <f>$B$21*C4*(E4+6)</f>
        <v>2.5315747758215698E-2</v>
      </c>
      <c r="M88" s="50">
        <f t="shared" ref="M88" si="52">0.41*L88</f>
        <v>1.0379456580868435E-2</v>
      </c>
      <c r="N88" s="50">
        <f>C4*($E4*$Z4+($AA4))/453.59</f>
        <v>166.27073017811671</v>
      </c>
      <c r="O88" s="50">
        <f>C4*($E4*$AB4+($AC4))/453.59</f>
        <v>9.5114261670907474E-3</v>
      </c>
      <c r="P88" s="50">
        <f>C4*($E4*$AD4+($AE4))/453.59</f>
        <v>1.7313359741530081E-2</v>
      </c>
      <c r="AN88" s="38"/>
      <c r="AZ88" s="36"/>
    </row>
    <row r="89" spans="1:52">
      <c r="A89" s="61" t="s">
        <v>396</v>
      </c>
      <c r="B89" s="61"/>
      <c r="C89" s="61"/>
      <c r="D89" s="61"/>
      <c r="E89" s="61"/>
      <c r="F89" s="81">
        <f t="shared" ref="F89:P89" si="53">SUM(F88:F88)</f>
        <v>1.4571581576427601</v>
      </c>
      <c r="G89" s="81">
        <f t="shared" si="53"/>
        <v>0.13101197188313402</v>
      </c>
      <c r="H89" s="81">
        <f t="shared" si="53"/>
        <v>0.15149994097185998</v>
      </c>
      <c r="I89" s="81">
        <f t="shared" si="53"/>
        <v>2.1803910814818476E-3</v>
      </c>
      <c r="J89" s="81">
        <f t="shared" si="53"/>
        <v>2.5572271365623688E-2</v>
      </c>
      <c r="K89" s="81">
        <f t="shared" si="53"/>
        <v>1.1136015972759426E-2</v>
      </c>
      <c r="L89" s="81">
        <f t="shared" si="53"/>
        <v>2.5315747758215698E-2</v>
      </c>
      <c r="M89" s="81">
        <f t="shared" si="53"/>
        <v>1.0379456580868435E-2</v>
      </c>
      <c r="N89" s="81">
        <f t="shared" si="53"/>
        <v>166.27073017811671</v>
      </c>
      <c r="O89" s="81">
        <f t="shared" si="53"/>
        <v>9.5114261670907474E-3</v>
      </c>
      <c r="P89" s="81">
        <f t="shared" si="53"/>
        <v>1.7313359741530081E-2</v>
      </c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1" firstPageNumber="16" orientation="landscape" useFirstPageNumber="1" r:id="rId1"/>
  <headerFooter alignWithMargins="0">
    <oddHeader>&amp;CTable B-15
Construction Worker Commute Emission Calculations
Installation of 69kV Position at Miguel Substation</oddHeader>
    <oddFooter>&amp;CB-15</oddFooter>
  </headerFooter>
</worksheet>
</file>

<file path=xl/worksheets/sheet36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0"/>
  <sheetViews>
    <sheetView zoomScale="75" zoomScaleNormal="75" workbookViewId="0">
      <selection activeCell="A27" sqref="A27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32">
      <c r="A1" s="3" t="s">
        <v>885</v>
      </c>
    </row>
    <row r="3" spans="1:32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32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32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32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32" s="6" customFormat="1">
      <c r="A7" s="17" t="s">
        <v>402</v>
      </c>
      <c r="B7" s="29"/>
      <c r="C7" s="97"/>
      <c r="D7" s="97"/>
      <c r="E7" s="102"/>
      <c r="F7" s="102"/>
      <c r="G7" s="102"/>
      <c r="H7" s="102"/>
      <c r="I7" s="102"/>
      <c r="J7" s="100"/>
      <c r="K7" s="103"/>
      <c r="L7" s="102"/>
      <c r="M7" s="102"/>
      <c r="N7" s="98"/>
      <c r="O7" s="87"/>
      <c r="P7" s="363"/>
      <c r="Q7" s="34"/>
      <c r="R7" s="26"/>
      <c r="S7" s="26"/>
      <c r="T7" s="26"/>
      <c r="U7" s="26"/>
      <c r="V7" s="26"/>
      <c r="W7" s="26"/>
      <c r="X7" s="26"/>
      <c r="Y7" s="26"/>
      <c r="AF7" s="7"/>
    </row>
    <row r="8" spans="1:32" s="6" customFormat="1">
      <c r="A8" s="24" t="s">
        <v>312</v>
      </c>
      <c r="B8" s="29" t="s">
        <v>27</v>
      </c>
      <c r="C8" s="22">
        <v>175</v>
      </c>
      <c r="D8" s="22"/>
      <c r="E8" s="102">
        <v>0.11792220738547983</v>
      </c>
      <c r="F8" s="102">
        <v>0.36512193352152528</v>
      </c>
      <c r="G8" s="102">
        <v>0.86781464282266541</v>
      </c>
      <c r="H8" s="102">
        <v>1.8739217498104396E-3</v>
      </c>
      <c r="I8" s="102">
        <v>2.9041712295589866E-2</v>
      </c>
      <c r="J8" s="100">
        <f t="shared" ref="J8" si="0">0.89*I8</f>
        <v>2.5847123943074982E-2</v>
      </c>
      <c r="K8" s="103">
        <v>166.54541562452522</v>
      </c>
      <c r="L8" s="102">
        <v>1.063993297769634E-2</v>
      </c>
      <c r="M8" s="104">
        <f t="shared" ref="M8" si="1">0.095*G8</f>
        <v>8.2442391068153209E-2</v>
      </c>
      <c r="N8" s="98">
        <v>1</v>
      </c>
      <c r="O8" s="87">
        <v>2</v>
      </c>
      <c r="P8" s="363">
        <v>280</v>
      </c>
      <c r="Q8" s="34">
        <f t="shared" ref="Q8:Y8" si="2">(E8*$N8*$O8)</f>
        <v>0.23584441477095966</v>
      </c>
      <c r="R8" s="26">
        <f t="shared" si="2"/>
        <v>0.73024386704305055</v>
      </c>
      <c r="S8" s="26">
        <f t="shared" si="2"/>
        <v>1.7356292856453308</v>
      </c>
      <c r="T8" s="26">
        <f t="shared" si="2"/>
        <v>3.7478434996208792E-3</v>
      </c>
      <c r="U8" s="26">
        <f t="shared" si="2"/>
        <v>5.8083424591179732E-2</v>
      </c>
      <c r="V8" s="26">
        <f t="shared" si="2"/>
        <v>5.1694247886149965E-2</v>
      </c>
      <c r="W8" s="26">
        <f t="shared" si="2"/>
        <v>333.09083124905044</v>
      </c>
      <c r="X8" s="26">
        <f t="shared" si="2"/>
        <v>2.127986595539268E-2</v>
      </c>
      <c r="Y8" s="26">
        <f t="shared" si="2"/>
        <v>0.16488478213630642</v>
      </c>
      <c r="AF8" s="7"/>
    </row>
    <row r="9" spans="1:32" s="6" customFormat="1">
      <c r="A9" s="17" t="s">
        <v>28</v>
      </c>
      <c r="B9" s="29"/>
      <c r="C9" s="22"/>
      <c r="D9" s="22"/>
      <c r="E9" s="108"/>
      <c r="F9" s="108"/>
      <c r="G9" s="108"/>
      <c r="H9" s="108"/>
      <c r="I9" s="108"/>
      <c r="J9" s="100"/>
      <c r="K9" s="365"/>
      <c r="L9" s="110"/>
      <c r="M9" s="102"/>
      <c r="N9" s="98"/>
      <c r="O9" s="87"/>
      <c r="P9" s="363"/>
      <c r="Q9" s="101">
        <f t="shared" ref="Q9:Y9" si="3">SUM(Q8:Q8)</f>
        <v>0.23584441477095966</v>
      </c>
      <c r="R9" s="101">
        <f t="shared" si="3"/>
        <v>0.73024386704305055</v>
      </c>
      <c r="S9" s="101">
        <f t="shared" si="3"/>
        <v>1.7356292856453308</v>
      </c>
      <c r="T9" s="101">
        <f t="shared" si="3"/>
        <v>3.7478434996208792E-3</v>
      </c>
      <c r="U9" s="101">
        <f t="shared" si="3"/>
        <v>5.8083424591179732E-2</v>
      </c>
      <c r="V9" s="101">
        <f t="shared" si="3"/>
        <v>5.1694247886149965E-2</v>
      </c>
      <c r="W9" s="101">
        <f t="shared" si="3"/>
        <v>333.09083124905044</v>
      </c>
      <c r="X9" s="101">
        <f t="shared" si="3"/>
        <v>2.127986595539268E-2</v>
      </c>
      <c r="Y9" s="101">
        <f t="shared" si="3"/>
        <v>0.16488478213630642</v>
      </c>
      <c r="AF9" s="7"/>
    </row>
    <row r="10" spans="1:32">
      <c r="A10" s="122" t="s">
        <v>390</v>
      </c>
      <c r="B10" s="97"/>
      <c r="C10" s="22"/>
      <c r="D10" s="22"/>
      <c r="E10" s="23"/>
      <c r="F10" s="23"/>
      <c r="G10" s="23"/>
      <c r="H10" s="23"/>
      <c r="I10" s="23"/>
      <c r="J10" s="24"/>
      <c r="K10" s="25"/>
      <c r="L10" s="23"/>
      <c r="M10" s="23"/>
      <c r="N10" s="88"/>
      <c r="O10" s="88"/>
      <c r="P10" s="88"/>
      <c r="Q10" s="20"/>
      <c r="R10" s="20"/>
      <c r="S10" s="20"/>
      <c r="T10" s="20"/>
      <c r="U10" s="20"/>
      <c r="V10" s="20"/>
      <c r="W10" s="20"/>
      <c r="X10" s="20"/>
      <c r="Y10" s="20"/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34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555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314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8</v>
      </c>
      <c r="P8" s="88">
        <v>125</v>
      </c>
      <c r="Q8" s="34">
        <f t="shared" ref="Q8:Y10" si="2">(E8*$N8*$O8)</f>
        <v>0.49946184642775621</v>
      </c>
      <c r="R8" s="26">
        <f t="shared" si="2"/>
        <v>2.4431746031746027</v>
      </c>
      <c r="S8" s="26">
        <f t="shared" si="2"/>
        <v>3.1176888888888881</v>
      </c>
      <c r="T8" s="26">
        <f t="shared" si="2"/>
        <v>4.4060015200662857E-3</v>
      </c>
      <c r="U8" s="26">
        <f t="shared" si="2"/>
        <v>0.19809523809523807</v>
      </c>
      <c r="V8" s="26">
        <f t="shared" si="2"/>
        <v>0.17630476190476188</v>
      </c>
      <c r="W8" s="26">
        <f t="shared" si="2"/>
        <v>375.60183859341714</v>
      </c>
      <c r="X8" s="26">
        <f t="shared" si="2"/>
        <v>5.4697471816927752E-2</v>
      </c>
      <c r="Y8" s="26">
        <f t="shared" si="2"/>
        <v>0.29618044444444436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9</v>
      </c>
      <c r="P9" s="363">
        <v>125</v>
      </c>
      <c r="Q9" s="34">
        <f t="shared" si="2"/>
        <v>1.0612998664693185</v>
      </c>
      <c r="R9" s="26">
        <f t="shared" si="2"/>
        <v>3.2860974016937274</v>
      </c>
      <c r="S9" s="26">
        <f t="shared" si="2"/>
        <v>7.8103317854039886</v>
      </c>
      <c r="T9" s="26">
        <f t="shared" si="2"/>
        <v>1.6865295748293957E-2</v>
      </c>
      <c r="U9" s="26">
        <f t="shared" si="2"/>
        <v>0.26137541066030878</v>
      </c>
      <c r="V9" s="26">
        <f t="shared" si="2"/>
        <v>0.23262411548767484</v>
      </c>
      <c r="W9" s="26">
        <f t="shared" si="2"/>
        <v>1498.908740620727</v>
      </c>
      <c r="X9" s="26">
        <f t="shared" si="2"/>
        <v>9.5759396799267066E-2</v>
      </c>
      <c r="Y9" s="26">
        <f t="shared" si="2"/>
        <v>0.74198151961337888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3</v>
      </c>
      <c r="P10" s="363">
        <v>125</v>
      </c>
      <c r="Q10" s="34">
        <f t="shared" si="2"/>
        <v>3.9051121312432671E-2</v>
      </c>
      <c r="R10" s="26">
        <f t="shared" si="2"/>
        <v>0.1468253968253968</v>
      </c>
      <c r="S10" s="26">
        <f t="shared" si="2"/>
        <v>0.13018518518518515</v>
      </c>
      <c r="T10" s="26">
        <f t="shared" si="2"/>
        <v>4.7652059865273245E-4</v>
      </c>
      <c r="U10" s="26">
        <f t="shared" si="2"/>
        <v>1.4682539682539681E-2</v>
      </c>
      <c r="V10" s="26">
        <f t="shared" si="2"/>
        <v>1.3067460317460314E-2</v>
      </c>
      <c r="W10" s="26">
        <f t="shared" si="2"/>
        <v>30.622980859093083</v>
      </c>
      <c r="X10" s="26">
        <f t="shared" si="2"/>
        <v>3.8388136396804665E-3</v>
      </c>
      <c r="Y10" s="26">
        <f t="shared" si="2"/>
        <v>1.236759259259259E-2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1.5998128342095075</v>
      </c>
      <c r="R11" s="101">
        <f t="shared" ref="R11:Y11" si="3">SUM(R8:R10)</f>
        <v>5.8760974016937269</v>
      </c>
      <c r="S11" s="101">
        <f t="shared" si="3"/>
        <v>11.058205859478063</v>
      </c>
      <c r="T11" s="101">
        <f t="shared" si="3"/>
        <v>2.1747817867012974E-2</v>
      </c>
      <c r="U11" s="101">
        <f t="shared" si="3"/>
        <v>0.47415318843808657</v>
      </c>
      <c r="V11" s="101">
        <f t="shared" si="3"/>
        <v>0.42199633770989703</v>
      </c>
      <c r="W11" s="101">
        <f t="shared" si="3"/>
        <v>1905.1335600732373</v>
      </c>
      <c r="X11" s="101">
        <f t="shared" si="3"/>
        <v>0.15429568225587528</v>
      </c>
      <c r="Y11" s="101">
        <f t="shared" si="3"/>
        <v>1.0505295566504158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87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7" t="s">
        <v>315</v>
      </c>
      <c r="B13" s="579"/>
      <c r="C13" s="18"/>
      <c r="D13" s="18"/>
      <c r="E13" s="19"/>
      <c r="F13" s="19"/>
      <c r="G13" s="19"/>
      <c r="H13" s="19"/>
      <c r="I13" s="19"/>
      <c r="J13" s="19"/>
      <c r="K13" s="19"/>
      <c r="L13" s="19"/>
      <c r="M13" s="19"/>
      <c r="N13" s="30"/>
      <c r="O13" s="30"/>
      <c r="P13" s="30"/>
      <c r="Q13" s="20"/>
      <c r="R13" s="20"/>
      <c r="S13" s="20"/>
      <c r="T13" s="20"/>
      <c r="U13" s="20"/>
      <c r="V13" s="20"/>
      <c r="W13" s="21"/>
      <c r="X13" s="20"/>
      <c r="Y13" s="20"/>
    </row>
    <row r="14" spans="1:25" s="3" customFormat="1">
      <c r="A14" s="24" t="s">
        <v>119</v>
      </c>
      <c r="B14" s="90" t="s">
        <v>27</v>
      </c>
      <c r="C14" s="22">
        <v>78</v>
      </c>
      <c r="D14" s="22">
        <f>VLOOKUP(A14,'Offroad Tiers LF'!$B$6:$C$40,2,FALSE)</f>
        <v>0.48</v>
      </c>
      <c r="E14" s="102">
        <v>6.2432730803469526E-2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0.30539682539682533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0.38971111111111101</v>
      </c>
      <c r="H14" s="102">
        <v>5.5075019000828571E-4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2.4761904761904759E-2</v>
      </c>
      <c r="J14" s="100">
        <f t="shared" ref="J14:J16" si="4">0.89*I14</f>
        <v>2.2038095238095235E-2</v>
      </c>
      <c r="K14" s="103">
        <v>46.950229824177143</v>
      </c>
      <c r="L14" s="102">
        <v>6.837183977115969E-3</v>
      </c>
      <c r="M14" s="104">
        <f t="shared" ref="M14:M16" si="5">0.095*G14</f>
        <v>3.7022555555555545E-2</v>
      </c>
      <c r="N14" s="98">
        <v>1</v>
      </c>
      <c r="O14" s="98">
        <v>6</v>
      </c>
      <c r="P14" s="88">
        <v>125</v>
      </c>
      <c r="Q14" s="34">
        <f t="shared" ref="Q14:Y16" si="6">(E14*$N14*$O14)</f>
        <v>0.37459638482081714</v>
      </c>
      <c r="R14" s="26">
        <f t="shared" si="6"/>
        <v>1.832380952380952</v>
      </c>
      <c r="S14" s="26">
        <f t="shared" si="6"/>
        <v>2.3382666666666658</v>
      </c>
      <c r="T14" s="26">
        <f t="shared" si="6"/>
        <v>3.3045011400497145E-3</v>
      </c>
      <c r="U14" s="26">
        <f t="shared" si="6"/>
        <v>0.14857142857142855</v>
      </c>
      <c r="V14" s="26">
        <f t="shared" si="6"/>
        <v>0.13222857142857142</v>
      </c>
      <c r="W14" s="26">
        <f t="shared" si="6"/>
        <v>281.70137894506286</v>
      </c>
      <c r="X14" s="26">
        <f t="shared" si="6"/>
        <v>4.1023103862695816E-2</v>
      </c>
      <c r="Y14" s="26">
        <f t="shared" si="6"/>
        <v>0.22213533333333327</v>
      </c>
    </row>
    <row r="15" spans="1:25" s="3" customFormat="1">
      <c r="A15" s="24" t="s">
        <v>305</v>
      </c>
      <c r="B15" s="29" t="s">
        <v>27</v>
      </c>
      <c r="C15" s="22">
        <v>175</v>
      </c>
      <c r="D15" s="22"/>
      <c r="E15" s="102">
        <v>0.11792220738547983</v>
      </c>
      <c r="F15" s="102">
        <v>0.36512193352152528</v>
      </c>
      <c r="G15" s="102">
        <v>0.86781464282266541</v>
      </c>
      <c r="H15" s="102">
        <v>1.8739217498104396E-3</v>
      </c>
      <c r="I15" s="102">
        <v>2.9041712295589866E-2</v>
      </c>
      <c r="J15" s="100">
        <f t="shared" si="4"/>
        <v>2.5847123943074982E-2</v>
      </c>
      <c r="K15" s="103">
        <v>166.54541562452522</v>
      </c>
      <c r="L15" s="102">
        <v>1.063993297769634E-2</v>
      </c>
      <c r="M15" s="104">
        <f t="shared" si="5"/>
        <v>8.2442391068153209E-2</v>
      </c>
      <c r="N15" s="98">
        <v>1</v>
      </c>
      <c r="O15" s="87">
        <v>2</v>
      </c>
      <c r="P15" s="363">
        <v>125</v>
      </c>
      <c r="Q15" s="34">
        <f t="shared" si="6"/>
        <v>0.23584441477095966</v>
      </c>
      <c r="R15" s="26">
        <f t="shared" si="6"/>
        <v>0.73024386704305055</v>
      </c>
      <c r="S15" s="26">
        <f t="shared" si="6"/>
        <v>1.7356292856453308</v>
      </c>
      <c r="T15" s="26">
        <f t="shared" si="6"/>
        <v>3.7478434996208792E-3</v>
      </c>
      <c r="U15" s="26">
        <f t="shared" si="6"/>
        <v>5.8083424591179732E-2</v>
      </c>
      <c r="V15" s="26">
        <f t="shared" si="6"/>
        <v>5.1694247886149965E-2</v>
      </c>
      <c r="W15" s="26">
        <f t="shared" si="6"/>
        <v>333.09083124905044</v>
      </c>
      <c r="X15" s="26">
        <f t="shared" si="6"/>
        <v>2.127986595539268E-2</v>
      </c>
      <c r="Y15" s="26">
        <f t="shared" si="6"/>
        <v>0.16488478213630642</v>
      </c>
    </row>
    <row r="16" spans="1:25" s="3" customFormat="1">
      <c r="A16" s="24" t="s">
        <v>368</v>
      </c>
      <c r="B16" s="29" t="s">
        <v>27</v>
      </c>
      <c r="C16" s="22">
        <v>5</v>
      </c>
      <c r="D16" s="22">
        <v>0.74</v>
      </c>
      <c r="E16" s="102">
        <v>1.3017040437477556E-2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4.8941798941798939E-2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4.3395061728395051E-2</v>
      </c>
      <c r="H16" s="102">
        <v>1.5884019955091081E-4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4.8941798941798936E-3</v>
      </c>
      <c r="J16" s="100">
        <f t="shared" si="4"/>
        <v>4.3558201058201051E-3</v>
      </c>
      <c r="K16" s="103">
        <v>10.20766028636436</v>
      </c>
      <c r="L16" s="102">
        <v>1.2796045465601556E-3</v>
      </c>
      <c r="M16" s="104">
        <f t="shared" si="5"/>
        <v>4.1225308641975296E-3</v>
      </c>
      <c r="N16" s="98">
        <v>1</v>
      </c>
      <c r="O16" s="87">
        <v>8</v>
      </c>
      <c r="P16" s="363">
        <v>125</v>
      </c>
      <c r="Q16" s="34">
        <f t="shared" si="6"/>
        <v>0.10413632349982045</v>
      </c>
      <c r="R16" s="26">
        <f t="shared" si="6"/>
        <v>0.39153439153439151</v>
      </c>
      <c r="S16" s="26">
        <f t="shared" si="6"/>
        <v>0.34716049382716041</v>
      </c>
      <c r="T16" s="26">
        <f t="shared" si="6"/>
        <v>1.2707215964072865E-3</v>
      </c>
      <c r="U16" s="26">
        <f t="shared" si="6"/>
        <v>3.9153439153439148E-2</v>
      </c>
      <c r="V16" s="26">
        <f t="shared" si="6"/>
        <v>3.4846560846560841E-2</v>
      </c>
      <c r="W16" s="26">
        <f t="shared" si="6"/>
        <v>81.661282290914883</v>
      </c>
      <c r="X16" s="26">
        <f t="shared" si="6"/>
        <v>1.0236836372481245E-2</v>
      </c>
      <c r="Y16" s="26">
        <f t="shared" si="6"/>
        <v>3.2980246913580237E-2</v>
      </c>
    </row>
    <row r="17" spans="1:25" s="3" customFormat="1">
      <c r="A17" s="17" t="s">
        <v>28</v>
      </c>
      <c r="B17" s="29"/>
      <c r="C17" s="22"/>
      <c r="D17" s="22"/>
      <c r="E17" s="108"/>
      <c r="F17" s="108"/>
      <c r="G17" s="108"/>
      <c r="H17" s="108"/>
      <c r="I17" s="108"/>
      <c r="J17" s="100"/>
      <c r="K17" s="365"/>
      <c r="L17" s="110"/>
      <c r="M17" s="102"/>
      <c r="N17" s="98"/>
      <c r="O17" s="87"/>
      <c r="P17" s="363"/>
      <c r="Q17" s="101">
        <f>SUM(Q14:Q16)</f>
        <v>0.71457712309159727</v>
      </c>
      <c r="R17" s="101">
        <f t="shared" ref="R17:Y17" si="7">SUM(R14:R16)</f>
        <v>2.9541592109583941</v>
      </c>
      <c r="S17" s="101">
        <f t="shared" si="7"/>
        <v>4.4210564461391568</v>
      </c>
      <c r="T17" s="101">
        <f t="shared" si="7"/>
        <v>8.32306623607788E-3</v>
      </c>
      <c r="U17" s="101">
        <f t="shared" si="7"/>
        <v>0.24580829231604745</v>
      </c>
      <c r="V17" s="101">
        <f t="shared" si="7"/>
        <v>0.21876938016128222</v>
      </c>
      <c r="W17" s="101">
        <f t="shared" si="7"/>
        <v>696.45349248502816</v>
      </c>
      <c r="X17" s="101">
        <f t="shared" si="7"/>
        <v>7.2539806190569739E-2</v>
      </c>
      <c r="Y17" s="101">
        <f t="shared" si="7"/>
        <v>0.42000036238321992</v>
      </c>
    </row>
    <row r="18" spans="1:25" s="3" customFormat="1">
      <c r="A18" s="24"/>
      <c r="B18" s="29"/>
      <c r="C18" s="22"/>
      <c r="D18" s="22"/>
      <c r="E18" s="108"/>
      <c r="F18" s="108"/>
      <c r="G18" s="108"/>
      <c r="H18" s="108"/>
      <c r="I18" s="108"/>
      <c r="J18" s="100"/>
      <c r="K18" s="365"/>
      <c r="L18" s="110"/>
      <c r="M18" s="102"/>
      <c r="N18" s="98"/>
      <c r="O18" s="98"/>
      <c r="P18" s="363"/>
      <c r="Q18" s="34"/>
      <c r="R18" s="26"/>
      <c r="S18" s="26"/>
      <c r="T18" s="26"/>
      <c r="U18" s="26"/>
      <c r="V18" s="26"/>
      <c r="W18" s="26"/>
      <c r="X18" s="26"/>
      <c r="Y18" s="26"/>
    </row>
    <row r="19" spans="1:25" s="3" customFormat="1">
      <c r="A19" s="17" t="s">
        <v>281</v>
      </c>
      <c r="B19" s="90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30"/>
      <c r="O19" s="30"/>
      <c r="P19" s="30"/>
      <c r="Q19" s="20"/>
      <c r="R19" s="20"/>
      <c r="S19" s="27"/>
      <c r="T19" s="20"/>
      <c r="U19" s="20"/>
      <c r="V19" s="20"/>
      <c r="W19" s="21"/>
      <c r="X19" s="20"/>
      <c r="Y19" s="20"/>
    </row>
    <row r="20" spans="1:25" s="3" customFormat="1">
      <c r="A20" s="100" t="s">
        <v>120</v>
      </c>
      <c r="B20" s="29" t="s">
        <v>27</v>
      </c>
      <c r="C20" s="22">
        <v>358</v>
      </c>
      <c r="D20" s="22">
        <v>0.4</v>
      </c>
      <c r="E20" s="108">
        <v>0.27937428148624566</v>
      </c>
      <c r="F20" s="397">
        <f>IF($C20&lt;11,'Offroad Tiers EF (2)'!$AN$4*$C20*$D20,IF($C20&lt;25,'Offroad Tiers EF (2)'!$AN$5*$C20*$D20,IF($C20&lt;50,'Offroad Tiers EF (2)'!$AN$6*$C20*$D20,IF($C20&lt;75,'Offroad Tiers EF (2)'!$AN$7*$C20*$D20,IF($C20&lt;100,'Offroad Tiers EF (2)'!$AN$8*$C20*$D20,IF($C20&lt;175,'Offroad Tiers EF (2)'!$AN$9*$C20*$D20,IF($C20&lt;300,'Offroad Tiers EF (2)'!$AN$10*$C20*$D20,IF($C20&lt;600,'Offroad Tiers EF (2)'!$AN$11*$C20*$D20,"!"))))))))</f>
        <v>0.82081128747795418</v>
      </c>
      <c r="G20" s="397">
        <f>IF($C20&lt;11,'Offroad Tiers EF (2)'!$AM$4*$C20*$D20,IF($C20&lt;25,'Offroad Tiers EF (2)'!$AM$5*$C20*$D20,IF($C20&lt;50,'Offroad Tiers EF (2)'!$AM$6*$C20*$D20,IF($C20&lt;75,'Offroad Tiers EF (2)'!$AM$7*$C20*$D20,IF($C20&lt;100,'Offroad Tiers EF (2)'!$AM$8*$C20*$D20,IF($C20&lt;175,'Offroad Tiers EF (2)'!$AM$9*$C20*$D20,IF($C20&lt;300,'Offroad Tiers EF (2)'!$AM$10*$C20*$D20,IF($C20&lt;600,'Offroad Tiers EF (2)'!$AM$11*$C20*$D20,"!"))))))))</f>
        <v>1.2776243386243384</v>
      </c>
      <c r="H20" s="108">
        <v>2.5998088533883764E-3</v>
      </c>
      <c r="I20" s="397">
        <f>IF($C20&lt;11,'Offroad Tiers EF (2)'!$AO$4*$C20*$D20,IF($C20&lt;25,'Offroad Tiers EF (2)'!$AO$5*$C20*$D20,IF($C20&lt;50,'Offroad Tiers EF (2)'!$AO$6*$C20*$D20,IF($C20&lt;75,'Offroad Tiers EF (2)'!$AO$7*$C20*$D20,IF($C20&lt;100,'Offroad Tiers EF (2)'!$AO$8*$C20*$D20,IF($C20&lt;175,'Offroad Tiers EF (2)'!$AO$9*$C20*$D20,IF($C20&lt;300,'Offroad Tiers EF (2)'!$AO$10*$C20*$D20,IF($C20&lt;600,'Offroad Tiers EF (2)'!$AO$11*$C20*$D20,"!"))))))))</f>
        <v>4.735449735449735E-2</v>
      </c>
      <c r="J20" s="100">
        <f t="shared" ref="J20:J24" si="8">0.89*I20</f>
        <v>4.2145502645502646E-2</v>
      </c>
      <c r="K20" s="108">
        <v>264.8725636721183</v>
      </c>
      <c r="L20" s="108">
        <v>2.6451144743432839E-2</v>
      </c>
      <c r="M20" s="102">
        <f t="shared" ref="M20:M24" si="9">0.095*G20</f>
        <v>0.12137431216931216</v>
      </c>
      <c r="N20" s="98">
        <v>1</v>
      </c>
      <c r="O20" s="87">
        <v>8</v>
      </c>
      <c r="P20" s="363">
        <v>75</v>
      </c>
      <c r="Q20" s="34">
        <f t="shared" ref="Q20:Y24" si="10">(E20*$N20*$O20)</f>
        <v>2.2349942518899653</v>
      </c>
      <c r="R20" s="26">
        <f t="shared" si="10"/>
        <v>6.5664902998236334</v>
      </c>
      <c r="S20" s="26">
        <f t="shared" si="10"/>
        <v>10.220994708994708</v>
      </c>
      <c r="T20" s="26">
        <f t="shared" si="10"/>
        <v>2.0798470827107011E-2</v>
      </c>
      <c r="U20" s="26">
        <f t="shared" si="10"/>
        <v>0.3788359788359788</v>
      </c>
      <c r="V20" s="26">
        <f t="shared" si="10"/>
        <v>0.33716402116402117</v>
      </c>
      <c r="W20" s="26">
        <f t="shared" si="10"/>
        <v>2118.9805093769464</v>
      </c>
      <c r="X20" s="26">
        <f t="shared" si="10"/>
        <v>0.21160915794746271</v>
      </c>
      <c r="Y20" s="26">
        <f t="shared" si="10"/>
        <v>0.97099449735449728</v>
      </c>
    </row>
    <row r="21" spans="1:25" s="3" customFormat="1">
      <c r="A21" s="100" t="s">
        <v>121</v>
      </c>
      <c r="B21" s="29" t="s">
        <v>27</v>
      </c>
      <c r="C21" s="22">
        <v>162</v>
      </c>
      <c r="D21" s="22">
        <v>0.41</v>
      </c>
      <c r="E21" s="108">
        <v>0.12153885438656534</v>
      </c>
      <c r="F21" s="397">
        <f>IF($C21&lt;11,'Offroad Tiers EF (2)'!$AN$4*$C21*$D21,IF($C21&lt;25,'Offroad Tiers EF (2)'!$AN$5*$C21*$D21,IF($C21&lt;50,'Offroad Tiers EF (2)'!$AN$6*$C21*$D21,IF($C21&lt;75,'Offroad Tiers EF (2)'!$AN$7*$C21*$D21,IF($C21&lt;100,'Offroad Tiers EF (2)'!$AN$8*$C21*$D21,IF($C21&lt;175,'Offroad Tiers EF (2)'!$AN$9*$C21*$D21,IF($C21&lt;300,'Offroad Tiers EF (2)'!$AN$10*$C21*$D21,IF($C21&lt;600,'Offroad Tiers EF (2)'!$AN$11*$C21*$D21,"!"))))))))</f>
        <v>0.5417857142857142</v>
      </c>
      <c r="G21" s="397">
        <f>IF($C21&lt;11,'Offroad Tiers EF (2)'!$AM$4*$C21*$D21,IF($C21&lt;25,'Offroad Tiers EF (2)'!$AM$5*$C21*$D21,IF($C21&lt;50,'Offroad Tiers EF (2)'!$AM$6*$C21*$D21,IF($C21&lt;75,'Offroad Tiers EF (2)'!$AM$7*$C21*$D21,IF($C21&lt;100,'Offroad Tiers EF (2)'!$AM$8*$C21*$D21,IF($C21&lt;175,'Offroad Tiers EF (2)'!$AM$9*$C21*$D21,IF($C21&lt;300,'Offroad Tiers EF (2)'!$AM$10*$C21*$D21,IF($C21&lt;600,'Offroad Tiers EF (2)'!$AM$11*$C21*$D21,"!"))))))))</f>
        <v>0.60233392857142853</v>
      </c>
      <c r="H21" s="108">
        <v>1.3943296443626662E-3</v>
      </c>
      <c r="I21" s="397">
        <f>IF($C21&lt;11,'Offroad Tiers EF (2)'!$AO$4*$C21*$D21,IF($C21&lt;25,'Offroad Tiers EF (2)'!$AO$5*$C21*$D21,IF($C21&lt;50,'Offroad Tiers EF (2)'!$AO$6*$C21*$D21,IF($C21&lt;75,'Offroad Tiers EF (2)'!$AO$7*$C21*$D21,IF($C21&lt;100,'Offroad Tiers EF (2)'!$AO$8*$C21*$D21,IF($C21&lt;175,'Offroad Tiers EF (2)'!$AO$9*$C21*$D21,IF($C21&lt;300,'Offroad Tiers EF (2)'!$AO$10*$C21*$D21,IF($C21&lt;600,'Offroad Tiers EF (2)'!$AO$11*$C21*$D21,"!"))))))))</f>
        <v>3.2214285714285709E-2</v>
      </c>
      <c r="J21" s="100">
        <f t="shared" si="8"/>
        <v>2.8670714285714282E-2</v>
      </c>
      <c r="K21" s="365">
        <v>123.92149503712022</v>
      </c>
      <c r="L21" s="23">
        <v>1.1720218383966691E-2</v>
      </c>
      <c r="M21" s="102">
        <f t="shared" si="9"/>
        <v>5.7221723214285709E-2</v>
      </c>
      <c r="N21" s="98">
        <v>1</v>
      </c>
      <c r="O21" s="87">
        <v>8</v>
      </c>
      <c r="P21" s="363">
        <v>75</v>
      </c>
      <c r="Q21" s="34">
        <f t="shared" si="10"/>
        <v>0.9723108350925227</v>
      </c>
      <c r="R21" s="26">
        <f t="shared" si="10"/>
        <v>4.3342857142857136</v>
      </c>
      <c r="S21" s="26">
        <f t="shared" si="10"/>
        <v>4.8186714285714283</v>
      </c>
      <c r="T21" s="26">
        <f t="shared" si="10"/>
        <v>1.115463715490133E-2</v>
      </c>
      <c r="U21" s="26">
        <f t="shared" si="10"/>
        <v>0.25771428571428567</v>
      </c>
      <c r="V21" s="26">
        <f t="shared" si="10"/>
        <v>0.22936571428571426</v>
      </c>
      <c r="W21" s="26">
        <f t="shared" si="10"/>
        <v>991.37196029696179</v>
      </c>
      <c r="X21" s="26">
        <f t="shared" si="10"/>
        <v>9.3761747071733528E-2</v>
      </c>
      <c r="Y21" s="26">
        <f t="shared" si="10"/>
        <v>0.45777378571428567</v>
      </c>
    </row>
    <row r="22" spans="1:25" s="3" customFormat="1">
      <c r="A22" s="100" t="s">
        <v>123</v>
      </c>
      <c r="B22" s="29" t="s">
        <v>27</v>
      </c>
      <c r="C22" s="22">
        <v>84</v>
      </c>
      <c r="D22" s="22">
        <v>0.38</v>
      </c>
      <c r="E22" s="102">
        <v>7.9534395197012789E-2</v>
      </c>
      <c r="F22" s="397">
        <f>IF($C22&lt;11,'Offroad Tiers EF (2)'!$AN$4*$C22*$D22,IF($C22&lt;25,'Offroad Tiers EF (2)'!$AN$5*$C22*$D22,IF($C22&lt;50,'Offroad Tiers EF (2)'!$AN$6*$C22*$D22,IF($C22&lt;75,'Offroad Tiers EF (2)'!$AN$7*$C22*$D22,IF($C22&lt;100,'Offroad Tiers EF (2)'!$AN$8*$C22*$D22,IF($C22&lt;175,'Offroad Tiers EF (2)'!$AN$9*$C22*$D22,IF($C22&lt;300,'Offroad Tiers EF (2)'!$AN$10*$C22*$D22,IF($C22&lt;600,'Offroad Tiers EF (2)'!$AN$11*$C22*$D22,"!"))))))))</f>
        <v>0.26037037037037036</v>
      </c>
      <c r="G22" s="397">
        <f>IF($C22&lt;11,'Offroad Tiers EF (2)'!$AM$4*$C22*$D22,IF($C22&lt;25,'Offroad Tiers EF (2)'!$AM$5*$C22*$D22,IF($C22&lt;50,'Offroad Tiers EF (2)'!$AM$6*$C22*$D22,IF($C22&lt;75,'Offroad Tiers EF (2)'!$AM$7*$C22*$D22,IF($C22&lt;100,'Offroad Tiers EF (2)'!$AM$8*$C22*$D22,IF($C22&lt;175,'Offroad Tiers EF (2)'!$AM$9*$C22*$D22,IF($C22&lt;300,'Offroad Tiers EF (2)'!$AM$10*$C22*$D22,IF($C22&lt;600,'Offroad Tiers EF (2)'!$AM$11*$C22*$D22,"!"))))))))</f>
        <v>0.33225370370370361</v>
      </c>
      <c r="H22" s="102">
        <v>6.9196834691909377E-4</v>
      </c>
      <c r="I22" s="397">
        <f>IF($C22&lt;11,'Offroad Tiers EF (2)'!$AO$4*$C22*$D22,IF($C22&lt;25,'Offroad Tiers EF (2)'!$AO$5*$C22*$D22,IF($C22&lt;50,'Offroad Tiers EF (2)'!$AO$6*$C22*$D22,IF($C22&lt;75,'Offroad Tiers EF (2)'!$AO$7*$C22*$D22,IF($C22&lt;100,'Offroad Tiers EF (2)'!$AO$8*$C22*$D22,IF($C22&lt;175,'Offroad Tiers EF (2)'!$AO$9*$C22*$D22,IF($C22&lt;300,'Offroad Tiers EF (2)'!$AO$10*$C22*$D22,IF($C22&lt;600,'Offroad Tiers EF (2)'!$AO$11*$C22*$D22,"!"))))))))</f>
        <v>2.1111111111111112E-2</v>
      </c>
      <c r="J22" s="100">
        <f t="shared" si="8"/>
        <v>1.878888888888889E-2</v>
      </c>
      <c r="K22" s="103">
        <v>58.988746640295226</v>
      </c>
      <c r="L22" s="102">
        <v>7.7311979659905822E-3</v>
      </c>
      <c r="M22" s="102">
        <f t="shared" si="9"/>
        <v>3.1564101851851843E-2</v>
      </c>
      <c r="N22" s="363">
        <v>1</v>
      </c>
      <c r="O22" s="87">
        <v>8</v>
      </c>
      <c r="P22" s="363">
        <v>75</v>
      </c>
      <c r="Q22" s="34">
        <f t="shared" si="10"/>
        <v>0.63627516157610231</v>
      </c>
      <c r="R22" s="26">
        <f t="shared" si="10"/>
        <v>2.0829629629629629</v>
      </c>
      <c r="S22" s="26">
        <f t="shared" si="10"/>
        <v>2.6580296296296289</v>
      </c>
      <c r="T22" s="26">
        <f t="shared" si="10"/>
        <v>5.5357467753527501E-3</v>
      </c>
      <c r="U22" s="26">
        <f t="shared" si="10"/>
        <v>0.16888888888888889</v>
      </c>
      <c r="V22" s="26">
        <f t="shared" si="10"/>
        <v>0.15031111111111112</v>
      </c>
      <c r="W22" s="26">
        <f t="shared" si="10"/>
        <v>471.90997312236181</v>
      </c>
      <c r="X22" s="26">
        <f t="shared" si="10"/>
        <v>6.1849583727924658E-2</v>
      </c>
      <c r="Y22" s="26">
        <f t="shared" si="10"/>
        <v>0.25251281481481475</v>
      </c>
    </row>
    <row r="23" spans="1:25" s="3" customFormat="1">
      <c r="A23" s="100" t="s">
        <v>282</v>
      </c>
      <c r="B23" s="29" t="s">
        <v>27</v>
      </c>
      <c r="C23" s="97">
        <v>37</v>
      </c>
      <c r="D23" s="22">
        <v>0.37</v>
      </c>
      <c r="E23" s="102">
        <v>3.2313389441625637E-2</v>
      </c>
      <c r="F23" s="397">
        <f>IF($C23&lt;11,'Offroad Tiers EF (2)'!$AN$4*$C23*$D23,IF($C23&lt;25,'Offroad Tiers EF (2)'!$AN$5*$C23*$D23,IF($C23&lt;50,'Offroad Tiers EF (2)'!$AN$6*$C23*$D23,IF($C23&lt;75,'Offroad Tiers EF (2)'!$AN$7*$C23*$D23,IF($C23&lt;100,'Offroad Tiers EF (2)'!$AN$8*$C23*$D23,IF($C23&lt;175,'Offroad Tiers EF (2)'!$AN$9*$C23*$D23,IF($C23&lt;300,'Offroad Tiers EF (2)'!$AN$10*$C23*$D23,IF($C23&lt;600,'Offroad Tiers EF (2)'!$AN$11*$C23*$D23,"!"))))))))</f>
        <v>0.12374118165784832</v>
      </c>
      <c r="G23" s="397">
        <f>IF($C23&lt;11,'Offroad Tiers EF (2)'!$AM$4*$C23*$D23,IF($C23&lt;25,'Offroad Tiers EF (2)'!$AM$5*$C23*$D23,IF($C23&lt;50,'Offroad Tiers EF (2)'!$AM$6*$C23*$D23,IF($C23&lt;75,'Offroad Tiers EF (2)'!$AM$7*$C23*$D23,IF($C23&lt;100,'Offroad Tiers EF (2)'!$AM$8*$C23*$D23,IF($C23&lt;175,'Offroad Tiers EF (2)'!$AM$9*$C23*$D23,IF($C23&lt;300,'Offroad Tiers EF (2)'!$AM$10*$C23*$D23,IF($C23&lt;600,'Offroad Tiers EF (2)'!$AM$11*$C23*$D23,"!"))))))))</f>
        <v>0.16056172839506169</v>
      </c>
      <c r="H23" s="102">
        <v>3.2989906092678058E-4</v>
      </c>
      <c r="I23" s="397">
        <f>IF($C23&lt;11,'Offroad Tiers EF (2)'!$AO$4*$C23*$D23,IF($C23&lt;25,'Offroad Tiers EF (2)'!$AO$5*$C23*$D23,IF($C23&lt;50,'Offroad Tiers EF (2)'!$AO$6*$C23*$D23,IF($C23&lt;75,'Offroad Tiers EF (2)'!$AO$7*$C23*$D23,IF($C23&lt;100,'Offroad Tiers EF (2)'!$AO$8*$C23*$D23,IF($C23&lt;175,'Offroad Tiers EF (2)'!$AO$9*$C23*$D23,IF($C23&lt;300,'Offroad Tiers EF (2)'!$AO$10*$C23*$D23,IF($C23&lt;600,'Offroad Tiers EF (2)'!$AO$11*$C23*$D23,"!"))))))))</f>
        <v>1.3581349206349205E-2</v>
      </c>
      <c r="J23" s="100">
        <f t="shared" si="8"/>
        <v>1.2087400793650793E-2</v>
      </c>
      <c r="K23" s="103">
        <v>25.519156990664225</v>
      </c>
      <c r="L23" s="102">
        <v>3.413848047070189E-3</v>
      </c>
      <c r="M23" s="104">
        <f t="shared" si="9"/>
        <v>1.5253364197530862E-2</v>
      </c>
      <c r="N23" s="87">
        <v>1</v>
      </c>
      <c r="O23" s="87">
        <v>8</v>
      </c>
      <c r="P23" s="363">
        <v>75</v>
      </c>
      <c r="Q23" s="34">
        <f t="shared" si="10"/>
        <v>0.25850711553300509</v>
      </c>
      <c r="R23" s="26">
        <f t="shared" si="10"/>
        <v>0.98992945326278659</v>
      </c>
      <c r="S23" s="26">
        <f t="shared" si="10"/>
        <v>1.2844938271604935</v>
      </c>
      <c r="T23" s="26">
        <f t="shared" si="10"/>
        <v>2.6391924874142447E-3</v>
      </c>
      <c r="U23" s="26">
        <f t="shared" si="10"/>
        <v>0.10865079365079364</v>
      </c>
      <c r="V23" s="26">
        <f t="shared" si="10"/>
        <v>9.669920634920634E-2</v>
      </c>
      <c r="W23" s="26">
        <f t="shared" si="10"/>
        <v>204.1532559253138</v>
      </c>
      <c r="X23" s="26">
        <f t="shared" si="10"/>
        <v>2.7310784376561512E-2</v>
      </c>
      <c r="Y23" s="26">
        <f t="shared" si="10"/>
        <v>0.12202691358024689</v>
      </c>
    </row>
    <row r="24" spans="1:25" s="3" customFormat="1">
      <c r="A24" s="100" t="s">
        <v>126</v>
      </c>
      <c r="B24" s="29" t="s">
        <v>27</v>
      </c>
      <c r="C24" s="22">
        <v>175</v>
      </c>
      <c r="D24" s="22"/>
      <c r="E24" s="102">
        <v>0.11792220738547983</v>
      </c>
      <c r="F24" s="102">
        <v>0.36512193352152528</v>
      </c>
      <c r="G24" s="102">
        <v>0.86781464282266541</v>
      </c>
      <c r="H24" s="102">
        <v>1.8739217498104396E-3</v>
      </c>
      <c r="I24" s="102">
        <v>2.9041712295589866E-2</v>
      </c>
      <c r="J24" s="100">
        <f t="shared" si="8"/>
        <v>2.5847123943074982E-2</v>
      </c>
      <c r="K24" s="103">
        <v>166.54541562452522</v>
      </c>
      <c r="L24" s="102">
        <v>1.063993297769634E-2</v>
      </c>
      <c r="M24" s="104">
        <f t="shared" si="9"/>
        <v>8.2442391068153209E-2</v>
      </c>
      <c r="N24" s="98">
        <v>2</v>
      </c>
      <c r="O24" s="87">
        <v>8</v>
      </c>
      <c r="P24" s="363">
        <v>75</v>
      </c>
      <c r="Q24" s="34">
        <f t="shared" si="10"/>
        <v>1.8867553181676773</v>
      </c>
      <c r="R24" s="26">
        <f t="shared" si="10"/>
        <v>5.8419509363444044</v>
      </c>
      <c r="S24" s="26">
        <f t="shared" si="10"/>
        <v>13.885034285162646</v>
      </c>
      <c r="T24" s="26">
        <f t="shared" si="10"/>
        <v>2.9982747996967034E-2</v>
      </c>
      <c r="U24" s="26">
        <f t="shared" si="10"/>
        <v>0.46466739672943785</v>
      </c>
      <c r="V24" s="26">
        <f t="shared" si="10"/>
        <v>0.41355398308919972</v>
      </c>
      <c r="W24" s="26">
        <f t="shared" si="10"/>
        <v>2664.7266499924035</v>
      </c>
      <c r="X24" s="26">
        <f t="shared" si="10"/>
        <v>0.17023892764314144</v>
      </c>
      <c r="Y24" s="26">
        <f t="shared" si="10"/>
        <v>1.3190782570904513</v>
      </c>
    </row>
    <row r="25" spans="1:25" s="3" customFormat="1">
      <c r="A25" s="11" t="s">
        <v>28</v>
      </c>
      <c r="B25" s="579"/>
      <c r="C25" s="18"/>
      <c r="D25" s="22"/>
      <c r="E25" s="19"/>
      <c r="F25" s="19"/>
      <c r="G25" s="19"/>
      <c r="H25" s="19"/>
      <c r="I25" s="19"/>
      <c r="J25" s="19"/>
      <c r="K25" s="19"/>
      <c r="L25" s="19"/>
      <c r="M25" s="19"/>
      <c r="N25" s="30"/>
      <c r="O25" s="30"/>
      <c r="P25" s="364"/>
      <c r="Q25" s="20">
        <f t="shared" ref="Q25:Y25" si="11">SUM(Q20:Q24)</f>
        <v>5.9888426822592722</v>
      </c>
      <c r="R25" s="20">
        <f t="shared" si="11"/>
        <v>19.815619366679503</v>
      </c>
      <c r="S25" s="27">
        <f t="shared" si="11"/>
        <v>32.867223879518903</v>
      </c>
      <c r="T25" s="20">
        <f t="shared" si="11"/>
        <v>7.011079524174238E-2</v>
      </c>
      <c r="U25" s="20">
        <f t="shared" si="11"/>
        <v>1.378757343819385</v>
      </c>
      <c r="V25" s="20">
        <f t="shared" si="11"/>
        <v>1.2270940359992526</v>
      </c>
      <c r="W25" s="20">
        <f t="shared" si="11"/>
        <v>6451.1423487139873</v>
      </c>
      <c r="X25" s="20">
        <f t="shared" si="11"/>
        <v>0.56477020076682383</v>
      </c>
      <c r="Y25" s="20">
        <f t="shared" si="11"/>
        <v>3.1223862685542958</v>
      </c>
    </row>
    <row r="26" spans="1:25" s="3" customFormat="1">
      <c r="A26" s="11"/>
      <c r="B26" s="579"/>
      <c r="C26" s="18"/>
      <c r="D26" s="22"/>
      <c r="E26" s="19"/>
      <c r="F26" s="19"/>
      <c r="G26" s="19"/>
      <c r="H26" s="19"/>
      <c r="I26" s="19"/>
      <c r="J26" s="19"/>
      <c r="K26" s="19"/>
      <c r="L26" s="19"/>
      <c r="M26" s="19"/>
      <c r="N26" s="30"/>
      <c r="O26" s="375"/>
      <c r="P26" s="364"/>
      <c r="Q26" s="20"/>
      <c r="R26" s="20"/>
      <c r="S26" s="27"/>
      <c r="T26" s="20"/>
      <c r="U26" s="20"/>
      <c r="V26" s="20"/>
      <c r="W26" s="21"/>
      <c r="X26" s="20"/>
      <c r="Y26" s="20"/>
    </row>
    <row r="27" spans="1:25" s="3" customFormat="1">
      <c r="A27" s="17" t="s">
        <v>285</v>
      </c>
      <c r="B27" s="90"/>
      <c r="C27" s="18"/>
      <c r="D27" s="22"/>
      <c r="E27" s="19"/>
      <c r="F27" s="19"/>
      <c r="G27" s="19"/>
      <c r="H27" s="19"/>
      <c r="I27" s="19"/>
      <c r="J27" s="19"/>
      <c r="K27" s="19"/>
      <c r="L27" s="19"/>
      <c r="M27" s="19"/>
      <c r="N27" s="30"/>
      <c r="O27" s="17"/>
      <c r="P27" s="533"/>
      <c r="Q27" s="20"/>
      <c r="R27" s="20"/>
      <c r="S27" s="20"/>
      <c r="T27" s="20"/>
      <c r="U27" s="20"/>
      <c r="V27" s="20"/>
      <c r="W27" s="21"/>
      <c r="X27" s="20"/>
      <c r="Y27" s="20"/>
    </row>
    <row r="28" spans="1:25" s="3" customFormat="1">
      <c r="A28" s="100" t="s">
        <v>124</v>
      </c>
      <c r="B28" s="29" t="s">
        <v>27</v>
      </c>
      <c r="C28" s="97">
        <v>87</v>
      </c>
      <c r="D28" s="22">
        <v>0.37</v>
      </c>
      <c r="E28" s="102">
        <v>7.7253202863558038E-2</v>
      </c>
      <c r="F28" s="397">
        <f>IF($C28&lt;11,'Offroad Tiers EF (2)'!$AN$4*$C28*$D28,IF($C28&lt;25,'Offroad Tiers EF (2)'!$AN$5*$C28*$D28,IF($C28&lt;50,'Offroad Tiers EF (2)'!$AN$6*$C28*$D28,IF($C28&lt;75,'Offroad Tiers EF (2)'!$AN$7*$C28*$D28,IF($C28&lt;100,'Offroad Tiers EF (2)'!$AN$8*$C28*$D28,IF($C28&lt;175,'Offroad Tiers EF (2)'!$AN$9*$C28*$D28,IF($C28&lt;300,'Offroad Tiers EF (2)'!$AN$10*$C28*$D28,IF($C28&lt;600,'Offroad Tiers EF (2)'!$AN$11*$C28*$D28,"!"))))))))</f>
        <v>0.26257275132275132</v>
      </c>
      <c r="G28" s="397">
        <f>IF($C28&lt;11,'Offroad Tiers EF (2)'!$AM$4*$C28*$D28,IF($C28&lt;25,'Offroad Tiers EF (2)'!$AM$5*$C28*$D28,IF($C28&lt;50,'Offroad Tiers EF (2)'!$AM$6*$C28*$D28,IF($C28&lt;75,'Offroad Tiers EF (2)'!$AM$7*$C28*$D28,IF($C28&lt;100,'Offroad Tiers EF (2)'!$AM$8*$C28*$D28,IF($C28&lt;175,'Offroad Tiers EF (2)'!$AM$9*$C28*$D28,IF($C28&lt;300,'Offroad Tiers EF (2)'!$AM$10*$C28*$D28,IF($C28&lt;600,'Offroad Tiers EF (2)'!$AM$11*$C28*$D28,"!"))))))))</f>
        <v>0.33506412037037031</v>
      </c>
      <c r="H28" s="102">
        <v>6.910856115004858E-4</v>
      </c>
      <c r="I28" s="397">
        <f>IF($C28&lt;11,'Offroad Tiers EF (2)'!$AO$4*$C28*$D28,IF($C28&lt;25,'Offroad Tiers EF (2)'!$AO$5*$C28*$D28,IF($C28&lt;50,'Offroad Tiers EF (2)'!$AO$6*$C28*$D28,IF($C28&lt;75,'Offroad Tiers EF (2)'!$AO$7*$C28*$D28,IF($C28&lt;100,'Offroad Tiers EF (2)'!$AO$8*$C28*$D28,IF($C28&lt;175,'Offroad Tiers EF (2)'!$AO$9*$C28*$D28,IF($C28&lt;300,'Offroad Tiers EF (2)'!$AO$10*$C28*$D28,IF($C28&lt;600,'Offroad Tiers EF (2)'!$AO$11*$C28*$D28,"!"))))))))</f>
        <v>2.1289682539682539E-2</v>
      </c>
      <c r="J28" s="100">
        <f t="shared" ref="J28:J31" si="12">0.89*I28</f>
        <v>1.894781746031746E-2</v>
      </c>
      <c r="K28" s="103">
        <v>58.913505111712794</v>
      </c>
      <c r="L28" s="102">
        <v>7.5344751889799754E-3</v>
      </c>
      <c r="M28" s="102">
        <f t="shared" ref="M28:M31" si="13">0.095*G28</f>
        <v>3.1831091435185178E-2</v>
      </c>
      <c r="N28" s="98">
        <v>1</v>
      </c>
      <c r="O28" s="87">
        <v>8</v>
      </c>
      <c r="P28" s="363">
        <v>15</v>
      </c>
      <c r="Q28" s="34">
        <f t="shared" ref="Q28:Y31" si="14">(E28*$N28*$O28)</f>
        <v>0.6180256229084643</v>
      </c>
      <c r="R28" s="26">
        <f t="shared" si="14"/>
        <v>2.1005820105820106</v>
      </c>
      <c r="S28" s="26">
        <f t="shared" si="14"/>
        <v>2.6805129629629625</v>
      </c>
      <c r="T28" s="26">
        <f t="shared" si="14"/>
        <v>5.5286848920038864E-3</v>
      </c>
      <c r="U28" s="26">
        <f t="shared" si="14"/>
        <v>0.17031746031746031</v>
      </c>
      <c r="V28" s="26">
        <f t="shared" si="14"/>
        <v>0.15158253968253968</v>
      </c>
      <c r="W28" s="26">
        <f t="shared" si="14"/>
        <v>471.30804089370235</v>
      </c>
      <c r="X28" s="26">
        <f t="shared" si="14"/>
        <v>6.0275801511839804E-2</v>
      </c>
      <c r="Y28" s="26">
        <f t="shared" si="14"/>
        <v>0.25464873148148143</v>
      </c>
    </row>
    <row r="29" spans="1:25" s="3" customFormat="1">
      <c r="A29" s="100" t="s">
        <v>123</v>
      </c>
      <c r="B29" s="29" t="s">
        <v>27</v>
      </c>
      <c r="C29" s="22">
        <v>84</v>
      </c>
      <c r="D29" s="22">
        <v>0.38</v>
      </c>
      <c r="E29" s="102">
        <v>7.9534395197012789E-2</v>
      </c>
      <c r="F29" s="397">
        <f>IF($C29&lt;11,'Offroad Tiers EF (2)'!$AN$4*$C29*$D29,IF($C29&lt;25,'Offroad Tiers EF (2)'!$AN$5*$C29*$D29,IF($C29&lt;50,'Offroad Tiers EF (2)'!$AN$6*$C29*$D29,IF($C29&lt;75,'Offroad Tiers EF (2)'!$AN$7*$C29*$D29,IF($C29&lt;100,'Offroad Tiers EF (2)'!$AN$8*$C29*$D29,IF($C29&lt;175,'Offroad Tiers EF (2)'!$AN$9*$C29*$D29,IF($C29&lt;300,'Offroad Tiers EF (2)'!$AN$10*$C29*$D29,IF($C29&lt;600,'Offroad Tiers EF (2)'!$AN$11*$C29*$D29,"!"))))))))</f>
        <v>0.26037037037037036</v>
      </c>
      <c r="G29" s="397">
        <f>IF($C29&lt;11,'Offroad Tiers EF (2)'!$AM$4*$C29*$D29,IF($C29&lt;25,'Offroad Tiers EF (2)'!$AM$5*$C29*$D29,IF($C29&lt;50,'Offroad Tiers EF (2)'!$AM$6*$C29*$D29,IF($C29&lt;75,'Offroad Tiers EF (2)'!$AM$7*$C29*$D29,IF($C29&lt;100,'Offroad Tiers EF (2)'!$AM$8*$C29*$D29,IF($C29&lt;175,'Offroad Tiers EF (2)'!$AM$9*$C29*$D29,IF($C29&lt;300,'Offroad Tiers EF (2)'!$AM$10*$C29*$D29,IF($C29&lt;600,'Offroad Tiers EF (2)'!$AM$11*$C29*$D29,"!"))))))))</f>
        <v>0.33225370370370361</v>
      </c>
      <c r="H29" s="102">
        <v>6.9196834691909377E-4</v>
      </c>
      <c r="I29" s="397">
        <f>IF($C29&lt;11,'Offroad Tiers EF (2)'!$AO$4*$C29*$D29,IF($C29&lt;25,'Offroad Tiers EF (2)'!$AO$5*$C29*$D29,IF($C29&lt;50,'Offroad Tiers EF (2)'!$AO$6*$C29*$D29,IF($C29&lt;75,'Offroad Tiers EF (2)'!$AO$7*$C29*$D29,IF($C29&lt;100,'Offroad Tiers EF (2)'!$AO$8*$C29*$D29,IF($C29&lt;175,'Offroad Tiers EF (2)'!$AO$9*$C29*$D29,IF($C29&lt;300,'Offroad Tiers EF (2)'!$AO$10*$C29*$D29,IF($C29&lt;600,'Offroad Tiers EF (2)'!$AO$11*$C29*$D29,"!"))))))))</f>
        <v>2.1111111111111112E-2</v>
      </c>
      <c r="J29" s="100">
        <f t="shared" si="12"/>
        <v>1.878888888888889E-2</v>
      </c>
      <c r="K29" s="103">
        <v>58.988746640295226</v>
      </c>
      <c r="L29" s="102">
        <v>7.7311979659905822E-3</v>
      </c>
      <c r="M29" s="102">
        <f t="shared" si="13"/>
        <v>3.1564101851851843E-2</v>
      </c>
      <c r="N29" s="363">
        <v>1</v>
      </c>
      <c r="O29" s="87">
        <v>8</v>
      </c>
      <c r="P29" s="363">
        <v>75</v>
      </c>
      <c r="Q29" s="34">
        <f t="shared" si="14"/>
        <v>0.63627516157610231</v>
      </c>
      <c r="R29" s="26">
        <f t="shared" si="14"/>
        <v>2.0829629629629629</v>
      </c>
      <c r="S29" s="26">
        <f t="shared" si="14"/>
        <v>2.6580296296296289</v>
      </c>
      <c r="T29" s="26">
        <f t="shared" si="14"/>
        <v>5.5357467753527501E-3</v>
      </c>
      <c r="U29" s="26">
        <f t="shared" si="14"/>
        <v>0.16888888888888889</v>
      </c>
      <c r="V29" s="26">
        <f t="shared" si="14"/>
        <v>0.15031111111111112</v>
      </c>
      <c r="W29" s="26">
        <f t="shared" si="14"/>
        <v>471.90997312236181</v>
      </c>
      <c r="X29" s="26">
        <f t="shared" si="14"/>
        <v>6.1849583727924658E-2</v>
      </c>
      <c r="Y29" s="26">
        <f t="shared" si="14"/>
        <v>0.25251281481481475</v>
      </c>
    </row>
    <row r="30" spans="1:25" s="3" customFormat="1">
      <c r="A30" s="100" t="s">
        <v>126</v>
      </c>
      <c r="B30" s="29" t="s">
        <v>27</v>
      </c>
      <c r="C30" s="22">
        <v>175</v>
      </c>
      <c r="D30" s="22"/>
      <c r="E30" s="102">
        <v>0.11792220738547983</v>
      </c>
      <c r="F30" s="102">
        <v>0.36512193352152528</v>
      </c>
      <c r="G30" s="102">
        <v>0.86781464282266541</v>
      </c>
      <c r="H30" s="102">
        <v>1.8739217498104396E-3</v>
      </c>
      <c r="I30" s="102">
        <v>2.9041712295589866E-2</v>
      </c>
      <c r="J30" s="100">
        <f t="shared" si="12"/>
        <v>2.5847123943074982E-2</v>
      </c>
      <c r="K30" s="103">
        <v>166.54541562452522</v>
      </c>
      <c r="L30" s="102">
        <v>1.063993297769634E-2</v>
      </c>
      <c r="M30" s="104">
        <f t="shared" si="13"/>
        <v>8.2442391068153209E-2</v>
      </c>
      <c r="N30" s="98">
        <v>1</v>
      </c>
      <c r="O30" s="88">
        <v>8</v>
      </c>
      <c r="P30" s="367">
        <v>40</v>
      </c>
      <c r="Q30" s="26">
        <f t="shared" si="14"/>
        <v>0.94337765908383864</v>
      </c>
      <c r="R30" s="26">
        <f t="shared" si="14"/>
        <v>2.9209754681722022</v>
      </c>
      <c r="S30" s="26">
        <f t="shared" si="14"/>
        <v>6.9425171425813232</v>
      </c>
      <c r="T30" s="26">
        <f t="shared" si="14"/>
        <v>1.4991373998483517E-2</v>
      </c>
      <c r="U30" s="26">
        <f t="shared" si="14"/>
        <v>0.23233369836471893</v>
      </c>
      <c r="V30" s="26">
        <f t="shared" si="14"/>
        <v>0.20677699154459986</v>
      </c>
      <c r="W30" s="26">
        <f t="shared" si="14"/>
        <v>1332.3633249962018</v>
      </c>
      <c r="X30" s="26">
        <f t="shared" si="14"/>
        <v>8.5119463821570721E-2</v>
      </c>
      <c r="Y30" s="26">
        <f t="shared" si="14"/>
        <v>0.65953912854522567</v>
      </c>
    </row>
    <row r="31" spans="1:25" s="3" customFormat="1">
      <c r="A31" s="100" t="s">
        <v>128</v>
      </c>
      <c r="B31" s="29" t="s">
        <v>27</v>
      </c>
      <c r="C31" s="22">
        <v>157</v>
      </c>
      <c r="D31" s="22">
        <v>0.38</v>
      </c>
      <c r="E31" s="550">
        <v>9.7211873502789536E-2</v>
      </c>
      <c r="F31" s="397">
        <f>IF($C31&lt;11,'Offroad Tiers EF (2)'!$AN$4*$C31*$D31,IF($C31&lt;25,'Offroad Tiers EF (2)'!$AN$5*$C31*$D31,IF($C31&lt;50,'Offroad Tiers EF (2)'!$AN$6*$C31*$D31,IF($C31&lt;75,'Offroad Tiers EF (2)'!$AN$7*$C31*$D31,IF($C31&lt;100,'Offroad Tiers EF (2)'!$AN$8*$C31*$D31,IF($C31&lt;175,'Offroad Tiers EF (2)'!$AN$9*$C31*$D31,IF($C31&lt;300,'Offroad Tiers EF (2)'!$AN$10*$C31*$D31,IF($C31&lt;600,'Offroad Tiers EF (2)'!$AN$11*$C31*$D31,"!"))))))))</f>
        <v>0.48664462081128745</v>
      </c>
      <c r="G31" s="397">
        <f>IF($C31&lt;11,'Offroad Tiers EF (2)'!$AM$4*$C31*$D31,IF($C31&lt;25,'Offroad Tiers EF (2)'!$AM$5*$C31*$D31,IF($C31&lt;50,'Offroad Tiers EF (2)'!$AM$6*$C31*$D31,IF($C31&lt;75,'Offroad Tiers EF (2)'!$AM$7*$C31*$D31,IF($C31&lt;100,'Offroad Tiers EF (2)'!$AM$8*$C31*$D31,IF($C31&lt;175,'Offroad Tiers EF (2)'!$AM$9*$C31*$D31,IF($C31&lt;300,'Offroad Tiers EF (2)'!$AM$10*$C31*$D31,IF($C31&lt;600,'Offroad Tiers EF (2)'!$AM$11*$C31*$D31,"!"))))))))</f>
        <v>0.54103044532627864</v>
      </c>
      <c r="H31" s="550">
        <v>1.2626852382997586E-3</v>
      </c>
      <c r="I31" s="397">
        <f>IF($C31&lt;11,'Offroad Tiers EF (2)'!$AO$4*$C31*$D31,IF($C31&lt;25,'Offroad Tiers EF (2)'!$AO$5*$C31*$D31,IF($C31&lt;50,'Offroad Tiers EF (2)'!$AO$6*$C31*$D31,IF($C31&lt;75,'Offroad Tiers EF (2)'!$AO$7*$C31*$D31,IF($C31&lt;100,'Offroad Tiers EF (2)'!$AO$8*$C31*$D31,IF($C31&lt;175,'Offroad Tiers EF (2)'!$AO$9*$C31*$D31,IF($C31&lt;300,'Offroad Tiers EF (2)'!$AO$10*$C31*$D31,IF($C31&lt;600,'Offroad Tiers EF (2)'!$AO$11*$C31*$D31,"!"))))))))</f>
        <v>2.8935626102292767E-2</v>
      </c>
      <c r="J31" s="551">
        <f t="shared" si="12"/>
        <v>2.5752707231040561E-2</v>
      </c>
      <c r="K31" s="552">
        <v>112.22156581723891</v>
      </c>
      <c r="L31" s="111">
        <v>9.4890670020510905E-3</v>
      </c>
      <c r="M31" s="553">
        <f t="shared" si="13"/>
        <v>5.1397892305996472E-2</v>
      </c>
      <c r="N31" s="554">
        <v>2</v>
      </c>
      <c r="O31" s="88">
        <v>2</v>
      </c>
      <c r="P31" s="88">
        <v>15</v>
      </c>
      <c r="Q31" s="26">
        <f t="shared" si="14"/>
        <v>0.38884749401115815</v>
      </c>
      <c r="R31" s="26">
        <f t="shared" si="14"/>
        <v>1.9465784832451498</v>
      </c>
      <c r="S31" s="26">
        <f t="shared" si="14"/>
        <v>2.1641217813051146</v>
      </c>
      <c r="T31" s="26">
        <f t="shared" si="14"/>
        <v>5.0507409531990342E-3</v>
      </c>
      <c r="U31" s="26">
        <f t="shared" si="14"/>
        <v>0.11574250440917107</v>
      </c>
      <c r="V31" s="26">
        <f t="shared" si="14"/>
        <v>0.10301082892416225</v>
      </c>
      <c r="W31" s="26">
        <f t="shared" si="14"/>
        <v>448.88626326895564</v>
      </c>
      <c r="X31" s="26">
        <f t="shared" si="14"/>
        <v>3.7956268008204362E-2</v>
      </c>
      <c r="Y31" s="26">
        <f t="shared" si="14"/>
        <v>0.20559156922398589</v>
      </c>
    </row>
    <row r="32" spans="1:25" s="3" customFormat="1">
      <c r="A32" s="17" t="s">
        <v>28</v>
      </c>
      <c r="B32" s="579"/>
      <c r="C32" s="18"/>
      <c r="D32" s="22"/>
      <c r="E32" s="19"/>
      <c r="F32" s="19"/>
      <c r="G32" s="19"/>
      <c r="H32" s="19"/>
      <c r="I32" s="19"/>
      <c r="J32" s="19"/>
      <c r="K32" s="19"/>
      <c r="L32" s="19"/>
      <c r="M32" s="89"/>
      <c r="N32" s="105"/>
      <c r="O32" s="11"/>
      <c r="P32" s="11"/>
      <c r="Q32" s="27">
        <f t="shared" ref="Q32:Y32" si="15">SUM(Q28:Q31)</f>
        <v>2.5865259375795633</v>
      </c>
      <c r="R32" s="101">
        <f t="shared" si="15"/>
        <v>9.051098924962325</v>
      </c>
      <c r="S32" s="101">
        <f t="shared" si="15"/>
        <v>14.44518151647903</v>
      </c>
      <c r="T32" s="101">
        <f t="shared" si="15"/>
        <v>3.110654661903919E-2</v>
      </c>
      <c r="U32" s="101">
        <f t="shared" si="15"/>
        <v>0.68728255198023924</v>
      </c>
      <c r="V32" s="101">
        <f t="shared" si="15"/>
        <v>0.6116814712624129</v>
      </c>
      <c r="W32" s="101">
        <f t="shared" si="15"/>
        <v>2724.4676022812214</v>
      </c>
      <c r="X32" s="101">
        <f t="shared" si="15"/>
        <v>0.24520111706953954</v>
      </c>
      <c r="Y32" s="101">
        <f t="shared" si="15"/>
        <v>1.3722922440655076</v>
      </c>
    </row>
    <row r="33" spans="1:25" s="3" customFormat="1">
      <c r="A33" s="17"/>
      <c r="B33" s="29"/>
      <c r="C33" s="22"/>
      <c r="D33" s="22"/>
      <c r="E33" s="23"/>
      <c r="F33" s="23"/>
      <c r="G33" s="23"/>
      <c r="H33" s="23"/>
      <c r="I33" s="23"/>
      <c r="J33" s="100"/>
      <c r="K33" s="365"/>
      <c r="L33" s="23"/>
      <c r="M33" s="102"/>
      <c r="N33" s="30"/>
      <c r="O33" s="98"/>
      <c r="P33" s="363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>
      <c r="A34" s="17" t="s">
        <v>365</v>
      </c>
      <c r="B34" s="549"/>
      <c r="C34" s="18"/>
      <c r="D34" s="22"/>
      <c r="E34" s="19"/>
      <c r="F34" s="19"/>
      <c r="G34" s="19"/>
      <c r="H34" s="19"/>
      <c r="I34" s="19"/>
      <c r="J34" s="19"/>
      <c r="K34" s="19"/>
      <c r="L34" s="19"/>
      <c r="M34" s="19"/>
      <c r="N34" s="30"/>
      <c r="O34" s="30"/>
      <c r="P34" s="364"/>
      <c r="Q34" s="20">
        <f>Q11+Q17+Q25+Q32</f>
        <v>10.88975857713994</v>
      </c>
      <c r="R34" s="20">
        <f t="shared" ref="R34:Y34" si="16">R11+R17+R25+R32</f>
        <v>37.696974904293953</v>
      </c>
      <c r="S34" s="20">
        <f t="shared" si="16"/>
        <v>62.791667701615154</v>
      </c>
      <c r="T34" s="20">
        <f t="shared" si="16"/>
        <v>0.13128822596387243</v>
      </c>
      <c r="U34" s="20">
        <f t="shared" si="16"/>
        <v>2.7860013765537586</v>
      </c>
      <c r="V34" s="20">
        <f t="shared" si="16"/>
        <v>2.4795412251328446</v>
      </c>
      <c r="W34" s="20">
        <f t="shared" si="16"/>
        <v>11777.197003553474</v>
      </c>
      <c r="X34" s="20">
        <f t="shared" si="16"/>
        <v>1.0368068062828084</v>
      </c>
      <c r="Y34" s="20">
        <f t="shared" si="16"/>
        <v>5.9652084316534388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37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42"/>
  <sheetViews>
    <sheetView zoomScale="75" workbookViewId="0">
      <selection activeCell="N45" sqref="N45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886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>
      <c r="A8" s="75" t="s">
        <v>388</v>
      </c>
      <c r="B8" s="74"/>
      <c r="C8" s="112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v>0</v>
      </c>
      <c r="AC8" s="81">
        <v>0</v>
      </c>
      <c r="AD8" s="81">
        <v>0</v>
      </c>
    </row>
    <row r="330" spans="1:1" ht="25.5">
      <c r="A330" s="82" t="s">
        <v>109</v>
      </c>
    </row>
    <row r="332" spans="1:1">
      <c r="A332" s="36" t="s">
        <v>81</v>
      </c>
    </row>
    <row r="333" spans="1:1">
      <c r="A333" s="36" t="s">
        <v>82</v>
      </c>
    </row>
    <row r="334" spans="1:1">
      <c r="A334" s="36" t="s">
        <v>83</v>
      </c>
    </row>
    <row r="335" spans="1:1">
      <c r="A335" s="37" t="s">
        <v>96</v>
      </c>
    </row>
    <row r="336" spans="1:1">
      <c r="A336" s="36" t="s">
        <v>85</v>
      </c>
    </row>
    <row r="337" spans="1:2">
      <c r="A337" s="36" t="s">
        <v>86</v>
      </c>
    </row>
    <row r="338" spans="1:2">
      <c r="A338" s="36" t="s">
        <v>87</v>
      </c>
    </row>
    <row r="339" spans="1:2">
      <c r="A339" s="36" t="s">
        <v>0</v>
      </c>
    </row>
    <row r="340" spans="1:2">
      <c r="A340" s="37" t="s">
        <v>97</v>
      </c>
      <c r="B340" s="36">
        <f>(0.016*(0.03/2)^0.65*(2/3)^1.5)-0.00047</f>
        <v>9.8123053326417428E-5</v>
      </c>
    </row>
    <row r="341" spans="1:2">
      <c r="A341" s="37" t="s">
        <v>98</v>
      </c>
      <c r="B341" s="36">
        <f>(0.016*(0.03/2)^0.65*(13/3)^1.5)-0.00047</f>
        <v>8.9448292388582783E-3</v>
      </c>
    </row>
    <row r="342" spans="1:2">
      <c r="A342" s="37" t="s">
        <v>99</v>
      </c>
      <c r="B342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1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37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B90" sqref="B90:B91"/>
    </sheetView>
  </sheetViews>
  <sheetFormatPr defaultRowHeight="12.75"/>
  <cols>
    <col min="1" max="1" width="33" style="36" customWidth="1"/>
    <col min="2" max="3" width="22.42578125" style="36" customWidth="1"/>
    <col min="4" max="4" width="10.28515625" style="36" bestFit="1" customWidth="1"/>
    <col min="5" max="5" width="9.28515625" style="36" bestFit="1" customWidth="1"/>
    <col min="6" max="17" width="11.7109375" style="36" bestFit="1" customWidth="1"/>
    <col min="18" max="18" width="10.7109375" style="36" bestFit="1" customWidth="1"/>
    <col min="19" max="21" width="11.7109375" style="36" bestFit="1" customWidth="1"/>
    <col min="22" max="22" width="10.7109375" style="36" bestFit="1" customWidth="1"/>
    <col min="23" max="23" width="11.7109375" style="36" bestFit="1" customWidth="1"/>
    <col min="24" max="25" width="10.7109375" style="36" bestFit="1" customWidth="1"/>
    <col min="26" max="27" width="11.7109375" style="36" bestFit="1" customWidth="1"/>
    <col min="28" max="28" width="9.28515625" style="36" bestFit="1" customWidth="1"/>
    <col min="29" max="29" width="11.7109375" style="36" bestFit="1" customWidth="1"/>
    <col min="30" max="30" width="9.28515625" style="36" bestFit="1" customWidth="1"/>
    <col min="31" max="31" width="11.710937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887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 customHeight="1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403</v>
      </c>
      <c r="B4" s="45" t="s">
        <v>102</v>
      </c>
      <c r="C4" s="46">
        <v>2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84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9"/>
      <c r="AS7" s="59"/>
      <c r="AT7" s="59"/>
      <c r="AU7" s="59"/>
      <c r="AV7" s="59"/>
      <c r="AW7" s="59"/>
      <c r="AX7" s="59"/>
      <c r="AY7" s="59"/>
      <c r="AZ7" s="60"/>
      <c r="BA7" s="59"/>
    </row>
    <row r="8" spans="1:67" ht="38.25" hidden="1" customHeight="1">
      <c r="A8" s="55" t="s">
        <v>78</v>
      </c>
      <c r="B8" s="37"/>
      <c r="C8" s="37"/>
      <c r="AA8" s="57"/>
      <c r="AB8" s="57"/>
      <c r="AC8" s="57"/>
      <c r="AD8" s="57"/>
      <c r="AE8" s="57"/>
      <c r="AF8" s="57" t="e">
        <f>#REF!/60</f>
        <v>#REF!</v>
      </c>
      <c r="AG8" s="57" t="e">
        <f>#REF!/60</f>
        <v>#REF!</v>
      </c>
      <c r="AH8" s="57" t="e">
        <f>#REF!/60</f>
        <v>#REF!</v>
      </c>
      <c r="AI8" s="57" t="e">
        <f>#REF!/60</f>
        <v>#REF!</v>
      </c>
      <c r="AJ8" s="57" t="e">
        <f>#REF!/60</f>
        <v>#REF!</v>
      </c>
      <c r="AK8" s="57" t="e">
        <f>#REF!/60</f>
        <v>#REF!</v>
      </c>
      <c r="AL8" s="57" t="e">
        <f>#REF!/60</f>
        <v>#REF!</v>
      </c>
      <c r="AM8" s="57" t="e">
        <f>#REF!/60</f>
        <v>#REF!</v>
      </c>
      <c r="AN8" s="57" t="e">
        <f>#REF!/60</f>
        <v>#REF!</v>
      </c>
      <c r="AO8" s="57" t="e">
        <f>#REF!/60</f>
        <v>#REF!</v>
      </c>
      <c r="AP8" s="57"/>
      <c r="AQ8" s="57"/>
      <c r="AR8" s="57" t="e">
        <f>#REF!/60</f>
        <v>#REF!</v>
      </c>
      <c r="AS8" s="57" t="e">
        <f>#REF!/60</f>
        <v>#REF!</v>
      </c>
      <c r="AT8" s="57" t="e">
        <f>#REF!/60</f>
        <v>#REF!</v>
      </c>
      <c r="AU8" s="57" t="e">
        <f>#REF!/60</f>
        <v>#REF!</v>
      </c>
      <c r="AV8" s="57" t="e">
        <f>#REF!/60</f>
        <v>#REF!</v>
      </c>
      <c r="AW8" s="57" t="e">
        <f>#REF!/60</f>
        <v>#REF!</v>
      </c>
      <c r="AX8" s="57" t="e">
        <f>#REF!/60</f>
        <v>#REF!</v>
      </c>
      <c r="AY8" s="57" t="e">
        <f>#REF!/60</f>
        <v>#REF!</v>
      </c>
      <c r="AZ8" s="57" t="e">
        <f>#REF!/60</f>
        <v>#REF!</v>
      </c>
      <c r="BA8" s="57" t="e">
        <f>#REF!/60</f>
        <v>#REF!</v>
      </c>
    </row>
    <row r="9" spans="1:67" ht="12.75" hidden="1" customHeight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12.75" hidden="1" customHeight="1">
      <c r="A10" s="55"/>
      <c r="B10" s="37"/>
      <c r="C10" s="37"/>
      <c r="AA10" s="57"/>
      <c r="AB10" s="57"/>
      <c r="AC10" s="57"/>
      <c r="AD10" s="57"/>
      <c r="AE10" s="57"/>
      <c r="AF10" s="596" t="s">
        <v>64</v>
      </c>
      <c r="AG10" s="596"/>
      <c r="AH10" s="596"/>
      <c r="AI10" s="596"/>
      <c r="AJ10" s="596"/>
      <c r="AK10" s="597"/>
      <c r="AL10" s="597"/>
      <c r="AM10" s="597"/>
      <c r="AN10" s="597"/>
      <c r="AO10" s="597"/>
      <c r="AP10" s="436"/>
      <c r="AQ10" s="56"/>
      <c r="AR10" s="596" t="s">
        <v>65</v>
      </c>
      <c r="AS10" s="596"/>
      <c r="AT10" s="596"/>
      <c r="AU10" s="596"/>
      <c r="AV10" s="596"/>
      <c r="AW10" s="597"/>
      <c r="AX10" s="597"/>
      <c r="AY10" s="597"/>
      <c r="AZ10" s="597"/>
      <c r="BA10" s="597"/>
    </row>
    <row r="11" spans="1:67" ht="63.75" hidden="1" customHeight="1">
      <c r="A11" s="37"/>
      <c r="B11" s="37"/>
      <c r="C11" s="37"/>
      <c r="AF11" s="61" t="s">
        <v>55</v>
      </c>
      <c r="AG11" s="61" t="s">
        <v>73</v>
      </c>
      <c r="AH11" s="61" t="s">
        <v>74</v>
      </c>
      <c r="AI11" s="61" t="s">
        <v>58</v>
      </c>
      <c r="AJ11" s="61" t="s">
        <v>59</v>
      </c>
      <c r="AK11" s="61" t="s">
        <v>60</v>
      </c>
      <c r="AL11" s="62" t="s">
        <v>75</v>
      </c>
      <c r="AM11" s="62" t="s">
        <v>76</v>
      </c>
      <c r="AN11" s="62" t="s">
        <v>61</v>
      </c>
      <c r="AO11" s="62" t="s">
        <v>62</v>
      </c>
      <c r="AP11" s="62"/>
      <c r="AQ11" s="43"/>
      <c r="AR11" s="61" t="s">
        <v>55</v>
      </c>
      <c r="AS11" s="61" t="s">
        <v>73</v>
      </c>
      <c r="AT11" s="61" t="s">
        <v>74</v>
      </c>
      <c r="AU11" s="61" t="s">
        <v>58</v>
      </c>
      <c r="AV11" s="61" t="s">
        <v>59</v>
      </c>
      <c r="AW11" s="61" t="s">
        <v>60</v>
      </c>
      <c r="AX11" s="62" t="s">
        <v>75</v>
      </c>
      <c r="AY11" s="62" t="s">
        <v>76</v>
      </c>
      <c r="AZ11" s="63" t="s">
        <v>61</v>
      </c>
      <c r="BA11" s="61" t="s">
        <v>62</v>
      </c>
    </row>
    <row r="12" spans="1:67" ht="12.75" hidden="1" customHeight="1">
      <c r="A12" s="37"/>
      <c r="B12" s="37"/>
      <c r="C12" s="37"/>
      <c r="AQ12" s="38"/>
    </row>
    <row r="13" spans="1:67" ht="12.75" hidden="1" customHeight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F13" s="36" t="e">
        <f>AF$8*$AC13</f>
        <v>#REF!</v>
      </c>
      <c r="AG13" s="36" t="e">
        <f t="shared" ref="AG13:AO21" si="2">AG$8*$AC13</f>
        <v>#REF!</v>
      </c>
      <c r="AH13" s="36" t="e">
        <f t="shared" si="2"/>
        <v>#REF!</v>
      </c>
      <c r="AI13" s="36" t="e">
        <f t="shared" si="2"/>
        <v>#REF!</v>
      </c>
      <c r="AJ13" s="36" t="e">
        <f t="shared" si="2"/>
        <v>#REF!</v>
      </c>
      <c r="AK13" s="36" t="e">
        <f t="shared" si="2"/>
        <v>#REF!</v>
      </c>
      <c r="AL13" s="36" t="e">
        <f t="shared" si="2"/>
        <v>#REF!</v>
      </c>
      <c r="AM13" s="36" t="e">
        <f t="shared" si="2"/>
        <v>#REF!</v>
      </c>
      <c r="AN13" s="36" t="e">
        <f t="shared" si="2"/>
        <v>#REF!</v>
      </c>
      <c r="AO13" s="36" t="e">
        <f t="shared" si="2"/>
        <v>#REF!</v>
      </c>
      <c r="AQ13" s="38"/>
      <c r="AR13" s="36" t="e">
        <f>AR$8*$AC13</f>
        <v>#REF!</v>
      </c>
      <c r="AS13" s="36" t="e">
        <f t="shared" ref="AS13:BA21" si="3">AS$8*$AC13</f>
        <v>#REF!</v>
      </c>
      <c r="AT13" s="36" t="e">
        <f t="shared" si="3"/>
        <v>#REF!</v>
      </c>
      <c r="AU13" s="36" t="e">
        <f t="shared" si="3"/>
        <v>#REF!</v>
      </c>
      <c r="AV13" s="36" t="e">
        <f t="shared" si="3"/>
        <v>#REF!</v>
      </c>
      <c r="AW13" s="36" t="e">
        <f t="shared" si="3"/>
        <v>#REF!</v>
      </c>
      <c r="AX13" s="36" t="e">
        <f t="shared" si="3"/>
        <v>#REF!</v>
      </c>
      <c r="AY13" s="36" t="e">
        <f t="shared" si="3"/>
        <v>#REF!</v>
      </c>
      <c r="AZ13" s="36" t="e">
        <f t="shared" si="3"/>
        <v>#REF!</v>
      </c>
      <c r="BA13" s="36" t="e">
        <f t="shared" si="3"/>
        <v>#REF!</v>
      </c>
    </row>
    <row r="14" spans="1:67" ht="12.75" hidden="1" customHeight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 t="shared" ref="AF14:AF21" si="4">AF$8*$AC14</f>
        <v>#REF!</v>
      </c>
      <c r="AG14" s="36" t="e">
        <f t="shared" si="2"/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 t="shared" ref="AR14:AR21" si="5">AR$8*$AC14</f>
        <v>#REF!</v>
      </c>
      <c r="AS14" s="36" t="e">
        <f t="shared" si="3"/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t="12.75" hidden="1" customHeight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si="4"/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si="5"/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t="12.75" hidden="1" customHeight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t="12.75" hidden="1" customHeight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t="12.75" hidden="1" customHeight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t="12.75" hidden="1" customHeight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t="12.75" hidden="1" customHeight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t="12.75" hidden="1" customHeight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t="12.75" hidden="1" customHeight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Q22" s="38"/>
    </row>
    <row r="23" spans="1:53" ht="12.75" hidden="1" customHeight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t="12.75" hidden="1" customHeight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F24" s="36" t="e">
        <f t="shared" ref="AF24:AO32" si="6">AF$8*$AC24</f>
        <v>#REF!</v>
      </c>
      <c r="AG24" s="36" t="e">
        <f t="shared" si="6"/>
        <v>#REF!</v>
      </c>
      <c r="AH24" s="36" t="e">
        <f t="shared" si="6"/>
        <v>#REF!</v>
      </c>
      <c r="AI24" s="36" t="e">
        <f t="shared" si="6"/>
        <v>#REF!</v>
      </c>
      <c r="AJ24" s="36" t="e">
        <f t="shared" si="6"/>
        <v>#REF!</v>
      </c>
      <c r="AK24" s="36" t="e">
        <f t="shared" si="6"/>
        <v>#REF!</v>
      </c>
      <c r="AL24" s="36" t="e">
        <f t="shared" si="6"/>
        <v>#REF!</v>
      </c>
      <c r="AM24" s="36" t="e">
        <f t="shared" si="6"/>
        <v>#REF!</v>
      </c>
      <c r="AN24" s="36" t="e">
        <f t="shared" si="6"/>
        <v>#REF!</v>
      </c>
      <c r="AO24" s="36" t="e">
        <f t="shared" si="6"/>
        <v>#REF!</v>
      </c>
      <c r="AQ24" s="38"/>
      <c r="AR24" s="36" t="e">
        <f t="shared" ref="AR24:BA32" si="7">AR$8*$AC24</f>
        <v>#REF!</v>
      </c>
      <c r="AS24" s="36" t="e">
        <f t="shared" si="7"/>
        <v>#REF!</v>
      </c>
      <c r="AT24" s="36" t="e">
        <f t="shared" si="7"/>
        <v>#REF!</v>
      </c>
      <c r="AU24" s="36" t="e">
        <f t="shared" si="7"/>
        <v>#REF!</v>
      </c>
      <c r="AV24" s="36" t="e">
        <f t="shared" si="7"/>
        <v>#REF!</v>
      </c>
      <c r="AW24" s="36" t="e">
        <f t="shared" si="7"/>
        <v>#REF!</v>
      </c>
      <c r="AX24" s="36" t="e">
        <f t="shared" si="7"/>
        <v>#REF!</v>
      </c>
      <c r="AY24" s="36" t="e">
        <f t="shared" si="7"/>
        <v>#REF!</v>
      </c>
      <c r="AZ24" s="36" t="e">
        <f t="shared" si="7"/>
        <v>#REF!</v>
      </c>
      <c r="BA24" s="36" t="e">
        <f t="shared" si="7"/>
        <v>#REF!</v>
      </c>
    </row>
    <row r="25" spans="1:53" ht="12.75" hidden="1" customHeight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si="6"/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si="7"/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t="12.75" hidden="1" customHeight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t="12.75" hidden="1" customHeight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t="12.75" hidden="1" customHeight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t="12.75" hidden="1" customHeight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t="12.75" hidden="1" customHeight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t="12.75" hidden="1" customHeight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t="12.75" hidden="1" customHeight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t="12.75" hidden="1" customHeight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Q33" s="38"/>
    </row>
    <row r="34" spans="1:53" ht="12.75" hidden="1" customHeight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t="12.75" hidden="1" customHeight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F35" s="36" t="e">
        <f t="shared" ref="AF35:AO43" si="8">AF$8*$AC35</f>
        <v>#REF!</v>
      </c>
      <c r="AG35" s="36" t="e">
        <f t="shared" si="8"/>
        <v>#REF!</v>
      </c>
      <c r="AH35" s="36" t="e">
        <f t="shared" si="8"/>
        <v>#REF!</v>
      </c>
      <c r="AI35" s="36" t="e">
        <f t="shared" si="8"/>
        <v>#REF!</v>
      </c>
      <c r="AJ35" s="36" t="e">
        <f t="shared" si="8"/>
        <v>#REF!</v>
      </c>
      <c r="AK35" s="36" t="e">
        <f t="shared" si="8"/>
        <v>#REF!</v>
      </c>
      <c r="AL35" s="36" t="e">
        <f t="shared" si="8"/>
        <v>#REF!</v>
      </c>
      <c r="AM35" s="36" t="e">
        <f t="shared" si="8"/>
        <v>#REF!</v>
      </c>
      <c r="AN35" s="36" t="e">
        <f t="shared" si="8"/>
        <v>#REF!</v>
      </c>
      <c r="AO35" s="36" t="e">
        <f t="shared" si="8"/>
        <v>#REF!</v>
      </c>
      <c r="AQ35" s="38"/>
      <c r="AR35" s="36" t="e">
        <f t="shared" ref="AR35:BA43" si="9">AR$8*$AC35</f>
        <v>#REF!</v>
      </c>
      <c r="AS35" s="36" t="e">
        <f t="shared" si="9"/>
        <v>#REF!</v>
      </c>
      <c r="AT35" s="36" t="e">
        <f t="shared" si="9"/>
        <v>#REF!</v>
      </c>
      <c r="AU35" s="36" t="e">
        <f t="shared" si="9"/>
        <v>#REF!</v>
      </c>
      <c r="AV35" s="36" t="e">
        <f t="shared" si="9"/>
        <v>#REF!</v>
      </c>
      <c r="AW35" s="36" t="e">
        <f t="shared" si="9"/>
        <v>#REF!</v>
      </c>
      <c r="AX35" s="36" t="e">
        <f t="shared" si="9"/>
        <v>#REF!</v>
      </c>
      <c r="AY35" s="36" t="e">
        <f t="shared" si="9"/>
        <v>#REF!</v>
      </c>
      <c r="AZ35" s="36" t="e">
        <f t="shared" si="9"/>
        <v>#REF!</v>
      </c>
      <c r="BA35" s="36" t="e">
        <f t="shared" si="9"/>
        <v>#REF!</v>
      </c>
    </row>
    <row r="36" spans="1:53" ht="12.75" hidden="1" customHeight="1">
      <c r="AA36" s="64"/>
      <c r="AB36" s="65" t="s">
        <v>32</v>
      </c>
      <c r="AC36" s="65">
        <v>0</v>
      </c>
      <c r="AD36" s="65"/>
      <c r="AE36" s="65"/>
      <c r="AF36" s="36" t="e">
        <f t="shared" si="8"/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si="9"/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t="12.75" hidden="1" customHeight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t="12.75" hidden="1" customHeight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t="12.75" hidden="1" customHeight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t="12.75" hidden="1" customHeight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t="12.75" hidden="1" customHeight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t="12.75" hidden="1" customHeight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t="12.75" hidden="1" customHeight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t="12.75" hidden="1" customHeight="1">
      <c r="AA44" s="64"/>
      <c r="AB44" s="65" t="s">
        <v>40</v>
      </c>
      <c r="AC44" s="65">
        <v>14.14584</v>
      </c>
      <c r="AD44" s="65"/>
      <c r="AE44" s="65"/>
      <c r="AQ44" s="38"/>
    </row>
    <row r="45" spans="1:53" ht="12.75" hidden="1" customHeight="1">
      <c r="AQ45" s="38"/>
    </row>
    <row r="46" spans="1:53" ht="63.75" hidden="1" customHeight="1">
      <c r="AF46" s="61" t="s">
        <v>55</v>
      </c>
      <c r="AG46" s="61" t="s">
        <v>73</v>
      </c>
      <c r="AH46" s="61" t="s">
        <v>57</v>
      </c>
      <c r="AI46" s="61" t="s">
        <v>58</v>
      </c>
      <c r="AJ46" s="61" t="s">
        <v>59</v>
      </c>
      <c r="AK46" s="61" t="s">
        <v>60</v>
      </c>
      <c r="AL46" s="62" t="s">
        <v>75</v>
      </c>
      <c r="AM46" s="62" t="s">
        <v>76</v>
      </c>
      <c r="AN46" s="62" t="s">
        <v>61</v>
      </c>
      <c r="AO46" s="62" t="s">
        <v>62</v>
      </c>
      <c r="AP46" s="62"/>
      <c r="AQ46" s="43"/>
      <c r="AR46" s="61" t="s">
        <v>55</v>
      </c>
      <c r="AS46" s="61" t="s">
        <v>73</v>
      </c>
      <c r="AT46" s="61" t="s">
        <v>74</v>
      </c>
      <c r="AU46" s="61" t="s">
        <v>58</v>
      </c>
      <c r="AV46" s="61" t="s">
        <v>59</v>
      </c>
      <c r="AW46" s="61" t="s">
        <v>60</v>
      </c>
      <c r="AX46" s="62" t="s">
        <v>75</v>
      </c>
      <c r="AY46" s="62" t="s">
        <v>76</v>
      </c>
      <c r="AZ46" s="63" t="s">
        <v>61</v>
      </c>
      <c r="BA46" s="61" t="s">
        <v>62</v>
      </c>
    </row>
    <row r="47" spans="1:53" ht="12.75" hidden="1" customHeight="1">
      <c r="AA47" s="66" t="s">
        <v>43</v>
      </c>
      <c r="AB47" s="67"/>
      <c r="AC47" s="68"/>
      <c r="AD47" s="68"/>
      <c r="AE47" s="68"/>
      <c r="AG47" s="70"/>
      <c r="AQ47" s="38"/>
    </row>
    <row r="48" spans="1:53" ht="12.75" hidden="1" customHeight="1">
      <c r="AA48" s="69" t="s">
        <v>44</v>
      </c>
      <c r="AB48" s="35"/>
      <c r="AF48" s="70" t="e">
        <f t="shared" ref="AF48:AO48" si="10">AF13+AF15+AF16</f>
        <v>#REF!</v>
      </c>
      <c r="AG48" s="70" t="e">
        <f t="shared" si="10"/>
        <v>#REF!</v>
      </c>
      <c r="AH48" s="70" t="e">
        <f t="shared" si="10"/>
        <v>#REF!</v>
      </c>
      <c r="AI48" s="70" t="e">
        <f t="shared" si="10"/>
        <v>#REF!</v>
      </c>
      <c r="AJ48" s="70" t="e">
        <f t="shared" si="10"/>
        <v>#REF!</v>
      </c>
      <c r="AK48" s="70" t="e">
        <f t="shared" si="10"/>
        <v>#REF!</v>
      </c>
      <c r="AL48" s="70" t="e">
        <f t="shared" si="10"/>
        <v>#REF!</v>
      </c>
      <c r="AM48" s="70" t="e">
        <f t="shared" si="10"/>
        <v>#REF!</v>
      </c>
      <c r="AN48" s="70" t="e">
        <f t="shared" si="10"/>
        <v>#REF!</v>
      </c>
      <c r="AO48" s="70" t="e">
        <f t="shared" si="10"/>
        <v>#REF!</v>
      </c>
      <c r="AP48" s="70"/>
      <c r="AQ48" s="70"/>
      <c r="AR48" s="70" t="e">
        <f t="shared" ref="AR48:BA48" si="11">AR13+AR15+AR16</f>
        <v>#REF!</v>
      </c>
      <c r="AS48" s="70" t="e">
        <f t="shared" si="11"/>
        <v>#REF!</v>
      </c>
      <c r="AT48" s="70" t="e">
        <f t="shared" si="11"/>
        <v>#REF!</v>
      </c>
      <c r="AU48" s="70" t="e">
        <f t="shared" si="11"/>
        <v>#REF!</v>
      </c>
      <c r="AV48" s="70" t="e">
        <f t="shared" si="11"/>
        <v>#REF!</v>
      </c>
      <c r="AW48" s="70" t="e">
        <f t="shared" si="11"/>
        <v>#REF!</v>
      </c>
      <c r="AX48" s="70" t="e">
        <f t="shared" si="11"/>
        <v>#REF!</v>
      </c>
      <c r="AY48" s="70" t="e">
        <f t="shared" si="11"/>
        <v>#REF!</v>
      </c>
      <c r="AZ48" s="70" t="e">
        <f t="shared" si="11"/>
        <v>#REF!</v>
      </c>
      <c r="BA48" s="70" t="e">
        <f t="shared" si="11"/>
        <v>#REF!</v>
      </c>
    </row>
    <row r="49" spans="27:53" ht="12.75" hidden="1" customHeight="1">
      <c r="AA49" s="71" t="s">
        <v>29</v>
      </c>
      <c r="AB49" s="35"/>
      <c r="AF49" s="70" t="e">
        <f t="shared" ref="AF49:AO49" si="12">AF24+AF26+AF27</f>
        <v>#REF!</v>
      </c>
      <c r="AG49" s="70" t="e">
        <f t="shared" si="12"/>
        <v>#REF!</v>
      </c>
      <c r="AH49" s="70" t="e">
        <f t="shared" si="12"/>
        <v>#REF!</v>
      </c>
      <c r="AI49" s="70" t="e">
        <f t="shared" si="12"/>
        <v>#REF!</v>
      </c>
      <c r="AJ49" s="70" t="e">
        <f t="shared" si="12"/>
        <v>#REF!</v>
      </c>
      <c r="AK49" s="70" t="e">
        <f t="shared" si="12"/>
        <v>#REF!</v>
      </c>
      <c r="AL49" s="70" t="e">
        <f t="shared" si="12"/>
        <v>#REF!</v>
      </c>
      <c r="AM49" s="70" t="e">
        <f t="shared" si="12"/>
        <v>#REF!</v>
      </c>
      <c r="AN49" s="70" t="e">
        <f t="shared" si="12"/>
        <v>#REF!</v>
      </c>
      <c r="AO49" s="70" t="e">
        <f t="shared" si="12"/>
        <v>#REF!</v>
      </c>
      <c r="AP49" s="70"/>
      <c r="AQ49" s="70"/>
      <c r="AR49" s="70" t="e">
        <f t="shared" ref="AR49:BA49" si="13">AR24+AR26+AR27</f>
        <v>#REF!</v>
      </c>
      <c r="AS49" s="70" t="e">
        <f t="shared" si="13"/>
        <v>#REF!</v>
      </c>
      <c r="AT49" s="70" t="e">
        <f t="shared" si="13"/>
        <v>#REF!</v>
      </c>
      <c r="AU49" s="70" t="e">
        <f t="shared" si="13"/>
        <v>#REF!</v>
      </c>
      <c r="AV49" s="70" t="e">
        <f t="shared" si="13"/>
        <v>#REF!</v>
      </c>
      <c r="AW49" s="70" t="e">
        <f t="shared" si="13"/>
        <v>#REF!</v>
      </c>
      <c r="AX49" s="70" t="e">
        <f t="shared" si="13"/>
        <v>#REF!</v>
      </c>
      <c r="AY49" s="70" t="e">
        <f t="shared" si="13"/>
        <v>#REF!</v>
      </c>
      <c r="AZ49" s="70" t="e">
        <f t="shared" si="13"/>
        <v>#REF!</v>
      </c>
      <c r="BA49" s="70" t="e">
        <f t="shared" si="13"/>
        <v>#REF!</v>
      </c>
    </row>
    <row r="50" spans="27:53" ht="12.75" hidden="1" customHeight="1">
      <c r="AA50" s="71" t="s">
        <v>41</v>
      </c>
      <c r="AB50" s="35"/>
      <c r="AF50" s="70" t="e">
        <f t="shared" ref="AF50:AO50" si="14">AF35+AF37+AF38</f>
        <v>#REF!</v>
      </c>
      <c r="AG50" s="70" t="e">
        <f t="shared" si="14"/>
        <v>#REF!</v>
      </c>
      <c r="AH50" s="70" t="e">
        <f t="shared" si="14"/>
        <v>#REF!</v>
      </c>
      <c r="AI50" s="70" t="e">
        <f t="shared" si="14"/>
        <v>#REF!</v>
      </c>
      <c r="AJ50" s="70" t="e">
        <f t="shared" si="14"/>
        <v>#REF!</v>
      </c>
      <c r="AK50" s="70" t="e">
        <f t="shared" si="14"/>
        <v>#REF!</v>
      </c>
      <c r="AL50" s="70" t="e">
        <f t="shared" si="14"/>
        <v>#REF!</v>
      </c>
      <c r="AM50" s="70" t="e">
        <f t="shared" si="14"/>
        <v>#REF!</v>
      </c>
      <c r="AN50" s="70" t="e">
        <f t="shared" si="14"/>
        <v>#REF!</v>
      </c>
      <c r="AO50" s="70" t="e">
        <f t="shared" si="14"/>
        <v>#REF!</v>
      </c>
      <c r="AP50" s="70"/>
      <c r="AQ50" s="70"/>
      <c r="AR50" s="70" t="e">
        <f t="shared" ref="AR50:BA50" si="15">AR35+AR37+AR38</f>
        <v>#REF!</v>
      </c>
      <c r="AS50" s="70" t="e">
        <f t="shared" si="15"/>
        <v>#REF!</v>
      </c>
      <c r="AT50" s="70" t="e">
        <f t="shared" si="15"/>
        <v>#REF!</v>
      </c>
      <c r="AU50" s="70" t="e">
        <f t="shared" si="15"/>
        <v>#REF!</v>
      </c>
      <c r="AV50" s="70" t="e">
        <f t="shared" si="15"/>
        <v>#REF!</v>
      </c>
      <c r="AW50" s="70" t="e">
        <f t="shared" si="15"/>
        <v>#REF!</v>
      </c>
      <c r="AX50" s="70" t="e">
        <f t="shared" si="15"/>
        <v>#REF!</v>
      </c>
      <c r="AY50" s="70" t="e">
        <f t="shared" si="15"/>
        <v>#REF!</v>
      </c>
      <c r="AZ50" s="70" t="e">
        <f t="shared" si="15"/>
        <v>#REF!</v>
      </c>
      <c r="BA50" s="70" t="e">
        <f t="shared" si="15"/>
        <v>#REF!</v>
      </c>
    </row>
    <row r="51" spans="27:53" ht="12.75" hidden="1" customHeight="1">
      <c r="AA51" s="71" t="s">
        <v>42</v>
      </c>
      <c r="AB51" s="35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</row>
    <row r="52" spans="27:53" ht="12.75" hidden="1" customHeight="1">
      <c r="AA52" s="69" t="s">
        <v>45</v>
      </c>
      <c r="AB52" s="35"/>
      <c r="AF52" s="70" t="e">
        <f t="shared" ref="AF52:AO52" si="16">AF13+AF15+AF17+AF19</f>
        <v>#REF!</v>
      </c>
      <c r="AG52" s="70" t="e">
        <f t="shared" si="16"/>
        <v>#REF!</v>
      </c>
      <c r="AH52" s="70" t="e">
        <f t="shared" si="16"/>
        <v>#REF!</v>
      </c>
      <c r="AI52" s="70" t="e">
        <f t="shared" si="16"/>
        <v>#REF!</v>
      </c>
      <c r="AJ52" s="70" t="e">
        <f t="shared" si="16"/>
        <v>#REF!</v>
      </c>
      <c r="AK52" s="70" t="e">
        <f t="shared" si="16"/>
        <v>#REF!</v>
      </c>
      <c r="AL52" s="70" t="e">
        <f t="shared" si="16"/>
        <v>#REF!</v>
      </c>
      <c r="AM52" s="70" t="e">
        <f t="shared" si="16"/>
        <v>#REF!</v>
      </c>
      <c r="AN52" s="70" t="e">
        <f t="shared" si="16"/>
        <v>#REF!</v>
      </c>
      <c r="AO52" s="70" t="e">
        <f t="shared" si="16"/>
        <v>#REF!</v>
      </c>
      <c r="AP52" s="70"/>
      <c r="AQ52" s="70"/>
      <c r="AR52" s="70" t="e">
        <f t="shared" ref="AR52:BA52" si="17">AR13+AR15+AR17+AR19</f>
        <v>#REF!</v>
      </c>
      <c r="AS52" s="70" t="e">
        <f t="shared" si="17"/>
        <v>#REF!</v>
      </c>
      <c r="AT52" s="70" t="e">
        <f t="shared" si="17"/>
        <v>#REF!</v>
      </c>
      <c r="AU52" s="70" t="e">
        <f t="shared" si="17"/>
        <v>#REF!</v>
      </c>
      <c r="AV52" s="70" t="e">
        <f t="shared" si="17"/>
        <v>#REF!</v>
      </c>
      <c r="AW52" s="70" t="e">
        <f t="shared" si="17"/>
        <v>#REF!</v>
      </c>
      <c r="AX52" s="70" t="e">
        <f t="shared" si="17"/>
        <v>#REF!</v>
      </c>
      <c r="AY52" s="70" t="e">
        <f t="shared" si="17"/>
        <v>#REF!</v>
      </c>
      <c r="AZ52" s="70" t="e">
        <f t="shared" si="17"/>
        <v>#REF!</v>
      </c>
      <c r="BA52" s="70" t="e">
        <f t="shared" si="17"/>
        <v>#REF!</v>
      </c>
    </row>
    <row r="53" spans="27:53" ht="12.75" hidden="1" customHeight="1">
      <c r="AA53" s="71" t="s">
        <v>29</v>
      </c>
      <c r="AB53" s="35"/>
      <c r="AF53" s="70" t="e">
        <f t="shared" ref="AF53:AO53" si="18">AF24+AF26+AF28+AF30</f>
        <v>#REF!</v>
      </c>
      <c r="AG53" s="70" t="e">
        <f t="shared" si="18"/>
        <v>#REF!</v>
      </c>
      <c r="AH53" s="70" t="e">
        <f t="shared" si="18"/>
        <v>#REF!</v>
      </c>
      <c r="AI53" s="70" t="e">
        <f t="shared" si="18"/>
        <v>#REF!</v>
      </c>
      <c r="AJ53" s="70" t="e">
        <f t="shared" si="18"/>
        <v>#REF!</v>
      </c>
      <c r="AK53" s="70" t="e">
        <f t="shared" si="18"/>
        <v>#REF!</v>
      </c>
      <c r="AL53" s="70" t="e">
        <f t="shared" si="18"/>
        <v>#REF!</v>
      </c>
      <c r="AM53" s="70" t="e">
        <f t="shared" si="18"/>
        <v>#REF!</v>
      </c>
      <c r="AN53" s="70" t="e">
        <f t="shared" si="18"/>
        <v>#REF!</v>
      </c>
      <c r="AO53" s="70" t="e">
        <f t="shared" si="18"/>
        <v>#REF!</v>
      </c>
      <c r="AP53" s="70"/>
      <c r="AQ53" s="70"/>
      <c r="AR53" s="70" t="e">
        <f t="shared" ref="AR53:BA53" si="19">AR24+AR26+AR28+AR30</f>
        <v>#REF!</v>
      </c>
      <c r="AS53" s="70" t="e">
        <f t="shared" si="19"/>
        <v>#REF!</v>
      </c>
      <c r="AT53" s="70" t="e">
        <f t="shared" si="19"/>
        <v>#REF!</v>
      </c>
      <c r="AU53" s="70" t="e">
        <f t="shared" si="19"/>
        <v>#REF!</v>
      </c>
      <c r="AV53" s="70" t="e">
        <f t="shared" si="19"/>
        <v>#REF!</v>
      </c>
      <c r="AW53" s="70" t="e">
        <f t="shared" si="19"/>
        <v>#REF!</v>
      </c>
      <c r="AX53" s="70" t="e">
        <f t="shared" si="19"/>
        <v>#REF!</v>
      </c>
      <c r="AY53" s="70" t="e">
        <f t="shared" si="19"/>
        <v>#REF!</v>
      </c>
      <c r="AZ53" s="70" t="e">
        <f t="shared" si="19"/>
        <v>#REF!</v>
      </c>
      <c r="BA53" s="70" t="e">
        <f t="shared" si="19"/>
        <v>#REF!</v>
      </c>
    </row>
    <row r="54" spans="27:53" ht="12.75" hidden="1" customHeight="1">
      <c r="AA54" s="71" t="s">
        <v>41</v>
      </c>
      <c r="AB54" s="35"/>
      <c r="AF54" s="70" t="e">
        <f t="shared" ref="AF54:AO54" si="20">AF35+AF37+AF39+AF41</f>
        <v>#REF!</v>
      </c>
      <c r="AG54" s="70" t="e">
        <f t="shared" si="20"/>
        <v>#REF!</v>
      </c>
      <c r="AH54" s="70" t="e">
        <f t="shared" si="20"/>
        <v>#REF!</v>
      </c>
      <c r="AI54" s="70" t="e">
        <f t="shared" si="20"/>
        <v>#REF!</v>
      </c>
      <c r="AJ54" s="70" t="e">
        <f t="shared" si="20"/>
        <v>#REF!</v>
      </c>
      <c r="AK54" s="70" t="e">
        <f t="shared" si="20"/>
        <v>#REF!</v>
      </c>
      <c r="AL54" s="70" t="e">
        <f t="shared" si="20"/>
        <v>#REF!</v>
      </c>
      <c r="AM54" s="70" t="e">
        <f t="shared" si="20"/>
        <v>#REF!</v>
      </c>
      <c r="AN54" s="70" t="e">
        <f t="shared" si="20"/>
        <v>#REF!</v>
      </c>
      <c r="AO54" s="70" t="e">
        <f t="shared" si="20"/>
        <v>#REF!</v>
      </c>
      <c r="AP54" s="70"/>
      <c r="AQ54" s="70"/>
      <c r="AR54" s="70" t="e">
        <f t="shared" ref="AR54:BA54" si="21">AR35+AR37+AR39+AR41</f>
        <v>#REF!</v>
      </c>
      <c r="AS54" s="70" t="e">
        <f t="shared" si="21"/>
        <v>#REF!</v>
      </c>
      <c r="AT54" s="70" t="e">
        <f t="shared" si="21"/>
        <v>#REF!</v>
      </c>
      <c r="AU54" s="70" t="e">
        <f t="shared" si="21"/>
        <v>#REF!</v>
      </c>
      <c r="AV54" s="70" t="e">
        <f t="shared" si="21"/>
        <v>#REF!</v>
      </c>
      <c r="AW54" s="70" t="e">
        <f t="shared" si="21"/>
        <v>#REF!</v>
      </c>
      <c r="AX54" s="70" t="e">
        <f t="shared" si="21"/>
        <v>#REF!</v>
      </c>
      <c r="AY54" s="70" t="e">
        <f t="shared" si="21"/>
        <v>#REF!</v>
      </c>
      <c r="AZ54" s="70" t="e">
        <f t="shared" si="21"/>
        <v>#REF!</v>
      </c>
      <c r="BA54" s="70" t="e">
        <f t="shared" si="21"/>
        <v>#REF!</v>
      </c>
    </row>
    <row r="55" spans="27:53" ht="12.75" hidden="1" customHeight="1">
      <c r="AA55" s="71" t="s">
        <v>42</v>
      </c>
      <c r="AB55" s="35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</row>
    <row r="56" spans="27:53" ht="12.75" hidden="1" customHeight="1">
      <c r="AA56" s="69" t="s">
        <v>46</v>
      </c>
      <c r="AB56" s="35"/>
      <c r="AF56" s="70" t="e">
        <f t="shared" ref="AF56:AO56" si="22">AF13+AF15+AF17+AF18+AF20</f>
        <v>#REF!</v>
      </c>
      <c r="AG56" s="70" t="e">
        <f t="shared" si="22"/>
        <v>#REF!</v>
      </c>
      <c r="AH56" s="70" t="e">
        <f t="shared" si="22"/>
        <v>#REF!</v>
      </c>
      <c r="AI56" s="70" t="e">
        <f t="shared" si="22"/>
        <v>#REF!</v>
      </c>
      <c r="AJ56" s="70" t="e">
        <f t="shared" si="22"/>
        <v>#REF!</v>
      </c>
      <c r="AK56" s="70" t="e">
        <f t="shared" si="22"/>
        <v>#REF!</v>
      </c>
      <c r="AL56" s="70" t="e">
        <f t="shared" si="22"/>
        <v>#REF!</v>
      </c>
      <c r="AM56" s="70" t="e">
        <f t="shared" si="22"/>
        <v>#REF!</v>
      </c>
      <c r="AN56" s="70" t="e">
        <f t="shared" si="22"/>
        <v>#REF!</v>
      </c>
      <c r="AO56" s="70" t="e">
        <f t="shared" si="22"/>
        <v>#REF!</v>
      </c>
      <c r="AP56" s="70"/>
      <c r="AQ56" s="70"/>
      <c r="AR56" s="70" t="e">
        <f t="shared" ref="AR56:BA56" si="23">AR13+AR15+AR17+AR18+AR20</f>
        <v>#REF!</v>
      </c>
      <c r="AS56" s="70" t="e">
        <f t="shared" si="23"/>
        <v>#REF!</v>
      </c>
      <c r="AT56" s="70" t="e">
        <f t="shared" si="23"/>
        <v>#REF!</v>
      </c>
      <c r="AU56" s="70" t="e">
        <f t="shared" si="23"/>
        <v>#REF!</v>
      </c>
      <c r="AV56" s="70" t="e">
        <f t="shared" si="23"/>
        <v>#REF!</v>
      </c>
      <c r="AW56" s="70" t="e">
        <f t="shared" si="23"/>
        <v>#REF!</v>
      </c>
      <c r="AX56" s="70" t="e">
        <f t="shared" si="23"/>
        <v>#REF!</v>
      </c>
      <c r="AY56" s="70" t="e">
        <f t="shared" si="23"/>
        <v>#REF!</v>
      </c>
      <c r="AZ56" s="70" t="e">
        <f t="shared" si="23"/>
        <v>#REF!</v>
      </c>
      <c r="BA56" s="70" t="e">
        <f t="shared" si="23"/>
        <v>#REF!</v>
      </c>
    </row>
    <row r="57" spans="27:53" ht="12.75" hidden="1" customHeight="1">
      <c r="AA57" s="71" t="s">
        <v>29</v>
      </c>
      <c r="AB57" s="35"/>
      <c r="AF57" s="70" t="e">
        <f t="shared" ref="AF57:AO57" si="24">AF24+AF26+AF28+AF29+AF31</f>
        <v>#REF!</v>
      </c>
      <c r="AG57" s="70" t="e">
        <f t="shared" si="24"/>
        <v>#REF!</v>
      </c>
      <c r="AH57" s="70" t="e">
        <f t="shared" si="24"/>
        <v>#REF!</v>
      </c>
      <c r="AI57" s="70" t="e">
        <f t="shared" si="24"/>
        <v>#REF!</v>
      </c>
      <c r="AJ57" s="70" t="e">
        <f t="shared" si="24"/>
        <v>#REF!</v>
      </c>
      <c r="AK57" s="70" t="e">
        <f t="shared" si="24"/>
        <v>#REF!</v>
      </c>
      <c r="AL57" s="70" t="e">
        <f t="shared" si="24"/>
        <v>#REF!</v>
      </c>
      <c r="AM57" s="70" t="e">
        <f t="shared" si="24"/>
        <v>#REF!</v>
      </c>
      <c r="AN57" s="70" t="e">
        <f t="shared" si="24"/>
        <v>#REF!</v>
      </c>
      <c r="AO57" s="70" t="e">
        <f t="shared" si="24"/>
        <v>#REF!</v>
      </c>
      <c r="AP57" s="70"/>
      <c r="AQ57" s="70"/>
      <c r="AR57" s="70" t="e">
        <f t="shared" ref="AR57:BA57" si="25">AR24+AR26+AR28+AR29+AR31</f>
        <v>#REF!</v>
      </c>
      <c r="AS57" s="70" t="e">
        <f t="shared" si="25"/>
        <v>#REF!</v>
      </c>
      <c r="AT57" s="70" t="e">
        <f t="shared" si="25"/>
        <v>#REF!</v>
      </c>
      <c r="AU57" s="70" t="e">
        <f t="shared" si="25"/>
        <v>#REF!</v>
      </c>
      <c r="AV57" s="70" t="e">
        <f t="shared" si="25"/>
        <v>#REF!</v>
      </c>
      <c r="AW57" s="70" t="e">
        <f t="shared" si="25"/>
        <v>#REF!</v>
      </c>
      <c r="AX57" s="70" t="e">
        <f t="shared" si="25"/>
        <v>#REF!</v>
      </c>
      <c r="AY57" s="70" t="e">
        <f t="shared" si="25"/>
        <v>#REF!</v>
      </c>
      <c r="AZ57" s="70" t="e">
        <f t="shared" si="25"/>
        <v>#REF!</v>
      </c>
      <c r="BA57" s="70" t="e">
        <f t="shared" si="25"/>
        <v>#REF!</v>
      </c>
    </row>
    <row r="58" spans="27:53" ht="12.75" hidden="1" customHeight="1">
      <c r="AA58" s="71" t="s">
        <v>41</v>
      </c>
      <c r="AB58" s="35"/>
      <c r="AF58" s="70" t="e">
        <f t="shared" ref="AF58:AO58" si="26">AF35+AF37+AF39+AF40+AF42</f>
        <v>#REF!</v>
      </c>
      <c r="AG58" s="70" t="e">
        <f t="shared" si="26"/>
        <v>#REF!</v>
      </c>
      <c r="AH58" s="70" t="e">
        <f t="shared" si="26"/>
        <v>#REF!</v>
      </c>
      <c r="AI58" s="70" t="e">
        <f t="shared" si="26"/>
        <v>#REF!</v>
      </c>
      <c r="AJ58" s="70" t="e">
        <f t="shared" si="26"/>
        <v>#REF!</v>
      </c>
      <c r="AK58" s="70" t="e">
        <f t="shared" si="26"/>
        <v>#REF!</v>
      </c>
      <c r="AL58" s="70" t="e">
        <f t="shared" si="26"/>
        <v>#REF!</v>
      </c>
      <c r="AM58" s="70" t="e">
        <f t="shared" si="26"/>
        <v>#REF!</v>
      </c>
      <c r="AN58" s="70" t="e">
        <f t="shared" si="26"/>
        <v>#REF!</v>
      </c>
      <c r="AO58" s="70" t="e">
        <f t="shared" si="26"/>
        <v>#REF!</v>
      </c>
      <c r="AP58" s="70"/>
      <c r="AQ58" s="70"/>
      <c r="AR58" s="70" t="e">
        <f t="shared" ref="AR58:BA58" si="27">AR35+AR37+AR39+AR40+AR42</f>
        <v>#REF!</v>
      </c>
      <c r="AS58" s="70" t="e">
        <f t="shared" si="27"/>
        <v>#REF!</v>
      </c>
      <c r="AT58" s="70" t="e">
        <f t="shared" si="27"/>
        <v>#REF!</v>
      </c>
      <c r="AU58" s="70" t="e">
        <f t="shared" si="27"/>
        <v>#REF!</v>
      </c>
      <c r="AV58" s="70" t="e">
        <f t="shared" si="27"/>
        <v>#REF!</v>
      </c>
      <c r="AW58" s="70" t="e">
        <f t="shared" si="27"/>
        <v>#REF!</v>
      </c>
      <c r="AX58" s="70" t="e">
        <f t="shared" si="27"/>
        <v>#REF!</v>
      </c>
      <c r="AY58" s="70" t="e">
        <f t="shared" si="27"/>
        <v>#REF!</v>
      </c>
      <c r="AZ58" s="70" t="e">
        <f t="shared" si="27"/>
        <v>#REF!</v>
      </c>
      <c r="BA58" s="70" t="e">
        <f t="shared" si="27"/>
        <v>#REF!</v>
      </c>
    </row>
    <row r="59" spans="27:53" ht="12.75" hidden="1" customHeight="1">
      <c r="AA59" s="71" t="s">
        <v>42</v>
      </c>
      <c r="AB59" s="35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</row>
    <row r="60" spans="27:53" ht="12.75" hidden="1" customHeight="1">
      <c r="AA60" s="69" t="s">
        <v>47</v>
      </c>
      <c r="AB60" s="35"/>
      <c r="AF60" s="70" t="e">
        <f t="shared" ref="AF60:AO60" si="28">AF13+AF15+AF17+AF18+AF21</f>
        <v>#REF!</v>
      </c>
      <c r="AG60" s="70" t="e">
        <f t="shared" si="28"/>
        <v>#REF!</v>
      </c>
      <c r="AH60" s="70" t="e">
        <f t="shared" si="28"/>
        <v>#REF!</v>
      </c>
      <c r="AI60" s="70" t="e">
        <f t="shared" si="28"/>
        <v>#REF!</v>
      </c>
      <c r="AJ60" s="70" t="e">
        <f t="shared" si="28"/>
        <v>#REF!</v>
      </c>
      <c r="AK60" s="70" t="e">
        <f t="shared" si="28"/>
        <v>#REF!</v>
      </c>
      <c r="AL60" s="70" t="e">
        <f t="shared" si="28"/>
        <v>#REF!</v>
      </c>
      <c r="AM60" s="70" t="e">
        <f t="shared" si="28"/>
        <v>#REF!</v>
      </c>
      <c r="AN60" s="70" t="e">
        <f t="shared" si="28"/>
        <v>#REF!</v>
      </c>
      <c r="AO60" s="70" t="e">
        <f t="shared" si="28"/>
        <v>#REF!</v>
      </c>
      <c r="AP60" s="70"/>
      <c r="AQ60" s="70"/>
      <c r="AR60" s="70" t="e">
        <f t="shared" ref="AR60:BA60" si="29">AR13+AR15+AR17+AR18+AR21</f>
        <v>#REF!</v>
      </c>
      <c r="AS60" s="70" t="e">
        <f t="shared" si="29"/>
        <v>#REF!</v>
      </c>
      <c r="AT60" s="70" t="e">
        <f t="shared" si="29"/>
        <v>#REF!</v>
      </c>
      <c r="AU60" s="70" t="e">
        <f t="shared" si="29"/>
        <v>#REF!</v>
      </c>
      <c r="AV60" s="70" t="e">
        <f t="shared" si="29"/>
        <v>#REF!</v>
      </c>
      <c r="AW60" s="70" t="e">
        <f t="shared" si="29"/>
        <v>#REF!</v>
      </c>
      <c r="AX60" s="70" t="e">
        <f t="shared" si="29"/>
        <v>#REF!</v>
      </c>
      <c r="AY60" s="70" t="e">
        <f t="shared" si="29"/>
        <v>#REF!</v>
      </c>
      <c r="AZ60" s="70" t="e">
        <f t="shared" si="29"/>
        <v>#REF!</v>
      </c>
      <c r="BA60" s="70" t="e">
        <f t="shared" si="29"/>
        <v>#REF!</v>
      </c>
    </row>
    <row r="61" spans="27:53" ht="12.75" hidden="1" customHeight="1">
      <c r="AA61" s="71" t="s">
        <v>29</v>
      </c>
      <c r="AB61" s="35"/>
      <c r="AF61" s="70" t="e">
        <f t="shared" ref="AF61:AO61" si="30">AF24+AF26+AF28+AF29+AF32</f>
        <v>#REF!</v>
      </c>
      <c r="AG61" s="70" t="e">
        <f t="shared" si="30"/>
        <v>#REF!</v>
      </c>
      <c r="AH61" s="70" t="e">
        <f t="shared" si="30"/>
        <v>#REF!</v>
      </c>
      <c r="AI61" s="70" t="e">
        <f t="shared" si="30"/>
        <v>#REF!</v>
      </c>
      <c r="AJ61" s="70" t="e">
        <f t="shared" si="30"/>
        <v>#REF!</v>
      </c>
      <c r="AK61" s="70" t="e">
        <f t="shared" si="30"/>
        <v>#REF!</v>
      </c>
      <c r="AL61" s="70" t="e">
        <f t="shared" si="30"/>
        <v>#REF!</v>
      </c>
      <c r="AM61" s="70" t="e">
        <f t="shared" si="30"/>
        <v>#REF!</v>
      </c>
      <c r="AN61" s="70" t="e">
        <f t="shared" si="30"/>
        <v>#REF!</v>
      </c>
      <c r="AO61" s="70" t="e">
        <f t="shared" si="30"/>
        <v>#REF!</v>
      </c>
      <c r="AP61" s="70"/>
      <c r="AQ61" s="70"/>
      <c r="AR61" s="70" t="e">
        <f t="shared" ref="AR61:BA61" si="31">AR24+AR26+AR28+AR29+AR32</f>
        <v>#REF!</v>
      </c>
      <c r="AS61" s="70" t="e">
        <f t="shared" si="31"/>
        <v>#REF!</v>
      </c>
      <c r="AT61" s="70" t="e">
        <f t="shared" si="31"/>
        <v>#REF!</v>
      </c>
      <c r="AU61" s="70" t="e">
        <f t="shared" si="31"/>
        <v>#REF!</v>
      </c>
      <c r="AV61" s="70" t="e">
        <f t="shared" si="31"/>
        <v>#REF!</v>
      </c>
      <c r="AW61" s="70" t="e">
        <f t="shared" si="31"/>
        <v>#REF!</v>
      </c>
      <c r="AX61" s="70" t="e">
        <f t="shared" si="31"/>
        <v>#REF!</v>
      </c>
      <c r="AY61" s="70" t="e">
        <f t="shared" si="31"/>
        <v>#REF!</v>
      </c>
      <c r="AZ61" s="70" t="e">
        <f t="shared" si="31"/>
        <v>#REF!</v>
      </c>
      <c r="BA61" s="70" t="e">
        <f t="shared" si="31"/>
        <v>#REF!</v>
      </c>
    </row>
    <row r="62" spans="27:53" ht="12.75" hidden="1" customHeight="1">
      <c r="AA62" s="71" t="s">
        <v>41</v>
      </c>
      <c r="AB62" s="35"/>
      <c r="AF62" s="70" t="e">
        <f t="shared" ref="AF62:AO62" si="32">AF35+AF37+AF39+AF40+AF43</f>
        <v>#REF!</v>
      </c>
      <c r="AG62" s="70" t="e">
        <f t="shared" si="32"/>
        <v>#REF!</v>
      </c>
      <c r="AH62" s="70" t="e">
        <f t="shared" si="32"/>
        <v>#REF!</v>
      </c>
      <c r="AI62" s="70" t="e">
        <f t="shared" si="32"/>
        <v>#REF!</v>
      </c>
      <c r="AJ62" s="70" t="e">
        <f t="shared" si="32"/>
        <v>#REF!</v>
      </c>
      <c r="AK62" s="70" t="e">
        <f t="shared" si="32"/>
        <v>#REF!</v>
      </c>
      <c r="AL62" s="70" t="e">
        <f t="shared" si="32"/>
        <v>#REF!</v>
      </c>
      <c r="AM62" s="70" t="e">
        <f t="shared" si="32"/>
        <v>#REF!</v>
      </c>
      <c r="AN62" s="70" t="e">
        <f t="shared" si="32"/>
        <v>#REF!</v>
      </c>
      <c r="AO62" s="70" t="e">
        <f t="shared" si="32"/>
        <v>#REF!</v>
      </c>
      <c r="AP62" s="70"/>
      <c r="AQ62" s="70"/>
      <c r="AR62" s="70" t="e">
        <f t="shared" ref="AR62:BA62" si="33">AR35+AR37+AR39+AR40+AR43</f>
        <v>#REF!</v>
      </c>
      <c r="AS62" s="70" t="e">
        <f t="shared" si="33"/>
        <v>#REF!</v>
      </c>
      <c r="AT62" s="70" t="e">
        <f t="shared" si="33"/>
        <v>#REF!</v>
      </c>
      <c r="AU62" s="70" t="e">
        <f t="shared" si="33"/>
        <v>#REF!</v>
      </c>
      <c r="AV62" s="70" t="e">
        <f t="shared" si="33"/>
        <v>#REF!</v>
      </c>
      <c r="AW62" s="70" t="e">
        <f t="shared" si="33"/>
        <v>#REF!</v>
      </c>
      <c r="AX62" s="70" t="e">
        <f t="shared" si="33"/>
        <v>#REF!</v>
      </c>
      <c r="AY62" s="70" t="e">
        <f t="shared" si="33"/>
        <v>#REF!</v>
      </c>
      <c r="AZ62" s="70" t="e">
        <f t="shared" si="33"/>
        <v>#REF!</v>
      </c>
      <c r="BA62" s="70" t="e">
        <f t="shared" si="33"/>
        <v>#REF!</v>
      </c>
    </row>
    <row r="63" spans="27:53" ht="12.75" hidden="1" customHeight="1">
      <c r="AA63" s="71" t="s">
        <v>42</v>
      </c>
      <c r="AB63" s="35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</row>
    <row r="64" spans="27:53" ht="12.75" hidden="1" customHeight="1">
      <c r="AA64" s="69" t="s">
        <v>48</v>
      </c>
      <c r="AB64" s="35"/>
      <c r="AF64" s="70" t="e">
        <f t="shared" ref="AF64:AO64" si="34">AF13+AF14+AF19</f>
        <v>#REF!</v>
      </c>
      <c r="AG64" s="70" t="e">
        <f t="shared" si="34"/>
        <v>#REF!</v>
      </c>
      <c r="AH64" s="70" t="e">
        <f t="shared" si="34"/>
        <v>#REF!</v>
      </c>
      <c r="AI64" s="70" t="e">
        <f t="shared" si="34"/>
        <v>#REF!</v>
      </c>
      <c r="AJ64" s="70" t="e">
        <f t="shared" si="34"/>
        <v>#REF!</v>
      </c>
      <c r="AK64" s="70" t="e">
        <f t="shared" si="34"/>
        <v>#REF!</v>
      </c>
      <c r="AL64" s="70" t="e">
        <f t="shared" si="34"/>
        <v>#REF!</v>
      </c>
      <c r="AM64" s="70" t="e">
        <f t="shared" si="34"/>
        <v>#REF!</v>
      </c>
      <c r="AN64" s="70" t="e">
        <f t="shared" si="34"/>
        <v>#REF!</v>
      </c>
      <c r="AO64" s="70" t="e">
        <f t="shared" si="34"/>
        <v>#REF!</v>
      </c>
      <c r="AP64" s="70"/>
      <c r="AQ64" s="70"/>
      <c r="AR64" s="70" t="e">
        <f t="shared" ref="AR64:BA64" si="35">AR13+AR14+AR19</f>
        <v>#REF!</v>
      </c>
      <c r="AS64" s="70" t="e">
        <f t="shared" si="35"/>
        <v>#REF!</v>
      </c>
      <c r="AT64" s="70" t="e">
        <f t="shared" si="35"/>
        <v>#REF!</v>
      </c>
      <c r="AU64" s="70" t="e">
        <f t="shared" si="35"/>
        <v>#REF!</v>
      </c>
      <c r="AV64" s="70" t="e">
        <f t="shared" si="35"/>
        <v>#REF!</v>
      </c>
      <c r="AW64" s="70" t="e">
        <f t="shared" si="35"/>
        <v>#REF!</v>
      </c>
      <c r="AX64" s="70" t="e">
        <f t="shared" si="35"/>
        <v>#REF!</v>
      </c>
      <c r="AY64" s="70" t="e">
        <f t="shared" si="35"/>
        <v>#REF!</v>
      </c>
      <c r="AZ64" s="70" t="e">
        <f t="shared" si="35"/>
        <v>#REF!</v>
      </c>
      <c r="BA64" s="70" t="e">
        <f t="shared" si="35"/>
        <v>#REF!</v>
      </c>
    </row>
    <row r="65" spans="27:53" ht="12.75" hidden="1" customHeight="1">
      <c r="AA65" s="71" t="s">
        <v>29</v>
      </c>
      <c r="AB65" s="35"/>
      <c r="AF65" s="70" t="e">
        <f t="shared" ref="AF65:AO65" si="36">AF24+AF25+AF30</f>
        <v>#REF!</v>
      </c>
      <c r="AG65" s="70" t="e">
        <f t="shared" si="36"/>
        <v>#REF!</v>
      </c>
      <c r="AH65" s="70" t="e">
        <f t="shared" si="36"/>
        <v>#REF!</v>
      </c>
      <c r="AI65" s="70" t="e">
        <f t="shared" si="36"/>
        <v>#REF!</v>
      </c>
      <c r="AJ65" s="70" t="e">
        <f t="shared" si="36"/>
        <v>#REF!</v>
      </c>
      <c r="AK65" s="70" t="e">
        <f t="shared" si="36"/>
        <v>#REF!</v>
      </c>
      <c r="AL65" s="70" t="e">
        <f t="shared" si="36"/>
        <v>#REF!</v>
      </c>
      <c r="AM65" s="70" t="e">
        <f t="shared" si="36"/>
        <v>#REF!</v>
      </c>
      <c r="AN65" s="70" t="e">
        <f t="shared" si="36"/>
        <v>#REF!</v>
      </c>
      <c r="AO65" s="70" t="e">
        <f t="shared" si="36"/>
        <v>#REF!</v>
      </c>
      <c r="AP65" s="70"/>
      <c r="AQ65" s="70"/>
      <c r="AR65" s="70" t="e">
        <f t="shared" ref="AR65:BA65" si="37">AR24+AR25+AR30</f>
        <v>#REF!</v>
      </c>
      <c r="AS65" s="70" t="e">
        <f t="shared" si="37"/>
        <v>#REF!</v>
      </c>
      <c r="AT65" s="70" t="e">
        <f t="shared" si="37"/>
        <v>#REF!</v>
      </c>
      <c r="AU65" s="70" t="e">
        <f t="shared" si="37"/>
        <v>#REF!</v>
      </c>
      <c r="AV65" s="70" t="e">
        <f t="shared" si="37"/>
        <v>#REF!</v>
      </c>
      <c r="AW65" s="70" t="e">
        <f t="shared" si="37"/>
        <v>#REF!</v>
      </c>
      <c r="AX65" s="70" t="e">
        <f t="shared" si="37"/>
        <v>#REF!</v>
      </c>
      <c r="AY65" s="70" t="e">
        <f t="shared" si="37"/>
        <v>#REF!</v>
      </c>
      <c r="AZ65" s="70" t="e">
        <f t="shared" si="37"/>
        <v>#REF!</v>
      </c>
      <c r="BA65" s="70" t="e">
        <f t="shared" si="37"/>
        <v>#REF!</v>
      </c>
    </row>
    <row r="66" spans="27:53" ht="12.75" hidden="1" customHeight="1">
      <c r="AA66" s="71" t="s">
        <v>41</v>
      </c>
      <c r="AB66" s="35"/>
      <c r="AF66" s="70" t="e">
        <f t="shared" ref="AF66:AO66" si="38">AF35+AF36+AF41</f>
        <v>#REF!</v>
      </c>
      <c r="AG66" s="70" t="e">
        <f t="shared" si="38"/>
        <v>#REF!</v>
      </c>
      <c r="AH66" s="70" t="e">
        <f t="shared" si="38"/>
        <v>#REF!</v>
      </c>
      <c r="AI66" s="70" t="e">
        <f t="shared" si="38"/>
        <v>#REF!</v>
      </c>
      <c r="AJ66" s="70" t="e">
        <f t="shared" si="38"/>
        <v>#REF!</v>
      </c>
      <c r="AK66" s="70" t="e">
        <f t="shared" si="38"/>
        <v>#REF!</v>
      </c>
      <c r="AL66" s="70" t="e">
        <f t="shared" si="38"/>
        <v>#REF!</v>
      </c>
      <c r="AM66" s="70" t="e">
        <f t="shared" si="38"/>
        <v>#REF!</v>
      </c>
      <c r="AN66" s="70" t="e">
        <f t="shared" si="38"/>
        <v>#REF!</v>
      </c>
      <c r="AO66" s="70" t="e">
        <f t="shared" si="38"/>
        <v>#REF!</v>
      </c>
      <c r="AP66" s="70"/>
      <c r="AQ66" s="70"/>
      <c r="AR66" s="70" t="e">
        <f t="shared" ref="AR66:BA66" si="39">AR35+AR36+AR41</f>
        <v>#REF!</v>
      </c>
      <c r="AS66" s="70" t="e">
        <f t="shared" si="39"/>
        <v>#REF!</v>
      </c>
      <c r="AT66" s="70" t="e">
        <f t="shared" si="39"/>
        <v>#REF!</v>
      </c>
      <c r="AU66" s="70" t="e">
        <f t="shared" si="39"/>
        <v>#REF!</v>
      </c>
      <c r="AV66" s="70" t="e">
        <f t="shared" si="39"/>
        <v>#REF!</v>
      </c>
      <c r="AW66" s="70" t="e">
        <f t="shared" si="39"/>
        <v>#REF!</v>
      </c>
      <c r="AX66" s="70" t="e">
        <f t="shared" si="39"/>
        <v>#REF!</v>
      </c>
      <c r="AY66" s="70" t="e">
        <f t="shared" si="39"/>
        <v>#REF!</v>
      </c>
      <c r="AZ66" s="70" t="e">
        <f t="shared" si="39"/>
        <v>#REF!</v>
      </c>
      <c r="BA66" s="70" t="e">
        <f t="shared" si="39"/>
        <v>#REF!</v>
      </c>
    </row>
    <row r="67" spans="27:53" ht="12.75" hidden="1" customHeight="1">
      <c r="AA67" s="71" t="s">
        <v>42</v>
      </c>
      <c r="AB67" s="35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</row>
    <row r="68" spans="27:53" ht="12.75" hidden="1" customHeight="1">
      <c r="AA68" s="72" t="s">
        <v>49</v>
      </c>
      <c r="AB68" s="35"/>
      <c r="AF68" s="70" t="e">
        <f t="shared" ref="AF68:AO68" si="40">AF13+AF14+AF18+AF20</f>
        <v>#REF!</v>
      </c>
      <c r="AG68" s="70" t="e">
        <f t="shared" si="40"/>
        <v>#REF!</v>
      </c>
      <c r="AH68" s="70" t="e">
        <f t="shared" si="40"/>
        <v>#REF!</v>
      </c>
      <c r="AI68" s="70" t="e">
        <f t="shared" si="40"/>
        <v>#REF!</v>
      </c>
      <c r="AJ68" s="70" t="e">
        <f t="shared" si="40"/>
        <v>#REF!</v>
      </c>
      <c r="AK68" s="70" t="e">
        <f t="shared" si="40"/>
        <v>#REF!</v>
      </c>
      <c r="AL68" s="70" t="e">
        <f t="shared" si="40"/>
        <v>#REF!</v>
      </c>
      <c r="AM68" s="70" t="e">
        <f t="shared" si="40"/>
        <v>#REF!</v>
      </c>
      <c r="AN68" s="70" t="e">
        <f t="shared" si="40"/>
        <v>#REF!</v>
      </c>
      <c r="AO68" s="70" t="e">
        <f t="shared" si="40"/>
        <v>#REF!</v>
      </c>
      <c r="AP68" s="70"/>
      <c r="AQ68" s="70"/>
      <c r="AR68" s="70" t="e">
        <f t="shared" ref="AR68:BA68" si="41">AR13+AR14+AR18+AR20</f>
        <v>#REF!</v>
      </c>
      <c r="AS68" s="70" t="e">
        <f t="shared" si="41"/>
        <v>#REF!</v>
      </c>
      <c r="AT68" s="70" t="e">
        <f t="shared" si="41"/>
        <v>#REF!</v>
      </c>
      <c r="AU68" s="70" t="e">
        <f t="shared" si="41"/>
        <v>#REF!</v>
      </c>
      <c r="AV68" s="70" t="e">
        <f t="shared" si="41"/>
        <v>#REF!</v>
      </c>
      <c r="AW68" s="70" t="e">
        <f t="shared" si="41"/>
        <v>#REF!</v>
      </c>
      <c r="AX68" s="70" t="e">
        <f t="shared" si="41"/>
        <v>#REF!</v>
      </c>
      <c r="AY68" s="70" t="e">
        <f t="shared" si="41"/>
        <v>#REF!</v>
      </c>
      <c r="AZ68" s="70" t="e">
        <f t="shared" si="41"/>
        <v>#REF!</v>
      </c>
      <c r="BA68" s="70" t="e">
        <f t="shared" si="41"/>
        <v>#REF!</v>
      </c>
    </row>
    <row r="69" spans="27:53" ht="12.75" hidden="1" customHeight="1">
      <c r="AA69" s="71" t="s">
        <v>29</v>
      </c>
      <c r="AB69" s="35"/>
      <c r="AF69" s="70" t="e">
        <f t="shared" ref="AF69:AO69" si="42">AF24+AF25+AF29+AF31</f>
        <v>#REF!</v>
      </c>
      <c r="AG69" s="70" t="e">
        <f t="shared" si="42"/>
        <v>#REF!</v>
      </c>
      <c r="AH69" s="70" t="e">
        <f t="shared" si="42"/>
        <v>#REF!</v>
      </c>
      <c r="AI69" s="70" t="e">
        <f t="shared" si="42"/>
        <v>#REF!</v>
      </c>
      <c r="AJ69" s="70" t="e">
        <f t="shared" si="42"/>
        <v>#REF!</v>
      </c>
      <c r="AK69" s="70" t="e">
        <f t="shared" si="42"/>
        <v>#REF!</v>
      </c>
      <c r="AL69" s="70" t="e">
        <f t="shared" si="42"/>
        <v>#REF!</v>
      </c>
      <c r="AM69" s="70" t="e">
        <f t="shared" si="42"/>
        <v>#REF!</v>
      </c>
      <c r="AN69" s="70" t="e">
        <f t="shared" si="42"/>
        <v>#REF!</v>
      </c>
      <c r="AO69" s="70" t="e">
        <f t="shared" si="42"/>
        <v>#REF!</v>
      </c>
      <c r="AP69" s="70"/>
      <c r="AQ69" s="70"/>
      <c r="AR69" s="70" t="e">
        <f t="shared" ref="AR69:BA69" si="43">AR24+AR25+AR29+AR31</f>
        <v>#REF!</v>
      </c>
      <c r="AS69" s="70" t="e">
        <f t="shared" si="43"/>
        <v>#REF!</v>
      </c>
      <c r="AT69" s="70" t="e">
        <f t="shared" si="43"/>
        <v>#REF!</v>
      </c>
      <c r="AU69" s="70" t="e">
        <f t="shared" si="43"/>
        <v>#REF!</v>
      </c>
      <c r="AV69" s="70" t="e">
        <f t="shared" si="43"/>
        <v>#REF!</v>
      </c>
      <c r="AW69" s="70" t="e">
        <f t="shared" si="43"/>
        <v>#REF!</v>
      </c>
      <c r="AX69" s="70" t="e">
        <f t="shared" si="43"/>
        <v>#REF!</v>
      </c>
      <c r="AY69" s="70" t="e">
        <f t="shared" si="43"/>
        <v>#REF!</v>
      </c>
      <c r="AZ69" s="70" t="e">
        <f t="shared" si="43"/>
        <v>#REF!</v>
      </c>
      <c r="BA69" s="70" t="e">
        <f t="shared" si="43"/>
        <v>#REF!</v>
      </c>
    </row>
    <row r="70" spans="27:53" ht="12.75" hidden="1" customHeight="1">
      <c r="AA70" s="71" t="s">
        <v>41</v>
      </c>
      <c r="AB70" s="35"/>
      <c r="AF70" s="70" t="e">
        <f t="shared" ref="AF70:AO70" si="44">AF35+AF36+AF40+AF42</f>
        <v>#REF!</v>
      </c>
      <c r="AG70" s="70" t="e">
        <f t="shared" si="44"/>
        <v>#REF!</v>
      </c>
      <c r="AH70" s="70" t="e">
        <f t="shared" si="44"/>
        <v>#REF!</v>
      </c>
      <c r="AI70" s="70" t="e">
        <f t="shared" si="44"/>
        <v>#REF!</v>
      </c>
      <c r="AJ70" s="70" t="e">
        <f t="shared" si="44"/>
        <v>#REF!</v>
      </c>
      <c r="AK70" s="70" t="e">
        <f t="shared" si="44"/>
        <v>#REF!</v>
      </c>
      <c r="AL70" s="70" t="e">
        <f t="shared" si="44"/>
        <v>#REF!</v>
      </c>
      <c r="AM70" s="70" t="e">
        <f t="shared" si="44"/>
        <v>#REF!</v>
      </c>
      <c r="AN70" s="70" t="e">
        <f t="shared" si="44"/>
        <v>#REF!</v>
      </c>
      <c r="AO70" s="70" t="e">
        <f t="shared" si="44"/>
        <v>#REF!</v>
      </c>
      <c r="AP70" s="70"/>
      <c r="AQ70" s="70"/>
      <c r="AR70" s="70" t="e">
        <f t="shared" ref="AR70:BA70" si="45">AR35+AR36+AR40+AR42</f>
        <v>#REF!</v>
      </c>
      <c r="AS70" s="70" t="e">
        <f t="shared" si="45"/>
        <v>#REF!</v>
      </c>
      <c r="AT70" s="70" t="e">
        <f t="shared" si="45"/>
        <v>#REF!</v>
      </c>
      <c r="AU70" s="70" t="e">
        <f t="shared" si="45"/>
        <v>#REF!</v>
      </c>
      <c r="AV70" s="70" t="e">
        <f t="shared" si="45"/>
        <v>#REF!</v>
      </c>
      <c r="AW70" s="70" t="e">
        <f t="shared" si="45"/>
        <v>#REF!</v>
      </c>
      <c r="AX70" s="70" t="e">
        <f t="shared" si="45"/>
        <v>#REF!</v>
      </c>
      <c r="AY70" s="70" t="e">
        <f t="shared" si="45"/>
        <v>#REF!</v>
      </c>
      <c r="AZ70" s="70" t="e">
        <f t="shared" si="45"/>
        <v>#REF!</v>
      </c>
      <c r="BA70" s="70" t="e">
        <f t="shared" si="45"/>
        <v>#REF!</v>
      </c>
    </row>
    <row r="71" spans="27:53" ht="12.75" hidden="1" customHeight="1">
      <c r="AA71" s="71" t="s">
        <v>42</v>
      </c>
      <c r="AB71" s="35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</row>
    <row r="72" spans="27:53" ht="12.75" hidden="1" customHeight="1">
      <c r="AA72" s="69" t="s">
        <v>50</v>
      </c>
      <c r="AB72" s="35"/>
      <c r="AF72" s="70" t="e">
        <f t="shared" ref="AF72:AO72" si="46">AF13+AF14+AF18+AF21</f>
        <v>#REF!</v>
      </c>
      <c r="AG72" s="70" t="e">
        <f t="shared" si="46"/>
        <v>#REF!</v>
      </c>
      <c r="AH72" s="70" t="e">
        <f t="shared" si="46"/>
        <v>#REF!</v>
      </c>
      <c r="AI72" s="70" t="e">
        <f t="shared" si="46"/>
        <v>#REF!</v>
      </c>
      <c r="AJ72" s="70" t="e">
        <f t="shared" si="46"/>
        <v>#REF!</v>
      </c>
      <c r="AK72" s="70" t="e">
        <f t="shared" si="46"/>
        <v>#REF!</v>
      </c>
      <c r="AL72" s="70" t="e">
        <f t="shared" si="46"/>
        <v>#REF!</v>
      </c>
      <c r="AM72" s="70" t="e">
        <f t="shared" si="46"/>
        <v>#REF!</v>
      </c>
      <c r="AN72" s="70" t="e">
        <f t="shared" si="46"/>
        <v>#REF!</v>
      </c>
      <c r="AO72" s="70" t="e">
        <f t="shared" si="46"/>
        <v>#REF!</v>
      </c>
      <c r="AP72" s="70"/>
      <c r="AQ72" s="70"/>
      <c r="AR72" s="70" t="e">
        <f t="shared" ref="AR72:BA72" si="47">AR13+AR14+AR18+AR21</f>
        <v>#REF!</v>
      </c>
      <c r="AS72" s="70" t="e">
        <f t="shared" si="47"/>
        <v>#REF!</v>
      </c>
      <c r="AT72" s="70" t="e">
        <f t="shared" si="47"/>
        <v>#REF!</v>
      </c>
      <c r="AU72" s="70" t="e">
        <f t="shared" si="47"/>
        <v>#REF!</v>
      </c>
      <c r="AV72" s="70" t="e">
        <f t="shared" si="47"/>
        <v>#REF!</v>
      </c>
      <c r="AW72" s="70" t="e">
        <f t="shared" si="47"/>
        <v>#REF!</v>
      </c>
      <c r="AX72" s="70" t="e">
        <f t="shared" si="47"/>
        <v>#REF!</v>
      </c>
      <c r="AY72" s="70" t="e">
        <f t="shared" si="47"/>
        <v>#REF!</v>
      </c>
      <c r="AZ72" s="70" t="e">
        <f t="shared" si="47"/>
        <v>#REF!</v>
      </c>
      <c r="BA72" s="70" t="e">
        <f t="shared" si="47"/>
        <v>#REF!</v>
      </c>
    </row>
    <row r="73" spans="27:53" ht="12.75" hidden="1" customHeight="1">
      <c r="AA73" s="71" t="s">
        <v>29</v>
      </c>
      <c r="AB73" s="35"/>
      <c r="AF73" s="70" t="e">
        <f t="shared" ref="AF73:AO73" si="48">AF24+AF25+AF29+AF32</f>
        <v>#REF!</v>
      </c>
      <c r="AG73" s="70" t="e">
        <f t="shared" si="48"/>
        <v>#REF!</v>
      </c>
      <c r="AH73" s="70" t="e">
        <f t="shared" si="48"/>
        <v>#REF!</v>
      </c>
      <c r="AI73" s="70" t="e">
        <f t="shared" si="48"/>
        <v>#REF!</v>
      </c>
      <c r="AJ73" s="70" t="e">
        <f t="shared" si="48"/>
        <v>#REF!</v>
      </c>
      <c r="AK73" s="70" t="e">
        <f t="shared" si="48"/>
        <v>#REF!</v>
      </c>
      <c r="AL73" s="70" t="e">
        <f t="shared" si="48"/>
        <v>#REF!</v>
      </c>
      <c r="AM73" s="70" t="e">
        <f t="shared" si="48"/>
        <v>#REF!</v>
      </c>
      <c r="AN73" s="70" t="e">
        <f t="shared" si="48"/>
        <v>#REF!</v>
      </c>
      <c r="AO73" s="70" t="e">
        <f t="shared" si="48"/>
        <v>#REF!</v>
      </c>
      <c r="AP73" s="70"/>
      <c r="AQ73" s="70"/>
      <c r="AR73" s="70" t="e">
        <f t="shared" ref="AR73:BA73" si="49">AR24+AR25+AR29+AR32</f>
        <v>#REF!</v>
      </c>
      <c r="AS73" s="70" t="e">
        <f t="shared" si="49"/>
        <v>#REF!</v>
      </c>
      <c r="AT73" s="70" t="e">
        <f t="shared" si="49"/>
        <v>#REF!</v>
      </c>
      <c r="AU73" s="70" t="e">
        <f t="shared" si="49"/>
        <v>#REF!</v>
      </c>
      <c r="AV73" s="70" t="e">
        <f t="shared" si="49"/>
        <v>#REF!</v>
      </c>
      <c r="AW73" s="70" t="e">
        <f t="shared" si="49"/>
        <v>#REF!</v>
      </c>
      <c r="AX73" s="70" t="e">
        <f t="shared" si="49"/>
        <v>#REF!</v>
      </c>
      <c r="AY73" s="70" t="e">
        <f t="shared" si="49"/>
        <v>#REF!</v>
      </c>
      <c r="AZ73" s="70" t="e">
        <f t="shared" si="49"/>
        <v>#REF!</v>
      </c>
      <c r="BA73" s="70" t="e">
        <f t="shared" si="49"/>
        <v>#REF!</v>
      </c>
    </row>
    <row r="74" spans="27:53" ht="12.75" hidden="1" customHeight="1">
      <c r="AA74" s="71" t="s">
        <v>41</v>
      </c>
      <c r="AB74" s="35"/>
      <c r="AF74" s="70" t="e">
        <f t="shared" ref="AF74:AO74" si="50">AF35+AF36+AF40+AF43</f>
        <v>#REF!</v>
      </c>
      <c r="AG74" s="70" t="e">
        <f t="shared" si="50"/>
        <v>#REF!</v>
      </c>
      <c r="AH74" s="70" t="e">
        <f t="shared" si="50"/>
        <v>#REF!</v>
      </c>
      <c r="AI74" s="70" t="e">
        <f t="shared" si="50"/>
        <v>#REF!</v>
      </c>
      <c r="AJ74" s="70" t="e">
        <f t="shared" si="50"/>
        <v>#REF!</v>
      </c>
      <c r="AK74" s="70" t="e">
        <f t="shared" si="50"/>
        <v>#REF!</v>
      </c>
      <c r="AL74" s="70" t="e">
        <f t="shared" si="50"/>
        <v>#REF!</v>
      </c>
      <c r="AM74" s="70" t="e">
        <f t="shared" si="50"/>
        <v>#REF!</v>
      </c>
      <c r="AN74" s="70" t="e">
        <f t="shared" si="50"/>
        <v>#REF!</v>
      </c>
      <c r="AO74" s="70" t="e">
        <f t="shared" si="50"/>
        <v>#REF!</v>
      </c>
      <c r="AP74" s="70"/>
      <c r="AQ74" s="70"/>
      <c r="AR74" s="70" t="e">
        <f t="shared" ref="AR74:BA74" si="51">AR35+AR36+AR40+AR43</f>
        <v>#REF!</v>
      </c>
      <c r="AS74" s="70" t="e">
        <f t="shared" si="51"/>
        <v>#REF!</v>
      </c>
      <c r="AT74" s="70" t="e">
        <f t="shared" si="51"/>
        <v>#REF!</v>
      </c>
      <c r="AU74" s="70" t="e">
        <f t="shared" si="51"/>
        <v>#REF!</v>
      </c>
      <c r="AV74" s="70" t="e">
        <f t="shared" si="51"/>
        <v>#REF!</v>
      </c>
      <c r="AW74" s="70" t="e">
        <f t="shared" si="51"/>
        <v>#REF!</v>
      </c>
      <c r="AX74" s="70" t="e">
        <f t="shared" si="51"/>
        <v>#REF!</v>
      </c>
      <c r="AY74" s="70" t="e">
        <f t="shared" si="51"/>
        <v>#REF!</v>
      </c>
      <c r="AZ74" s="70" t="e">
        <f t="shared" si="51"/>
        <v>#REF!</v>
      </c>
      <c r="BA74" s="70" t="e">
        <f t="shared" si="51"/>
        <v>#REF!</v>
      </c>
    </row>
    <row r="75" spans="27:53" ht="12.75" hidden="1" customHeight="1">
      <c r="AA75" s="71" t="s">
        <v>42</v>
      </c>
      <c r="AB75" s="35"/>
    </row>
    <row r="76" spans="27:53" ht="12.75" hidden="1" customHeight="1"/>
    <row r="77" spans="27:53" ht="12.75" hidden="1" customHeight="1"/>
    <row r="78" spans="27:53" ht="12.75" hidden="1" customHeight="1"/>
    <row r="79" spans="27:53" ht="12.75" hidden="1" customHeight="1"/>
    <row r="80" spans="27:53" ht="12.75" hidden="1" customHeight="1"/>
    <row r="81" spans="1:52" ht="12.75" hidden="1" customHeight="1"/>
    <row r="82" spans="1:52" ht="12.75" hidden="1" customHeight="1"/>
    <row r="83" spans="1:52" ht="12.75" hidden="1" customHeight="1"/>
    <row r="85" spans="1:52">
      <c r="AN85" s="38"/>
      <c r="AZ85" s="36"/>
    </row>
    <row r="86" spans="1:52" ht="63.75" customHeight="1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51">
      <c r="A87" s="599"/>
      <c r="B87" s="599"/>
      <c r="C87" s="41" t="s">
        <v>66</v>
      </c>
      <c r="D87" s="41" t="s">
        <v>67</v>
      </c>
      <c r="E87" s="41" t="s">
        <v>68</v>
      </c>
      <c r="F87" s="435" t="s">
        <v>55</v>
      </c>
      <c r="G87" s="435" t="s">
        <v>73</v>
      </c>
      <c r="H87" s="435" t="s">
        <v>74</v>
      </c>
      <c r="I87" s="435" t="s">
        <v>58</v>
      </c>
      <c r="J87" s="435" t="s">
        <v>59</v>
      </c>
      <c r="K87" s="435" t="s">
        <v>60</v>
      </c>
      <c r="L87" s="434" t="s">
        <v>75</v>
      </c>
      <c r="M87" s="434" t="s">
        <v>76</v>
      </c>
      <c r="N87" s="434" t="s">
        <v>61</v>
      </c>
      <c r="O87" s="434" t="s">
        <v>62</v>
      </c>
      <c r="P87" s="434" t="s">
        <v>63</v>
      </c>
      <c r="AN87" s="38"/>
      <c r="AZ87" s="36"/>
    </row>
    <row r="88" spans="1:52" ht="25.5">
      <c r="A88" s="44" t="str">
        <f>A4</f>
        <v>Substation Relay Testing</v>
      </c>
      <c r="B88" s="45" t="str">
        <f>B4</f>
        <v>Light-Duty Truck, catalyst</v>
      </c>
      <c r="C88" s="46">
        <f>C4</f>
        <v>2</v>
      </c>
      <c r="D88" s="46">
        <v>35</v>
      </c>
      <c r="E88" s="46">
        <v>80</v>
      </c>
      <c r="F88" s="50">
        <f>C4*($E4*$F4+($G4))/453.59</f>
        <v>0.97143877176184013</v>
      </c>
      <c r="G88" s="50">
        <f>C4*($E4*$H4+($I4))/453.59</f>
        <v>8.7341314588756019E-2</v>
      </c>
      <c r="H88" s="50">
        <f>C4*(($E4*$J4)+($K4)+($L4)+($E4*$N4)+(($M4+$O4)))/453.59</f>
        <v>0.10099996064790666</v>
      </c>
      <c r="I88" s="50">
        <f>C4*($E4*$P4+($Q4))/453.59</f>
        <v>1.4535940543212319E-3</v>
      </c>
      <c r="J88" s="50">
        <f>C4*(($E4*($R4+$T4+$U4))+($S4))/453.59</f>
        <v>1.7048180910415794E-2</v>
      </c>
      <c r="K88" s="50">
        <f>$C4*(($E4*($V4+$X4+$Y4))+($W4))/453.59</f>
        <v>7.4240106485062834E-3</v>
      </c>
      <c r="L88" s="50">
        <f>$B$21*C4*(E4+6)</f>
        <v>1.6877165172143799E-2</v>
      </c>
      <c r="M88" s="50">
        <f t="shared" ref="M88" si="52">0.41*L88</f>
        <v>6.9196377205789569E-3</v>
      </c>
      <c r="N88" s="50">
        <f>C4*($E4*$Z4+($AA4))/453.59</f>
        <v>110.84715345207779</v>
      </c>
      <c r="O88" s="50">
        <f>C4*($E4*$AB4+($AC4))/453.59</f>
        <v>6.3409507780604986E-3</v>
      </c>
      <c r="P88" s="50">
        <f>C4*($E4*$AD4+($AE4))/453.59</f>
        <v>1.1542239827686721E-2</v>
      </c>
      <c r="AN88" s="38"/>
      <c r="AZ88" s="36"/>
    </row>
    <row r="89" spans="1:52">
      <c r="A89" s="40" t="s">
        <v>389</v>
      </c>
      <c r="B89" s="40"/>
      <c r="C89" s="40"/>
      <c r="D89" s="40"/>
      <c r="E89" s="40"/>
      <c r="F89" s="81">
        <f t="shared" ref="F89:P89" si="53">SUM(F88:F88)</f>
        <v>0.97143877176184013</v>
      </c>
      <c r="G89" s="81">
        <f t="shared" si="53"/>
        <v>8.7341314588756019E-2</v>
      </c>
      <c r="H89" s="81">
        <f t="shared" si="53"/>
        <v>0.10099996064790666</v>
      </c>
      <c r="I89" s="81">
        <f t="shared" si="53"/>
        <v>1.4535940543212319E-3</v>
      </c>
      <c r="J89" s="81">
        <f t="shared" si="53"/>
        <v>1.7048180910415794E-2</v>
      </c>
      <c r="K89" s="81">
        <f t="shared" si="53"/>
        <v>7.4240106485062834E-3</v>
      </c>
      <c r="L89" s="81">
        <f t="shared" si="53"/>
        <v>1.6877165172143799E-2</v>
      </c>
      <c r="M89" s="81">
        <f t="shared" si="53"/>
        <v>6.9196377205789569E-3</v>
      </c>
      <c r="N89" s="81">
        <f t="shared" si="53"/>
        <v>110.84715345207779</v>
      </c>
      <c r="O89" s="81">
        <f t="shared" si="53"/>
        <v>6.3409507780604986E-3</v>
      </c>
      <c r="P89" s="81">
        <f t="shared" si="53"/>
        <v>1.1542239827686721E-2</v>
      </c>
    </row>
  </sheetData>
  <mergeCells count="16">
    <mergeCell ref="AR10:BA10"/>
    <mergeCell ref="A86:A87"/>
    <mergeCell ref="B86:B87"/>
    <mergeCell ref="F86:P86"/>
    <mergeCell ref="R2:U2"/>
    <mergeCell ref="V2:Y2"/>
    <mergeCell ref="Z2:AA2"/>
    <mergeCell ref="AB2:AC2"/>
    <mergeCell ref="AD2:AE2"/>
    <mergeCell ref="AF10:AO10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1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37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0"/>
  <sheetViews>
    <sheetView zoomScale="75" zoomScaleNormal="75" workbookViewId="0">
      <selection activeCell="A34" sqref="A34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32">
      <c r="A1" s="3" t="s">
        <v>888</v>
      </c>
    </row>
    <row r="3" spans="1:32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32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32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32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32" s="6" customFormat="1">
      <c r="A7" s="17" t="s">
        <v>404</v>
      </c>
      <c r="B7" s="29"/>
      <c r="C7" s="97"/>
      <c r="D7" s="97"/>
      <c r="E7" s="102"/>
      <c r="F7" s="102"/>
      <c r="G7" s="102"/>
      <c r="H7" s="102"/>
      <c r="I7" s="102"/>
      <c r="J7" s="100"/>
      <c r="K7" s="103"/>
      <c r="L7" s="102"/>
      <c r="M7" s="102"/>
      <c r="N7" s="98"/>
      <c r="O7" s="87"/>
      <c r="P7" s="363"/>
      <c r="Q7" s="34"/>
      <c r="R7" s="26"/>
      <c r="S7" s="26"/>
      <c r="T7" s="26"/>
      <c r="U7" s="26"/>
      <c r="V7" s="26"/>
      <c r="W7" s="26"/>
      <c r="X7" s="26"/>
      <c r="Y7" s="26"/>
      <c r="AF7" s="7"/>
    </row>
    <row r="8" spans="1:32" s="6" customFormat="1">
      <c r="A8" s="24" t="s">
        <v>312</v>
      </c>
      <c r="B8" s="29" t="s">
        <v>27</v>
      </c>
      <c r="C8" s="22">
        <v>175</v>
      </c>
      <c r="D8" s="22"/>
      <c r="E8" s="102">
        <v>0.11792220738547983</v>
      </c>
      <c r="F8" s="102">
        <v>0.36512193352152528</v>
      </c>
      <c r="G8" s="102">
        <v>0.86781464282266541</v>
      </c>
      <c r="H8" s="102">
        <v>1.8739217498104396E-3</v>
      </c>
      <c r="I8" s="102">
        <v>2.9041712295589866E-2</v>
      </c>
      <c r="J8" s="100">
        <f t="shared" ref="J8" si="0">0.89*I8</f>
        <v>2.5847123943074982E-2</v>
      </c>
      <c r="K8" s="103">
        <v>166.54541562452522</v>
      </c>
      <c r="L8" s="102">
        <v>1.063993297769634E-2</v>
      </c>
      <c r="M8" s="104">
        <f t="shared" ref="M8" si="1">0.095*G8</f>
        <v>8.2442391068153209E-2</v>
      </c>
      <c r="N8" s="98">
        <v>1</v>
      </c>
      <c r="O8" s="87">
        <v>2</v>
      </c>
      <c r="P8" s="363">
        <v>280</v>
      </c>
      <c r="Q8" s="34">
        <f t="shared" ref="Q8:Y8" si="2">(E8*$N8*$O8)</f>
        <v>0.23584441477095966</v>
      </c>
      <c r="R8" s="26">
        <f t="shared" si="2"/>
        <v>0.73024386704305055</v>
      </c>
      <c r="S8" s="26">
        <f t="shared" si="2"/>
        <v>1.7356292856453308</v>
      </c>
      <c r="T8" s="26">
        <f t="shared" si="2"/>
        <v>3.7478434996208792E-3</v>
      </c>
      <c r="U8" s="26">
        <f t="shared" si="2"/>
        <v>5.8083424591179732E-2</v>
      </c>
      <c r="V8" s="26">
        <f t="shared" si="2"/>
        <v>5.1694247886149965E-2</v>
      </c>
      <c r="W8" s="26">
        <f t="shared" si="2"/>
        <v>333.09083124905044</v>
      </c>
      <c r="X8" s="26">
        <f t="shared" si="2"/>
        <v>2.127986595539268E-2</v>
      </c>
      <c r="Y8" s="26">
        <f t="shared" si="2"/>
        <v>0.16488478213630642</v>
      </c>
      <c r="AF8" s="7"/>
    </row>
    <row r="9" spans="1:32" s="6" customFormat="1">
      <c r="A9" s="17" t="s">
        <v>28</v>
      </c>
      <c r="B9" s="29"/>
      <c r="C9" s="22"/>
      <c r="D9" s="22"/>
      <c r="E9" s="108"/>
      <c r="F9" s="108"/>
      <c r="G9" s="108"/>
      <c r="H9" s="108"/>
      <c r="I9" s="108"/>
      <c r="J9" s="100"/>
      <c r="K9" s="365"/>
      <c r="L9" s="110"/>
      <c r="M9" s="102"/>
      <c r="N9" s="98"/>
      <c r="O9" s="87"/>
      <c r="P9" s="363"/>
      <c r="Q9" s="101">
        <f t="shared" ref="Q9:Y9" si="3">SUM(Q8:Q8)</f>
        <v>0.23584441477095966</v>
      </c>
      <c r="R9" s="101">
        <f t="shared" si="3"/>
        <v>0.73024386704305055</v>
      </c>
      <c r="S9" s="101">
        <f t="shared" si="3"/>
        <v>1.7356292856453308</v>
      </c>
      <c r="T9" s="101">
        <f t="shared" si="3"/>
        <v>3.7478434996208792E-3</v>
      </c>
      <c r="U9" s="101">
        <f t="shared" si="3"/>
        <v>5.8083424591179732E-2</v>
      </c>
      <c r="V9" s="101">
        <f t="shared" si="3"/>
        <v>5.1694247886149965E-2</v>
      </c>
      <c r="W9" s="101">
        <f t="shared" si="3"/>
        <v>333.09083124905044</v>
      </c>
      <c r="X9" s="101">
        <f t="shared" si="3"/>
        <v>2.127986595539268E-2</v>
      </c>
      <c r="Y9" s="101">
        <f t="shared" si="3"/>
        <v>0.16488478213630642</v>
      </c>
      <c r="AF9" s="7"/>
    </row>
    <row r="10" spans="1:32">
      <c r="A10" s="122" t="s">
        <v>390</v>
      </c>
      <c r="B10" s="97"/>
      <c r="C10" s="22"/>
      <c r="D10" s="22"/>
      <c r="E10" s="23"/>
      <c r="F10" s="23"/>
      <c r="G10" s="23"/>
      <c r="H10" s="23"/>
      <c r="I10" s="23"/>
      <c r="J10" s="24"/>
      <c r="K10" s="25"/>
      <c r="L10" s="23"/>
      <c r="M10" s="23"/>
      <c r="N10" s="88"/>
      <c r="O10" s="88"/>
      <c r="P10" s="88"/>
      <c r="Q10" s="20"/>
      <c r="R10" s="20"/>
      <c r="S10" s="20"/>
      <c r="T10" s="20"/>
      <c r="U10" s="20"/>
      <c r="V10" s="20"/>
      <c r="W10" s="20"/>
      <c r="X10" s="20"/>
      <c r="Y10" s="20"/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37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45"/>
  <sheetViews>
    <sheetView zoomScale="75" workbookViewId="0">
      <selection activeCell="B24" sqref="B24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889</v>
      </c>
    </row>
    <row r="2" spans="1:30">
      <c r="C2" s="442"/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>
      <c r="A8" s="429" t="s">
        <v>404</v>
      </c>
      <c r="B8" s="74"/>
      <c r="C8" s="433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C9*(F9)*$B$352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5"/>
      <c r="B10" s="76"/>
      <c r="C10" s="77"/>
      <c r="D10" s="77"/>
      <c r="E10" s="77"/>
      <c r="F10" s="77"/>
      <c r="G10" s="440"/>
      <c r="H10" s="441"/>
      <c r="I10" s="441"/>
      <c r="J10" s="441"/>
      <c r="K10" s="106"/>
      <c r="L10" s="47"/>
      <c r="M10" s="47"/>
      <c r="N10" s="106"/>
      <c r="O10" s="47"/>
      <c r="P10" s="47"/>
      <c r="Q10" s="441"/>
      <c r="R10" s="47"/>
      <c r="S10" s="8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</row>
    <row r="11" spans="1:30">
      <c r="A11" s="75" t="s">
        <v>388</v>
      </c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81">
        <f>T9</f>
        <v>9.9891275533645019E-2</v>
      </c>
      <c r="U11" s="81">
        <f t="shared" ref="U11:AD11" si="0">U9</f>
        <v>0.18440937782971867</v>
      </c>
      <c r="V11" s="81">
        <f t="shared" si="0"/>
        <v>2.253067276294635E-2</v>
      </c>
      <c r="W11" s="81">
        <f t="shared" si="0"/>
        <v>1.3898613406074772E-3</v>
      </c>
      <c r="X11" s="81">
        <f t="shared" si="0"/>
        <v>3.6369464870151122E-2</v>
      </c>
      <c r="Y11" s="81">
        <f t="shared" si="0"/>
        <v>2.4166098982977401E-2</v>
      </c>
      <c r="Z11" s="81">
        <f t="shared" si="0"/>
        <v>0</v>
      </c>
      <c r="AA11" s="81">
        <f t="shared" si="0"/>
        <v>0</v>
      </c>
      <c r="AB11" s="81">
        <f t="shared" si="0"/>
        <v>96.814105590256631</v>
      </c>
      <c r="AC11" s="81">
        <f t="shared" si="0"/>
        <v>5.5322484357440338E-3</v>
      </c>
      <c r="AD11" s="81">
        <f t="shared" si="0"/>
        <v>2.4799901288000137E-3</v>
      </c>
    </row>
    <row r="333" spans="1:1" ht="25.5">
      <c r="A333" s="82" t="s">
        <v>109</v>
      </c>
    </row>
    <row r="335" spans="1:1">
      <c r="A335" s="36" t="s">
        <v>81</v>
      </c>
    </row>
    <row r="336" spans="1:1">
      <c r="A336" s="36" t="s">
        <v>82</v>
      </c>
    </row>
    <row r="337" spans="1:2">
      <c r="A337" s="36" t="s">
        <v>83</v>
      </c>
    </row>
    <row r="338" spans="1:2">
      <c r="A338" s="37" t="s">
        <v>96</v>
      </c>
    </row>
    <row r="339" spans="1:2">
      <c r="A339" s="36" t="s">
        <v>85</v>
      </c>
    </row>
    <row r="340" spans="1:2">
      <c r="A340" s="36" t="s">
        <v>86</v>
      </c>
    </row>
    <row r="341" spans="1:2">
      <c r="A341" s="36" t="s">
        <v>87</v>
      </c>
    </row>
    <row r="342" spans="1:2">
      <c r="A342" s="36" t="s">
        <v>0</v>
      </c>
    </row>
    <row r="343" spans="1:2">
      <c r="A343" s="37" t="s">
        <v>97</v>
      </c>
      <c r="B343" s="36">
        <f>(0.016*(0.03/2)^0.65*(2/3)^1.5)-0.00047</f>
        <v>9.8123053326417428E-5</v>
      </c>
    </row>
    <row r="344" spans="1:2">
      <c r="A344" s="37" t="s">
        <v>98</v>
      </c>
      <c r="B344" s="36">
        <f>(0.016*(0.03/2)^0.65*(13/3)^1.5)-0.00047</f>
        <v>8.9448292388582783E-3</v>
      </c>
    </row>
    <row r="345" spans="1:2">
      <c r="A345" s="37" t="s">
        <v>99</v>
      </c>
      <c r="B345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1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37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topLeftCell="L1" zoomScale="85" zoomScaleNormal="85" workbookViewId="0">
      <selection activeCell="F4" sqref="F4:AE4"/>
    </sheetView>
  </sheetViews>
  <sheetFormatPr defaultRowHeight="12.75"/>
  <cols>
    <col min="1" max="1" width="33" style="36" customWidth="1"/>
    <col min="2" max="3" width="22.42578125" style="36" customWidth="1"/>
    <col min="4" max="4" width="10.28515625" style="36" bestFit="1" customWidth="1"/>
    <col min="5" max="5" width="9.28515625" style="36" bestFit="1" customWidth="1"/>
    <col min="6" max="17" width="11.7109375" style="36" bestFit="1" customWidth="1"/>
    <col min="18" max="18" width="10.7109375" style="36" bestFit="1" customWidth="1"/>
    <col min="19" max="21" width="11.7109375" style="36" bestFit="1" customWidth="1"/>
    <col min="22" max="22" width="10.7109375" style="36" bestFit="1" customWidth="1"/>
    <col min="23" max="23" width="11.7109375" style="36" bestFit="1" customWidth="1"/>
    <col min="24" max="25" width="10.7109375" style="36" bestFit="1" customWidth="1"/>
    <col min="26" max="27" width="11.7109375" style="36" bestFit="1" customWidth="1"/>
    <col min="28" max="28" width="9.28515625" style="36" bestFit="1" customWidth="1"/>
    <col min="29" max="29" width="11.7109375" style="36" bestFit="1" customWidth="1"/>
    <col min="30" max="30" width="9.28515625" style="36" bestFit="1" customWidth="1"/>
    <col min="31" max="31" width="11.710937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890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 customHeight="1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44" t="s">
        <v>404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84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9"/>
      <c r="AS7" s="59"/>
      <c r="AT7" s="59"/>
      <c r="AU7" s="59"/>
      <c r="AV7" s="59"/>
      <c r="AW7" s="59"/>
      <c r="AX7" s="59"/>
      <c r="AY7" s="59"/>
      <c r="AZ7" s="60"/>
      <c r="BA7" s="59"/>
    </row>
    <row r="8" spans="1:67" ht="38.25" hidden="1" customHeight="1">
      <c r="A8" s="55" t="s">
        <v>78</v>
      </c>
      <c r="B8" s="37"/>
      <c r="C8" s="37"/>
      <c r="AA8" s="57"/>
      <c r="AB8" s="57"/>
      <c r="AC8" s="57"/>
      <c r="AD8" s="57"/>
      <c r="AE8" s="57"/>
      <c r="AF8" s="57" t="e">
        <f>#REF!/60</f>
        <v>#REF!</v>
      </c>
      <c r="AG8" s="57" t="e">
        <f>#REF!/60</f>
        <v>#REF!</v>
      </c>
      <c r="AH8" s="57" t="e">
        <f>#REF!/60</f>
        <v>#REF!</v>
      </c>
      <c r="AI8" s="57" t="e">
        <f>#REF!/60</f>
        <v>#REF!</v>
      </c>
      <c r="AJ8" s="57" t="e">
        <f>#REF!/60</f>
        <v>#REF!</v>
      </c>
      <c r="AK8" s="57" t="e">
        <f>#REF!/60</f>
        <v>#REF!</v>
      </c>
      <c r="AL8" s="57" t="e">
        <f>#REF!/60</f>
        <v>#REF!</v>
      </c>
      <c r="AM8" s="57" t="e">
        <f>#REF!/60</f>
        <v>#REF!</v>
      </c>
      <c r="AN8" s="57" t="e">
        <f>#REF!/60</f>
        <v>#REF!</v>
      </c>
      <c r="AO8" s="57" t="e">
        <f>#REF!/60</f>
        <v>#REF!</v>
      </c>
      <c r="AP8" s="57"/>
      <c r="AQ8" s="57"/>
      <c r="AR8" s="57" t="e">
        <f>#REF!/60</f>
        <v>#REF!</v>
      </c>
      <c r="AS8" s="57" t="e">
        <f>#REF!/60</f>
        <v>#REF!</v>
      </c>
      <c r="AT8" s="57" t="e">
        <f>#REF!/60</f>
        <v>#REF!</v>
      </c>
      <c r="AU8" s="57" t="e">
        <f>#REF!/60</f>
        <v>#REF!</v>
      </c>
      <c r="AV8" s="57" t="e">
        <f>#REF!/60</f>
        <v>#REF!</v>
      </c>
      <c r="AW8" s="57" t="e">
        <f>#REF!/60</f>
        <v>#REF!</v>
      </c>
      <c r="AX8" s="57" t="e">
        <f>#REF!/60</f>
        <v>#REF!</v>
      </c>
      <c r="AY8" s="57" t="e">
        <f>#REF!/60</f>
        <v>#REF!</v>
      </c>
      <c r="AZ8" s="57" t="e">
        <f>#REF!/60</f>
        <v>#REF!</v>
      </c>
      <c r="BA8" s="57" t="e">
        <f>#REF!/60</f>
        <v>#REF!</v>
      </c>
    </row>
    <row r="9" spans="1:67" ht="12.75" hidden="1" customHeight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12.75" hidden="1" customHeight="1">
      <c r="A10" s="55"/>
      <c r="B10" s="37"/>
      <c r="C10" s="37"/>
      <c r="AA10" s="57"/>
      <c r="AB10" s="57"/>
      <c r="AC10" s="57"/>
      <c r="AD10" s="57"/>
      <c r="AE10" s="57"/>
      <c r="AF10" s="596" t="s">
        <v>64</v>
      </c>
      <c r="AG10" s="596"/>
      <c r="AH10" s="596"/>
      <c r="AI10" s="596"/>
      <c r="AJ10" s="596"/>
      <c r="AK10" s="597"/>
      <c r="AL10" s="597"/>
      <c r="AM10" s="597"/>
      <c r="AN10" s="597"/>
      <c r="AO10" s="597"/>
      <c r="AP10" s="436"/>
      <c r="AQ10" s="56"/>
      <c r="AR10" s="596" t="s">
        <v>65</v>
      </c>
      <c r="AS10" s="596"/>
      <c r="AT10" s="596"/>
      <c r="AU10" s="596"/>
      <c r="AV10" s="596"/>
      <c r="AW10" s="597"/>
      <c r="AX10" s="597"/>
      <c r="AY10" s="597"/>
      <c r="AZ10" s="597"/>
      <c r="BA10" s="597"/>
    </row>
    <row r="11" spans="1:67" ht="63.75" hidden="1" customHeight="1">
      <c r="A11" s="37"/>
      <c r="B11" s="37"/>
      <c r="C11" s="37"/>
      <c r="AF11" s="61" t="s">
        <v>55</v>
      </c>
      <c r="AG11" s="61" t="s">
        <v>73</v>
      </c>
      <c r="AH11" s="61" t="s">
        <v>74</v>
      </c>
      <c r="AI11" s="61" t="s">
        <v>58</v>
      </c>
      <c r="AJ11" s="61" t="s">
        <v>59</v>
      </c>
      <c r="AK11" s="61" t="s">
        <v>60</v>
      </c>
      <c r="AL11" s="62" t="s">
        <v>75</v>
      </c>
      <c r="AM11" s="62" t="s">
        <v>76</v>
      </c>
      <c r="AN11" s="62" t="s">
        <v>61</v>
      </c>
      <c r="AO11" s="62" t="s">
        <v>62</v>
      </c>
      <c r="AP11" s="62"/>
      <c r="AQ11" s="43"/>
      <c r="AR11" s="61" t="s">
        <v>55</v>
      </c>
      <c r="AS11" s="61" t="s">
        <v>73</v>
      </c>
      <c r="AT11" s="61" t="s">
        <v>74</v>
      </c>
      <c r="AU11" s="61" t="s">
        <v>58</v>
      </c>
      <c r="AV11" s="61" t="s">
        <v>59</v>
      </c>
      <c r="AW11" s="61" t="s">
        <v>60</v>
      </c>
      <c r="AX11" s="62" t="s">
        <v>75</v>
      </c>
      <c r="AY11" s="62" t="s">
        <v>76</v>
      </c>
      <c r="AZ11" s="63" t="s">
        <v>61</v>
      </c>
      <c r="BA11" s="61" t="s">
        <v>62</v>
      </c>
    </row>
    <row r="12" spans="1:67" ht="12.75" hidden="1" customHeight="1">
      <c r="A12" s="37"/>
      <c r="B12" s="37"/>
      <c r="C12" s="37"/>
      <c r="AQ12" s="38"/>
    </row>
    <row r="13" spans="1:67" ht="12.75" hidden="1" customHeight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F13" s="36" t="e">
        <f>AF$8*$AC13</f>
        <v>#REF!</v>
      </c>
      <c r="AG13" s="36" t="e">
        <f t="shared" ref="AG13:AO21" si="2">AG$8*$AC13</f>
        <v>#REF!</v>
      </c>
      <c r="AH13" s="36" t="e">
        <f t="shared" si="2"/>
        <v>#REF!</v>
      </c>
      <c r="AI13" s="36" t="e">
        <f t="shared" si="2"/>
        <v>#REF!</v>
      </c>
      <c r="AJ13" s="36" t="e">
        <f t="shared" si="2"/>
        <v>#REF!</v>
      </c>
      <c r="AK13" s="36" t="e">
        <f t="shared" si="2"/>
        <v>#REF!</v>
      </c>
      <c r="AL13" s="36" t="e">
        <f t="shared" si="2"/>
        <v>#REF!</v>
      </c>
      <c r="AM13" s="36" t="e">
        <f t="shared" si="2"/>
        <v>#REF!</v>
      </c>
      <c r="AN13" s="36" t="e">
        <f t="shared" si="2"/>
        <v>#REF!</v>
      </c>
      <c r="AO13" s="36" t="e">
        <f t="shared" si="2"/>
        <v>#REF!</v>
      </c>
      <c r="AQ13" s="38"/>
      <c r="AR13" s="36" t="e">
        <f>AR$8*$AC13</f>
        <v>#REF!</v>
      </c>
      <c r="AS13" s="36" t="e">
        <f t="shared" ref="AS13:BA21" si="3">AS$8*$AC13</f>
        <v>#REF!</v>
      </c>
      <c r="AT13" s="36" t="e">
        <f t="shared" si="3"/>
        <v>#REF!</v>
      </c>
      <c r="AU13" s="36" t="e">
        <f t="shared" si="3"/>
        <v>#REF!</v>
      </c>
      <c r="AV13" s="36" t="e">
        <f t="shared" si="3"/>
        <v>#REF!</v>
      </c>
      <c r="AW13" s="36" t="e">
        <f t="shared" si="3"/>
        <v>#REF!</v>
      </c>
      <c r="AX13" s="36" t="e">
        <f t="shared" si="3"/>
        <v>#REF!</v>
      </c>
      <c r="AY13" s="36" t="e">
        <f t="shared" si="3"/>
        <v>#REF!</v>
      </c>
      <c r="AZ13" s="36" t="e">
        <f t="shared" si="3"/>
        <v>#REF!</v>
      </c>
      <c r="BA13" s="36" t="e">
        <f t="shared" si="3"/>
        <v>#REF!</v>
      </c>
    </row>
    <row r="14" spans="1:67" ht="12.75" hidden="1" customHeight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 t="shared" ref="AF14:AF21" si="4">AF$8*$AC14</f>
        <v>#REF!</v>
      </c>
      <c r="AG14" s="36" t="e">
        <f t="shared" si="2"/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 t="shared" ref="AR14:AR21" si="5">AR$8*$AC14</f>
        <v>#REF!</v>
      </c>
      <c r="AS14" s="36" t="e">
        <f t="shared" si="3"/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t="12.75" hidden="1" customHeight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si="4"/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si="5"/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t="12.75" hidden="1" customHeight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t="12.75" hidden="1" customHeight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t="12.75" hidden="1" customHeight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t="12.75" hidden="1" customHeight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t="12.75" hidden="1" customHeight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t="12.75" hidden="1" customHeight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t="12.75" hidden="1" customHeight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Q22" s="38"/>
    </row>
    <row r="23" spans="1:53" ht="12.75" hidden="1" customHeight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t="12.75" hidden="1" customHeight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F24" s="36" t="e">
        <f t="shared" ref="AF24:AO32" si="6">AF$8*$AC24</f>
        <v>#REF!</v>
      </c>
      <c r="AG24" s="36" t="e">
        <f t="shared" si="6"/>
        <v>#REF!</v>
      </c>
      <c r="AH24" s="36" t="e">
        <f t="shared" si="6"/>
        <v>#REF!</v>
      </c>
      <c r="AI24" s="36" t="e">
        <f t="shared" si="6"/>
        <v>#REF!</v>
      </c>
      <c r="AJ24" s="36" t="e">
        <f t="shared" si="6"/>
        <v>#REF!</v>
      </c>
      <c r="AK24" s="36" t="e">
        <f t="shared" si="6"/>
        <v>#REF!</v>
      </c>
      <c r="AL24" s="36" t="e">
        <f t="shared" si="6"/>
        <v>#REF!</v>
      </c>
      <c r="AM24" s="36" t="e">
        <f t="shared" si="6"/>
        <v>#REF!</v>
      </c>
      <c r="AN24" s="36" t="e">
        <f t="shared" si="6"/>
        <v>#REF!</v>
      </c>
      <c r="AO24" s="36" t="e">
        <f t="shared" si="6"/>
        <v>#REF!</v>
      </c>
      <c r="AQ24" s="38"/>
      <c r="AR24" s="36" t="e">
        <f t="shared" ref="AR24:BA32" si="7">AR$8*$AC24</f>
        <v>#REF!</v>
      </c>
      <c r="AS24" s="36" t="e">
        <f t="shared" si="7"/>
        <v>#REF!</v>
      </c>
      <c r="AT24" s="36" t="e">
        <f t="shared" si="7"/>
        <v>#REF!</v>
      </c>
      <c r="AU24" s="36" t="e">
        <f t="shared" si="7"/>
        <v>#REF!</v>
      </c>
      <c r="AV24" s="36" t="e">
        <f t="shared" si="7"/>
        <v>#REF!</v>
      </c>
      <c r="AW24" s="36" t="e">
        <f t="shared" si="7"/>
        <v>#REF!</v>
      </c>
      <c r="AX24" s="36" t="e">
        <f t="shared" si="7"/>
        <v>#REF!</v>
      </c>
      <c r="AY24" s="36" t="e">
        <f t="shared" si="7"/>
        <v>#REF!</v>
      </c>
      <c r="AZ24" s="36" t="e">
        <f t="shared" si="7"/>
        <v>#REF!</v>
      </c>
      <c r="BA24" s="36" t="e">
        <f t="shared" si="7"/>
        <v>#REF!</v>
      </c>
    </row>
    <row r="25" spans="1:53" ht="12.75" hidden="1" customHeight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si="6"/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si="7"/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t="12.75" hidden="1" customHeight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t="12.75" hidden="1" customHeight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t="12.75" hidden="1" customHeight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t="12.75" hidden="1" customHeight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t="12.75" hidden="1" customHeight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t="12.75" hidden="1" customHeight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t="12.75" hidden="1" customHeight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t="12.75" hidden="1" customHeight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Q33" s="38"/>
    </row>
    <row r="34" spans="1:53" ht="12.75" hidden="1" customHeight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t="12.75" hidden="1" customHeight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F35" s="36" t="e">
        <f t="shared" ref="AF35:AO43" si="8">AF$8*$AC35</f>
        <v>#REF!</v>
      </c>
      <c r="AG35" s="36" t="e">
        <f t="shared" si="8"/>
        <v>#REF!</v>
      </c>
      <c r="AH35" s="36" t="e">
        <f t="shared" si="8"/>
        <v>#REF!</v>
      </c>
      <c r="AI35" s="36" t="e">
        <f t="shared" si="8"/>
        <v>#REF!</v>
      </c>
      <c r="AJ35" s="36" t="e">
        <f t="shared" si="8"/>
        <v>#REF!</v>
      </c>
      <c r="AK35" s="36" t="e">
        <f t="shared" si="8"/>
        <v>#REF!</v>
      </c>
      <c r="AL35" s="36" t="e">
        <f t="shared" si="8"/>
        <v>#REF!</v>
      </c>
      <c r="AM35" s="36" t="e">
        <f t="shared" si="8"/>
        <v>#REF!</v>
      </c>
      <c r="AN35" s="36" t="e">
        <f t="shared" si="8"/>
        <v>#REF!</v>
      </c>
      <c r="AO35" s="36" t="e">
        <f t="shared" si="8"/>
        <v>#REF!</v>
      </c>
      <c r="AQ35" s="38"/>
      <c r="AR35" s="36" t="e">
        <f t="shared" ref="AR35:BA43" si="9">AR$8*$AC35</f>
        <v>#REF!</v>
      </c>
      <c r="AS35" s="36" t="e">
        <f t="shared" si="9"/>
        <v>#REF!</v>
      </c>
      <c r="AT35" s="36" t="e">
        <f t="shared" si="9"/>
        <v>#REF!</v>
      </c>
      <c r="AU35" s="36" t="e">
        <f t="shared" si="9"/>
        <v>#REF!</v>
      </c>
      <c r="AV35" s="36" t="e">
        <f t="shared" si="9"/>
        <v>#REF!</v>
      </c>
      <c r="AW35" s="36" t="e">
        <f t="shared" si="9"/>
        <v>#REF!</v>
      </c>
      <c r="AX35" s="36" t="e">
        <f t="shared" si="9"/>
        <v>#REF!</v>
      </c>
      <c r="AY35" s="36" t="e">
        <f t="shared" si="9"/>
        <v>#REF!</v>
      </c>
      <c r="AZ35" s="36" t="e">
        <f t="shared" si="9"/>
        <v>#REF!</v>
      </c>
      <c r="BA35" s="36" t="e">
        <f t="shared" si="9"/>
        <v>#REF!</v>
      </c>
    </row>
    <row r="36" spans="1:53" ht="12.75" hidden="1" customHeight="1">
      <c r="AA36" s="64"/>
      <c r="AB36" s="65" t="s">
        <v>32</v>
      </c>
      <c r="AC36" s="65">
        <v>0</v>
      </c>
      <c r="AD36" s="65"/>
      <c r="AE36" s="65"/>
      <c r="AF36" s="36" t="e">
        <f t="shared" si="8"/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si="9"/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t="12.75" hidden="1" customHeight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t="12.75" hidden="1" customHeight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t="12.75" hidden="1" customHeight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t="12.75" hidden="1" customHeight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t="12.75" hidden="1" customHeight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t="12.75" hidden="1" customHeight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t="12.75" hidden="1" customHeight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t="12.75" hidden="1" customHeight="1">
      <c r="AA44" s="64"/>
      <c r="AB44" s="65" t="s">
        <v>40</v>
      </c>
      <c r="AC44" s="65">
        <v>14.14584</v>
      </c>
      <c r="AD44" s="65"/>
      <c r="AE44" s="65"/>
      <c r="AQ44" s="38"/>
    </row>
    <row r="45" spans="1:53" ht="12.75" hidden="1" customHeight="1">
      <c r="AQ45" s="38"/>
    </row>
    <row r="46" spans="1:53" ht="63.75" hidden="1" customHeight="1">
      <c r="AF46" s="61" t="s">
        <v>55</v>
      </c>
      <c r="AG46" s="61" t="s">
        <v>73</v>
      </c>
      <c r="AH46" s="61" t="s">
        <v>57</v>
      </c>
      <c r="AI46" s="61" t="s">
        <v>58</v>
      </c>
      <c r="AJ46" s="61" t="s">
        <v>59</v>
      </c>
      <c r="AK46" s="61" t="s">
        <v>60</v>
      </c>
      <c r="AL46" s="62" t="s">
        <v>75</v>
      </c>
      <c r="AM46" s="62" t="s">
        <v>76</v>
      </c>
      <c r="AN46" s="62" t="s">
        <v>61</v>
      </c>
      <c r="AO46" s="62" t="s">
        <v>62</v>
      </c>
      <c r="AP46" s="62"/>
      <c r="AQ46" s="43"/>
      <c r="AR46" s="61" t="s">
        <v>55</v>
      </c>
      <c r="AS46" s="61" t="s">
        <v>73</v>
      </c>
      <c r="AT46" s="61" t="s">
        <v>74</v>
      </c>
      <c r="AU46" s="61" t="s">
        <v>58</v>
      </c>
      <c r="AV46" s="61" t="s">
        <v>59</v>
      </c>
      <c r="AW46" s="61" t="s">
        <v>60</v>
      </c>
      <c r="AX46" s="62" t="s">
        <v>75</v>
      </c>
      <c r="AY46" s="62" t="s">
        <v>76</v>
      </c>
      <c r="AZ46" s="63" t="s">
        <v>61</v>
      </c>
      <c r="BA46" s="61" t="s">
        <v>62</v>
      </c>
    </row>
    <row r="47" spans="1:53" ht="12.75" hidden="1" customHeight="1">
      <c r="AA47" s="66" t="s">
        <v>43</v>
      </c>
      <c r="AB47" s="67"/>
      <c r="AC47" s="68"/>
      <c r="AD47" s="68"/>
      <c r="AE47" s="68"/>
      <c r="AG47" s="70"/>
      <c r="AQ47" s="38"/>
    </row>
    <row r="48" spans="1:53" ht="12.75" hidden="1" customHeight="1">
      <c r="AA48" s="69" t="s">
        <v>44</v>
      </c>
      <c r="AB48" s="35"/>
      <c r="AF48" s="70" t="e">
        <f t="shared" ref="AF48:AO48" si="10">AF13+AF15+AF16</f>
        <v>#REF!</v>
      </c>
      <c r="AG48" s="70" t="e">
        <f t="shared" si="10"/>
        <v>#REF!</v>
      </c>
      <c r="AH48" s="70" t="e">
        <f t="shared" si="10"/>
        <v>#REF!</v>
      </c>
      <c r="AI48" s="70" t="e">
        <f t="shared" si="10"/>
        <v>#REF!</v>
      </c>
      <c r="AJ48" s="70" t="e">
        <f t="shared" si="10"/>
        <v>#REF!</v>
      </c>
      <c r="AK48" s="70" t="e">
        <f t="shared" si="10"/>
        <v>#REF!</v>
      </c>
      <c r="AL48" s="70" t="e">
        <f t="shared" si="10"/>
        <v>#REF!</v>
      </c>
      <c r="AM48" s="70" t="e">
        <f t="shared" si="10"/>
        <v>#REF!</v>
      </c>
      <c r="AN48" s="70" t="e">
        <f t="shared" si="10"/>
        <v>#REF!</v>
      </c>
      <c r="AO48" s="70" t="e">
        <f t="shared" si="10"/>
        <v>#REF!</v>
      </c>
      <c r="AP48" s="70"/>
      <c r="AQ48" s="70"/>
      <c r="AR48" s="70" t="e">
        <f t="shared" ref="AR48:BA48" si="11">AR13+AR15+AR16</f>
        <v>#REF!</v>
      </c>
      <c r="AS48" s="70" t="e">
        <f t="shared" si="11"/>
        <v>#REF!</v>
      </c>
      <c r="AT48" s="70" t="e">
        <f t="shared" si="11"/>
        <v>#REF!</v>
      </c>
      <c r="AU48" s="70" t="e">
        <f t="shared" si="11"/>
        <v>#REF!</v>
      </c>
      <c r="AV48" s="70" t="e">
        <f t="shared" si="11"/>
        <v>#REF!</v>
      </c>
      <c r="AW48" s="70" t="e">
        <f t="shared" si="11"/>
        <v>#REF!</v>
      </c>
      <c r="AX48" s="70" t="e">
        <f t="shared" si="11"/>
        <v>#REF!</v>
      </c>
      <c r="AY48" s="70" t="e">
        <f t="shared" si="11"/>
        <v>#REF!</v>
      </c>
      <c r="AZ48" s="70" t="e">
        <f t="shared" si="11"/>
        <v>#REF!</v>
      </c>
      <c r="BA48" s="70" t="e">
        <f t="shared" si="11"/>
        <v>#REF!</v>
      </c>
    </row>
    <row r="49" spans="27:53" ht="12.75" hidden="1" customHeight="1">
      <c r="AA49" s="71" t="s">
        <v>29</v>
      </c>
      <c r="AB49" s="35"/>
      <c r="AF49" s="70" t="e">
        <f t="shared" ref="AF49:AO49" si="12">AF24+AF26+AF27</f>
        <v>#REF!</v>
      </c>
      <c r="AG49" s="70" t="e">
        <f t="shared" si="12"/>
        <v>#REF!</v>
      </c>
      <c r="AH49" s="70" t="e">
        <f t="shared" si="12"/>
        <v>#REF!</v>
      </c>
      <c r="AI49" s="70" t="e">
        <f t="shared" si="12"/>
        <v>#REF!</v>
      </c>
      <c r="AJ49" s="70" t="e">
        <f t="shared" si="12"/>
        <v>#REF!</v>
      </c>
      <c r="AK49" s="70" t="e">
        <f t="shared" si="12"/>
        <v>#REF!</v>
      </c>
      <c r="AL49" s="70" t="e">
        <f t="shared" si="12"/>
        <v>#REF!</v>
      </c>
      <c r="AM49" s="70" t="e">
        <f t="shared" si="12"/>
        <v>#REF!</v>
      </c>
      <c r="AN49" s="70" t="e">
        <f t="shared" si="12"/>
        <v>#REF!</v>
      </c>
      <c r="AO49" s="70" t="e">
        <f t="shared" si="12"/>
        <v>#REF!</v>
      </c>
      <c r="AP49" s="70"/>
      <c r="AQ49" s="70"/>
      <c r="AR49" s="70" t="e">
        <f t="shared" ref="AR49:BA49" si="13">AR24+AR26+AR27</f>
        <v>#REF!</v>
      </c>
      <c r="AS49" s="70" t="e">
        <f t="shared" si="13"/>
        <v>#REF!</v>
      </c>
      <c r="AT49" s="70" t="e">
        <f t="shared" si="13"/>
        <v>#REF!</v>
      </c>
      <c r="AU49" s="70" t="e">
        <f t="shared" si="13"/>
        <v>#REF!</v>
      </c>
      <c r="AV49" s="70" t="e">
        <f t="shared" si="13"/>
        <v>#REF!</v>
      </c>
      <c r="AW49" s="70" t="e">
        <f t="shared" si="13"/>
        <v>#REF!</v>
      </c>
      <c r="AX49" s="70" t="e">
        <f t="shared" si="13"/>
        <v>#REF!</v>
      </c>
      <c r="AY49" s="70" t="e">
        <f t="shared" si="13"/>
        <v>#REF!</v>
      </c>
      <c r="AZ49" s="70" t="e">
        <f t="shared" si="13"/>
        <v>#REF!</v>
      </c>
      <c r="BA49" s="70" t="e">
        <f t="shared" si="13"/>
        <v>#REF!</v>
      </c>
    </row>
    <row r="50" spans="27:53" ht="12.75" hidden="1" customHeight="1">
      <c r="AA50" s="71" t="s">
        <v>41</v>
      </c>
      <c r="AB50" s="35"/>
      <c r="AF50" s="70" t="e">
        <f t="shared" ref="AF50:AO50" si="14">AF35+AF37+AF38</f>
        <v>#REF!</v>
      </c>
      <c r="AG50" s="70" t="e">
        <f t="shared" si="14"/>
        <v>#REF!</v>
      </c>
      <c r="AH50" s="70" t="e">
        <f t="shared" si="14"/>
        <v>#REF!</v>
      </c>
      <c r="AI50" s="70" t="e">
        <f t="shared" si="14"/>
        <v>#REF!</v>
      </c>
      <c r="AJ50" s="70" t="e">
        <f t="shared" si="14"/>
        <v>#REF!</v>
      </c>
      <c r="AK50" s="70" t="e">
        <f t="shared" si="14"/>
        <v>#REF!</v>
      </c>
      <c r="AL50" s="70" t="e">
        <f t="shared" si="14"/>
        <v>#REF!</v>
      </c>
      <c r="AM50" s="70" t="e">
        <f t="shared" si="14"/>
        <v>#REF!</v>
      </c>
      <c r="AN50" s="70" t="e">
        <f t="shared" si="14"/>
        <v>#REF!</v>
      </c>
      <c r="AO50" s="70" t="e">
        <f t="shared" si="14"/>
        <v>#REF!</v>
      </c>
      <c r="AP50" s="70"/>
      <c r="AQ50" s="70"/>
      <c r="AR50" s="70" t="e">
        <f t="shared" ref="AR50:BA50" si="15">AR35+AR37+AR38</f>
        <v>#REF!</v>
      </c>
      <c r="AS50" s="70" t="e">
        <f t="shared" si="15"/>
        <v>#REF!</v>
      </c>
      <c r="AT50" s="70" t="e">
        <f t="shared" si="15"/>
        <v>#REF!</v>
      </c>
      <c r="AU50" s="70" t="e">
        <f t="shared" si="15"/>
        <v>#REF!</v>
      </c>
      <c r="AV50" s="70" t="e">
        <f t="shared" si="15"/>
        <v>#REF!</v>
      </c>
      <c r="AW50" s="70" t="e">
        <f t="shared" si="15"/>
        <v>#REF!</v>
      </c>
      <c r="AX50" s="70" t="e">
        <f t="shared" si="15"/>
        <v>#REF!</v>
      </c>
      <c r="AY50" s="70" t="e">
        <f t="shared" si="15"/>
        <v>#REF!</v>
      </c>
      <c r="AZ50" s="70" t="e">
        <f t="shared" si="15"/>
        <v>#REF!</v>
      </c>
      <c r="BA50" s="70" t="e">
        <f t="shared" si="15"/>
        <v>#REF!</v>
      </c>
    </row>
    <row r="51" spans="27:53" ht="12.75" hidden="1" customHeight="1">
      <c r="AA51" s="71" t="s">
        <v>42</v>
      </c>
      <c r="AB51" s="35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</row>
    <row r="52" spans="27:53" ht="12.75" hidden="1" customHeight="1">
      <c r="AA52" s="69" t="s">
        <v>45</v>
      </c>
      <c r="AB52" s="35"/>
      <c r="AF52" s="70" t="e">
        <f t="shared" ref="AF52:AO52" si="16">AF13+AF15+AF17+AF19</f>
        <v>#REF!</v>
      </c>
      <c r="AG52" s="70" t="e">
        <f t="shared" si="16"/>
        <v>#REF!</v>
      </c>
      <c r="AH52" s="70" t="e">
        <f t="shared" si="16"/>
        <v>#REF!</v>
      </c>
      <c r="AI52" s="70" t="e">
        <f t="shared" si="16"/>
        <v>#REF!</v>
      </c>
      <c r="AJ52" s="70" t="e">
        <f t="shared" si="16"/>
        <v>#REF!</v>
      </c>
      <c r="AK52" s="70" t="e">
        <f t="shared" si="16"/>
        <v>#REF!</v>
      </c>
      <c r="AL52" s="70" t="e">
        <f t="shared" si="16"/>
        <v>#REF!</v>
      </c>
      <c r="AM52" s="70" t="e">
        <f t="shared" si="16"/>
        <v>#REF!</v>
      </c>
      <c r="AN52" s="70" t="e">
        <f t="shared" si="16"/>
        <v>#REF!</v>
      </c>
      <c r="AO52" s="70" t="e">
        <f t="shared" si="16"/>
        <v>#REF!</v>
      </c>
      <c r="AP52" s="70"/>
      <c r="AQ52" s="70"/>
      <c r="AR52" s="70" t="e">
        <f t="shared" ref="AR52:BA52" si="17">AR13+AR15+AR17+AR19</f>
        <v>#REF!</v>
      </c>
      <c r="AS52" s="70" t="e">
        <f t="shared" si="17"/>
        <v>#REF!</v>
      </c>
      <c r="AT52" s="70" t="e">
        <f t="shared" si="17"/>
        <v>#REF!</v>
      </c>
      <c r="AU52" s="70" t="e">
        <f t="shared" si="17"/>
        <v>#REF!</v>
      </c>
      <c r="AV52" s="70" t="e">
        <f t="shared" si="17"/>
        <v>#REF!</v>
      </c>
      <c r="AW52" s="70" t="e">
        <f t="shared" si="17"/>
        <v>#REF!</v>
      </c>
      <c r="AX52" s="70" t="e">
        <f t="shared" si="17"/>
        <v>#REF!</v>
      </c>
      <c r="AY52" s="70" t="e">
        <f t="shared" si="17"/>
        <v>#REF!</v>
      </c>
      <c r="AZ52" s="70" t="e">
        <f t="shared" si="17"/>
        <v>#REF!</v>
      </c>
      <c r="BA52" s="70" t="e">
        <f t="shared" si="17"/>
        <v>#REF!</v>
      </c>
    </row>
    <row r="53" spans="27:53" ht="12.75" hidden="1" customHeight="1">
      <c r="AA53" s="71" t="s">
        <v>29</v>
      </c>
      <c r="AB53" s="35"/>
      <c r="AF53" s="70" t="e">
        <f t="shared" ref="AF53:AO53" si="18">AF24+AF26+AF28+AF30</f>
        <v>#REF!</v>
      </c>
      <c r="AG53" s="70" t="e">
        <f t="shared" si="18"/>
        <v>#REF!</v>
      </c>
      <c r="AH53" s="70" t="e">
        <f t="shared" si="18"/>
        <v>#REF!</v>
      </c>
      <c r="AI53" s="70" t="e">
        <f t="shared" si="18"/>
        <v>#REF!</v>
      </c>
      <c r="AJ53" s="70" t="e">
        <f t="shared" si="18"/>
        <v>#REF!</v>
      </c>
      <c r="AK53" s="70" t="e">
        <f t="shared" si="18"/>
        <v>#REF!</v>
      </c>
      <c r="AL53" s="70" t="e">
        <f t="shared" si="18"/>
        <v>#REF!</v>
      </c>
      <c r="AM53" s="70" t="e">
        <f t="shared" si="18"/>
        <v>#REF!</v>
      </c>
      <c r="AN53" s="70" t="e">
        <f t="shared" si="18"/>
        <v>#REF!</v>
      </c>
      <c r="AO53" s="70" t="e">
        <f t="shared" si="18"/>
        <v>#REF!</v>
      </c>
      <c r="AP53" s="70"/>
      <c r="AQ53" s="70"/>
      <c r="AR53" s="70" t="e">
        <f t="shared" ref="AR53:BA53" si="19">AR24+AR26+AR28+AR30</f>
        <v>#REF!</v>
      </c>
      <c r="AS53" s="70" t="e">
        <f t="shared" si="19"/>
        <v>#REF!</v>
      </c>
      <c r="AT53" s="70" t="e">
        <f t="shared" si="19"/>
        <v>#REF!</v>
      </c>
      <c r="AU53" s="70" t="e">
        <f t="shared" si="19"/>
        <v>#REF!</v>
      </c>
      <c r="AV53" s="70" t="e">
        <f t="shared" si="19"/>
        <v>#REF!</v>
      </c>
      <c r="AW53" s="70" t="e">
        <f t="shared" si="19"/>
        <v>#REF!</v>
      </c>
      <c r="AX53" s="70" t="e">
        <f t="shared" si="19"/>
        <v>#REF!</v>
      </c>
      <c r="AY53" s="70" t="e">
        <f t="shared" si="19"/>
        <v>#REF!</v>
      </c>
      <c r="AZ53" s="70" t="e">
        <f t="shared" si="19"/>
        <v>#REF!</v>
      </c>
      <c r="BA53" s="70" t="e">
        <f t="shared" si="19"/>
        <v>#REF!</v>
      </c>
    </row>
    <row r="54" spans="27:53" ht="12.75" hidden="1" customHeight="1">
      <c r="AA54" s="71" t="s">
        <v>41</v>
      </c>
      <c r="AB54" s="35"/>
      <c r="AF54" s="70" t="e">
        <f t="shared" ref="AF54:AO54" si="20">AF35+AF37+AF39+AF41</f>
        <v>#REF!</v>
      </c>
      <c r="AG54" s="70" t="e">
        <f t="shared" si="20"/>
        <v>#REF!</v>
      </c>
      <c r="AH54" s="70" t="e">
        <f t="shared" si="20"/>
        <v>#REF!</v>
      </c>
      <c r="AI54" s="70" t="e">
        <f t="shared" si="20"/>
        <v>#REF!</v>
      </c>
      <c r="AJ54" s="70" t="e">
        <f t="shared" si="20"/>
        <v>#REF!</v>
      </c>
      <c r="AK54" s="70" t="e">
        <f t="shared" si="20"/>
        <v>#REF!</v>
      </c>
      <c r="AL54" s="70" t="e">
        <f t="shared" si="20"/>
        <v>#REF!</v>
      </c>
      <c r="AM54" s="70" t="e">
        <f t="shared" si="20"/>
        <v>#REF!</v>
      </c>
      <c r="AN54" s="70" t="e">
        <f t="shared" si="20"/>
        <v>#REF!</v>
      </c>
      <c r="AO54" s="70" t="e">
        <f t="shared" si="20"/>
        <v>#REF!</v>
      </c>
      <c r="AP54" s="70"/>
      <c r="AQ54" s="70"/>
      <c r="AR54" s="70" t="e">
        <f t="shared" ref="AR54:BA54" si="21">AR35+AR37+AR39+AR41</f>
        <v>#REF!</v>
      </c>
      <c r="AS54" s="70" t="e">
        <f t="shared" si="21"/>
        <v>#REF!</v>
      </c>
      <c r="AT54" s="70" t="e">
        <f t="shared" si="21"/>
        <v>#REF!</v>
      </c>
      <c r="AU54" s="70" t="e">
        <f t="shared" si="21"/>
        <v>#REF!</v>
      </c>
      <c r="AV54" s="70" t="e">
        <f t="shared" si="21"/>
        <v>#REF!</v>
      </c>
      <c r="AW54" s="70" t="e">
        <f t="shared" si="21"/>
        <v>#REF!</v>
      </c>
      <c r="AX54" s="70" t="e">
        <f t="shared" si="21"/>
        <v>#REF!</v>
      </c>
      <c r="AY54" s="70" t="e">
        <f t="shared" si="21"/>
        <v>#REF!</v>
      </c>
      <c r="AZ54" s="70" t="e">
        <f t="shared" si="21"/>
        <v>#REF!</v>
      </c>
      <c r="BA54" s="70" t="e">
        <f t="shared" si="21"/>
        <v>#REF!</v>
      </c>
    </row>
    <row r="55" spans="27:53" ht="12.75" hidden="1" customHeight="1">
      <c r="AA55" s="71" t="s">
        <v>42</v>
      </c>
      <c r="AB55" s="35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</row>
    <row r="56" spans="27:53" ht="12.75" hidden="1" customHeight="1">
      <c r="AA56" s="69" t="s">
        <v>46</v>
      </c>
      <c r="AB56" s="35"/>
      <c r="AF56" s="70" t="e">
        <f t="shared" ref="AF56:AO56" si="22">AF13+AF15+AF17+AF18+AF20</f>
        <v>#REF!</v>
      </c>
      <c r="AG56" s="70" t="e">
        <f t="shared" si="22"/>
        <v>#REF!</v>
      </c>
      <c r="AH56" s="70" t="e">
        <f t="shared" si="22"/>
        <v>#REF!</v>
      </c>
      <c r="AI56" s="70" t="e">
        <f t="shared" si="22"/>
        <v>#REF!</v>
      </c>
      <c r="AJ56" s="70" t="e">
        <f t="shared" si="22"/>
        <v>#REF!</v>
      </c>
      <c r="AK56" s="70" t="e">
        <f t="shared" si="22"/>
        <v>#REF!</v>
      </c>
      <c r="AL56" s="70" t="e">
        <f t="shared" si="22"/>
        <v>#REF!</v>
      </c>
      <c r="AM56" s="70" t="e">
        <f t="shared" si="22"/>
        <v>#REF!</v>
      </c>
      <c r="AN56" s="70" t="e">
        <f t="shared" si="22"/>
        <v>#REF!</v>
      </c>
      <c r="AO56" s="70" t="e">
        <f t="shared" si="22"/>
        <v>#REF!</v>
      </c>
      <c r="AP56" s="70"/>
      <c r="AQ56" s="70"/>
      <c r="AR56" s="70" t="e">
        <f t="shared" ref="AR56:BA56" si="23">AR13+AR15+AR17+AR18+AR20</f>
        <v>#REF!</v>
      </c>
      <c r="AS56" s="70" t="e">
        <f t="shared" si="23"/>
        <v>#REF!</v>
      </c>
      <c r="AT56" s="70" t="e">
        <f t="shared" si="23"/>
        <v>#REF!</v>
      </c>
      <c r="AU56" s="70" t="e">
        <f t="shared" si="23"/>
        <v>#REF!</v>
      </c>
      <c r="AV56" s="70" t="e">
        <f t="shared" si="23"/>
        <v>#REF!</v>
      </c>
      <c r="AW56" s="70" t="e">
        <f t="shared" si="23"/>
        <v>#REF!</v>
      </c>
      <c r="AX56" s="70" t="e">
        <f t="shared" si="23"/>
        <v>#REF!</v>
      </c>
      <c r="AY56" s="70" t="e">
        <f t="shared" si="23"/>
        <v>#REF!</v>
      </c>
      <c r="AZ56" s="70" t="e">
        <f t="shared" si="23"/>
        <v>#REF!</v>
      </c>
      <c r="BA56" s="70" t="e">
        <f t="shared" si="23"/>
        <v>#REF!</v>
      </c>
    </row>
    <row r="57" spans="27:53" ht="12.75" hidden="1" customHeight="1">
      <c r="AA57" s="71" t="s">
        <v>29</v>
      </c>
      <c r="AB57" s="35"/>
      <c r="AF57" s="70" t="e">
        <f t="shared" ref="AF57:AO57" si="24">AF24+AF26+AF28+AF29+AF31</f>
        <v>#REF!</v>
      </c>
      <c r="AG57" s="70" t="e">
        <f t="shared" si="24"/>
        <v>#REF!</v>
      </c>
      <c r="AH57" s="70" t="e">
        <f t="shared" si="24"/>
        <v>#REF!</v>
      </c>
      <c r="AI57" s="70" t="e">
        <f t="shared" si="24"/>
        <v>#REF!</v>
      </c>
      <c r="AJ57" s="70" t="e">
        <f t="shared" si="24"/>
        <v>#REF!</v>
      </c>
      <c r="AK57" s="70" t="e">
        <f t="shared" si="24"/>
        <v>#REF!</v>
      </c>
      <c r="AL57" s="70" t="e">
        <f t="shared" si="24"/>
        <v>#REF!</v>
      </c>
      <c r="AM57" s="70" t="e">
        <f t="shared" si="24"/>
        <v>#REF!</v>
      </c>
      <c r="AN57" s="70" t="e">
        <f t="shared" si="24"/>
        <v>#REF!</v>
      </c>
      <c r="AO57" s="70" t="e">
        <f t="shared" si="24"/>
        <v>#REF!</v>
      </c>
      <c r="AP57" s="70"/>
      <c r="AQ57" s="70"/>
      <c r="AR57" s="70" t="e">
        <f t="shared" ref="AR57:BA57" si="25">AR24+AR26+AR28+AR29+AR31</f>
        <v>#REF!</v>
      </c>
      <c r="AS57" s="70" t="e">
        <f t="shared" si="25"/>
        <v>#REF!</v>
      </c>
      <c r="AT57" s="70" t="e">
        <f t="shared" si="25"/>
        <v>#REF!</v>
      </c>
      <c r="AU57" s="70" t="e">
        <f t="shared" si="25"/>
        <v>#REF!</v>
      </c>
      <c r="AV57" s="70" t="e">
        <f t="shared" si="25"/>
        <v>#REF!</v>
      </c>
      <c r="AW57" s="70" t="e">
        <f t="shared" si="25"/>
        <v>#REF!</v>
      </c>
      <c r="AX57" s="70" t="e">
        <f t="shared" si="25"/>
        <v>#REF!</v>
      </c>
      <c r="AY57" s="70" t="e">
        <f t="shared" si="25"/>
        <v>#REF!</v>
      </c>
      <c r="AZ57" s="70" t="e">
        <f t="shared" si="25"/>
        <v>#REF!</v>
      </c>
      <c r="BA57" s="70" t="e">
        <f t="shared" si="25"/>
        <v>#REF!</v>
      </c>
    </row>
    <row r="58" spans="27:53" ht="12.75" hidden="1" customHeight="1">
      <c r="AA58" s="71" t="s">
        <v>41</v>
      </c>
      <c r="AB58" s="35"/>
      <c r="AF58" s="70" t="e">
        <f t="shared" ref="AF58:AO58" si="26">AF35+AF37+AF39+AF40+AF42</f>
        <v>#REF!</v>
      </c>
      <c r="AG58" s="70" t="e">
        <f t="shared" si="26"/>
        <v>#REF!</v>
      </c>
      <c r="AH58" s="70" t="e">
        <f t="shared" si="26"/>
        <v>#REF!</v>
      </c>
      <c r="AI58" s="70" t="e">
        <f t="shared" si="26"/>
        <v>#REF!</v>
      </c>
      <c r="AJ58" s="70" t="e">
        <f t="shared" si="26"/>
        <v>#REF!</v>
      </c>
      <c r="AK58" s="70" t="e">
        <f t="shared" si="26"/>
        <v>#REF!</v>
      </c>
      <c r="AL58" s="70" t="e">
        <f t="shared" si="26"/>
        <v>#REF!</v>
      </c>
      <c r="AM58" s="70" t="e">
        <f t="shared" si="26"/>
        <v>#REF!</v>
      </c>
      <c r="AN58" s="70" t="e">
        <f t="shared" si="26"/>
        <v>#REF!</v>
      </c>
      <c r="AO58" s="70" t="e">
        <f t="shared" si="26"/>
        <v>#REF!</v>
      </c>
      <c r="AP58" s="70"/>
      <c r="AQ58" s="70"/>
      <c r="AR58" s="70" t="e">
        <f t="shared" ref="AR58:BA58" si="27">AR35+AR37+AR39+AR40+AR42</f>
        <v>#REF!</v>
      </c>
      <c r="AS58" s="70" t="e">
        <f t="shared" si="27"/>
        <v>#REF!</v>
      </c>
      <c r="AT58" s="70" t="e">
        <f t="shared" si="27"/>
        <v>#REF!</v>
      </c>
      <c r="AU58" s="70" t="e">
        <f t="shared" si="27"/>
        <v>#REF!</v>
      </c>
      <c r="AV58" s="70" t="e">
        <f t="shared" si="27"/>
        <v>#REF!</v>
      </c>
      <c r="AW58" s="70" t="e">
        <f t="shared" si="27"/>
        <v>#REF!</v>
      </c>
      <c r="AX58" s="70" t="e">
        <f t="shared" si="27"/>
        <v>#REF!</v>
      </c>
      <c r="AY58" s="70" t="e">
        <f t="shared" si="27"/>
        <v>#REF!</v>
      </c>
      <c r="AZ58" s="70" t="e">
        <f t="shared" si="27"/>
        <v>#REF!</v>
      </c>
      <c r="BA58" s="70" t="e">
        <f t="shared" si="27"/>
        <v>#REF!</v>
      </c>
    </row>
    <row r="59" spans="27:53" ht="12.75" hidden="1" customHeight="1">
      <c r="AA59" s="71" t="s">
        <v>42</v>
      </c>
      <c r="AB59" s="35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</row>
    <row r="60" spans="27:53" ht="12.75" hidden="1" customHeight="1">
      <c r="AA60" s="69" t="s">
        <v>47</v>
      </c>
      <c r="AB60" s="35"/>
      <c r="AF60" s="70" t="e">
        <f t="shared" ref="AF60:AO60" si="28">AF13+AF15+AF17+AF18+AF21</f>
        <v>#REF!</v>
      </c>
      <c r="AG60" s="70" t="e">
        <f t="shared" si="28"/>
        <v>#REF!</v>
      </c>
      <c r="AH60" s="70" t="e">
        <f t="shared" si="28"/>
        <v>#REF!</v>
      </c>
      <c r="AI60" s="70" t="e">
        <f t="shared" si="28"/>
        <v>#REF!</v>
      </c>
      <c r="AJ60" s="70" t="e">
        <f t="shared" si="28"/>
        <v>#REF!</v>
      </c>
      <c r="AK60" s="70" t="e">
        <f t="shared" si="28"/>
        <v>#REF!</v>
      </c>
      <c r="AL60" s="70" t="e">
        <f t="shared" si="28"/>
        <v>#REF!</v>
      </c>
      <c r="AM60" s="70" t="e">
        <f t="shared" si="28"/>
        <v>#REF!</v>
      </c>
      <c r="AN60" s="70" t="e">
        <f t="shared" si="28"/>
        <v>#REF!</v>
      </c>
      <c r="AO60" s="70" t="e">
        <f t="shared" si="28"/>
        <v>#REF!</v>
      </c>
      <c r="AP60" s="70"/>
      <c r="AQ60" s="70"/>
      <c r="AR60" s="70" t="e">
        <f t="shared" ref="AR60:BA60" si="29">AR13+AR15+AR17+AR18+AR21</f>
        <v>#REF!</v>
      </c>
      <c r="AS60" s="70" t="e">
        <f t="shared" si="29"/>
        <v>#REF!</v>
      </c>
      <c r="AT60" s="70" t="e">
        <f t="shared" si="29"/>
        <v>#REF!</v>
      </c>
      <c r="AU60" s="70" t="e">
        <f t="shared" si="29"/>
        <v>#REF!</v>
      </c>
      <c r="AV60" s="70" t="e">
        <f t="shared" si="29"/>
        <v>#REF!</v>
      </c>
      <c r="AW60" s="70" t="e">
        <f t="shared" si="29"/>
        <v>#REF!</v>
      </c>
      <c r="AX60" s="70" t="e">
        <f t="shared" si="29"/>
        <v>#REF!</v>
      </c>
      <c r="AY60" s="70" t="e">
        <f t="shared" si="29"/>
        <v>#REF!</v>
      </c>
      <c r="AZ60" s="70" t="e">
        <f t="shared" si="29"/>
        <v>#REF!</v>
      </c>
      <c r="BA60" s="70" t="e">
        <f t="shared" si="29"/>
        <v>#REF!</v>
      </c>
    </row>
    <row r="61" spans="27:53" ht="12.75" hidden="1" customHeight="1">
      <c r="AA61" s="71" t="s">
        <v>29</v>
      </c>
      <c r="AB61" s="35"/>
      <c r="AF61" s="70" t="e">
        <f t="shared" ref="AF61:AO61" si="30">AF24+AF26+AF28+AF29+AF32</f>
        <v>#REF!</v>
      </c>
      <c r="AG61" s="70" t="e">
        <f t="shared" si="30"/>
        <v>#REF!</v>
      </c>
      <c r="AH61" s="70" t="e">
        <f t="shared" si="30"/>
        <v>#REF!</v>
      </c>
      <c r="AI61" s="70" t="e">
        <f t="shared" si="30"/>
        <v>#REF!</v>
      </c>
      <c r="AJ61" s="70" t="e">
        <f t="shared" si="30"/>
        <v>#REF!</v>
      </c>
      <c r="AK61" s="70" t="e">
        <f t="shared" si="30"/>
        <v>#REF!</v>
      </c>
      <c r="AL61" s="70" t="e">
        <f t="shared" si="30"/>
        <v>#REF!</v>
      </c>
      <c r="AM61" s="70" t="e">
        <f t="shared" si="30"/>
        <v>#REF!</v>
      </c>
      <c r="AN61" s="70" t="e">
        <f t="shared" si="30"/>
        <v>#REF!</v>
      </c>
      <c r="AO61" s="70" t="e">
        <f t="shared" si="30"/>
        <v>#REF!</v>
      </c>
      <c r="AP61" s="70"/>
      <c r="AQ61" s="70"/>
      <c r="AR61" s="70" t="e">
        <f t="shared" ref="AR61:BA61" si="31">AR24+AR26+AR28+AR29+AR32</f>
        <v>#REF!</v>
      </c>
      <c r="AS61" s="70" t="e">
        <f t="shared" si="31"/>
        <v>#REF!</v>
      </c>
      <c r="AT61" s="70" t="e">
        <f t="shared" si="31"/>
        <v>#REF!</v>
      </c>
      <c r="AU61" s="70" t="e">
        <f t="shared" si="31"/>
        <v>#REF!</v>
      </c>
      <c r="AV61" s="70" t="e">
        <f t="shared" si="31"/>
        <v>#REF!</v>
      </c>
      <c r="AW61" s="70" t="e">
        <f t="shared" si="31"/>
        <v>#REF!</v>
      </c>
      <c r="AX61" s="70" t="e">
        <f t="shared" si="31"/>
        <v>#REF!</v>
      </c>
      <c r="AY61" s="70" t="e">
        <f t="shared" si="31"/>
        <v>#REF!</v>
      </c>
      <c r="AZ61" s="70" t="e">
        <f t="shared" si="31"/>
        <v>#REF!</v>
      </c>
      <c r="BA61" s="70" t="e">
        <f t="shared" si="31"/>
        <v>#REF!</v>
      </c>
    </row>
    <row r="62" spans="27:53" ht="12.75" hidden="1" customHeight="1">
      <c r="AA62" s="71" t="s">
        <v>41</v>
      </c>
      <c r="AB62" s="35"/>
      <c r="AF62" s="70" t="e">
        <f t="shared" ref="AF62:AO62" si="32">AF35+AF37+AF39+AF40+AF43</f>
        <v>#REF!</v>
      </c>
      <c r="AG62" s="70" t="e">
        <f t="shared" si="32"/>
        <v>#REF!</v>
      </c>
      <c r="AH62" s="70" t="e">
        <f t="shared" si="32"/>
        <v>#REF!</v>
      </c>
      <c r="AI62" s="70" t="e">
        <f t="shared" si="32"/>
        <v>#REF!</v>
      </c>
      <c r="AJ62" s="70" t="e">
        <f t="shared" si="32"/>
        <v>#REF!</v>
      </c>
      <c r="AK62" s="70" t="e">
        <f t="shared" si="32"/>
        <v>#REF!</v>
      </c>
      <c r="AL62" s="70" t="e">
        <f t="shared" si="32"/>
        <v>#REF!</v>
      </c>
      <c r="AM62" s="70" t="e">
        <f t="shared" si="32"/>
        <v>#REF!</v>
      </c>
      <c r="AN62" s="70" t="e">
        <f t="shared" si="32"/>
        <v>#REF!</v>
      </c>
      <c r="AO62" s="70" t="e">
        <f t="shared" si="32"/>
        <v>#REF!</v>
      </c>
      <c r="AP62" s="70"/>
      <c r="AQ62" s="70"/>
      <c r="AR62" s="70" t="e">
        <f t="shared" ref="AR62:BA62" si="33">AR35+AR37+AR39+AR40+AR43</f>
        <v>#REF!</v>
      </c>
      <c r="AS62" s="70" t="e">
        <f t="shared" si="33"/>
        <v>#REF!</v>
      </c>
      <c r="AT62" s="70" t="e">
        <f t="shared" si="33"/>
        <v>#REF!</v>
      </c>
      <c r="AU62" s="70" t="e">
        <f t="shared" si="33"/>
        <v>#REF!</v>
      </c>
      <c r="AV62" s="70" t="e">
        <f t="shared" si="33"/>
        <v>#REF!</v>
      </c>
      <c r="AW62" s="70" t="e">
        <f t="shared" si="33"/>
        <v>#REF!</v>
      </c>
      <c r="AX62" s="70" t="e">
        <f t="shared" si="33"/>
        <v>#REF!</v>
      </c>
      <c r="AY62" s="70" t="e">
        <f t="shared" si="33"/>
        <v>#REF!</v>
      </c>
      <c r="AZ62" s="70" t="e">
        <f t="shared" si="33"/>
        <v>#REF!</v>
      </c>
      <c r="BA62" s="70" t="e">
        <f t="shared" si="33"/>
        <v>#REF!</v>
      </c>
    </row>
    <row r="63" spans="27:53" ht="12.75" hidden="1" customHeight="1">
      <c r="AA63" s="71" t="s">
        <v>42</v>
      </c>
      <c r="AB63" s="35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</row>
    <row r="64" spans="27:53" ht="12.75" hidden="1" customHeight="1">
      <c r="AA64" s="69" t="s">
        <v>48</v>
      </c>
      <c r="AB64" s="35"/>
      <c r="AF64" s="70" t="e">
        <f t="shared" ref="AF64:AO64" si="34">AF13+AF14+AF19</f>
        <v>#REF!</v>
      </c>
      <c r="AG64" s="70" t="e">
        <f t="shared" si="34"/>
        <v>#REF!</v>
      </c>
      <c r="AH64" s="70" t="e">
        <f t="shared" si="34"/>
        <v>#REF!</v>
      </c>
      <c r="AI64" s="70" t="e">
        <f t="shared" si="34"/>
        <v>#REF!</v>
      </c>
      <c r="AJ64" s="70" t="e">
        <f t="shared" si="34"/>
        <v>#REF!</v>
      </c>
      <c r="AK64" s="70" t="e">
        <f t="shared" si="34"/>
        <v>#REF!</v>
      </c>
      <c r="AL64" s="70" t="e">
        <f t="shared" si="34"/>
        <v>#REF!</v>
      </c>
      <c r="AM64" s="70" t="e">
        <f t="shared" si="34"/>
        <v>#REF!</v>
      </c>
      <c r="AN64" s="70" t="e">
        <f t="shared" si="34"/>
        <v>#REF!</v>
      </c>
      <c r="AO64" s="70" t="e">
        <f t="shared" si="34"/>
        <v>#REF!</v>
      </c>
      <c r="AP64" s="70"/>
      <c r="AQ64" s="70"/>
      <c r="AR64" s="70" t="e">
        <f t="shared" ref="AR64:BA64" si="35">AR13+AR14+AR19</f>
        <v>#REF!</v>
      </c>
      <c r="AS64" s="70" t="e">
        <f t="shared" si="35"/>
        <v>#REF!</v>
      </c>
      <c r="AT64" s="70" t="e">
        <f t="shared" si="35"/>
        <v>#REF!</v>
      </c>
      <c r="AU64" s="70" t="e">
        <f t="shared" si="35"/>
        <v>#REF!</v>
      </c>
      <c r="AV64" s="70" t="e">
        <f t="shared" si="35"/>
        <v>#REF!</v>
      </c>
      <c r="AW64" s="70" t="e">
        <f t="shared" si="35"/>
        <v>#REF!</v>
      </c>
      <c r="AX64" s="70" t="e">
        <f t="shared" si="35"/>
        <v>#REF!</v>
      </c>
      <c r="AY64" s="70" t="e">
        <f t="shared" si="35"/>
        <v>#REF!</v>
      </c>
      <c r="AZ64" s="70" t="e">
        <f t="shared" si="35"/>
        <v>#REF!</v>
      </c>
      <c r="BA64" s="70" t="e">
        <f t="shared" si="35"/>
        <v>#REF!</v>
      </c>
    </row>
    <row r="65" spans="27:53" ht="12.75" hidden="1" customHeight="1">
      <c r="AA65" s="71" t="s">
        <v>29</v>
      </c>
      <c r="AB65" s="35"/>
      <c r="AF65" s="70" t="e">
        <f t="shared" ref="AF65:AO65" si="36">AF24+AF25+AF30</f>
        <v>#REF!</v>
      </c>
      <c r="AG65" s="70" t="e">
        <f t="shared" si="36"/>
        <v>#REF!</v>
      </c>
      <c r="AH65" s="70" t="e">
        <f t="shared" si="36"/>
        <v>#REF!</v>
      </c>
      <c r="AI65" s="70" t="e">
        <f t="shared" si="36"/>
        <v>#REF!</v>
      </c>
      <c r="AJ65" s="70" t="e">
        <f t="shared" si="36"/>
        <v>#REF!</v>
      </c>
      <c r="AK65" s="70" t="e">
        <f t="shared" si="36"/>
        <v>#REF!</v>
      </c>
      <c r="AL65" s="70" t="e">
        <f t="shared" si="36"/>
        <v>#REF!</v>
      </c>
      <c r="AM65" s="70" t="e">
        <f t="shared" si="36"/>
        <v>#REF!</v>
      </c>
      <c r="AN65" s="70" t="e">
        <f t="shared" si="36"/>
        <v>#REF!</v>
      </c>
      <c r="AO65" s="70" t="e">
        <f t="shared" si="36"/>
        <v>#REF!</v>
      </c>
      <c r="AP65" s="70"/>
      <c r="AQ65" s="70"/>
      <c r="AR65" s="70" t="e">
        <f t="shared" ref="AR65:BA65" si="37">AR24+AR25+AR30</f>
        <v>#REF!</v>
      </c>
      <c r="AS65" s="70" t="e">
        <f t="shared" si="37"/>
        <v>#REF!</v>
      </c>
      <c r="AT65" s="70" t="e">
        <f t="shared" si="37"/>
        <v>#REF!</v>
      </c>
      <c r="AU65" s="70" t="e">
        <f t="shared" si="37"/>
        <v>#REF!</v>
      </c>
      <c r="AV65" s="70" t="e">
        <f t="shared" si="37"/>
        <v>#REF!</v>
      </c>
      <c r="AW65" s="70" t="e">
        <f t="shared" si="37"/>
        <v>#REF!</v>
      </c>
      <c r="AX65" s="70" t="e">
        <f t="shared" si="37"/>
        <v>#REF!</v>
      </c>
      <c r="AY65" s="70" t="e">
        <f t="shared" si="37"/>
        <v>#REF!</v>
      </c>
      <c r="AZ65" s="70" t="e">
        <f t="shared" si="37"/>
        <v>#REF!</v>
      </c>
      <c r="BA65" s="70" t="e">
        <f t="shared" si="37"/>
        <v>#REF!</v>
      </c>
    </row>
    <row r="66" spans="27:53" ht="12.75" hidden="1" customHeight="1">
      <c r="AA66" s="71" t="s">
        <v>41</v>
      </c>
      <c r="AB66" s="35"/>
      <c r="AF66" s="70" t="e">
        <f t="shared" ref="AF66:AO66" si="38">AF35+AF36+AF41</f>
        <v>#REF!</v>
      </c>
      <c r="AG66" s="70" t="e">
        <f t="shared" si="38"/>
        <v>#REF!</v>
      </c>
      <c r="AH66" s="70" t="e">
        <f t="shared" si="38"/>
        <v>#REF!</v>
      </c>
      <c r="AI66" s="70" t="e">
        <f t="shared" si="38"/>
        <v>#REF!</v>
      </c>
      <c r="AJ66" s="70" t="e">
        <f t="shared" si="38"/>
        <v>#REF!</v>
      </c>
      <c r="AK66" s="70" t="e">
        <f t="shared" si="38"/>
        <v>#REF!</v>
      </c>
      <c r="AL66" s="70" t="e">
        <f t="shared" si="38"/>
        <v>#REF!</v>
      </c>
      <c r="AM66" s="70" t="e">
        <f t="shared" si="38"/>
        <v>#REF!</v>
      </c>
      <c r="AN66" s="70" t="e">
        <f t="shared" si="38"/>
        <v>#REF!</v>
      </c>
      <c r="AO66" s="70" t="e">
        <f t="shared" si="38"/>
        <v>#REF!</v>
      </c>
      <c r="AP66" s="70"/>
      <c r="AQ66" s="70"/>
      <c r="AR66" s="70" t="e">
        <f t="shared" ref="AR66:BA66" si="39">AR35+AR36+AR41</f>
        <v>#REF!</v>
      </c>
      <c r="AS66" s="70" t="e">
        <f t="shared" si="39"/>
        <v>#REF!</v>
      </c>
      <c r="AT66" s="70" t="e">
        <f t="shared" si="39"/>
        <v>#REF!</v>
      </c>
      <c r="AU66" s="70" t="e">
        <f t="shared" si="39"/>
        <v>#REF!</v>
      </c>
      <c r="AV66" s="70" t="e">
        <f t="shared" si="39"/>
        <v>#REF!</v>
      </c>
      <c r="AW66" s="70" t="e">
        <f t="shared" si="39"/>
        <v>#REF!</v>
      </c>
      <c r="AX66" s="70" t="e">
        <f t="shared" si="39"/>
        <v>#REF!</v>
      </c>
      <c r="AY66" s="70" t="e">
        <f t="shared" si="39"/>
        <v>#REF!</v>
      </c>
      <c r="AZ66" s="70" t="e">
        <f t="shared" si="39"/>
        <v>#REF!</v>
      </c>
      <c r="BA66" s="70" t="e">
        <f t="shared" si="39"/>
        <v>#REF!</v>
      </c>
    </row>
    <row r="67" spans="27:53" ht="12.75" hidden="1" customHeight="1">
      <c r="AA67" s="71" t="s">
        <v>42</v>
      </c>
      <c r="AB67" s="35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</row>
    <row r="68" spans="27:53" ht="12.75" hidden="1" customHeight="1">
      <c r="AA68" s="72" t="s">
        <v>49</v>
      </c>
      <c r="AB68" s="35"/>
      <c r="AF68" s="70" t="e">
        <f t="shared" ref="AF68:AO68" si="40">AF13+AF14+AF18+AF20</f>
        <v>#REF!</v>
      </c>
      <c r="AG68" s="70" t="e">
        <f t="shared" si="40"/>
        <v>#REF!</v>
      </c>
      <c r="AH68" s="70" t="e">
        <f t="shared" si="40"/>
        <v>#REF!</v>
      </c>
      <c r="AI68" s="70" t="e">
        <f t="shared" si="40"/>
        <v>#REF!</v>
      </c>
      <c r="AJ68" s="70" t="e">
        <f t="shared" si="40"/>
        <v>#REF!</v>
      </c>
      <c r="AK68" s="70" t="e">
        <f t="shared" si="40"/>
        <v>#REF!</v>
      </c>
      <c r="AL68" s="70" t="e">
        <f t="shared" si="40"/>
        <v>#REF!</v>
      </c>
      <c r="AM68" s="70" t="e">
        <f t="shared" si="40"/>
        <v>#REF!</v>
      </c>
      <c r="AN68" s="70" t="e">
        <f t="shared" si="40"/>
        <v>#REF!</v>
      </c>
      <c r="AO68" s="70" t="e">
        <f t="shared" si="40"/>
        <v>#REF!</v>
      </c>
      <c r="AP68" s="70"/>
      <c r="AQ68" s="70"/>
      <c r="AR68" s="70" t="e">
        <f t="shared" ref="AR68:BA68" si="41">AR13+AR14+AR18+AR20</f>
        <v>#REF!</v>
      </c>
      <c r="AS68" s="70" t="e">
        <f t="shared" si="41"/>
        <v>#REF!</v>
      </c>
      <c r="AT68" s="70" t="e">
        <f t="shared" si="41"/>
        <v>#REF!</v>
      </c>
      <c r="AU68" s="70" t="e">
        <f t="shared" si="41"/>
        <v>#REF!</v>
      </c>
      <c r="AV68" s="70" t="e">
        <f t="shared" si="41"/>
        <v>#REF!</v>
      </c>
      <c r="AW68" s="70" t="e">
        <f t="shared" si="41"/>
        <v>#REF!</v>
      </c>
      <c r="AX68" s="70" t="e">
        <f t="shared" si="41"/>
        <v>#REF!</v>
      </c>
      <c r="AY68" s="70" t="e">
        <f t="shared" si="41"/>
        <v>#REF!</v>
      </c>
      <c r="AZ68" s="70" t="e">
        <f t="shared" si="41"/>
        <v>#REF!</v>
      </c>
      <c r="BA68" s="70" t="e">
        <f t="shared" si="41"/>
        <v>#REF!</v>
      </c>
    </row>
    <row r="69" spans="27:53" ht="12.75" hidden="1" customHeight="1">
      <c r="AA69" s="71" t="s">
        <v>29</v>
      </c>
      <c r="AB69" s="35"/>
      <c r="AF69" s="70" t="e">
        <f t="shared" ref="AF69:AO69" si="42">AF24+AF25+AF29+AF31</f>
        <v>#REF!</v>
      </c>
      <c r="AG69" s="70" t="e">
        <f t="shared" si="42"/>
        <v>#REF!</v>
      </c>
      <c r="AH69" s="70" t="e">
        <f t="shared" si="42"/>
        <v>#REF!</v>
      </c>
      <c r="AI69" s="70" t="e">
        <f t="shared" si="42"/>
        <v>#REF!</v>
      </c>
      <c r="AJ69" s="70" t="e">
        <f t="shared" si="42"/>
        <v>#REF!</v>
      </c>
      <c r="AK69" s="70" t="e">
        <f t="shared" si="42"/>
        <v>#REF!</v>
      </c>
      <c r="AL69" s="70" t="e">
        <f t="shared" si="42"/>
        <v>#REF!</v>
      </c>
      <c r="AM69" s="70" t="e">
        <f t="shared" si="42"/>
        <v>#REF!</v>
      </c>
      <c r="AN69" s="70" t="e">
        <f t="shared" si="42"/>
        <v>#REF!</v>
      </c>
      <c r="AO69" s="70" t="e">
        <f t="shared" si="42"/>
        <v>#REF!</v>
      </c>
      <c r="AP69" s="70"/>
      <c r="AQ69" s="70"/>
      <c r="AR69" s="70" t="e">
        <f t="shared" ref="AR69:BA69" si="43">AR24+AR25+AR29+AR31</f>
        <v>#REF!</v>
      </c>
      <c r="AS69" s="70" t="e">
        <f t="shared" si="43"/>
        <v>#REF!</v>
      </c>
      <c r="AT69" s="70" t="e">
        <f t="shared" si="43"/>
        <v>#REF!</v>
      </c>
      <c r="AU69" s="70" t="e">
        <f t="shared" si="43"/>
        <v>#REF!</v>
      </c>
      <c r="AV69" s="70" t="e">
        <f t="shared" si="43"/>
        <v>#REF!</v>
      </c>
      <c r="AW69" s="70" t="e">
        <f t="shared" si="43"/>
        <v>#REF!</v>
      </c>
      <c r="AX69" s="70" t="e">
        <f t="shared" si="43"/>
        <v>#REF!</v>
      </c>
      <c r="AY69" s="70" t="e">
        <f t="shared" si="43"/>
        <v>#REF!</v>
      </c>
      <c r="AZ69" s="70" t="e">
        <f t="shared" si="43"/>
        <v>#REF!</v>
      </c>
      <c r="BA69" s="70" t="e">
        <f t="shared" si="43"/>
        <v>#REF!</v>
      </c>
    </row>
    <row r="70" spans="27:53" ht="12.75" hidden="1" customHeight="1">
      <c r="AA70" s="71" t="s">
        <v>41</v>
      </c>
      <c r="AB70" s="35"/>
      <c r="AF70" s="70" t="e">
        <f t="shared" ref="AF70:AO70" si="44">AF35+AF36+AF40+AF42</f>
        <v>#REF!</v>
      </c>
      <c r="AG70" s="70" t="e">
        <f t="shared" si="44"/>
        <v>#REF!</v>
      </c>
      <c r="AH70" s="70" t="e">
        <f t="shared" si="44"/>
        <v>#REF!</v>
      </c>
      <c r="AI70" s="70" t="e">
        <f t="shared" si="44"/>
        <v>#REF!</v>
      </c>
      <c r="AJ70" s="70" t="e">
        <f t="shared" si="44"/>
        <v>#REF!</v>
      </c>
      <c r="AK70" s="70" t="e">
        <f t="shared" si="44"/>
        <v>#REF!</v>
      </c>
      <c r="AL70" s="70" t="e">
        <f t="shared" si="44"/>
        <v>#REF!</v>
      </c>
      <c r="AM70" s="70" t="e">
        <f t="shared" si="44"/>
        <v>#REF!</v>
      </c>
      <c r="AN70" s="70" t="e">
        <f t="shared" si="44"/>
        <v>#REF!</v>
      </c>
      <c r="AO70" s="70" t="e">
        <f t="shared" si="44"/>
        <v>#REF!</v>
      </c>
      <c r="AP70" s="70"/>
      <c r="AQ70" s="70"/>
      <c r="AR70" s="70" t="e">
        <f t="shared" ref="AR70:BA70" si="45">AR35+AR36+AR40+AR42</f>
        <v>#REF!</v>
      </c>
      <c r="AS70" s="70" t="e">
        <f t="shared" si="45"/>
        <v>#REF!</v>
      </c>
      <c r="AT70" s="70" t="e">
        <f t="shared" si="45"/>
        <v>#REF!</v>
      </c>
      <c r="AU70" s="70" t="e">
        <f t="shared" si="45"/>
        <v>#REF!</v>
      </c>
      <c r="AV70" s="70" t="e">
        <f t="shared" si="45"/>
        <v>#REF!</v>
      </c>
      <c r="AW70" s="70" t="e">
        <f t="shared" si="45"/>
        <v>#REF!</v>
      </c>
      <c r="AX70" s="70" t="e">
        <f t="shared" si="45"/>
        <v>#REF!</v>
      </c>
      <c r="AY70" s="70" t="e">
        <f t="shared" si="45"/>
        <v>#REF!</v>
      </c>
      <c r="AZ70" s="70" t="e">
        <f t="shared" si="45"/>
        <v>#REF!</v>
      </c>
      <c r="BA70" s="70" t="e">
        <f t="shared" si="45"/>
        <v>#REF!</v>
      </c>
    </row>
    <row r="71" spans="27:53" ht="12.75" hidden="1" customHeight="1">
      <c r="AA71" s="71" t="s">
        <v>42</v>
      </c>
      <c r="AB71" s="35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</row>
    <row r="72" spans="27:53" ht="12.75" hidden="1" customHeight="1">
      <c r="AA72" s="69" t="s">
        <v>50</v>
      </c>
      <c r="AB72" s="35"/>
      <c r="AF72" s="70" t="e">
        <f t="shared" ref="AF72:AO72" si="46">AF13+AF14+AF18+AF21</f>
        <v>#REF!</v>
      </c>
      <c r="AG72" s="70" t="e">
        <f t="shared" si="46"/>
        <v>#REF!</v>
      </c>
      <c r="AH72" s="70" t="e">
        <f t="shared" si="46"/>
        <v>#REF!</v>
      </c>
      <c r="AI72" s="70" t="e">
        <f t="shared" si="46"/>
        <v>#REF!</v>
      </c>
      <c r="AJ72" s="70" t="e">
        <f t="shared" si="46"/>
        <v>#REF!</v>
      </c>
      <c r="AK72" s="70" t="e">
        <f t="shared" si="46"/>
        <v>#REF!</v>
      </c>
      <c r="AL72" s="70" t="e">
        <f t="shared" si="46"/>
        <v>#REF!</v>
      </c>
      <c r="AM72" s="70" t="e">
        <f t="shared" si="46"/>
        <v>#REF!</v>
      </c>
      <c r="AN72" s="70" t="e">
        <f t="shared" si="46"/>
        <v>#REF!</v>
      </c>
      <c r="AO72" s="70" t="e">
        <f t="shared" si="46"/>
        <v>#REF!</v>
      </c>
      <c r="AP72" s="70"/>
      <c r="AQ72" s="70"/>
      <c r="AR72" s="70" t="e">
        <f t="shared" ref="AR72:BA72" si="47">AR13+AR14+AR18+AR21</f>
        <v>#REF!</v>
      </c>
      <c r="AS72" s="70" t="e">
        <f t="shared" si="47"/>
        <v>#REF!</v>
      </c>
      <c r="AT72" s="70" t="e">
        <f t="shared" si="47"/>
        <v>#REF!</v>
      </c>
      <c r="AU72" s="70" t="e">
        <f t="shared" si="47"/>
        <v>#REF!</v>
      </c>
      <c r="AV72" s="70" t="e">
        <f t="shared" si="47"/>
        <v>#REF!</v>
      </c>
      <c r="AW72" s="70" t="e">
        <f t="shared" si="47"/>
        <v>#REF!</v>
      </c>
      <c r="AX72" s="70" t="e">
        <f t="shared" si="47"/>
        <v>#REF!</v>
      </c>
      <c r="AY72" s="70" t="e">
        <f t="shared" si="47"/>
        <v>#REF!</v>
      </c>
      <c r="AZ72" s="70" t="e">
        <f t="shared" si="47"/>
        <v>#REF!</v>
      </c>
      <c r="BA72" s="70" t="e">
        <f t="shared" si="47"/>
        <v>#REF!</v>
      </c>
    </row>
    <row r="73" spans="27:53" ht="12.75" hidden="1" customHeight="1">
      <c r="AA73" s="71" t="s">
        <v>29</v>
      </c>
      <c r="AB73" s="35"/>
      <c r="AF73" s="70" t="e">
        <f t="shared" ref="AF73:AO73" si="48">AF24+AF25+AF29+AF32</f>
        <v>#REF!</v>
      </c>
      <c r="AG73" s="70" t="e">
        <f t="shared" si="48"/>
        <v>#REF!</v>
      </c>
      <c r="AH73" s="70" t="e">
        <f t="shared" si="48"/>
        <v>#REF!</v>
      </c>
      <c r="AI73" s="70" t="e">
        <f t="shared" si="48"/>
        <v>#REF!</v>
      </c>
      <c r="AJ73" s="70" t="e">
        <f t="shared" si="48"/>
        <v>#REF!</v>
      </c>
      <c r="AK73" s="70" t="e">
        <f t="shared" si="48"/>
        <v>#REF!</v>
      </c>
      <c r="AL73" s="70" t="e">
        <f t="shared" si="48"/>
        <v>#REF!</v>
      </c>
      <c r="AM73" s="70" t="e">
        <f t="shared" si="48"/>
        <v>#REF!</v>
      </c>
      <c r="AN73" s="70" t="e">
        <f t="shared" si="48"/>
        <v>#REF!</v>
      </c>
      <c r="AO73" s="70" t="e">
        <f t="shared" si="48"/>
        <v>#REF!</v>
      </c>
      <c r="AP73" s="70"/>
      <c r="AQ73" s="70"/>
      <c r="AR73" s="70" t="e">
        <f t="shared" ref="AR73:BA73" si="49">AR24+AR25+AR29+AR32</f>
        <v>#REF!</v>
      </c>
      <c r="AS73" s="70" t="e">
        <f t="shared" si="49"/>
        <v>#REF!</v>
      </c>
      <c r="AT73" s="70" t="e">
        <f t="shared" si="49"/>
        <v>#REF!</v>
      </c>
      <c r="AU73" s="70" t="e">
        <f t="shared" si="49"/>
        <v>#REF!</v>
      </c>
      <c r="AV73" s="70" t="e">
        <f t="shared" si="49"/>
        <v>#REF!</v>
      </c>
      <c r="AW73" s="70" t="e">
        <f t="shared" si="49"/>
        <v>#REF!</v>
      </c>
      <c r="AX73" s="70" t="e">
        <f t="shared" si="49"/>
        <v>#REF!</v>
      </c>
      <c r="AY73" s="70" t="e">
        <f t="shared" si="49"/>
        <v>#REF!</v>
      </c>
      <c r="AZ73" s="70" t="e">
        <f t="shared" si="49"/>
        <v>#REF!</v>
      </c>
      <c r="BA73" s="70" t="e">
        <f t="shared" si="49"/>
        <v>#REF!</v>
      </c>
    </row>
    <row r="74" spans="27:53" ht="12.75" hidden="1" customHeight="1">
      <c r="AA74" s="71" t="s">
        <v>41</v>
      </c>
      <c r="AB74" s="35"/>
      <c r="AF74" s="70" t="e">
        <f t="shared" ref="AF74:AO74" si="50">AF35+AF36+AF40+AF43</f>
        <v>#REF!</v>
      </c>
      <c r="AG74" s="70" t="e">
        <f t="shared" si="50"/>
        <v>#REF!</v>
      </c>
      <c r="AH74" s="70" t="e">
        <f t="shared" si="50"/>
        <v>#REF!</v>
      </c>
      <c r="AI74" s="70" t="e">
        <f t="shared" si="50"/>
        <v>#REF!</v>
      </c>
      <c r="AJ74" s="70" t="e">
        <f t="shared" si="50"/>
        <v>#REF!</v>
      </c>
      <c r="AK74" s="70" t="e">
        <f t="shared" si="50"/>
        <v>#REF!</v>
      </c>
      <c r="AL74" s="70" t="e">
        <f t="shared" si="50"/>
        <v>#REF!</v>
      </c>
      <c r="AM74" s="70" t="e">
        <f t="shared" si="50"/>
        <v>#REF!</v>
      </c>
      <c r="AN74" s="70" t="e">
        <f t="shared" si="50"/>
        <v>#REF!</v>
      </c>
      <c r="AO74" s="70" t="e">
        <f t="shared" si="50"/>
        <v>#REF!</v>
      </c>
      <c r="AP74" s="70"/>
      <c r="AQ74" s="70"/>
      <c r="AR74" s="70" t="e">
        <f t="shared" ref="AR74:BA74" si="51">AR35+AR36+AR40+AR43</f>
        <v>#REF!</v>
      </c>
      <c r="AS74" s="70" t="e">
        <f t="shared" si="51"/>
        <v>#REF!</v>
      </c>
      <c r="AT74" s="70" t="e">
        <f t="shared" si="51"/>
        <v>#REF!</v>
      </c>
      <c r="AU74" s="70" t="e">
        <f t="shared" si="51"/>
        <v>#REF!</v>
      </c>
      <c r="AV74" s="70" t="e">
        <f t="shared" si="51"/>
        <v>#REF!</v>
      </c>
      <c r="AW74" s="70" t="e">
        <f t="shared" si="51"/>
        <v>#REF!</v>
      </c>
      <c r="AX74" s="70" t="e">
        <f t="shared" si="51"/>
        <v>#REF!</v>
      </c>
      <c r="AY74" s="70" t="e">
        <f t="shared" si="51"/>
        <v>#REF!</v>
      </c>
      <c r="AZ74" s="70" t="e">
        <f t="shared" si="51"/>
        <v>#REF!</v>
      </c>
      <c r="BA74" s="70" t="e">
        <f t="shared" si="51"/>
        <v>#REF!</v>
      </c>
    </row>
    <row r="75" spans="27:53" ht="12.75" hidden="1" customHeight="1">
      <c r="AA75" s="71" t="s">
        <v>42</v>
      </c>
      <c r="AB75" s="35"/>
    </row>
    <row r="76" spans="27:53" ht="12.75" hidden="1" customHeight="1"/>
    <row r="77" spans="27:53" ht="12.75" hidden="1" customHeight="1"/>
    <row r="78" spans="27:53" ht="12.75" hidden="1" customHeight="1"/>
    <row r="79" spans="27:53" ht="12.75" hidden="1" customHeight="1"/>
    <row r="80" spans="27:53" ht="12.75" hidden="1" customHeight="1"/>
    <row r="81" spans="1:52" ht="12.75" hidden="1" customHeight="1"/>
    <row r="82" spans="1:52" ht="12.75" hidden="1" customHeight="1"/>
    <row r="83" spans="1:52" ht="12.75" hidden="1" customHeight="1"/>
    <row r="85" spans="1:52">
      <c r="AN85" s="38"/>
      <c r="AZ85" s="36"/>
    </row>
    <row r="86" spans="1:52" ht="63.75" customHeight="1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51">
      <c r="A87" s="599"/>
      <c r="B87" s="599"/>
      <c r="C87" s="41" t="s">
        <v>66</v>
      </c>
      <c r="D87" s="41" t="s">
        <v>67</v>
      </c>
      <c r="E87" s="41" t="s">
        <v>68</v>
      </c>
      <c r="F87" s="435" t="s">
        <v>55</v>
      </c>
      <c r="G87" s="435" t="s">
        <v>73</v>
      </c>
      <c r="H87" s="435" t="s">
        <v>74</v>
      </c>
      <c r="I87" s="435" t="s">
        <v>58</v>
      </c>
      <c r="J87" s="435" t="s">
        <v>59</v>
      </c>
      <c r="K87" s="435" t="s">
        <v>60</v>
      </c>
      <c r="L87" s="434" t="s">
        <v>75</v>
      </c>
      <c r="M87" s="434" t="s">
        <v>76</v>
      </c>
      <c r="N87" s="434" t="s">
        <v>61</v>
      </c>
      <c r="O87" s="434" t="s">
        <v>62</v>
      </c>
      <c r="P87" s="434" t="s">
        <v>63</v>
      </c>
      <c r="AN87" s="38"/>
      <c r="AZ87" s="36"/>
    </row>
    <row r="88" spans="1:52" ht="25.5">
      <c r="A88" s="44" t="str">
        <f>A4</f>
        <v>Salt Creek Energization</v>
      </c>
      <c r="B88" s="45" t="str">
        <f>B4</f>
        <v>Light-Duty Truck, catalyst</v>
      </c>
      <c r="C88" s="46">
        <f>C4</f>
        <v>3</v>
      </c>
      <c r="D88" s="46">
        <v>35</v>
      </c>
      <c r="E88" s="46">
        <v>80</v>
      </c>
      <c r="F88" s="50">
        <f>C4*($E4*$F4+($G4))/453.59</f>
        <v>1.4571581576427601</v>
      </c>
      <c r="G88" s="50">
        <f>C4*($E4*$H4+($I4))/453.59</f>
        <v>0.13101197188313402</v>
      </c>
      <c r="H88" s="50">
        <f>C4*(($E4*$J4)+($K4)+($L4)+($E4*$N4)+(($M4+$O4)))/453.59</f>
        <v>0.15149994097185998</v>
      </c>
      <c r="I88" s="50">
        <f>C4*($E4*$P4+($Q4))/453.59</f>
        <v>2.1803910814818476E-3</v>
      </c>
      <c r="J88" s="50">
        <f>C4*(($E4*($R4+$T4+$U4))+($S4))/453.59</f>
        <v>2.5572271365623688E-2</v>
      </c>
      <c r="K88" s="50">
        <f>$C4*(($E4*($V4+$X4+$Y4))+($W4))/453.59</f>
        <v>1.1136015972759426E-2</v>
      </c>
      <c r="L88" s="50">
        <f>$B$21*C4*(E4+6)</f>
        <v>2.5315747758215698E-2</v>
      </c>
      <c r="M88" s="50">
        <f t="shared" ref="M88" si="52">0.41*L88</f>
        <v>1.0379456580868435E-2</v>
      </c>
      <c r="N88" s="50">
        <f>C4*($E4*$Z4+($AA4))/453.59</f>
        <v>166.27073017811671</v>
      </c>
      <c r="O88" s="50">
        <f>C4*($E4*$AB4+($AC4))/453.59</f>
        <v>9.5114261670907474E-3</v>
      </c>
      <c r="P88" s="50">
        <f>C4*($E4*$AD4+($AE4))/453.59</f>
        <v>1.7313359741530081E-2</v>
      </c>
      <c r="AN88" s="38"/>
      <c r="AZ88" s="36"/>
    </row>
    <row r="89" spans="1:52">
      <c r="A89" s="40" t="s">
        <v>389</v>
      </c>
      <c r="B89" s="40"/>
      <c r="C89" s="40"/>
      <c r="D89" s="40"/>
      <c r="E89" s="40"/>
      <c r="F89" s="81">
        <f t="shared" ref="F89:P89" si="53">SUM(F88:F88)</f>
        <v>1.4571581576427601</v>
      </c>
      <c r="G89" s="81">
        <f t="shared" si="53"/>
        <v>0.13101197188313402</v>
      </c>
      <c r="H89" s="81">
        <f t="shared" si="53"/>
        <v>0.15149994097185998</v>
      </c>
      <c r="I89" s="81">
        <f t="shared" si="53"/>
        <v>2.1803910814818476E-3</v>
      </c>
      <c r="J89" s="81">
        <f t="shared" si="53"/>
        <v>2.5572271365623688E-2</v>
      </c>
      <c r="K89" s="81">
        <f t="shared" si="53"/>
        <v>1.1136015972759426E-2</v>
      </c>
      <c r="L89" s="81">
        <f t="shared" si="53"/>
        <v>2.5315747758215698E-2</v>
      </c>
      <c r="M89" s="81">
        <f t="shared" si="53"/>
        <v>1.0379456580868435E-2</v>
      </c>
      <c r="N89" s="81">
        <f t="shared" si="53"/>
        <v>166.27073017811671</v>
      </c>
      <c r="O89" s="81">
        <f t="shared" si="53"/>
        <v>9.5114261670907474E-3</v>
      </c>
      <c r="P89" s="81">
        <f t="shared" si="53"/>
        <v>1.7313359741530081E-2</v>
      </c>
    </row>
  </sheetData>
  <mergeCells count="16">
    <mergeCell ref="AR10:BA10"/>
    <mergeCell ref="A86:A87"/>
    <mergeCell ref="B86:B87"/>
    <mergeCell ref="F86:P86"/>
    <mergeCell ref="R2:U2"/>
    <mergeCell ref="V2:Y2"/>
    <mergeCell ref="Z2:AA2"/>
    <mergeCell ref="AB2:AC2"/>
    <mergeCell ref="AD2:AE2"/>
    <mergeCell ref="AF10:AO10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1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37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0"/>
  <sheetViews>
    <sheetView zoomScale="75" zoomScaleNormal="75" workbookViewId="0">
      <selection activeCell="B27" sqref="B27:B28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32">
      <c r="A1" s="3" t="s">
        <v>891</v>
      </c>
    </row>
    <row r="3" spans="1:32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431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32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32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32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32" s="6" customFormat="1">
      <c r="A7" s="17" t="s">
        <v>313</v>
      </c>
      <c r="B7" s="29"/>
      <c r="C7" s="97"/>
      <c r="D7" s="97"/>
      <c r="E7" s="102"/>
      <c r="F7" s="102"/>
      <c r="G7" s="102"/>
      <c r="H7" s="102"/>
      <c r="I7" s="102"/>
      <c r="J7" s="100"/>
      <c r="K7" s="103"/>
      <c r="L7" s="102"/>
      <c r="M7" s="102"/>
      <c r="N7" s="98"/>
      <c r="O7" s="87"/>
      <c r="P7" s="363"/>
      <c r="Q7" s="34"/>
      <c r="R7" s="26"/>
      <c r="S7" s="26"/>
      <c r="T7" s="26"/>
      <c r="U7" s="26"/>
      <c r="V7" s="26"/>
      <c r="W7" s="26"/>
      <c r="X7" s="26"/>
      <c r="Y7" s="26"/>
      <c r="AF7" s="7"/>
    </row>
    <row r="8" spans="1:32" s="6" customFormat="1">
      <c r="A8" s="24" t="s">
        <v>312</v>
      </c>
      <c r="B8" s="29" t="s">
        <v>27</v>
      </c>
      <c r="C8" s="22">
        <v>175</v>
      </c>
      <c r="D8" s="22"/>
      <c r="E8" s="102">
        <v>0.11792220738547983</v>
      </c>
      <c r="F8" s="102">
        <v>0.36512193352152528</v>
      </c>
      <c r="G8" s="102">
        <v>0.86781464282266541</v>
      </c>
      <c r="H8" s="102">
        <v>1.8739217498104396E-3</v>
      </c>
      <c r="I8" s="102">
        <v>2.9041712295589866E-2</v>
      </c>
      <c r="J8" s="100">
        <f t="shared" ref="J8" si="0">0.89*I8</f>
        <v>2.5847123943074982E-2</v>
      </c>
      <c r="K8" s="103">
        <v>166.54541562452522</v>
      </c>
      <c r="L8" s="102">
        <v>1.063993297769634E-2</v>
      </c>
      <c r="M8" s="104">
        <f t="shared" ref="M8" si="1">0.095*G8</f>
        <v>8.2442391068153209E-2</v>
      </c>
      <c r="N8" s="98">
        <v>1</v>
      </c>
      <c r="O8" s="87">
        <v>2</v>
      </c>
      <c r="P8" s="363">
        <v>280</v>
      </c>
      <c r="Q8" s="34">
        <f t="shared" ref="Q8:Y8" si="2">(E8*$N8*$O8)</f>
        <v>0.23584441477095966</v>
      </c>
      <c r="R8" s="26">
        <f t="shared" si="2"/>
        <v>0.73024386704305055</v>
      </c>
      <c r="S8" s="26">
        <f t="shared" si="2"/>
        <v>1.7356292856453308</v>
      </c>
      <c r="T8" s="26">
        <f t="shared" si="2"/>
        <v>3.7478434996208792E-3</v>
      </c>
      <c r="U8" s="26">
        <f t="shared" si="2"/>
        <v>5.8083424591179732E-2</v>
      </c>
      <c r="V8" s="26">
        <f t="shared" si="2"/>
        <v>5.1694247886149965E-2</v>
      </c>
      <c r="W8" s="26">
        <f t="shared" si="2"/>
        <v>333.09083124905044</v>
      </c>
      <c r="X8" s="26">
        <f t="shared" si="2"/>
        <v>2.127986595539268E-2</v>
      </c>
      <c r="Y8" s="26">
        <f t="shared" si="2"/>
        <v>0.16488478213630642</v>
      </c>
      <c r="AF8" s="7"/>
    </row>
    <row r="9" spans="1:32" s="6" customFormat="1">
      <c r="A9" s="17" t="s">
        <v>28</v>
      </c>
      <c r="B9" s="29"/>
      <c r="C9" s="22"/>
      <c r="D9" s="22"/>
      <c r="E9" s="108"/>
      <c r="F9" s="108"/>
      <c r="G9" s="108"/>
      <c r="H9" s="108"/>
      <c r="I9" s="108"/>
      <c r="J9" s="100"/>
      <c r="K9" s="365"/>
      <c r="L9" s="110"/>
      <c r="M9" s="102"/>
      <c r="N9" s="98"/>
      <c r="O9" s="87"/>
      <c r="P9" s="363"/>
      <c r="Q9" s="101">
        <f t="shared" ref="Q9:Y9" si="3">SUM(Q8:Q8)</f>
        <v>0.23584441477095966</v>
      </c>
      <c r="R9" s="101">
        <f t="shared" si="3"/>
        <v>0.73024386704305055</v>
      </c>
      <c r="S9" s="101">
        <f t="shared" si="3"/>
        <v>1.7356292856453308</v>
      </c>
      <c r="T9" s="101">
        <f t="shared" si="3"/>
        <v>3.7478434996208792E-3</v>
      </c>
      <c r="U9" s="101">
        <f t="shared" si="3"/>
        <v>5.8083424591179732E-2</v>
      </c>
      <c r="V9" s="101">
        <f t="shared" si="3"/>
        <v>5.1694247886149965E-2</v>
      </c>
      <c r="W9" s="101">
        <f t="shared" si="3"/>
        <v>333.09083124905044</v>
      </c>
      <c r="X9" s="101">
        <f t="shared" si="3"/>
        <v>2.127986595539268E-2</v>
      </c>
      <c r="Y9" s="101">
        <f t="shared" si="3"/>
        <v>0.16488478213630642</v>
      </c>
      <c r="AF9" s="7"/>
    </row>
    <row r="10" spans="1:32">
      <c r="A10" s="122" t="s">
        <v>390</v>
      </c>
      <c r="B10" s="97"/>
      <c r="C10" s="22"/>
      <c r="D10" s="22"/>
      <c r="E10" s="23"/>
      <c r="F10" s="23"/>
      <c r="G10" s="23"/>
      <c r="H10" s="23"/>
      <c r="I10" s="23"/>
      <c r="J10" s="24"/>
      <c r="K10" s="25"/>
      <c r="L10" s="23"/>
      <c r="M10" s="23"/>
      <c r="N10" s="88"/>
      <c r="O10" s="88"/>
      <c r="P10" s="88"/>
      <c r="Q10" s="20"/>
      <c r="R10" s="20"/>
      <c r="S10" s="20"/>
      <c r="T10" s="20"/>
      <c r="U10" s="20"/>
      <c r="V10" s="20"/>
      <c r="W10" s="20"/>
      <c r="X10" s="20"/>
      <c r="Y10" s="20"/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37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45"/>
  <sheetViews>
    <sheetView zoomScale="75" workbookViewId="0">
      <selection activeCell="G9" sqref="G9:S9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892</v>
      </c>
    </row>
    <row r="2" spans="1:30">
      <c r="C2" s="442"/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439" t="s">
        <v>55</v>
      </c>
      <c r="H6" s="439" t="s">
        <v>56</v>
      </c>
      <c r="I6" s="434" t="s">
        <v>57</v>
      </c>
      <c r="J6" s="439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439" t="s">
        <v>61</v>
      </c>
      <c r="R6" s="434" t="s">
        <v>62</v>
      </c>
      <c r="S6" s="43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437" t="s">
        <v>69</v>
      </c>
      <c r="H7" s="41" t="s">
        <v>69</v>
      </c>
      <c r="I7" s="41" t="s">
        <v>69</v>
      </c>
      <c r="J7" s="41" t="s">
        <v>69</v>
      </c>
      <c r="K7" s="434" t="s">
        <v>69</v>
      </c>
      <c r="L7" s="434" t="s">
        <v>71</v>
      </c>
      <c r="M7" s="434" t="s">
        <v>72</v>
      </c>
      <c r="N7" s="434" t="s">
        <v>69</v>
      </c>
      <c r="O7" s="434" t="s">
        <v>71</v>
      </c>
      <c r="P7" s="434" t="s">
        <v>72</v>
      </c>
      <c r="Q7" s="41" t="s">
        <v>69</v>
      </c>
      <c r="R7" s="434" t="s">
        <v>69</v>
      </c>
      <c r="S7" s="43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>
      <c r="A8" s="17" t="s">
        <v>313</v>
      </c>
      <c r="B8" s="74"/>
      <c r="C8" s="433"/>
      <c r="D8" s="112"/>
      <c r="E8" s="74"/>
      <c r="F8" s="74"/>
      <c r="G8" s="437"/>
      <c r="H8" s="41"/>
      <c r="I8" s="41"/>
      <c r="J8" s="41"/>
      <c r="K8" s="434"/>
      <c r="L8" s="434"/>
      <c r="M8" s="434"/>
      <c r="N8" s="434"/>
      <c r="O8" s="434"/>
      <c r="P8" s="434"/>
      <c r="Q8" s="41"/>
      <c r="R8" s="434"/>
      <c r="S8" s="43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C9*(F9)*$B$352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5"/>
      <c r="B10" s="76"/>
      <c r="C10" s="77"/>
      <c r="D10" s="77"/>
      <c r="E10" s="77"/>
      <c r="F10" s="77"/>
      <c r="G10" s="440"/>
      <c r="H10" s="441"/>
      <c r="I10" s="441"/>
      <c r="J10" s="441"/>
      <c r="K10" s="106"/>
      <c r="L10" s="47"/>
      <c r="M10" s="47"/>
      <c r="N10" s="106"/>
      <c r="O10" s="47"/>
      <c r="P10" s="47"/>
      <c r="Q10" s="441"/>
      <c r="R10" s="47"/>
      <c r="S10" s="8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</row>
    <row r="11" spans="1:30">
      <c r="A11" s="75" t="s">
        <v>388</v>
      </c>
      <c r="B11" s="74"/>
      <c r="C11" s="112"/>
      <c r="D11" s="112"/>
      <c r="E11" s="74"/>
      <c r="F11" s="74"/>
      <c r="G11" s="437"/>
      <c r="H11" s="41"/>
      <c r="I11" s="41"/>
      <c r="J11" s="41"/>
      <c r="K11" s="434"/>
      <c r="L11" s="434"/>
      <c r="M11" s="434"/>
      <c r="N11" s="434"/>
      <c r="O11" s="434"/>
      <c r="P11" s="434"/>
      <c r="Q11" s="41"/>
      <c r="R11" s="434"/>
      <c r="S11" s="434"/>
      <c r="T11" s="81">
        <f>T9</f>
        <v>9.9891275533645019E-2</v>
      </c>
      <c r="U11" s="81">
        <f t="shared" ref="U11:AD11" si="0">U9</f>
        <v>0.18440937782971867</v>
      </c>
      <c r="V11" s="81">
        <f t="shared" si="0"/>
        <v>2.253067276294635E-2</v>
      </c>
      <c r="W11" s="81">
        <f t="shared" si="0"/>
        <v>1.3898613406074772E-3</v>
      </c>
      <c r="X11" s="81">
        <f t="shared" si="0"/>
        <v>3.6369464870151122E-2</v>
      </c>
      <c r="Y11" s="81">
        <f t="shared" si="0"/>
        <v>2.4166098982977401E-2</v>
      </c>
      <c r="Z11" s="81">
        <f t="shared" si="0"/>
        <v>0</v>
      </c>
      <c r="AA11" s="81">
        <f t="shared" si="0"/>
        <v>0</v>
      </c>
      <c r="AB11" s="81">
        <f t="shared" si="0"/>
        <v>96.814105590256631</v>
      </c>
      <c r="AC11" s="81">
        <f t="shared" si="0"/>
        <v>5.5322484357440338E-3</v>
      </c>
      <c r="AD11" s="81">
        <f t="shared" si="0"/>
        <v>2.4799901288000137E-3</v>
      </c>
    </row>
    <row r="333" spans="1:1" ht="25.5">
      <c r="A333" s="82" t="s">
        <v>109</v>
      </c>
    </row>
    <row r="335" spans="1:1">
      <c r="A335" s="36" t="s">
        <v>81</v>
      </c>
    </row>
    <row r="336" spans="1:1">
      <c r="A336" s="36" t="s">
        <v>82</v>
      </c>
    </row>
    <row r="337" spans="1:2">
      <c r="A337" s="36" t="s">
        <v>83</v>
      </c>
    </row>
    <row r="338" spans="1:2">
      <c r="A338" s="37" t="s">
        <v>96</v>
      </c>
    </row>
    <row r="339" spans="1:2">
      <c r="A339" s="36" t="s">
        <v>85</v>
      </c>
    </row>
    <row r="340" spans="1:2">
      <c r="A340" s="36" t="s">
        <v>86</v>
      </c>
    </row>
    <row r="341" spans="1:2">
      <c r="A341" s="36" t="s">
        <v>87</v>
      </c>
    </row>
    <row r="342" spans="1:2">
      <c r="A342" s="36" t="s">
        <v>0</v>
      </c>
    </row>
    <row r="343" spans="1:2">
      <c r="A343" s="37" t="s">
        <v>97</v>
      </c>
      <c r="B343" s="36">
        <f>(0.016*(0.03/2)^0.65*(2/3)^1.5)-0.00047</f>
        <v>9.8123053326417428E-5</v>
      </c>
    </row>
    <row r="344" spans="1:2">
      <c r="A344" s="37" t="s">
        <v>98</v>
      </c>
      <c r="B344" s="36">
        <f>(0.016*(0.03/2)^0.65*(13/3)^1.5)-0.00047</f>
        <v>8.9448292388582783E-3</v>
      </c>
    </row>
    <row r="345" spans="1:2">
      <c r="A345" s="37" t="s">
        <v>99</v>
      </c>
      <c r="B345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1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37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F96" sqref="F96:F97"/>
    </sheetView>
  </sheetViews>
  <sheetFormatPr defaultRowHeight="12.75"/>
  <cols>
    <col min="1" max="1" width="33" style="36" customWidth="1"/>
    <col min="2" max="3" width="22.42578125" style="36" customWidth="1"/>
    <col min="4" max="4" width="10.28515625" style="36" bestFit="1" customWidth="1"/>
    <col min="5" max="5" width="9.28515625" style="36" bestFit="1" customWidth="1"/>
    <col min="6" max="17" width="11.7109375" style="36" bestFit="1" customWidth="1"/>
    <col min="18" max="18" width="10.7109375" style="36" bestFit="1" customWidth="1"/>
    <col min="19" max="21" width="11.7109375" style="36" bestFit="1" customWidth="1"/>
    <col min="22" max="22" width="10.7109375" style="36" bestFit="1" customWidth="1"/>
    <col min="23" max="23" width="11.7109375" style="36" bestFit="1" customWidth="1"/>
    <col min="24" max="25" width="10.7109375" style="36" bestFit="1" customWidth="1"/>
    <col min="26" max="27" width="11.7109375" style="36" bestFit="1" customWidth="1"/>
    <col min="28" max="28" width="9.28515625" style="36" bestFit="1" customWidth="1"/>
    <col min="29" max="29" width="11.7109375" style="36" bestFit="1" customWidth="1"/>
    <col min="30" max="30" width="9.28515625" style="36" bestFit="1" customWidth="1"/>
    <col min="31" max="31" width="11.710937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893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 customHeight="1">
      <c r="A3" s="599"/>
      <c r="B3" s="599"/>
      <c r="C3" s="41" t="s">
        <v>66</v>
      </c>
      <c r="D3" s="41" t="s">
        <v>67</v>
      </c>
      <c r="E3" s="41" t="s">
        <v>68</v>
      </c>
      <c r="F3" s="43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434" t="s">
        <v>69</v>
      </c>
      <c r="S3" s="42" t="s">
        <v>118</v>
      </c>
      <c r="T3" s="434" t="s">
        <v>71</v>
      </c>
      <c r="U3" s="434" t="s">
        <v>72</v>
      </c>
      <c r="V3" s="434" t="s">
        <v>69</v>
      </c>
      <c r="W3" s="42" t="s">
        <v>118</v>
      </c>
      <c r="X3" s="434" t="s">
        <v>71</v>
      </c>
      <c r="Y3" s="434" t="s">
        <v>72</v>
      </c>
      <c r="Z3" s="41" t="s">
        <v>69</v>
      </c>
      <c r="AA3" s="42" t="s">
        <v>118</v>
      </c>
      <c r="AB3" s="434" t="s">
        <v>69</v>
      </c>
      <c r="AC3" s="42" t="s">
        <v>118</v>
      </c>
      <c r="AD3" s="434" t="s">
        <v>69</v>
      </c>
      <c r="AE3" s="42" t="s">
        <v>118</v>
      </c>
    </row>
    <row r="4" spans="1:67" ht="25.5">
      <c r="A4" s="24" t="s">
        <v>313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504</v>
      </c>
      <c r="B6" s="37"/>
      <c r="C6" s="3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84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9"/>
      <c r="AS7" s="59"/>
      <c r="AT7" s="59"/>
      <c r="AU7" s="59"/>
      <c r="AV7" s="59"/>
      <c r="AW7" s="59"/>
      <c r="AX7" s="59"/>
      <c r="AY7" s="59"/>
      <c r="AZ7" s="60"/>
      <c r="BA7" s="59"/>
    </row>
    <row r="8" spans="1:67" ht="38.25" hidden="1" customHeight="1">
      <c r="A8" s="55" t="s">
        <v>78</v>
      </c>
      <c r="B8" s="37"/>
      <c r="C8" s="37"/>
      <c r="AA8" s="57"/>
      <c r="AB8" s="57"/>
      <c r="AC8" s="57"/>
      <c r="AD8" s="57"/>
      <c r="AE8" s="57"/>
      <c r="AF8" s="57" t="e">
        <f>#REF!/60</f>
        <v>#REF!</v>
      </c>
      <c r="AG8" s="57" t="e">
        <f>#REF!/60</f>
        <v>#REF!</v>
      </c>
      <c r="AH8" s="57" t="e">
        <f>#REF!/60</f>
        <v>#REF!</v>
      </c>
      <c r="AI8" s="57" t="e">
        <f>#REF!/60</f>
        <v>#REF!</v>
      </c>
      <c r="AJ8" s="57" t="e">
        <f>#REF!/60</f>
        <v>#REF!</v>
      </c>
      <c r="AK8" s="57" t="e">
        <f>#REF!/60</f>
        <v>#REF!</v>
      </c>
      <c r="AL8" s="57" t="e">
        <f>#REF!/60</f>
        <v>#REF!</v>
      </c>
      <c r="AM8" s="57" t="e">
        <f>#REF!/60</f>
        <v>#REF!</v>
      </c>
      <c r="AN8" s="57" t="e">
        <f>#REF!/60</f>
        <v>#REF!</v>
      </c>
      <c r="AO8" s="57" t="e">
        <f>#REF!/60</f>
        <v>#REF!</v>
      </c>
      <c r="AP8" s="57"/>
      <c r="AQ8" s="57"/>
      <c r="AR8" s="57" t="e">
        <f>#REF!/60</f>
        <v>#REF!</v>
      </c>
      <c r="AS8" s="57" t="e">
        <f>#REF!/60</f>
        <v>#REF!</v>
      </c>
      <c r="AT8" s="57" t="e">
        <f>#REF!/60</f>
        <v>#REF!</v>
      </c>
      <c r="AU8" s="57" t="e">
        <f>#REF!/60</f>
        <v>#REF!</v>
      </c>
      <c r="AV8" s="57" t="e">
        <f>#REF!/60</f>
        <v>#REF!</v>
      </c>
      <c r="AW8" s="57" t="e">
        <f>#REF!/60</f>
        <v>#REF!</v>
      </c>
      <c r="AX8" s="57" t="e">
        <f>#REF!/60</f>
        <v>#REF!</v>
      </c>
      <c r="AY8" s="57" t="e">
        <f>#REF!/60</f>
        <v>#REF!</v>
      </c>
      <c r="AZ8" s="57" t="e">
        <f>#REF!/60</f>
        <v>#REF!</v>
      </c>
      <c r="BA8" s="57" t="e">
        <f>#REF!/60</f>
        <v>#REF!</v>
      </c>
    </row>
    <row r="9" spans="1:67" ht="12.75" hidden="1" customHeight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12.75" hidden="1" customHeight="1">
      <c r="A10" s="55"/>
      <c r="B10" s="37"/>
      <c r="C10" s="37"/>
      <c r="AA10" s="57"/>
      <c r="AB10" s="57"/>
      <c r="AC10" s="57"/>
      <c r="AD10" s="57"/>
      <c r="AE10" s="57"/>
      <c r="AF10" s="596" t="s">
        <v>64</v>
      </c>
      <c r="AG10" s="596"/>
      <c r="AH10" s="596"/>
      <c r="AI10" s="596"/>
      <c r="AJ10" s="596"/>
      <c r="AK10" s="597"/>
      <c r="AL10" s="597"/>
      <c r="AM10" s="597"/>
      <c r="AN10" s="597"/>
      <c r="AO10" s="597"/>
      <c r="AP10" s="436"/>
      <c r="AQ10" s="56"/>
      <c r="AR10" s="596" t="s">
        <v>65</v>
      </c>
      <c r="AS10" s="596"/>
      <c r="AT10" s="596"/>
      <c r="AU10" s="596"/>
      <c r="AV10" s="596"/>
      <c r="AW10" s="597"/>
      <c r="AX10" s="597"/>
      <c r="AY10" s="597"/>
      <c r="AZ10" s="597"/>
      <c r="BA10" s="597"/>
    </row>
    <row r="11" spans="1:67" ht="63.75" hidden="1" customHeight="1">
      <c r="A11" s="37"/>
      <c r="B11" s="37"/>
      <c r="C11" s="37"/>
      <c r="AF11" s="61" t="s">
        <v>55</v>
      </c>
      <c r="AG11" s="61" t="s">
        <v>73</v>
      </c>
      <c r="AH11" s="61" t="s">
        <v>74</v>
      </c>
      <c r="AI11" s="61" t="s">
        <v>58</v>
      </c>
      <c r="AJ11" s="61" t="s">
        <v>59</v>
      </c>
      <c r="AK11" s="61" t="s">
        <v>60</v>
      </c>
      <c r="AL11" s="62" t="s">
        <v>75</v>
      </c>
      <c r="AM11" s="62" t="s">
        <v>76</v>
      </c>
      <c r="AN11" s="62" t="s">
        <v>61</v>
      </c>
      <c r="AO11" s="62" t="s">
        <v>62</v>
      </c>
      <c r="AP11" s="62"/>
      <c r="AQ11" s="43"/>
      <c r="AR11" s="61" t="s">
        <v>55</v>
      </c>
      <c r="AS11" s="61" t="s">
        <v>73</v>
      </c>
      <c r="AT11" s="61" t="s">
        <v>74</v>
      </c>
      <c r="AU11" s="61" t="s">
        <v>58</v>
      </c>
      <c r="AV11" s="61" t="s">
        <v>59</v>
      </c>
      <c r="AW11" s="61" t="s">
        <v>60</v>
      </c>
      <c r="AX11" s="62" t="s">
        <v>75</v>
      </c>
      <c r="AY11" s="62" t="s">
        <v>76</v>
      </c>
      <c r="AZ11" s="63" t="s">
        <v>61</v>
      </c>
      <c r="BA11" s="61" t="s">
        <v>62</v>
      </c>
    </row>
    <row r="12" spans="1:67" ht="12.75" hidden="1" customHeight="1">
      <c r="A12" s="37"/>
      <c r="B12" s="37"/>
      <c r="C12" s="37"/>
      <c r="AQ12" s="38"/>
    </row>
    <row r="13" spans="1:67" ht="12.75" hidden="1" customHeight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F13" s="36" t="e">
        <f>AF$8*$AC13</f>
        <v>#REF!</v>
      </c>
      <c r="AG13" s="36" t="e">
        <f t="shared" ref="AG13:AO21" si="2">AG$8*$AC13</f>
        <v>#REF!</v>
      </c>
      <c r="AH13" s="36" t="e">
        <f t="shared" si="2"/>
        <v>#REF!</v>
      </c>
      <c r="AI13" s="36" t="e">
        <f t="shared" si="2"/>
        <v>#REF!</v>
      </c>
      <c r="AJ13" s="36" t="e">
        <f t="shared" si="2"/>
        <v>#REF!</v>
      </c>
      <c r="AK13" s="36" t="e">
        <f t="shared" si="2"/>
        <v>#REF!</v>
      </c>
      <c r="AL13" s="36" t="e">
        <f t="shared" si="2"/>
        <v>#REF!</v>
      </c>
      <c r="AM13" s="36" t="e">
        <f t="shared" si="2"/>
        <v>#REF!</v>
      </c>
      <c r="AN13" s="36" t="e">
        <f t="shared" si="2"/>
        <v>#REF!</v>
      </c>
      <c r="AO13" s="36" t="e">
        <f t="shared" si="2"/>
        <v>#REF!</v>
      </c>
      <c r="AQ13" s="38"/>
      <c r="AR13" s="36" t="e">
        <f>AR$8*$AC13</f>
        <v>#REF!</v>
      </c>
      <c r="AS13" s="36" t="e">
        <f t="shared" ref="AS13:BA21" si="3">AS$8*$AC13</f>
        <v>#REF!</v>
      </c>
      <c r="AT13" s="36" t="e">
        <f t="shared" si="3"/>
        <v>#REF!</v>
      </c>
      <c r="AU13" s="36" t="e">
        <f t="shared" si="3"/>
        <v>#REF!</v>
      </c>
      <c r="AV13" s="36" t="e">
        <f t="shared" si="3"/>
        <v>#REF!</v>
      </c>
      <c r="AW13" s="36" t="e">
        <f t="shared" si="3"/>
        <v>#REF!</v>
      </c>
      <c r="AX13" s="36" t="e">
        <f t="shared" si="3"/>
        <v>#REF!</v>
      </c>
      <c r="AY13" s="36" t="e">
        <f t="shared" si="3"/>
        <v>#REF!</v>
      </c>
      <c r="AZ13" s="36" t="e">
        <f t="shared" si="3"/>
        <v>#REF!</v>
      </c>
      <c r="BA13" s="36" t="e">
        <f t="shared" si="3"/>
        <v>#REF!</v>
      </c>
    </row>
    <row r="14" spans="1:67" ht="12.75" hidden="1" customHeight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 t="shared" ref="AF14:AF21" si="4">AF$8*$AC14</f>
        <v>#REF!</v>
      </c>
      <c r="AG14" s="36" t="e">
        <f t="shared" si="2"/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 t="shared" ref="AR14:AR21" si="5">AR$8*$AC14</f>
        <v>#REF!</v>
      </c>
      <c r="AS14" s="36" t="e">
        <f t="shared" si="3"/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t="12.75" hidden="1" customHeight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si="4"/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si="5"/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t="12.75" hidden="1" customHeight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t="12.75" hidden="1" customHeight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t="12.75" hidden="1" customHeight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t="12.75" hidden="1" customHeight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t="12.75" hidden="1" customHeight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t="12.75" hidden="1" customHeight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t="12.75" hidden="1" customHeight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Q22" s="38"/>
    </row>
    <row r="23" spans="1:53" ht="12.75" hidden="1" customHeight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t="12.75" hidden="1" customHeight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F24" s="36" t="e">
        <f t="shared" ref="AF24:AO32" si="6">AF$8*$AC24</f>
        <v>#REF!</v>
      </c>
      <c r="AG24" s="36" t="e">
        <f t="shared" si="6"/>
        <v>#REF!</v>
      </c>
      <c r="AH24" s="36" t="e">
        <f t="shared" si="6"/>
        <v>#REF!</v>
      </c>
      <c r="AI24" s="36" t="e">
        <f t="shared" si="6"/>
        <v>#REF!</v>
      </c>
      <c r="AJ24" s="36" t="e">
        <f t="shared" si="6"/>
        <v>#REF!</v>
      </c>
      <c r="AK24" s="36" t="e">
        <f t="shared" si="6"/>
        <v>#REF!</v>
      </c>
      <c r="AL24" s="36" t="e">
        <f t="shared" si="6"/>
        <v>#REF!</v>
      </c>
      <c r="AM24" s="36" t="e">
        <f t="shared" si="6"/>
        <v>#REF!</v>
      </c>
      <c r="AN24" s="36" t="e">
        <f t="shared" si="6"/>
        <v>#REF!</v>
      </c>
      <c r="AO24" s="36" t="e">
        <f t="shared" si="6"/>
        <v>#REF!</v>
      </c>
      <c r="AQ24" s="38"/>
      <c r="AR24" s="36" t="e">
        <f t="shared" ref="AR24:BA32" si="7">AR$8*$AC24</f>
        <v>#REF!</v>
      </c>
      <c r="AS24" s="36" t="e">
        <f t="shared" si="7"/>
        <v>#REF!</v>
      </c>
      <c r="AT24" s="36" t="e">
        <f t="shared" si="7"/>
        <v>#REF!</v>
      </c>
      <c r="AU24" s="36" t="e">
        <f t="shared" si="7"/>
        <v>#REF!</v>
      </c>
      <c r="AV24" s="36" t="e">
        <f t="shared" si="7"/>
        <v>#REF!</v>
      </c>
      <c r="AW24" s="36" t="e">
        <f t="shared" si="7"/>
        <v>#REF!</v>
      </c>
      <c r="AX24" s="36" t="e">
        <f t="shared" si="7"/>
        <v>#REF!</v>
      </c>
      <c r="AY24" s="36" t="e">
        <f t="shared" si="7"/>
        <v>#REF!</v>
      </c>
      <c r="AZ24" s="36" t="e">
        <f t="shared" si="7"/>
        <v>#REF!</v>
      </c>
      <c r="BA24" s="36" t="e">
        <f t="shared" si="7"/>
        <v>#REF!</v>
      </c>
    </row>
    <row r="25" spans="1:53" ht="12.75" hidden="1" customHeight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si="6"/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si="7"/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t="12.75" hidden="1" customHeight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t="12.75" hidden="1" customHeight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t="12.75" hidden="1" customHeight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t="12.75" hidden="1" customHeight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t="12.75" hidden="1" customHeight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t="12.75" hidden="1" customHeight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t="12.75" hidden="1" customHeight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t="12.75" hidden="1" customHeight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Q33" s="38"/>
    </row>
    <row r="34" spans="1:53" ht="12.75" hidden="1" customHeight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t="12.75" hidden="1" customHeight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F35" s="36" t="e">
        <f t="shared" ref="AF35:AO43" si="8">AF$8*$AC35</f>
        <v>#REF!</v>
      </c>
      <c r="AG35" s="36" t="e">
        <f t="shared" si="8"/>
        <v>#REF!</v>
      </c>
      <c r="AH35" s="36" t="e">
        <f t="shared" si="8"/>
        <v>#REF!</v>
      </c>
      <c r="AI35" s="36" t="e">
        <f t="shared" si="8"/>
        <v>#REF!</v>
      </c>
      <c r="AJ35" s="36" t="e">
        <f t="shared" si="8"/>
        <v>#REF!</v>
      </c>
      <c r="AK35" s="36" t="e">
        <f t="shared" si="8"/>
        <v>#REF!</v>
      </c>
      <c r="AL35" s="36" t="e">
        <f t="shared" si="8"/>
        <v>#REF!</v>
      </c>
      <c r="AM35" s="36" t="e">
        <f t="shared" si="8"/>
        <v>#REF!</v>
      </c>
      <c r="AN35" s="36" t="e">
        <f t="shared" si="8"/>
        <v>#REF!</v>
      </c>
      <c r="AO35" s="36" t="e">
        <f t="shared" si="8"/>
        <v>#REF!</v>
      </c>
      <c r="AQ35" s="38"/>
      <c r="AR35" s="36" t="e">
        <f t="shared" ref="AR35:BA43" si="9">AR$8*$AC35</f>
        <v>#REF!</v>
      </c>
      <c r="AS35" s="36" t="e">
        <f t="shared" si="9"/>
        <v>#REF!</v>
      </c>
      <c r="AT35" s="36" t="e">
        <f t="shared" si="9"/>
        <v>#REF!</v>
      </c>
      <c r="AU35" s="36" t="e">
        <f t="shared" si="9"/>
        <v>#REF!</v>
      </c>
      <c r="AV35" s="36" t="e">
        <f t="shared" si="9"/>
        <v>#REF!</v>
      </c>
      <c r="AW35" s="36" t="e">
        <f t="shared" si="9"/>
        <v>#REF!</v>
      </c>
      <c r="AX35" s="36" t="e">
        <f t="shared" si="9"/>
        <v>#REF!</v>
      </c>
      <c r="AY35" s="36" t="e">
        <f t="shared" si="9"/>
        <v>#REF!</v>
      </c>
      <c r="AZ35" s="36" t="e">
        <f t="shared" si="9"/>
        <v>#REF!</v>
      </c>
      <c r="BA35" s="36" t="e">
        <f t="shared" si="9"/>
        <v>#REF!</v>
      </c>
    </row>
    <row r="36" spans="1:53" ht="12.75" hidden="1" customHeight="1">
      <c r="AA36" s="64"/>
      <c r="AB36" s="65" t="s">
        <v>32</v>
      </c>
      <c r="AC36" s="65">
        <v>0</v>
      </c>
      <c r="AD36" s="65"/>
      <c r="AE36" s="65"/>
      <c r="AF36" s="36" t="e">
        <f t="shared" si="8"/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si="9"/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t="12.75" hidden="1" customHeight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t="12.75" hidden="1" customHeight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t="12.75" hidden="1" customHeight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t="12.75" hidden="1" customHeight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t="12.75" hidden="1" customHeight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t="12.75" hidden="1" customHeight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t="12.75" hidden="1" customHeight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t="12.75" hidden="1" customHeight="1">
      <c r="AA44" s="64"/>
      <c r="AB44" s="65" t="s">
        <v>40</v>
      </c>
      <c r="AC44" s="65">
        <v>14.14584</v>
      </c>
      <c r="AD44" s="65"/>
      <c r="AE44" s="65"/>
      <c r="AQ44" s="38"/>
    </row>
    <row r="45" spans="1:53" ht="12.75" hidden="1" customHeight="1">
      <c r="AQ45" s="38"/>
    </row>
    <row r="46" spans="1:53" ht="63.75" hidden="1" customHeight="1">
      <c r="AF46" s="61" t="s">
        <v>55</v>
      </c>
      <c r="AG46" s="61" t="s">
        <v>73</v>
      </c>
      <c r="AH46" s="61" t="s">
        <v>57</v>
      </c>
      <c r="AI46" s="61" t="s">
        <v>58</v>
      </c>
      <c r="AJ46" s="61" t="s">
        <v>59</v>
      </c>
      <c r="AK46" s="61" t="s">
        <v>60</v>
      </c>
      <c r="AL46" s="62" t="s">
        <v>75</v>
      </c>
      <c r="AM46" s="62" t="s">
        <v>76</v>
      </c>
      <c r="AN46" s="62" t="s">
        <v>61</v>
      </c>
      <c r="AO46" s="62" t="s">
        <v>62</v>
      </c>
      <c r="AP46" s="62"/>
      <c r="AQ46" s="43"/>
      <c r="AR46" s="61" t="s">
        <v>55</v>
      </c>
      <c r="AS46" s="61" t="s">
        <v>73</v>
      </c>
      <c r="AT46" s="61" t="s">
        <v>74</v>
      </c>
      <c r="AU46" s="61" t="s">
        <v>58</v>
      </c>
      <c r="AV46" s="61" t="s">
        <v>59</v>
      </c>
      <c r="AW46" s="61" t="s">
        <v>60</v>
      </c>
      <c r="AX46" s="62" t="s">
        <v>75</v>
      </c>
      <c r="AY46" s="62" t="s">
        <v>76</v>
      </c>
      <c r="AZ46" s="63" t="s">
        <v>61</v>
      </c>
      <c r="BA46" s="61" t="s">
        <v>62</v>
      </c>
    </row>
    <row r="47" spans="1:53" ht="12.75" hidden="1" customHeight="1">
      <c r="AA47" s="66" t="s">
        <v>43</v>
      </c>
      <c r="AB47" s="67"/>
      <c r="AC47" s="68"/>
      <c r="AD47" s="68"/>
      <c r="AE47" s="68"/>
      <c r="AG47" s="70"/>
      <c r="AQ47" s="38"/>
    </row>
    <row r="48" spans="1:53" ht="12.75" hidden="1" customHeight="1">
      <c r="AA48" s="69" t="s">
        <v>44</v>
      </c>
      <c r="AB48" s="35"/>
      <c r="AF48" s="70" t="e">
        <f t="shared" ref="AF48:AO48" si="10">AF13+AF15+AF16</f>
        <v>#REF!</v>
      </c>
      <c r="AG48" s="70" t="e">
        <f t="shared" si="10"/>
        <v>#REF!</v>
      </c>
      <c r="AH48" s="70" t="e">
        <f t="shared" si="10"/>
        <v>#REF!</v>
      </c>
      <c r="AI48" s="70" t="e">
        <f t="shared" si="10"/>
        <v>#REF!</v>
      </c>
      <c r="AJ48" s="70" t="e">
        <f t="shared" si="10"/>
        <v>#REF!</v>
      </c>
      <c r="AK48" s="70" t="e">
        <f t="shared" si="10"/>
        <v>#REF!</v>
      </c>
      <c r="AL48" s="70" t="e">
        <f t="shared" si="10"/>
        <v>#REF!</v>
      </c>
      <c r="AM48" s="70" t="e">
        <f t="shared" si="10"/>
        <v>#REF!</v>
      </c>
      <c r="AN48" s="70" t="e">
        <f t="shared" si="10"/>
        <v>#REF!</v>
      </c>
      <c r="AO48" s="70" t="e">
        <f t="shared" si="10"/>
        <v>#REF!</v>
      </c>
      <c r="AP48" s="70"/>
      <c r="AQ48" s="70"/>
      <c r="AR48" s="70" t="e">
        <f t="shared" ref="AR48:BA48" si="11">AR13+AR15+AR16</f>
        <v>#REF!</v>
      </c>
      <c r="AS48" s="70" t="e">
        <f t="shared" si="11"/>
        <v>#REF!</v>
      </c>
      <c r="AT48" s="70" t="e">
        <f t="shared" si="11"/>
        <v>#REF!</v>
      </c>
      <c r="AU48" s="70" t="e">
        <f t="shared" si="11"/>
        <v>#REF!</v>
      </c>
      <c r="AV48" s="70" t="e">
        <f t="shared" si="11"/>
        <v>#REF!</v>
      </c>
      <c r="AW48" s="70" t="e">
        <f t="shared" si="11"/>
        <v>#REF!</v>
      </c>
      <c r="AX48" s="70" t="e">
        <f t="shared" si="11"/>
        <v>#REF!</v>
      </c>
      <c r="AY48" s="70" t="e">
        <f t="shared" si="11"/>
        <v>#REF!</v>
      </c>
      <c r="AZ48" s="70" t="e">
        <f t="shared" si="11"/>
        <v>#REF!</v>
      </c>
      <c r="BA48" s="70" t="e">
        <f t="shared" si="11"/>
        <v>#REF!</v>
      </c>
    </row>
    <row r="49" spans="27:53" ht="12.75" hidden="1" customHeight="1">
      <c r="AA49" s="71" t="s">
        <v>29</v>
      </c>
      <c r="AB49" s="35"/>
      <c r="AF49" s="70" t="e">
        <f t="shared" ref="AF49:AO49" si="12">AF24+AF26+AF27</f>
        <v>#REF!</v>
      </c>
      <c r="AG49" s="70" t="e">
        <f t="shared" si="12"/>
        <v>#REF!</v>
      </c>
      <c r="AH49" s="70" t="e">
        <f t="shared" si="12"/>
        <v>#REF!</v>
      </c>
      <c r="AI49" s="70" t="e">
        <f t="shared" si="12"/>
        <v>#REF!</v>
      </c>
      <c r="AJ49" s="70" t="e">
        <f t="shared" si="12"/>
        <v>#REF!</v>
      </c>
      <c r="AK49" s="70" t="e">
        <f t="shared" si="12"/>
        <v>#REF!</v>
      </c>
      <c r="AL49" s="70" t="e">
        <f t="shared" si="12"/>
        <v>#REF!</v>
      </c>
      <c r="AM49" s="70" t="e">
        <f t="shared" si="12"/>
        <v>#REF!</v>
      </c>
      <c r="AN49" s="70" t="e">
        <f t="shared" si="12"/>
        <v>#REF!</v>
      </c>
      <c r="AO49" s="70" t="e">
        <f t="shared" si="12"/>
        <v>#REF!</v>
      </c>
      <c r="AP49" s="70"/>
      <c r="AQ49" s="70"/>
      <c r="AR49" s="70" t="e">
        <f t="shared" ref="AR49:BA49" si="13">AR24+AR26+AR27</f>
        <v>#REF!</v>
      </c>
      <c r="AS49" s="70" t="e">
        <f t="shared" si="13"/>
        <v>#REF!</v>
      </c>
      <c r="AT49" s="70" t="e">
        <f t="shared" si="13"/>
        <v>#REF!</v>
      </c>
      <c r="AU49" s="70" t="e">
        <f t="shared" si="13"/>
        <v>#REF!</v>
      </c>
      <c r="AV49" s="70" t="e">
        <f t="shared" si="13"/>
        <v>#REF!</v>
      </c>
      <c r="AW49" s="70" t="e">
        <f t="shared" si="13"/>
        <v>#REF!</v>
      </c>
      <c r="AX49" s="70" t="e">
        <f t="shared" si="13"/>
        <v>#REF!</v>
      </c>
      <c r="AY49" s="70" t="e">
        <f t="shared" si="13"/>
        <v>#REF!</v>
      </c>
      <c r="AZ49" s="70" t="e">
        <f t="shared" si="13"/>
        <v>#REF!</v>
      </c>
      <c r="BA49" s="70" t="e">
        <f t="shared" si="13"/>
        <v>#REF!</v>
      </c>
    </row>
    <row r="50" spans="27:53" ht="12.75" hidden="1" customHeight="1">
      <c r="AA50" s="71" t="s">
        <v>41</v>
      </c>
      <c r="AB50" s="35"/>
      <c r="AF50" s="70" t="e">
        <f t="shared" ref="AF50:AO50" si="14">AF35+AF37+AF38</f>
        <v>#REF!</v>
      </c>
      <c r="AG50" s="70" t="e">
        <f t="shared" si="14"/>
        <v>#REF!</v>
      </c>
      <c r="AH50" s="70" t="e">
        <f t="shared" si="14"/>
        <v>#REF!</v>
      </c>
      <c r="AI50" s="70" t="e">
        <f t="shared" si="14"/>
        <v>#REF!</v>
      </c>
      <c r="AJ50" s="70" t="e">
        <f t="shared" si="14"/>
        <v>#REF!</v>
      </c>
      <c r="AK50" s="70" t="e">
        <f t="shared" si="14"/>
        <v>#REF!</v>
      </c>
      <c r="AL50" s="70" t="e">
        <f t="shared" si="14"/>
        <v>#REF!</v>
      </c>
      <c r="AM50" s="70" t="e">
        <f t="shared" si="14"/>
        <v>#REF!</v>
      </c>
      <c r="AN50" s="70" t="e">
        <f t="shared" si="14"/>
        <v>#REF!</v>
      </c>
      <c r="AO50" s="70" t="e">
        <f t="shared" si="14"/>
        <v>#REF!</v>
      </c>
      <c r="AP50" s="70"/>
      <c r="AQ50" s="70"/>
      <c r="AR50" s="70" t="e">
        <f t="shared" ref="AR50:BA50" si="15">AR35+AR37+AR38</f>
        <v>#REF!</v>
      </c>
      <c r="AS50" s="70" t="e">
        <f t="shared" si="15"/>
        <v>#REF!</v>
      </c>
      <c r="AT50" s="70" t="e">
        <f t="shared" si="15"/>
        <v>#REF!</v>
      </c>
      <c r="AU50" s="70" t="e">
        <f t="shared" si="15"/>
        <v>#REF!</v>
      </c>
      <c r="AV50" s="70" t="e">
        <f t="shared" si="15"/>
        <v>#REF!</v>
      </c>
      <c r="AW50" s="70" t="e">
        <f t="shared" si="15"/>
        <v>#REF!</v>
      </c>
      <c r="AX50" s="70" t="e">
        <f t="shared" si="15"/>
        <v>#REF!</v>
      </c>
      <c r="AY50" s="70" t="e">
        <f t="shared" si="15"/>
        <v>#REF!</v>
      </c>
      <c r="AZ50" s="70" t="e">
        <f t="shared" si="15"/>
        <v>#REF!</v>
      </c>
      <c r="BA50" s="70" t="e">
        <f t="shared" si="15"/>
        <v>#REF!</v>
      </c>
    </row>
    <row r="51" spans="27:53" ht="12.75" hidden="1" customHeight="1">
      <c r="AA51" s="71" t="s">
        <v>42</v>
      </c>
      <c r="AB51" s="35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</row>
    <row r="52" spans="27:53" ht="12.75" hidden="1" customHeight="1">
      <c r="AA52" s="69" t="s">
        <v>45</v>
      </c>
      <c r="AB52" s="35"/>
      <c r="AF52" s="70" t="e">
        <f t="shared" ref="AF52:AO52" si="16">AF13+AF15+AF17+AF19</f>
        <v>#REF!</v>
      </c>
      <c r="AG52" s="70" t="e">
        <f t="shared" si="16"/>
        <v>#REF!</v>
      </c>
      <c r="AH52" s="70" t="e">
        <f t="shared" si="16"/>
        <v>#REF!</v>
      </c>
      <c r="AI52" s="70" t="e">
        <f t="shared" si="16"/>
        <v>#REF!</v>
      </c>
      <c r="AJ52" s="70" t="e">
        <f t="shared" si="16"/>
        <v>#REF!</v>
      </c>
      <c r="AK52" s="70" t="e">
        <f t="shared" si="16"/>
        <v>#REF!</v>
      </c>
      <c r="AL52" s="70" t="e">
        <f t="shared" si="16"/>
        <v>#REF!</v>
      </c>
      <c r="AM52" s="70" t="e">
        <f t="shared" si="16"/>
        <v>#REF!</v>
      </c>
      <c r="AN52" s="70" t="e">
        <f t="shared" si="16"/>
        <v>#REF!</v>
      </c>
      <c r="AO52" s="70" t="e">
        <f t="shared" si="16"/>
        <v>#REF!</v>
      </c>
      <c r="AP52" s="70"/>
      <c r="AQ52" s="70"/>
      <c r="AR52" s="70" t="e">
        <f t="shared" ref="AR52:BA52" si="17">AR13+AR15+AR17+AR19</f>
        <v>#REF!</v>
      </c>
      <c r="AS52" s="70" t="e">
        <f t="shared" si="17"/>
        <v>#REF!</v>
      </c>
      <c r="AT52" s="70" t="e">
        <f t="shared" si="17"/>
        <v>#REF!</v>
      </c>
      <c r="AU52" s="70" t="e">
        <f t="shared" si="17"/>
        <v>#REF!</v>
      </c>
      <c r="AV52" s="70" t="e">
        <f t="shared" si="17"/>
        <v>#REF!</v>
      </c>
      <c r="AW52" s="70" t="e">
        <f t="shared" si="17"/>
        <v>#REF!</v>
      </c>
      <c r="AX52" s="70" t="e">
        <f t="shared" si="17"/>
        <v>#REF!</v>
      </c>
      <c r="AY52" s="70" t="e">
        <f t="shared" si="17"/>
        <v>#REF!</v>
      </c>
      <c r="AZ52" s="70" t="e">
        <f t="shared" si="17"/>
        <v>#REF!</v>
      </c>
      <c r="BA52" s="70" t="e">
        <f t="shared" si="17"/>
        <v>#REF!</v>
      </c>
    </row>
    <row r="53" spans="27:53" ht="12.75" hidden="1" customHeight="1">
      <c r="AA53" s="71" t="s">
        <v>29</v>
      </c>
      <c r="AB53" s="35"/>
      <c r="AF53" s="70" t="e">
        <f t="shared" ref="AF53:AO53" si="18">AF24+AF26+AF28+AF30</f>
        <v>#REF!</v>
      </c>
      <c r="AG53" s="70" t="e">
        <f t="shared" si="18"/>
        <v>#REF!</v>
      </c>
      <c r="AH53" s="70" t="e">
        <f t="shared" si="18"/>
        <v>#REF!</v>
      </c>
      <c r="AI53" s="70" t="e">
        <f t="shared" si="18"/>
        <v>#REF!</v>
      </c>
      <c r="AJ53" s="70" t="e">
        <f t="shared" si="18"/>
        <v>#REF!</v>
      </c>
      <c r="AK53" s="70" t="e">
        <f t="shared" si="18"/>
        <v>#REF!</v>
      </c>
      <c r="AL53" s="70" t="e">
        <f t="shared" si="18"/>
        <v>#REF!</v>
      </c>
      <c r="AM53" s="70" t="e">
        <f t="shared" si="18"/>
        <v>#REF!</v>
      </c>
      <c r="AN53" s="70" t="e">
        <f t="shared" si="18"/>
        <v>#REF!</v>
      </c>
      <c r="AO53" s="70" t="e">
        <f t="shared" si="18"/>
        <v>#REF!</v>
      </c>
      <c r="AP53" s="70"/>
      <c r="AQ53" s="70"/>
      <c r="AR53" s="70" t="e">
        <f t="shared" ref="AR53:BA53" si="19">AR24+AR26+AR28+AR30</f>
        <v>#REF!</v>
      </c>
      <c r="AS53" s="70" t="e">
        <f t="shared" si="19"/>
        <v>#REF!</v>
      </c>
      <c r="AT53" s="70" t="e">
        <f t="shared" si="19"/>
        <v>#REF!</v>
      </c>
      <c r="AU53" s="70" t="e">
        <f t="shared" si="19"/>
        <v>#REF!</v>
      </c>
      <c r="AV53" s="70" t="e">
        <f t="shared" si="19"/>
        <v>#REF!</v>
      </c>
      <c r="AW53" s="70" t="e">
        <f t="shared" si="19"/>
        <v>#REF!</v>
      </c>
      <c r="AX53" s="70" t="e">
        <f t="shared" si="19"/>
        <v>#REF!</v>
      </c>
      <c r="AY53" s="70" t="e">
        <f t="shared" si="19"/>
        <v>#REF!</v>
      </c>
      <c r="AZ53" s="70" t="e">
        <f t="shared" si="19"/>
        <v>#REF!</v>
      </c>
      <c r="BA53" s="70" t="e">
        <f t="shared" si="19"/>
        <v>#REF!</v>
      </c>
    </row>
    <row r="54" spans="27:53" ht="12.75" hidden="1" customHeight="1">
      <c r="AA54" s="71" t="s">
        <v>41</v>
      </c>
      <c r="AB54" s="35"/>
      <c r="AF54" s="70" t="e">
        <f t="shared" ref="AF54:AO54" si="20">AF35+AF37+AF39+AF41</f>
        <v>#REF!</v>
      </c>
      <c r="AG54" s="70" t="e">
        <f t="shared" si="20"/>
        <v>#REF!</v>
      </c>
      <c r="AH54" s="70" t="e">
        <f t="shared" si="20"/>
        <v>#REF!</v>
      </c>
      <c r="AI54" s="70" t="e">
        <f t="shared" si="20"/>
        <v>#REF!</v>
      </c>
      <c r="AJ54" s="70" t="e">
        <f t="shared" si="20"/>
        <v>#REF!</v>
      </c>
      <c r="AK54" s="70" t="e">
        <f t="shared" si="20"/>
        <v>#REF!</v>
      </c>
      <c r="AL54" s="70" t="e">
        <f t="shared" si="20"/>
        <v>#REF!</v>
      </c>
      <c r="AM54" s="70" t="e">
        <f t="shared" si="20"/>
        <v>#REF!</v>
      </c>
      <c r="AN54" s="70" t="e">
        <f t="shared" si="20"/>
        <v>#REF!</v>
      </c>
      <c r="AO54" s="70" t="e">
        <f t="shared" si="20"/>
        <v>#REF!</v>
      </c>
      <c r="AP54" s="70"/>
      <c r="AQ54" s="70"/>
      <c r="AR54" s="70" t="e">
        <f t="shared" ref="AR54:BA54" si="21">AR35+AR37+AR39+AR41</f>
        <v>#REF!</v>
      </c>
      <c r="AS54" s="70" t="e">
        <f t="shared" si="21"/>
        <v>#REF!</v>
      </c>
      <c r="AT54" s="70" t="e">
        <f t="shared" si="21"/>
        <v>#REF!</v>
      </c>
      <c r="AU54" s="70" t="e">
        <f t="shared" si="21"/>
        <v>#REF!</v>
      </c>
      <c r="AV54" s="70" t="e">
        <f t="shared" si="21"/>
        <v>#REF!</v>
      </c>
      <c r="AW54" s="70" t="e">
        <f t="shared" si="21"/>
        <v>#REF!</v>
      </c>
      <c r="AX54" s="70" t="e">
        <f t="shared" si="21"/>
        <v>#REF!</v>
      </c>
      <c r="AY54" s="70" t="e">
        <f t="shared" si="21"/>
        <v>#REF!</v>
      </c>
      <c r="AZ54" s="70" t="e">
        <f t="shared" si="21"/>
        <v>#REF!</v>
      </c>
      <c r="BA54" s="70" t="e">
        <f t="shared" si="21"/>
        <v>#REF!</v>
      </c>
    </row>
    <row r="55" spans="27:53" ht="12.75" hidden="1" customHeight="1">
      <c r="AA55" s="71" t="s">
        <v>42</v>
      </c>
      <c r="AB55" s="35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</row>
    <row r="56" spans="27:53" ht="12.75" hidden="1" customHeight="1">
      <c r="AA56" s="69" t="s">
        <v>46</v>
      </c>
      <c r="AB56" s="35"/>
      <c r="AF56" s="70" t="e">
        <f t="shared" ref="AF56:AO56" si="22">AF13+AF15+AF17+AF18+AF20</f>
        <v>#REF!</v>
      </c>
      <c r="AG56" s="70" t="e">
        <f t="shared" si="22"/>
        <v>#REF!</v>
      </c>
      <c r="AH56" s="70" t="e">
        <f t="shared" si="22"/>
        <v>#REF!</v>
      </c>
      <c r="AI56" s="70" t="e">
        <f t="shared" si="22"/>
        <v>#REF!</v>
      </c>
      <c r="AJ56" s="70" t="e">
        <f t="shared" si="22"/>
        <v>#REF!</v>
      </c>
      <c r="AK56" s="70" t="e">
        <f t="shared" si="22"/>
        <v>#REF!</v>
      </c>
      <c r="AL56" s="70" t="e">
        <f t="shared" si="22"/>
        <v>#REF!</v>
      </c>
      <c r="AM56" s="70" t="e">
        <f t="shared" si="22"/>
        <v>#REF!</v>
      </c>
      <c r="AN56" s="70" t="e">
        <f t="shared" si="22"/>
        <v>#REF!</v>
      </c>
      <c r="AO56" s="70" t="e">
        <f t="shared" si="22"/>
        <v>#REF!</v>
      </c>
      <c r="AP56" s="70"/>
      <c r="AQ56" s="70"/>
      <c r="AR56" s="70" t="e">
        <f t="shared" ref="AR56:BA56" si="23">AR13+AR15+AR17+AR18+AR20</f>
        <v>#REF!</v>
      </c>
      <c r="AS56" s="70" t="e">
        <f t="shared" si="23"/>
        <v>#REF!</v>
      </c>
      <c r="AT56" s="70" t="e">
        <f t="shared" si="23"/>
        <v>#REF!</v>
      </c>
      <c r="AU56" s="70" t="e">
        <f t="shared" si="23"/>
        <v>#REF!</v>
      </c>
      <c r="AV56" s="70" t="e">
        <f t="shared" si="23"/>
        <v>#REF!</v>
      </c>
      <c r="AW56" s="70" t="e">
        <f t="shared" si="23"/>
        <v>#REF!</v>
      </c>
      <c r="AX56" s="70" t="e">
        <f t="shared" si="23"/>
        <v>#REF!</v>
      </c>
      <c r="AY56" s="70" t="e">
        <f t="shared" si="23"/>
        <v>#REF!</v>
      </c>
      <c r="AZ56" s="70" t="e">
        <f t="shared" si="23"/>
        <v>#REF!</v>
      </c>
      <c r="BA56" s="70" t="e">
        <f t="shared" si="23"/>
        <v>#REF!</v>
      </c>
    </row>
    <row r="57" spans="27:53" ht="12.75" hidden="1" customHeight="1">
      <c r="AA57" s="71" t="s">
        <v>29</v>
      </c>
      <c r="AB57" s="35"/>
      <c r="AF57" s="70" t="e">
        <f t="shared" ref="AF57:AO57" si="24">AF24+AF26+AF28+AF29+AF31</f>
        <v>#REF!</v>
      </c>
      <c r="AG57" s="70" t="e">
        <f t="shared" si="24"/>
        <v>#REF!</v>
      </c>
      <c r="AH57" s="70" t="e">
        <f t="shared" si="24"/>
        <v>#REF!</v>
      </c>
      <c r="AI57" s="70" t="e">
        <f t="shared" si="24"/>
        <v>#REF!</v>
      </c>
      <c r="AJ57" s="70" t="e">
        <f t="shared" si="24"/>
        <v>#REF!</v>
      </c>
      <c r="AK57" s="70" t="e">
        <f t="shared" si="24"/>
        <v>#REF!</v>
      </c>
      <c r="AL57" s="70" t="e">
        <f t="shared" si="24"/>
        <v>#REF!</v>
      </c>
      <c r="AM57" s="70" t="e">
        <f t="shared" si="24"/>
        <v>#REF!</v>
      </c>
      <c r="AN57" s="70" t="e">
        <f t="shared" si="24"/>
        <v>#REF!</v>
      </c>
      <c r="AO57" s="70" t="e">
        <f t="shared" si="24"/>
        <v>#REF!</v>
      </c>
      <c r="AP57" s="70"/>
      <c r="AQ57" s="70"/>
      <c r="AR57" s="70" t="e">
        <f t="shared" ref="AR57:BA57" si="25">AR24+AR26+AR28+AR29+AR31</f>
        <v>#REF!</v>
      </c>
      <c r="AS57" s="70" t="e">
        <f t="shared" si="25"/>
        <v>#REF!</v>
      </c>
      <c r="AT57" s="70" t="e">
        <f t="shared" si="25"/>
        <v>#REF!</v>
      </c>
      <c r="AU57" s="70" t="e">
        <f t="shared" si="25"/>
        <v>#REF!</v>
      </c>
      <c r="AV57" s="70" t="e">
        <f t="shared" si="25"/>
        <v>#REF!</v>
      </c>
      <c r="AW57" s="70" t="e">
        <f t="shared" si="25"/>
        <v>#REF!</v>
      </c>
      <c r="AX57" s="70" t="e">
        <f t="shared" si="25"/>
        <v>#REF!</v>
      </c>
      <c r="AY57" s="70" t="e">
        <f t="shared" si="25"/>
        <v>#REF!</v>
      </c>
      <c r="AZ57" s="70" t="e">
        <f t="shared" si="25"/>
        <v>#REF!</v>
      </c>
      <c r="BA57" s="70" t="e">
        <f t="shared" si="25"/>
        <v>#REF!</v>
      </c>
    </row>
    <row r="58" spans="27:53" ht="12.75" hidden="1" customHeight="1">
      <c r="AA58" s="71" t="s">
        <v>41</v>
      </c>
      <c r="AB58" s="35"/>
      <c r="AF58" s="70" t="e">
        <f t="shared" ref="AF58:AO58" si="26">AF35+AF37+AF39+AF40+AF42</f>
        <v>#REF!</v>
      </c>
      <c r="AG58" s="70" t="e">
        <f t="shared" si="26"/>
        <v>#REF!</v>
      </c>
      <c r="AH58" s="70" t="e">
        <f t="shared" si="26"/>
        <v>#REF!</v>
      </c>
      <c r="AI58" s="70" t="e">
        <f t="shared" si="26"/>
        <v>#REF!</v>
      </c>
      <c r="AJ58" s="70" t="e">
        <f t="shared" si="26"/>
        <v>#REF!</v>
      </c>
      <c r="AK58" s="70" t="e">
        <f t="shared" si="26"/>
        <v>#REF!</v>
      </c>
      <c r="AL58" s="70" t="e">
        <f t="shared" si="26"/>
        <v>#REF!</v>
      </c>
      <c r="AM58" s="70" t="e">
        <f t="shared" si="26"/>
        <v>#REF!</v>
      </c>
      <c r="AN58" s="70" t="e">
        <f t="shared" si="26"/>
        <v>#REF!</v>
      </c>
      <c r="AO58" s="70" t="e">
        <f t="shared" si="26"/>
        <v>#REF!</v>
      </c>
      <c r="AP58" s="70"/>
      <c r="AQ58" s="70"/>
      <c r="AR58" s="70" t="e">
        <f t="shared" ref="AR58:BA58" si="27">AR35+AR37+AR39+AR40+AR42</f>
        <v>#REF!</v>
      </c>
      <c r="AS58" s="70" t="e">
        <f t="shared" si="27"/>
        <v>#REF!</v>
      </c>
      <c r="AT58" s="70" t="e">
        <f t="shared" si="27"/>
        <v>#REF!</v>
      </c>
      <c r="AU58" s="70" t="e">
        <f t="shared" si="27"/>
        <v>#REF!</v>
      </c>
      <c r="AV58" s="70" t="e">
        <f t="shared" si="27"/>
        <v>#REF!</v>
      </c>
      <c r="AW58" s="70" t="e">
        <f t="shared" si="27"/>
        <v>#REF!</v>
      </c>
      <c r="AX58" s="70" t="e">
        <f t="shared" si="27"/>
        <v>#REF!</v>
      </c>
      <c r="AY58" s="70" t="e">
        <f t="shared" si="27"/>
        <v>#REF!</v>
      </c>
      <c r="AZ58" s="70" t="e">
        <f t="shared" si="27"/>
        <v>#REF!</v>
      </c>
      <c r="BA58" s="70" t="e">
        <f t="shared" si="27"/>
        <v>#REF!</v>
      </c>
    </row>
    <row r="59" spans="27:53" ht="12.75" hidden="1" customHeight="1">
      <c r="AA59" s="71" t="s">
        <v>42</v>
      </c>
      <c r="AB59" s="35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</row>
    <row r="60" spans="27:53" ht="12.75" hidden="1" customHeight="1">
      <c r="AA60" s="69" t="s">
        <v>47</v>
      </c>
      <c r="AB60" s="35"/>
      <c r="AF60" s="70" t="e">
        <f t="shared" ref="AF60:AO60" si="28">AF13+AF15+AF17+AF18+AF21</f>
        <v>#REF!</v>
      </c>
      <c r="AG60" s="70" t="e">
        <f t="shared" si="28"/>
        <v>#REF!</v>
      </c>
      <c r="AH60" s="70" t="e">
        <f t="shared" si="28"/>
        <v>#REF!</v>
      </c>
      <c r="AI60" s="70" t="e">
        <f t="shared" si="28"/>
        <v>#REF!</v>
      </c>
      <c r="AJ60" s="70" t="e">
        <f t="shared" si="28"/>
        <v>#REF!</v>
      </c>
      <c r="AK60" s="70" t="e">
        <f t="shared" si="28"/>
        <v>#REF!</v>
      </c>
      <c r="AL60" s="70" t="e">
        <f t="shared" si="28"/>
        <v>#REF!</v>
      </c>
      <c r="AM60" s="70" t="e">
        <f t="shared" si="28"/>
        <v>#REF!</v>
      </c>
      <c r="AN60" s="70" t="e">
        <f t="shared" si="28"/>
        <v>#REF!</v>
      </c>
      <c r="AO60" s="70" t="e">
        <f t="shared" si="28"/>
        <v>#REF!</v>
      </c>
      <c r="AP60" s="70"/>
      <c r="AQ60" s="70"/>
      <c r="AR60" s="70" t="e">
        <f t="shared" ref="AR60:BA60" si="29">AR13+AR15+AR17+AR18+AR21</f>
        <v>#REF!</v>
      </c>
      <c r="AS60" s="70" t="e">
        <f t="shared" si="29"/>
        <v>#REF!</v>
      </c>
      <c r="AT60" s="70" t="e">
        <f t="shared" si="29"/>
        <v>#REF!</v>
      </c>
      <c r="AU60" s="70" t="e">
        <f t="shared" si="29"/>
        <v>#REF!</v>
      </c>
      <c r="AV60" s="70" t="e">
        <f t="shared" si="29"/>
        <v>#REF!</v>
      </c>
      <c r="AW60" s="70" t="e">
        <f t="shared" si="29"/>
        <v>#REF!</v>
      </c>
      <c r="AX60" s="70" t="e">
        <f t="shared" si="29"/>
        <v>#REF!</v>
      </c>
      <c r="AY60" s="70" t="e">
        <f t="shared" si="29"/>
        <v>#REF!</v>
      </c>
      <c r="AZ60" s="70" t="e">
        <f t="shared" si="29"/>
        <v>#REF!</v>
      </c>
      <c r="BA60" s="70" t="e">
        <f t="shared" si="29"/>
        <v>#REF!</v>
      </c>
    </row>
    <row r="61" spans="27:53" ht="12.75" hidden="1" customHeight="1">
      <c r="AA61" s="71" t="s">
        <v>29</v>
      </c>
      <c r="AB61" s="35"/>
      <c r="AF61" s="70" t="e">
        <f t="shared" ref="AF61:AO61" si="30">AF24+AF26+AF28+AF29+AF32</f>
        <v>#REF!</v>
      </c>
      <c r="AG61" s="70" t="e">
        <f t="shared" si="30"/>
        <v>#REF!</v>
      </c>
      <c r="AH61" s="70" t="e">
        <f t="shared" si="30"/>
        <v>#REF!</v>
      </c>
      <c r="AI61" s="70" t="e">
        <f t="shared" si="30"/>
        <v>#REF!</v>
      </c>
      <c r="AJ61" s="70" t="e">
        <f t="shared" si="30"/>
        <v>#REF!</v>
      </c>
      <c r="AK61" s="70" t="e">
        <f t="shared" si="30"/>
        <v>#REF!</v>
      </c>
      <c r="AL61" s="70" t="e">
        <f t="shared" si="30"/>
        <v>#REF!</v>
      </c>
      <c r="AM61" s="70" t="e">
        <f t="shared" si="30"/>
        <v>#REF!</v>
      </c>
      <c r="AN61" s="70" t="e">
        <f t="shared" si="30"/>
        <v>#REF!</v>
      </c>
      <c r="AO61" s="70" t="e">
        <f t="shared" si="30"/>
        <v>#REF!</v>
      </c>
      <c r="AP61" s="70"/>
      <c r="AQ61" s="70"/>
      <c r="AR61" s="70" t="e">
        <f t="shared" ref="AR61:BA61" si="31">AR24+AR26+AR28+AR29+AR32</f>
        <v>#REF!</v>
      </c>
      <c r="AS61" s="70" t="e">
        <f t="shared" si="31"/>
        <v>#REF!</v>
      </c>
      <c r="AT61" s="70" t="e">
        <f t="shared" si="31"/>
        <v>#REF!</v>
      </c>
      <c r="AU61" s="70" t="e">
        <f t="shared" si="31"/>
        <v>#REF!</v>
      </c>
      <c r="AV61" s="70" t="e">
        <f t="shared" si="31"/>
        <v>#REF!</v>
      </c>
      <c r="AW61" s="70" t="e">
        <f t="shared" si="31"/>
        <v>#REF!</v>
      </c>
      <c r="AX61" s="70" t="e">
        <f t="shared" si="31"/>
        <v>#REF!</v>
      </c>
      <c r="AY61" s="70" t="e">
        <f t="shared" si="31"/>
        <v>#REF!</v>
      </c>
      <c r="AZ61" s="70" t="e">
        <f t="shared" si="31"/>
        <v>#REF!</v>
      </c>
      <c r="BA61" s="70" t="e">
        <f t="shared" si="31"/>
        <v>#REF!</v>
      </c>
    </row>
    <row r="62" spans="27:53" ht="12.75" hidden="1" customHeight="1">
      <c r="AA62" s="71" t="s">
        <v>41</v>
      </c>
      <c r="AB62" s="35"/>
      <c r="AF62" s="70" t="e">
        <f t="shared" ref="AF62:AO62" si="32">AF35+AF37+AF39+AF40+AF43</f>
        <v>#REF!</v>
      </c>
      <c r="AG62" s="70" t="e">
        <f t="shared" si="32"/>
        <v>#REF!</v>
      </c>
      <c r="AH62" s="70" t="e">
        <f t="shared" si="32"/>
        <v>#REF!</v>
      </c>
      <c r="AI62" s="70" t="e">
        <f t="shared" si="32"/>
        <v>#REF!</v>
      </c>
      <c r="AJ62" s="70" t="e">
        <f t="shared" si="32"/>
        <v>#REF!</v>
      </c>
      <c r="AK62" s="70" t="e">
        <f t="shared" si="32"/>
        <v>#REF!</v>
      </c>
      <c r="AL62" s="70" t="e">
        <f t="shared" si="32"/>
        <v>#REF!</v>
      </c>
      <c r="AM62" s="70" t="e">
        <f t="shared" si="32"/>
        <v>#REF!</v>
      </c>
      <c r="AN62" s="70" t="e">
        <f t="shared" si="32"/>
        <v>#REF!</v>
      </c>
      <c r="AO62" s="70" t="e">
        <f t="shared" si="32"/>
        <v>#REF!</v>
      </c>
      <c r="AP62" s="70"/>
      <c r="AQ62" s="70"/>
      <c r="AR62" s="70" t="e">
        <f t="shared" ref="AR62:BA62" si="33">AR35+AR37+AR39+AR40+AR43</f>
        <v>#REF!</v>
      </c>
      <c r="AS62" s="70" t="e">
        <f t="shared" si="33"/>
        <v>#REF!</v>
      </c>
      <c r="AT62" s="70" t="e">
        <f t="shared" si="33"/>
        <v>#REF!</v>
      </c>
      <c r="AU62" s="70" t="e">
        <f t="shared" si="33"/>
        <v>#REF!</v>
      </c>
      <c r="AV62" s="70" t="e">
        <f t="shared" si="33"/>
        <v>#REF!</v>
      </c>
      <c r="AW62" s="70" t="e">
        <f t="shared" si="33"/>
        <v>#REF!</v>
      </c>
      <c r="AX62" s="70" t="e">
        <f t="shared" si="33"/>
        <v>#REF!</v>
      </c>
      <c r="AY62" s="70" t="e">
        <f t="shared" si="33"/>
        <v>#REF!</v>
      </c>
      <c r="AZ62" s="70" t="e">
        <f t="shared" si="33"/>
        <v>#REF!</v>
      </c>
      <c r="BA62" s="70" t="e">
        <f t="shared" si="33"/>
        <v>#REF!</v>
      </c>
    </row>
    <row r="63" spans="27:53" ht="12.75" hidden="1" customHeight="1">
      <c r="AA63" s="71" t="s">
        <v>42</v>
      </c>
      <c r="AB63" s="35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</row>
    <row r="64" spans="27:53" ht="12.75" hidden="1" customHeight="1">
      <c r="AA64" s="69" t="s">
        <v>48</v>
      </c>
      <c r="AB64" s="35"/>
      <c r="AF64" s="70" t="e">
        <f t="shared" ref="AF64:AO64" si="34">AF13+AF14+AF19</f>
        <v>#REF!</v>
      </c>
      <c r="AG64" s="70" t="e">
        <f t="shared" si="34"/>
        <v>#REF!</v>
      </c>
      <c r="AH64" s="70" t="e">
        <f t="shared" si="34"/>
        <v>#REF!</v>
      </c>
      <c r="AI64" s="70" t="e">
        <f t="shared" si="34"/>
        <v>#REF!</v>
      </c>
      <c r="AJ64" s="70" t="e">
        <f t="shared" si="34"/>
        <v>#REF!</v>
      </c>
      <c r="AK64" s="70" t="e">
        <f t="shared" si="34"/>
        <v>#REF!</v>
      </c>
      <c r="AL64" s="70" t="e">
        <f t="shared" si="34"/>
        <v>#REF!</v>
      </c>
      <c r="AM64" s="70" t="e">
        <f t="shared" si="34"/>
        <v>#REF!</v>
      </c>
      <c r="AN64" s="70" t="e">
        <f t="shared" si="34"/>
        <v>#REF!</v>
      </c>
      <c r="AO64" s="70" t="e">
        <f t="shared" si="34"/>
        <v>#REF!</v>
      </c>
      <c r="AP64" s="70"/>
      <c r="AQ64" s="70"/>
      <c r="AR64" s="70" t="e">
        <f t="shared" ref="AR64:BA64" si="35">AR13+AR14+AR19</f>
        <v>#REF!</v>
      </c>
      <c r="AS64" s="70" t="e">
        <f t="shared" si="35"/>
        <v>#REF!</v>
      </c>
      <c r="AT64" s="70" t="e">
        <f t="shared" si="35"/>
        <v>#REF!</v>
      </c>
      <c r="AU64" s="70" t="e">
        <f t="shared" si="35"/>
        <v>#REF!</v>
      </c>
      <c r="AV64" s="70" t="e">
        <f t="shared" si="35"/>
        <v>#REF!</v>
      </c>
      <c r="AW64" s="70" t="e">
        <f t="shared" si="35"/>
        <v>#REF!</v>
      </c>
      <c r="AX64" s="70" t="e">
        <f t="shared" si="35"/>
        <v>#REF!</v>
      </c>
      <c r="AY64" s="70" t="e">
        <f t="shared" si="35"/>
        <v>#REF!</v>
      </c>
      <c r="AZ64" s="70" t="e">
        <f t="shared" si="35"/>
        <v>#REF!</v>
      </c>
      <c r="BA64" s="70" t="e">
        <f t="shared" si="35"/>
        <v>#REF!</v>
      </c>
    </row>
    <row r="65" spans="27:53" ht="12.75" hidden="1" customHeight="1">
      <c r="AA65" s="71" t="s">
        <v>29</v>
      </c>
      <c r="AB65" s="35"/>
      <c r="AF65" s="70" t="e">
        <f t="shared" ref="AF65:AO65" si="36">AF24+AF25+AF30</f>
        <v>#REF!</v>
      </c>
      <c r="AG65" s="70" t="e">
        <f t="shared" si="36"/>
        <v>#REF!</v>
      </c>
      <c r="AH65" s="70" t="e">
        <f t="shared" si="36"/>
        <v>#REF!</v>
      </c>
      <c r="AI65" s="70" t="e">
        <f t="shared" si="36"/>
        <v>#REF!</v>
      </c>
      <c r="AJ65" s="70" t="e">
        <f t="shared" si="36"/>
        <v>#REF!</v>
      </c>
      <c r="AK65" s="70" t="e">
        <f t="shared" si="36"/>
        <v>#REF!</v>
      </c>
      <c r="AL65" s="70" t="e">
        <f t="shared" si="36"/>
        <v>#REF!</v>
      </c>
      <c r="AM65" s="70" t="e">
        <f t="shared" si="36"/>
        <v>#REF!</v>
      </c>
      <c r="AN65" s="70" t="e">
        <f t="shared" si="36"/>
        <v>#REF!</v>
      </c>
      <c r="AO65" s="70" t="e">
        <f t="shared" si="36"/>
        <v>#REF!</v>
      </c>
      <c r="AP65" s="70"/>
      <c r="AQ65" s="70"/>
      <c r="AR65" s="70" t="e">
        <f t="shared" ref="AR65:BA65" si="37">AR24+AR25+AR30</f>
        <v>#REF!</v>
      </c>
      <c r="AS65" s="70" t="e">
        <f t="shared" si="37"/>
        <v>#REF!</v>
      </c>
      <c r="AT65" s="70" t="e">
        <f t="shared" si="37"/>
        <v>#REF!</v>
      </c>
      <c r="AU65" s="70" t="e">
        <f t="shared" si="37"/>
        <v>#REF!</v>
      </c>
      <c r="AV65" s="70" t="e">
        <f t="shared" si="37"/>
        <v>#REF!</v>
      </c>
      <c r="AW65" s="70" t="e">
        <f t="shared" si="37"/>
        <v>#REF!</v>
      </c>
      <c r="AX65" s="70" t="e">
        <f t="shared" si="37"/>
        <v>#REF!</v>
      </c>
      <c r="AY65" s="70" t="e">
        <f t="shared" si="37"/>
        <v>#REF!</v>
      </c>
      <c r="AZ65" s="70" t="e">
        <f t="shared" si="37"/>
        <v>#REF!</v>
      </c>
      <c r="BA65" s="70" t="e">
        <f t="shared" si="37"/>
        <v>#REF!</v>
      </c>
    </row>
    <row r="66" spans="27:53" ht="12.75" hidden="1" customHeight="1">
      <c r="AA66" s="71" t="s">
        <v>41</v>
      </c>
      <c r="AB66" s="35"/>
      <c r="AF66" s="70" t="e">
        <f t="shared" ref="AF66:AO66" si="38">AF35+AF36+AF41</f>
        <v>#REF!</v>
      </c>
      <c r="AG66" s="70" t="e">
        <f t="shared" si="38"/>
        <v>#REF!</v>
      </c>
      <c r="AH66" s="70" t="e">
        <f t="shared" si="38"/>
        <v>#REF!</v>
      </c>
      <c r="AI66" s="70" t="e">
        <f t="shared" si="38"/>
        <v>#REF!</v>
      </c>
      <c r="AJ66" s="70" t="e">
        <f t="shared" si="38"/>
        <v>#REF!</v>
      </c>
      <c r="AK66" s="70" t="e">
        <f t="shared" si="38"/>
        <v>#REF!</v>
      </c>
      <c r="AL66" s="70" t="e">
        <f t="shared" si="38"/>
        <v>#REF!</v>
      </c>
      <c r="AM66" s="70" t="e">
        <f t="shared" si="38"/>
        <v>#REF!</v>
      </c>
      <c r="AN66" s="70" t="e">
        <f t="shared" si="38"/>
        <v>#REF!</v>
      </c>
      <c r="AO66" s="70" t="e">
        <f t="shared" si="38"/>
        <v>#REF!</v>
      </c>
      <c r="AP66" s="70"/>
      <c r="AQ66" s="70"/>
      <c r="AR66" s="70" t="e">
        <f t="shared" ref="AR66:BA66" si="39">AR35+AR36+AR41</f>
        <v>#REF!</v>
      </c>
      <c r="AS66" s="70" t="e">
        <f t="shared" si="39"/>
        <v>#REF!</v>
      </c>
      <c r="AT66" s="70" t="e">
        <f t="shared" si="39"/>
        <v>#REF!</v>
      </c>
      <c r="AU66" s="70" t="e">
        <f t="shared" si="39"/>
        <v>#REF!</v>
      </c>
      <c r="AV66" s="70" t="e">
        <f t="shared" si="39"/>
        <v>#REF!</v>
      </c>
      <c r="AW66" s="70" t="e">
        <f t="shared" si="39"/>
        <v>#REF!</v>
      </c>
      <c r="AX66" s="70" t="e">
        <f t="shared" si="39"/>
        <v>#REF!</v>
      </c>
      <c r="AY66" s="70" t="e">
        <f t="shared" si="39"/>
        <v>#REF!</v>
      </c>
      <c r="AZ66" s="70" t="e">
        <f t="shared" si="39"/>
        <v>#REF!</v>
      </c>
      <c r="BA66" s="70" t="e">
        <f t="shared" si="39"/>
        <v>#REF!</v>
      </c>
    </row>
    <row r="67" spans="27:53" ht="12.75" hidden="1" customHeight="1">
      <c r="AA67" s="71" t="s">
        <v>42</v>
      </c>
      <c r="AB67" s="35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</row>
    <row r="68" spans="27:53" ht="12.75" hidden="1" customHeight="1">
      <c r="AA68" s="72" t="s">
        <v>49</v>
      </c>
      <c r="AB68" s="35"/>
      <c r="AF68" s="70" t="e">
        <f t="shared" ref="AF68:AO68" si="40">AF13+AF14+AF18+AF20</f>
        <v>#REF!</v>
      </c>
      <c r="AG68" s="70" t="e">
        <f t="shared" si="40"/>
        <v>#REF!</v>
      </c>
      <c r="AH68" s="70" t="e">
        <f t="shared" si="40"/>
        <v>#REF!</v>
      </c>
      <c r="AI68" s="70" t="e">
        <f t="shared" si="40"/>
        <v>#REF!</v>
      </c>
      <c r="AJ68" s="70" t="e">
        <f t="shared" si="40"/>
        <v>#REF!</v>
      </c>
      <c r="AK68" s="70" t="e">
        <f t="shared" si="40"/>
        <v>#REF!</v>
      </c>
      <c r="AL68" s="70" t="e">
        <f t="shared" si="40"/>
        <v>#REF!</v>
      </c>
      <c r="AM68" s="70" t="e">
        <f t="shared" si="40"/>
        <v>#REF!</v>
      </c>
      <c r="AN68" s="70" t="e">
        <f t="shared" si="40"/>
        <v>#REF!</v>
      </c>
      <c r="AO68" s="70" t="e">
        <f t="shared" si="40"/>
        <v>#REF!</v>
      </c>
      <c r="AP68" s="70"/>
      <c r="AQ68" s="70"/>
      <c r="AR68" s="70" t="e">
        <f t="shared" ref="AR68:BA68" si="41">AR13+AR14+AR18+AR20</f>
        <v>#REF!</v>
      </c>
      <c r="AS68" s="70" t="e">
        <f t="shared" si="41"/>
        <v>#REF!</v>
      </c>
      <c r="AT68" s="70" t="e">
        <f t="shared" si="41"/>
        <v>#REF!</v>
      </c>
      <c r="AU68" s="70" t="e">
        <f t="shared" si="41"/>
        <v>#REF!</v>
      </c>
      <c r="AV68" s="70" t="e">
        <f t="shared" si="41"/>
        <v>#REF!</v>
      </c>
      <c r="AW68" s="70" t="e">
        <f t="shared" si="41"/>
        <v>#REF!</v>
      </c>
      <c r="AX68" s="70" t="e">
        <f t="shared" si="41"/>
        <v>#REF!</v>
      </c>
      <c r="AY68" s="70" t="e">
        <f t="shared" si="41"/>
        <v>#REF!</v>
      </c>
      <c r="AZ68" s="70" t="e">
        <f t="shared" si="41"/>
        <v>#REF!</v>
      </c>
      <c r="BA68" s="70" t="e">
        <f t="shared" si="41"/>
        <v>#REF!</v>
      </c>
    </row>
    <row r="69" spans="27:53" ht="12.75" hidden="1" customHeight="1">
      <c r="AA69" s="71" t="s">
        <v>29</v>
      </c>
      <c r="AB69" s="35"/>
      <c r="AF69" s="70" t="e">
        <f t="shared" ref="AF69:AO69" si="42">AF24+AF25+AF29+AF31</f>
        <v>#REF!</v>
      </c>
      <c r="AG69" s="70" t="e">
        <f t="shared" si="42"/>
        <v>#REF!</v>
      </c>
      <c r="AH69" s="70" t="e">
        <f t="shared" si="42"/>
        <v>#REF!</v>
      </c>
      <c r="AI69" s="70" t="e">
        <f t="shared" si="42"/>
        <v>#REF!</v>
      </c>
      <c r="AJ69" s="70" t="e">
        <f t="shared" si="42"/>
        <v>#REF!</v>
      </c>
      <c r="AK69" s="70" t="e">
        <f t="shared" si="42"/>
        <v>#REF!</v>
      </c>
      <c r="AL69" s="70" t="e">
        <f t="shared" si="42"/>
        <v>#REF!</v>
      </c>
      <c r="AM69" s="70" t="e">
        <f t="shared" si="42"/>
        <v>#REF!</v>
      </c>
      <c r="AN69" s="70" t="e">
        <f t="shared" si="42"/>
        <v>#REF!</v>
      </c>
      <c r="AO69" s="70" t="e">
        <f t="shared" si="42"/>
        <v>#REF!</v>
      </c>
      <c r="AP69" s="70"/>
      <c r="AQ69" s="70"/>
      <c r="AR69" s="70" t="e">
        <f t="shared" ref="AR69:BA69" si="43">AR24+AR25+AR29+AR31</f>
        <v>#REF!</v>
      </c>
      <c r="AS69" s="70" t="e">
        <f t="shared" si="43"/>
        <v>#REF!</v>
      </c>
      <c r="AT69" s="70" t="e">
        <f t="shared" si="43"/>
        <v>#REF!</v>
      </c>
      <c r="AU69" s="70" t="e">
        <f t="shared" si="43"/>
        <v>#REF!</v>
      </c>
      <c r="AV69" s="70" t="e">
        <f t="shared" si="43"/>
        <v>#REF!</v>
      </c>
      <c r="AW69" s="70" t="e">
        <f t="shared" si="43"/>
        <v>#REF!</v>
      </c>
      <c r="AX69" s="70" t="e">
        <f t="shared" si="43"/>
        <v>#REF!</v>
      </c>
      <c r="AY69" s="70" t="e">
        <f t="shared" si="43"/>
        <v>#REF!</v>
      </c>
      <c r="AZ69" s="70" t="e">
        <f t="shared" si="43"/>
        <v>#REF!</v>
      </c>
      <c r="BA69" s="70" t="e">
        <f t="shared" si="43"/>
        <v>#REF!</v>
      </c>
    </row>
    <row r="70" spans="27:53" ht="12.75" hidden="1" customHeight="1">
      <c r="AA70" s="71" t="s">
        <v>41</v>
      </c>
      <c r="AB70" s="35"/>
      <c r="AF70" s="70" t="e">
        <f t="shared" ref="AF70:AO70" si="44">AF35+AF36+AF40+AF42</f>
        <v>#REF!</v>
      </c>
      <c r="AG70" s="70" t="e">
        <f t="shared" si="44"/>
        <v>#REF!</v>
      </c>
      <c r="AH70" s="70" t="e">
        <f t="shared" si="44"/>
        <v>#REF!</v>
      </c>
      <c r="AI70" s="70" t="e">
        <f t="shared" si="44"/>
        <v>#REF!</v>
      </c>
      <c r="AJ70" s="70" t="e">
        <f t="shared" si="44"/>
        <v>#REF!</v>
      </c>
      <c r="AK70" s="70" t="e">
        <f t="shared" si="44"/>
        <v>#REF!</v>
      </c>
      <c r="AL70" s="70" t="e">
        <f t="shared" si="44"/>
        <v>#REF!</v>
      </c>
      <c r="AM70" s="70" t="e">
        <f t="shared" si="44"/>
        <v>#REF!</v>
      </c>
      <c r="AN70" s="70" t="e">
        <f t="shared" si="44"/>
        <v>#REF!</v>
      </c>
      <c r="AO70" s="70" t="e">
        <f t="shared" si="44"/>
        <v>#REF!</v>
      </c>
      <c r="AP70" s="70"/>
      <c r="AQ70" s="70"/>
      <c r="AR70" s="70" t="e">
        <f t="shared" ref="AR70:BA70" si="45">AR35+AR36+AR40+AR42</f>
        <v>#REF!</v>
      </c>
      <c r="AS70" s="70" t="e">
        <f t="shared" si="45"/>
        <v>#REF!</v>
      </c>
      <c r="AT70" s="70" t="e">
        <f t="shared" si="45"/>
        <v>#REF!</v>
      </c>
      <c r="AU70" s="70" t="e">
        <f t="shared" si="45"/>
        <v>#REF!</v>
      </c>
      <c r="AV70" s="70" t="e">
        <f t="shared" si="45"/>
        <v>#REF!</v>
      </c>
      <c r="AW70" s="70" t="e">
        <f t="shared" si="45"/>
        <v>#REF!</v>
      </c>
      <c r="AX70" s="70" t="e">
        <f t="shared" si="45"/>
        <v>#REF!</v>
      </c>
      <c r="AY70" s="70" t="e">
        <f t="shared" si="45"/>
        <v>#REF!</v>
      </c>
      <c r="AZ70" s="70" t="e">
        <f t="shared" si="45"/>
        <v>#REF!</v>
      </c>
      <c r="BA70" s="70" t="e">
        <f t="shared" si="45"/>
        <v>#REF!</v>
      </c>
    </row>
    <row r="71" spans="27:53" ht="12.75" hidden="1" customHeight="1">
      <c r="AA71" s="71" t="s">
        <v>42</v>
      </c>
      <c r="AB71" s="35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</row>
    <row r="72" spans="27:53" ht="12.75" hidden="1" customHeight="1">
      <c r="AA72" s="69" t="s">
        <v>50</v>
      </c>
      <c r="AB72" s="35"/>
      <c r="AF72" s="70" t="e">
        <f t="shared" ref="AF72:AO72" si="46">AF13+AF14+AF18+AF21</f>
        <v>#REF!</v>
      </c>
      <c r="AG72" s="70" t="e">
        <f t="shared" si="46"/>
        <v>#REF!</v>
      </c>
      <c r="AH72" s="70" t="e">
        <f t="shared" si="46"/>
        <v>#REF!</v>
      </c>
      <c r="AI72" s="70" t="e">
        <f t="shared" si="46"/>
        <v>#REF!</v>
      </c>
      <c r="AJ72" s="70" t="e">
        <f t="shared" si="46"/>
        <v>#REF!</v>
      </c>
      <c r="AK72" s="70" t="e">
        <f t="shared" si="46"/>
        <v>#REF!</v>
      </c>
      <c r="AL72" s="70" t="e">
        <f t="shared" si="46"/>
        <v>#REF!</v>
      </c>
      <c r="AM72" s="70" t="e">
        <f t="shared" si="46"/>
        <v>#REF!</v>
      </c>
      <c r="AN72" s="70" t="e">
        <f t="shared" si="46"/>
        <v>#REF!</v>
      </c>
      <c r="AO72" s="70" t="e">
        <f t="shared" si="46"/>
        <v>#REF!</v>
      </c>
      <c r="AP72" s="70"/>
      <c r="AQ72" s="70"/>
      <c r="AR72" s="70" t="e">
        <f t="shared" ref="AR72:BA72" si="47">AR13+AR14+AR18+AR21</f>
        <v>#REF!</v>
      </c>
      <c r="AS72" s="70" t="e">
        <f t="shared" si="47"/>
        <v>#REF!</v>
      </c>
      <c r="AT72" s="70" t="e">
        <f t="shared" si="47"/>
        <v>#REF!</v>
      </c>
      <c r="AU72" s="70" t="e">
        <f t="shared" si="47"/>
        <v>#REF!</v>
      </c>
      <c r="AV72" s="70" t="e">
        <f t="shared" si="47"/>
        <v>#REF!</v>
      </c>
      <c r="AW72" s="70" t="e">
        <f t="shared" si="47"/>
        <v>#REF!</v>
      </c>
      <c r="AX72" s="70" t="e">
        <f t="shared" si="47"/>
        <v>#REF!</v>
      </c>
      <c r="AY72" s="70" t="e">
        <f t="shared" si="47"/>
        <v>#REF!</v>
      </c>
      <c r="AZ72" s="70" t="e">
        <f t="shared" si="47"/>
        <v>#REF!</v>
      </c>
      <c r="BA72" s="70" t="e">
        <f t="shared" si="47"/>
        <v>#REF!</v>
      </c>
    </row>
    <row r="73" spans="27:53" ht="12.75" hidden="1" customHeight="1">
      <c r="AA73" s="71" t="s">
        <v>29</v>
      </c>
      <c r="AB73" s="35"/>
      <c r="AF73" s="70" t="e">
        <f t="shared" ref="AF73:AO73" si="48">AF24+AF25+AF29+AF32</f>
        <v>#REF!</v>
      </c>
      <c r="AG73" s="70" t="e">
        <f t="shared" si="48"/>
        <v>#REF!</v>
      </c>
      <c r="AH73" s="70" t="e">
        <f t="shared" si="48"/>
        <v>#REF!</v>
      </c>
      <c r="AI73" s="70" t="e">
        <f t="shared" si="48"/>
        <v>#REF!</v>
      </c>
      <c r="AJ73" s="70" t="e">
        <f t="shared" si="48"/>
        <v>#REF!</v>
      </c>
      <c r="AK73" s="70" t="e">
        <f t="shared" si="48"/>
        <v>#REF!</v>
      </c>
      <c r="AL73" s="70" t="e">
        <f t="shared" si="48"/>
        <v>#REF!</v>
      </c>
      <c r="AM73" s="70" t="e">
        <f t="shared" si="48"/>
        <v>#REF!</v>
      </c>
      <c r="AN73" s="70" t="e">
        <f t="shared" si="48"/>
        <v>#REF!</v>
      </c>
      <c r="AO73" s="70" t="e">
        <f t="shared" si="48"/>
        <v>#REF!</v>
      </c>
      <c r="AP73" s="70"/>
      <c r="AQ73" s="70"/>
      <c r="AR73" s="70" t="e">
        <f t="shared" ref="AR73:BA73" si="49">AR24+AR25+AR29+AR32</f>
        <v>#REF!</v>
      </c>
      <c r="AS73" s="70" t="e">
        <f t="shared" si="49"/>
        <v>#REF!</v>
      </c>
      <c r="AT73" s="70" t="e">
        <f t="shared" si="49"/>
        <v>#REF!</v>
      </c>
      <c r="AU73" s="70" t="e">
        <f t="shared" si="49"/>
        <v>#REF!</v>
      </c>
      <c r="AV73" s="70" t="e">
        <f t="shared" si="49"/>
        <v>#REF!</v>
      </c>
      <c r="AW73" s="70" t="e">
        <f t="shared" si="49"/>
        <v>#REF!</v>
      </c>
      <c r="AX73" s="70" t="e">
        <f t="shared" si="49"/>
        <v>#REF!</v>
      </c>
      <c r="AY73" s="70" t="e">
        <f t="shared" si="49"/>
        <v>#REF!</v>
      </c>
      <c r="AZ73" s="70" t="e">
        <f t="shared" si="49"/>
        <v>#REF!</v>
      </c>
      <c r="BA73" s="70" t="e">
        <f t="shared" si="49"/>
        <v>#REF!</v>
      </c>
    </row>
    <row r="74" spans="27:53" ht="12.75" hidden="1" customHeight="1">
      <c r="AA74" s="71" t="s">
        <v>41</v>
      </c>
      <c r="AB74" s="35"/>
      <c r="AF74" s="70" t="e">
        <f t="shared" ref="AF74:AO74" si="50">AF35+AF36+AF40+AF43</f>
        <v>#REF!</v>
      </c>
      <c r="AG74" s="70" t="e">
        <f t="shared" si="50"/>
        <v>#REF!</v>
      </c>
      <c r="AH74" s="70" t="e">
        <f t="shared" si="50"/>
        <v>#REF!</v>
      </c>
      <c r="AI74" s="70" t="e">
        <f t="shared" si="50"/>
        <v>#REF!</v>
      </c>
      <c r="AJ74" s="70" t="e">
        <f t="shared" si="50"/>
        <v>#REF!</v>
      </c>
      <c r="AK74" s="70" t="e">
        <f t="shared" si="50"/>
        <v>#REF!</v>
      </c>
      <c r="AL74" s="70" t="e">
        <f t="shared" si="50"/>
        <v>#REF!</v>
      </c>
      <c r="AM74" s="70" t="e">
        <f t="shared" si="50"/>
        <v>#REF!</v>
      </c>
      <c r="AN74" s="70" t="e">
        <f t="shared" si="50"/>
        <v>#REF!</v>
      </c>
      <c r="AO74" s="70" t="e">
        <f t="shared" si="50"/>
        <v>#REF!</v>
      </c>
      <c r="AP74" s="70"/>
      <c r="AQ74" s="70"/>
      <c r="AR74" s="70" t="e">
        <f t="shared" ref="AR74:BA74" si="51">AR35+AR36+AR40+AR43</f>
        <v>#REF!</v>
      </c>
      <c r="AS74" s="70" t="e">
        <f t="shared" si="51"/>
        <v>#REF!</v>
      </c>
      <c r="AT74" s="70" t="e">
        <f t="shared" si="51"/>
        <v>#REF!</v>
      </c>
      <c r="AU74" s="70" t="e">
        <f t="shared" si="51"/>
        <v>#REF!</v>
      </c>
      <c r="AV74" s="70" t="e">
        <f t="shared" si="51"/>
        <v>#REF!</v>
      </c>
      <c r="AW74" s="70" t="e">
        <f t="shared" si="51"/>
        <v>#REF!</v>
      </c>
      <c r="AX74" s="70" t="e">
        <f t="shared" si="51"/>
        <v>#REF!</v>
      </c>
      <c r="AY74" s="70" t="e">
        <f t="shared" si="51"/>
        <v>#REF!</v>
      </c>
      <c r="AZ74" s="70" t="e">
        <f t="shared" si="51"/>
        <v>#REF!</v>
      </c>
      <c r="BA74" s="70" t="e">
        <f t="shared" si="51"/>
        <v>#REF!</v>
      </c>
    </row>
    <row r="75" spans="27:53" ht="12.75" hidden="1" customHeight="1">
      <c r="AA75" s="71" t="s">
        <v>42</v>
      </c>
      <c r="AB75" s="35"/>
    </row>
    <row r="76" spans="27:53" ht="12.75" hidden="1" customHeight="1"/>
    <row r="77" spans="27:53" ht="12.75" hidden="1" customHeight="1"/>
    <row r="78" spans="27:53" ht="12.75" hidden="1" customHeight="1"/>
    <row r="79" spans="27:53" ht="12.75" hidden="1" customHeight="1"/>
    <row r="80" spans="27:53" ht="12.75" hidden="1" customHeight="1"/>
    <row r="81" spans="1:52" ht="12.75" hidden="1" customHeight="1"/>
    <row r="82" spans="1:52" ht="12.75" hidden="1" customHeight="1"/>
    <row r="83" spans="1:52" ht="12.75" hidden="1" customHeight="1"/>
    <row r="85" spans="1:52">
      <c r="AN85" s="38"/>
      <c r="AZ85" s="36"/>
    </row>
    <row r="86" spans="1:52" ht="63.75" customHeight="1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51">
      <c r="A87" s="599"/>
      <c r="B87" s="599"/>
      <c r="C87" s="41" t="s">
        <v>66</v>
      </c>
      <c r="D87" s="41" t="s">
        <v>67</v>
      </c>
      <c r="E87" s="41" t="s">
        <v>68</v>
      </c>
      <c r="F87" s="435" t="s">
        <v>55</v>
      </c>
      <c r="G87" s="435" t="s">
        <v>73</v>
      </c>
      <c r="H87" s="435" t="s">
        <v>74</v>
      </c>
      <c r="I87" s="435" t="s">
        <v>58</v>
      </c>
      <c r="J87" s="435" t="s">
        <v>59</v>
      </c>
      <c r="K87" s="435" t="s">
        <v>60</v>
      </c>
      <c r="L87" s="434" t="s">
        <v>75</v>
      </c>
      <c r="M87" s="434" t="s">
        <v>76</v>
      </c>
      <c r="N87" s="434" t="s">
        <v>61</v>
      </c>
      <c r="O87" s="434" t="s">
        <v>62</v>
      </c>
      <c r="P87" s="434" t="s">
        <v>63</v>
      </c>
      <c r="AN87" s="38"/>
      <c r="AZ87" s="36"/>
    </row>
    <row r="88" spans="1:52" ht="25.5">
      <c r="A88" s="44" t="str">
        <f>A4</f>
        <v>69 kV Substation Cutover</v>
      </c>
      <c r="B88" s="45" t="str">
        <f>B4</f>
        <v>Light-Duty Truck, catalyst</v>
      </c>
      <c r="C88" s="46">
        <f>C4</f>
        <v>3</v>
      </c>
      <c r="D88" s="46">
        <v>35</v>
      </c>
      <c r="E88" s="46">
        <v>80</v>
      </c>
      <c r="F88" s="50">
        <f>C4*($E4*$F4+($G4))/453.59</f>
        <v>1.4571581576427601</v>
      </c>
      <c r="G88" s="50">
        <f>C4*($E4*$H4+($I4))/453.59</f>
        <v>0.13101197188313402</v>
      </c>
      <c r="H88" s="50">
        <f>C4*(($E4*$J4)+($K4)+($L4)+($E4*$N4)+(($M4+$O4)))/453.59</f>
        <v>0.15149994097185998</v>
      </c>
      <c r="I88" s="50">
        <f>C4*($E4*$P4+($Q4))/453.59</f>
        <v>2.1803910814818476E-3</v>
      </c>
      <c r="J88" s="50">
        <f>C4*(($E4*($R4+$T4+$U4))+($S4))/453.59</f>
        <v>2.5572271365623688E-2</v>
      </c>
      <c r="K88" s="50">
        <f>$C4*(($E4*($V4+$X4+$Y4))+($W4))/453.59</f>
        <v>1.1136015972759426E-2</v>
      </c>
      <c r="L88" s="50">
        <f>$B$21*C4*(E4+6)</f>
        <v>2.5315747758215698E-2</v>
      </c>
      <c r="M88" s="50">
        <f t="shared" ref="M88" si="52">0.41*L88</f>
        <v>1.0379456580868435E-2</v>
      </c>
      <c r="N88" s="50">
        <f>C4*($E4*$Z4+($AA4))/453.59</f>
        <v>166.27073017811671</v>
      </c>
      <c r="O88" s="50">
        <f>C4*($E4*$AB4+($AC4))/453.59</f>
        <v>9.5114261670907474E-3</v>
      </c>
      <c r="P88" s="50">
        <f>C4*($E4*$AD4+($AE4))/453.59</f>
        <v>1.7313359741530081E-2</v>
      </c>
      <c r="AN88" s="38"/>
      <c r="AZ88" s="36"/>
    </row>
    <row r="89" spans="1:52">
      <c r="A89" s="40" t="s">
        <v>389</v>
      </c>
      <c r="B89" s="40"/>
      <c r="C89" s="40"/>
      <c r="D89" s="40"/>
      <c r="E89" s="40"/>
      <c r="F89" s="81">
        <f t="shared" ref="F89:P89" si="53">SUM(F88:F88)</f>
        <v>1.4571581576427601</v>
      </c>
      <c r="G89" s="81">
        <f t="shared" si="53"/>
        <v>0.13101197188313402</v>
      </c>
      <c r="H89" s="81">
        <f t="shared" si="53"/>
        <v>0.15149994097185998</v>
      </c>
      <c r="I89" s="81">
        <f t="shared" si="53"/>
        <v>2.1803910814818476E-3</v>
      </c>
      <c r="J89" s="81">
        <f t="shared" si="53"/>
        <v>2.5572271365623688E-2</v>
      </c>
      <c r="K89" s="81">
        <f t="shared" si="53"/>
        <v>1.1136015972759426E-2</v>
      </c>
      <c r="L89" s="81">
        <f t="shared" si="53"/>
        <v>2.5315747758215698E-2</v>
      </c>
      <c r="M89" s="81">
        <f t="shared" si="53"/>
        <v>1.0379456580868435E-2</v>
      </c>
      <c r="N89" s="81">
        <f t="shared" si="53"/>
        <v>166.27073017811671</v>
      </c>
      <c r="O89" s="81">
        <f t="shared" si="53"/>
        <v>9.5114261670907474E-3</v>
      </c>
      <c r="P89" s="81">
        <f t="shared" si="53"/>
        <v>1.7313359741530081E-2</v>
      </c>
    </row>
  </sheetData>
  <mergeCells count="16">
    <mergeCell ref="AR10:BA10"/>
    <mergeCell ref="A86:A87"/>
    <mergeCell ref="B86:B87"/>
    <mergeCell ref="F86:P86"/>
    <mergeCell ref="R2:U2"/>
    <mergeCell ref="V2:Y2"/>
    <mergeCell ref="Z2:AA2"/>
    <mergeCell ref="AB2:AC2"/>
    <mergeCell ref="AD2:AE2"/>
    <mergeCell ref="AF10:AO10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1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37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36"/>
  <sheetViews>
    <sheetView zoomScale="75" zoomScaleNormal="75" workbookViewId="0">
      <selection activeCell="F26" sqref="F26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32">
      <c r="A1" s="3" t="s">
        <v>484</v>
      </c>
    </row>
    <row r="3" spans="1:32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34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32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32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32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32" s="3" customFormat="1">
      <c r="A7" s="100" t="s">
        <v>128</v>
      </c>
      <c r="B7" s="29" t="s">
        <v>27</v>
      </c>
      <c r="C7" s="22">
        <v>157</v>
      </c>
      <c r="D7" s="22">
        <v>0.38</v>
      </c>
      <c r="E7" s="550">
        <v>9.7211873502789536E-2</v>
      </c>
      <c r="F7" s="397">
        <f>IF($C7&lt;11,'Offroad Tiers EF (2)'!$AN$4*$C7*$D7,IF($C7&lt;25,'Offroad Tiers EF (2)'!$AN$5*$C7*$D7,IF($C7&lt;50,'Offroad Tiers EF (2)'!$AN$6*$C7*$D7,IF($C7&lt;75,'Offroad Tiers EF (2)'!$AN$7*$C7*$D7,IF($C7&lt;100,'Offroad Tiers EF (2)'!$AN$8*$C7*$D7,IF($C7&lt;175,'Offroad Tiers EF (2)'!$AN$9*$C7*$D7,IF($C7&lt;300,'Offroad Tiers EF (2)'!$AN$10*$C7*$D7,IF($C7&lt;600,'Offroad Tiers EF (2)'!$AN$11*$C7*$D7,"!"))))))))</f>
        <v>0.48664462081128745</v>
      </c>
      <c r="G7" s="397">
        <f>IF($C7&lt;11,'Offroad Tiers EF (2)'!$AM$4*$C7*$D7,IF($C7&lt;25,'Offroad Tiers EF (2)'!$AM$5*$C7*$D7,IF($C7&lt;50,'Offroad Tiers EF (2)'!$AM$6*$C7*$D7,IF($C7&lt;75,'Offroad Tiers EF (2)'!$AM$7*$C7*$D7,IF($C7&lt;100,'Offroad Tiers EF (2)'!$AM$8*$C7*$D7,IF($C7&lt;175,'Offroad Tiers EF (2)'!$AM$9*$C7*$D7,IF($C7&lt;300,'Offroad Tiers EF (2)'!$AM$10*$C7*$D7,IF($C7&lt;600,'Offroad Tiers EF (2)'!$AM$11*$C7*$D7,"!"))))))))</f>
        <v>0.54103044532627864</v>
      </c>
      <c r="H7" s="550">
        <v>2.2941884589860436E-3</v>
      </c>
      <c r="I7" s="397">
        <f>IF($C7&lt;11,'Offroad Tiers EF (2)'!$AO$4*$C7*$D7,IF($C7&lt;25,'Offroad Tiers EF (2)'!$AO$5*$C7*$D7,IF($C7&lt;50,'Offroad Tiers EF (2)'!$AO$6*$C7*$D7,IF($C7&lt;75,'Offroad Tiers EF (2)'!$AO$7*$C7*$D7,IF($C7&lt;100,'Offroad Tiers EF (2)'!$AO$8*$C7*$D7,IF($C7&lt;175,'Offroad Tiers EF (2)'!$AO$9*$C7*$D7,IF($C7&lt;300,'Offroad Tiers EF (2)'!$AO$10*$C7*$D7,IF($C7&lt;600,'Offroad Tiers EF (2)'!$AO$11*$C7*$D7,"!"))))))))</f>
        <v>2.8935626102292767E-2</v>
      </c>
      <c r="J7" s="551">
        <f t="shared" ref="J7:J10" si="0">0.89*I7</f>
        <v>2.5752707231040561E-2</v>
      </c>
      <c r="K7" s="552">
        <v>233.73537145870978</v>
      </c>
      <c r="L7" s="111">
        <v>9.4890670020510905E-3</v>
      </c>
      <c r="M7" s="553">
        <f t="shared" ref="M7:M10" si="1">0.095*G7</f>
        <v>5.1397892305996472E-2</v>
      </c>
      <c r="N7" s="98">
        <v>1</v>
      </c>
      <c r="O7" s="88">
        <v>10</v>
      </c>
      <c r="P7" s="367">
        <v>40</v>
      </c>
      <c r="Q7" s="26">
        <f t="shared" ref="Q7:Y10" si="2">(E7*$N7*$O7)</f>
        <v>0.97211873502789536</v>
      </c>
      <c r="R7" s="26">
        <f t="shared" si="2"/>
        <v>4.8664462081128743</v>
      </c>
      <c r="S7" s="26">
        <f t="shared" si="2"/>
        <v>5.4103044532627864</v>
      </c>
      <c r="T7" s="26">
        <f t="shared" si="2"/>
        <v>2.2941884589860434E-2</v>
      </c>
      <c r="U7" s="26">
        <f t="shared" si="2"/>
        <v>0.28935626102292766</v>
      </c>
      <c r="V7" s="26">
        <f t="shared" si="2"/>
        <v>0.25752707231040561</v>
      </c>
      <c r="W7" s="26">
        <f t="shared" si="2"/>
        <v>2337.3537145870978</v>
      </c>
      <c r="X7" s="26">
        <f t="shared" si="2"/>
        <v>9.4890670020510909E-2</v>
      </c>
      <c r="Y7" s="26">
        <f t="shared" si="2"/>
        <v>0.51397892305996473</v>
      </c>
    </row>
    <row r="8" spans="1:32" s="3" customFormat="1">
      <c r="A8" s="24" t="s">
        <v>900</v>
      </c>
      <c r="B8" s="29" t="s">
        <v>27</v>
      </c>
      <c r="C8" s="22">
        <v>175</v>
      </c>
      <c r="D8" s="22"/>
      <c r="E8" s="102">
        <v>0.11792220738547983</v>
      </c>
      <c r="F8" s="102">
        <v>0.36512193352152528</v>
      </c>
      <c r="G8" s="102">
        <v>0.86781464282266541</v>
      </c>
      <c r="H8" s="102">
        <v>1.8739217498104396E-3</v>
      </c>
      <c r="I8" s="102">
        <v>2.9041712295589866E-2</v>
      </c>
      <c r="J8" s="100">
        <f t="shared" si="0"/>
        <v>2.5847123943074982E-2</v>
      </c>
      <c r="K8" s="103">
        <v>166.54541562452522</v>
      </c>
      <c r="L8" s="102">
        <v>1.063993297769634E-2</v>
      </c>
      <c r="M8" s="104">
        <f t="shared" si="1"/>
        <v>8.2442391068153209E-2</v>
      </c>
      <c r="N8" s="98">
        <v>2</v>
      </c>
      <c r="O8" s="88">
        <v>10</v>
      </c>
      <c r="P8" s="367">
        <v>125</v>
      </c>
      <c r="Q8" s="26">
        <f t="shared" si="2"/>
        <v>2.3584441477095965</v>
      </c>
      <c r="R8" s="26">
        <f t="shared" si="2"/>
        <v>7.3024386704305053</v>
      </c>
      <c r="S8" s="26">
        <f t="shared" si="2"/>
        <v>17.356292856453308</v>
      </c>
      <c r="T8" s="26">
        <f t="shared" si="2"/>
        <v>3.7478434996208794E-2</v>
      </c>
      <c r="U8" s="26">
        <f t="shared" si="2"/>
        <v>0.58083424591179733</v>
      </c>
      <c r="V8" s="26">
        <f t="shared" si="2"/>
        <v>0.51694247886149969</v>
      </c>
      <c r="W8" s="26">
        <f t="shared" si="2"/>
        <v>3330.9083124905046</v>
      </c>
      <c r="X8" s="26">
        <f t="shared" si="2"/>
        <v>0.21279865955392679</v>
      </c>
      <c r="Y8" s="26">
        <f t="shared" si="2"/>
        <v>1.6488478213630642</v>
      </c>
    </row>
    <row r="9" spans="1:32" s="3" customFormat="1">
      <c r="A9" s="100" t="s">
        <v>282</v>
      </c>
      <c r="B9" s="29" t="s">
        <v>27</v>
      </c>
      <c r="C9" s="97">
        <v>37</v>
      </c>
      <c r="D9" s="22">
        <v>0.37</v>
      </c>
      <c r="E9" s="102">
        <v>3.2313389441625637E-2</v>
      </c>
      <c r="F9" s="397">
        <f>IF($C9&lt;11,'Offroad Tiers EF (2)'!$AN$4*$C9*$D9,IF($C9&lt;25,'Offroad Tiers EF (2)'!$AN$5*$C9*$D9,IF($C9&lt;50,'Offroad Tiers EF (2)'!$AN$6*$C9*$D9,IF($C9&lt;75,'Offroad Tiers EF (2)'!$AN$7*$C9*$D9,IF($C9&lt;100,'Offroad Tiers EF (2)'!$AN$8*$C9*$D9,IF($C9&lt;175,'Offroad Tiers EF (2)'!$AN$9*$C9*$D9,IF($C9&lt;300,'Offroad Tiers EF (2)'!$AN$10*$C9*$D9,IF($C9&lt;600,'Offroad Tiers EF (2)'!$AN$11*$C9*$D9,"!"))))))))</f>
        <v>0.12374118165784832</v>
      </c>
      <c r="G9" s="397">
        <f>IF($C9&lt;11,'Offroad Tiers EF (2)'!$AM$4*$C9*$D9,IF($C9&lt;25,'Offroad Tiers EF (2)'!$AM$5*$C9*$D9,IF($C9&lt;50,'Offroad Tiers EF (2)'!$AM$6*$C9*$D9,IF($C9&lt;75,'Offroad Tiers EF (2)'!$AM$7*$C9*$D9,IF($C9&lt;100,'Offroad Tiers EF (2)'!$AM$8*$C9*$D9,IF($C9&lt;175,'Offroad Tiers EF (2)'!$AM$9*$C9*$D9,IF($C9&lt;300,'Offroad Tiers EF (2)'!$AM$10*$C9*$D9,IF($C9&lt;600,'Offroad Tiers EF (2)'!$AM$11*$C9*$D9,"!"))))))))</f>
        <v>0.16056172839506169</v>
      </c>
      <c r="H9" s="102">
        <v>3.2989906092678058E-4</v>
      </c>
      <c r="I9" s="397">
        <f>IF($C9&lt;11,'Offroad Tiers EF (2)'!$AO$4*$C9*$D9,IF($C9&lt;25,'Offroad Tiers EF (2)'!$AO$5*$C9*$D9,IF($C9&lt;50,'Offroad Tiers EF (2)'!$AO$6*$C9*$D9,IF($C9&lt;75,'Offroad Tiers EF (2)'!$AO$7*$C9*$D9,IF($C9&lt;100,'Offroad Tiers EF (2)'!$AO$8*$C9*$D9,IF($C9&lt;175,'Offroad Tiers EF (2)'!$AO$9*$C9*$D9,IF($C9&lt;300,'Offroad Tiers EF (2)'!$AO$10*$C9*$D9,IF($C9&lt;600,'Offroad Tiers EF (2)'!$AO$11*$C9*$D9,"!"))))))))</f>
        <v>1.3581349206349205E-2</v>
      </c>
      <c r="J9" s="100">
        <f t="shared" si="0"/>
        <v>1.2087400793650793E-2</v>
      </c>
      <c r="K9" s="103">
        <v>25.519156990664225</v>
      </c>
      <c r="L9" s="102">
        <v>3.413848047070189E-3</v>
      </c>
      <c r="M9" s="104">
        <f t="shared" si="1"/>
        <v>1.5253364197530862E-2</v>
      </c>
      <c r="N9" s="87">
        <v>1</v>
      </c>
      <c r="O9" s="88">
        <v>10</v>
      </c>
      <c r="P9" s="367">
        <v>75</v>
      </c>
      <c r="Q9" s="26">
        <f t="shared" si="2"/>
        <v>0.3231338944162564</v>
      </c>
      <c r="R9" s="26">
        <f t="shared" si="2"/>
        <v>1.2374118165784833</v>
      </c>
      <c r="S9" s="26">
        <f t="shared" si="2"/>
        <v>1.6056172839506169</v>
      </c>
      <c r="T9" s="26">
        <f t="shared" si="2"/>
        <v>3.2989906092678058E-3</v>
      </c>
      <c r="U9" s="26">
        <f t="shared" si="2"/>
        <v>0.13581349206349205</v>
      </c>
      <c r="V9" s="26">
        <f t="shared" si="2"/>
        <v>0.12087400793650793</v>
      </c>
      <c r="W9" s="26">
        <f t="shared" si="2"/>
        <v>255.19156990664226</v>
      </c>
      <c r="X9" s="26">
        <f t="shared" si="2"/>
        <v>3.4138480470701893E-2</v>
      </c>
      <c r="Y9" s="26">
        <f t="shared" si="2"/>
        <v>0.15253364197530861</v>
      </c>
    </row>
    <row r="10" spans="1:32" s="3" customFormat="1">
      <c r="A10" s="100" t="s">
        <v>123</v>
      </c>
      <c r="B10" s="29" t="s">
        <v>27</v>
      </c>
      <c r="C10" s="22">
        <v>84</v>
      </c>
      <c r="D10" s="22">
        <v>0.38</v>
      </c>
      <c r="E10" s="102">
        <v>7.9534395197012789E-2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0.26037037037037036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0.33225370370370361</v>
      </c>
      <c r="H10" s="102">
        <v>6.9196834691909377E-4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2.1111111111111112E-2</v>
      </c>
      <c r="J10" s="100">
        <f t="shared" si="0"/>
        <v>1.878888888888889E-2</v>
      </c>
      <c r="K10" s="103">
        <v>58.988746640295226</v>
      </c>
      <c r="L10" s="102">
        <v>7.7311979659905822E-3</v>
      </c>
      <c r="M10" s="102">
        <f t="shared" si="1"/>
        <v>3.1564101851851843E-2</v>
      </c>
      <c r="N10" s="363">
        <v>1</v>
      </c>
      <c r="O10" s="88">
        <v>10</v>
      </c>
      <c r="P10" s="363">
        <v>10</v>
      </c>
      <c r="Q10" s="34">
        <f t="shared" si="2"/>
        <v>0.79534395197012786</v>
      </c>
      <c r="R10" s="26">
        <f t="shared" si="2"/>
        <v>2.6037037037037036</v>
      </c>
      <c r="S10" s="26">
        <f t="shared" si="2"/>
        <v>3.3225370370370362</v>
      </c>
      <c r="T10" s="26">
        <f t="shared" si="2"/>
        <v>6.9196834691909372E-3</v>
      </c>
      <c r="U10" s="26">
        <f t="shared" si="2"/>
        <v>0.21111111111111111</v>
      </c>
      <c r="V10" s="26">
        <f t="shared" si="2"/>
        <v>0.18788888888888888</v>
      </c>
      <c r="W10" s="26">
        <f t="shared" si="2"/>
        <v>589.88746640295221</v>
      </c>
      <c r="X10" s="26">
        <f t="shared" si="2"/>
        <v>7.7311979659905827E-2</v>
      </c>
      <c r="Y10" s="26">
        <f t="shared" si="2"/>
        <v>0.31564101851851845</v>
      </c>
    </row>
    <row r="11" spans="1:32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8"/>
      <c r="P11" s="367"/>
      <c r="Q11" s="27">
        <f>SUM(Q7:Q10)</f>
        <v>4.449040729123876</v>
      </c>
      <c r="R11" s="27">
        <f t="shared" ref="R11:Y11" si="3">SUM(R7:R10)</f>
        <v>16.010000398825568</v>
      </c>
      <c r="S11" s="27">
        <f t="shared" si="3"/>
        <v>27.694751630703749</v>
      </c>
      <c r="T11" s="27">
        <f t="shared" si="3"/>
        <v>7.0638993664527971E-2</v>
      </c>
      <c r="U11" s="27">
        <f t="shared" si="3"/>
        <v>1.217115110109328</v>
      </c>
      <c r="V11" s="27">
        <f t="shared" si="3"/>
        <v>1.0832324479973021</v>
      </c>
      <c r="W11" s="27">
        <f t="shared" si="3"/>
        <v>6513.3410633871972</v>
      </c>
      <c r="X11" s="27">
        <f t="shared" si="3"/>
        <v>0.41913978970504545</v>
      </c>
      <c r="Y11" s="27">
        <f t="shared" si="3"/>
        <v>2.631001404916856</v>
      </c>
    </row>
    <row r="12" spans="1:32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88"/>
      <c r="P12" s="367"/>
      <c r="Q12" s="26"/>
      <c r="R12" s="26"/>
      <c r="S12" s="26"/>
      <c r="T12" s="26"/>
      <c r="U12" s="26"/>
      <c r="V12" s="26"/>
      <c r="W12" s="26"/>
      <c r="X12" s="26"/>
      <c r="Y12" s="26"/>
    </row>
    <row r="13" spans="1:32" s="6" customFormat="1">
      <c r="A13" s="122" t="s">
        <v>390</v>
      </c>
      <c r="B13" s="97"/>
      <c r="C13" s="22"/>
      <c r="D13" s="22"/>
      <c r="E13" s="23"/>
      <c r="F13" s="23"/>
      <c r="G13" s="23"/>
      <c r="H13" s="23"/>
      <c r="I13" s="23"/>
      <c r="J13" s="24"/>
      <c r="K13" s="25"/>
      <c r="L13" s="23"/>
      <c r="M13" s="23"/>
      <c r="N13" s="88"/>
      <c r="O13" s="88"/>
      <c r="P13" s="88"/>
      <c r="Q13" s="20">
        <f>Q11</f>
        <v>4.449040729123876</v>
      </c>
      <c r="R13" s="20">
        <f t="shared" ref="R13:Y13" si="4">R11</f>
        <v>16.010000398825568</v>
      </c>
      <c r="S13" s="20">
        <f t="shared" si="4"/>
        <v>27.694751630703749</v>
      </c>
      <c r="T13" s="20">
        <f t="shared" si="4"/>
        <v>7.0638993664527971E-2</v>
      </c>
      <c r="U13" s="20">
        <f t="shared" si="4"/>
        <v>1.217115110109328</v>
      </c>
      <c r="V13" s="20">
        <f t="shared" si="4"/>
        <v>1.0832324479973021</v>
      </c>
      <c r="W13" s="20">
        <f t="shared" si="4"/>
        <v>6513.3410633871972</v>
      </c>
      <c r="X13" s="20">
        <f t="shared" si="4"/>
        <v>0.41913978970504545</v>
      </c>
      <c r="Y13" s="20">
        <f t="shared" si="4"/>
        <v>2.631001404916856</v>
      </c>
      <c r="AF13" s="7"/>
    </row>
    <row r="14" spans="1:32" s="6" customFormat="1">
      <c r="A14" s="91"/>
      <c r="B14" s="92"/>
      <c r="C14" s="93"/>
      <c r="D14" s="93"/>
      <c r="E14" s="94"/>
      <c r="F14" s="94"/>
      <c r="G14" s="94"/>
      <c r="H14" s="94"/>
      <c r="I14" s="94"/>
      <c r="J14" s="125"/>
      <c r="K14" s="366"/>
      <c r="L14" s="94"/>
      <c r="M14" s="94"/>
      <c r="N14" s="95"/>
      <c r="O14" s="95"/>
      <c r="P14" s="95"/>
      <c r="Q14" s="96"/>
      <c r="R14" s="96"/>
      <c r="S14" s="96"/>
      <c r="T14" s="96"/>
      <c r="U14" s="96"/>
      <c r="V14" s="96"/>
      <c r="W14" s="96"/>
      <c r="X14" s="96"/>
      <c r="Y14" s="96"/>
      <c r="AF14" s="7"/>
    </row>
    <row r="15" spans="1:32">
      <c r="A15" s="91"/>
      <c r="B15" s="92"/>
      <c r="C15" s="93"/>
      <c r="D15" s="93"/>
      <c r="E15" s="94"/>
      <c r="F15" s="94"/>
      <c r="G15" s="94"/>
      <c r="H15" s="94"/>
      <c r="I15" s="94"/>
      <c r="J15" s="125"/>
      <c r="K15" s="366"/>
      <c r="L15" s="94"/>
      <c r="M15" s="94"/>
      <c r="N15" s="95"/>
      <c r="O15" s="95"/>
      <c r="P15" s="95"/>
      <c r="Q15" s="96"/>
      <c r="R15" s="96"/>
      <c r="S15" s="96"/>
      <c r="T15" s="96"/>
      <c r="U15" s="96"/>
      <c r="V15" s="96"/>
      <c r="W15" s="96"/>
      <c r="X15" s="96"/>
      <c r="Y15" s="96"/>
    </row>
    <row r="36" spans="1:1">
      <c r="A36" t="s">
        <v>486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37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73"/>
  <sheetViews>
    <sheetView zoomScale="75" workbookViewId="0">
      <selection activeCell="G10" sqref="G10:S10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487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0" t="s">
        <v>55</v>
      </c>
      <c r="H6" s="540" t="s">
        <v>56</v>
      </c>
      <c r="I6" s="536" t="s">
        <v>57</v>
      </c>
      <c r="J6" s="540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0" t="s">
        <v>61</v>
      </c>
      <c r="R6" s="536" t="s">
        <v>62</v>
      </c>
      <c r="S6" s="536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39" t="s">
        <v>69</v>
      </c>
      <c r="H7" s="41" t="s">
        <v>69</v>
      </c>
      <c r="I7" s="41" t="s">
        <v>69</v>
      </c>
      <c r="J7" s="41" t="s">
        <v>69</v>
      </c>
      <c r="K7" s="536" t="s">
        <v>69</v>
      </c>
      <c r="L7" s="536" t="s">
        <v>71</v>
      </c>
      <c r="M7" s="536" t="s">
        <v>72</v>
      </c>
      <c r="N7" s="536" t="s">
        <v>69</v>
      </c>
      <c r="O7" s="536" t="s">
        <v>71</v>
      </c>
      <c r="P7" s="536" t="s">
        <v>72</v>
      </c>
      <c r="Q7" s="41" t="s">
        <v>69</v>
      </c>
      <c r="R7" s="536" t="s">
        <v>69</v>
      </c>
      <c r="S7" s="536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39"/>
      <c r="H8" s="41"/>
      <c r="I8" s="41"/>
      <c r="J8" s="41"/>
      <c r="K8" s="536"/>
      <c r="L8" s="536"/>
      <c r="M8" s="536"/>
      <c r="N8" s="536"/>
      <c r="O8" s="536"/>
      <c r="P8" s="536"/>
      <c r="Q8" s="41"/>
      <c r="R8" s="536"/>
      <c r="S8" s="536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485</v>
      </c>
      <c r="B9" s="76" t="s">
        <v>95</v>
      </c>
      <c r="C9" s="79">
        <v>2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6.6594183689096684E-2</v>
      </c>
      <c r="U9" s="50">
        <f>C9*($F9*$H9)/453.59</f>
        <v>0.12293958521981244</v>
      </c>
      <c r="V9" s="50">
        <f>C9*(($F9*$I9))/453.59</f>
        <v>1.5020448508630898E-2</v>
      </c>
      <c r="W9" s="50">
        <f>C9*($F9*$J9)/453.59</f>
        <v>9.2657422707165152E-4</v>
      </c>
      <c r="X9" s="50">
        <f>C9*(($F9*($K9+$L9+$M9)))/453.59</f>
        <v>2.4246309913434082E-2</v>
      </c>
      <c r="Y9" s="50">
        <f>C9*(($F9*($N9+$O9+$P9)))/453.59</f>
        <v>1.6110732655318268E-2</v>
      </c>
      <c r="Z9" s="50">
        <f>C9*(F9)*$B$371</f>
        <v>1.1774766399170092E-2</v>
      </c>
      <c r="AA9" s="50">
        <f>Z9*0.21</f>
        <v>2.4727009438257194E-3</v>
      </c>
      <c r="AB9" s="50">
        <f>C9*(($F9*($Q9)))/453.59</f>
        <v>64.542737060171092</v>
      </c>
      <c r="AC9" s="50">
        <f>C9*(($F9*($R9)))/453.59</f>
        <v>3.688165623829356E-3</v>
      </c>
      <c r="AD9" s="50">
        <f>C9*(($F9*($S9)))/453.59</f>
        <v>1.6533267525333424E-3</v>
      </c>
    </row>
    <row r="10" spans="1:30" ht="25.5">
      <c r="A10" s="78" t="s">
        <v>488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83">
        <v>3.59998119015979E-2</v>
      </c>
      <c r="M10" s="583">
        <v>6.1739677411240299E-2</v>
      </c>
      <c r="N10" s="106">
        <v>6.5945508986370194E-2</v>
      </c>
      <c r="O10" s="583">
        <v>2.9999843251331498E-3</v>
      </c>
      <c r="P10" s="583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C10*(F10)*$B$379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39"/>
      <c r="H11" s="41"/>
      <c r="I11" s="41"/>
      <c r="J11" s="41"/>
      <c r="K11" s="536"/>
      <c r="L11" s="536"/>
      <c r="M11" s="536"/>
      <c r="N11" s="536"/>
      <c r="O11" s="536"/>
      <c r="P11" s="536"/>
      <c r="Q11" s="41"/>
      <c r="R11" s="536"/>
      <c r="S11" s="536"/>
      <c r="T11" s="81">
        <f>SUM(T9:T10)</f>
        <v>0.25754015097834909</v>
      </c>
      <c r="U11" s="81">
        <f t="shared" ref="U11:AD11" si="0">SUM(U9:U10)</f>
        <v>0.99972644400567823</v>
      </c>
      <c r="V11" s="81">
        <f t="shared" si="0"/>
        <v>6.1314260232905073E-2</v>
      </c>
      <c r="W11" s="81">
        <f t="shared" si="0"/>
        <v>2.8158254010393316E-3</v>
      </c>
      <c r="X11" s="81">
        <f t="shared" si="0"/>
        <v>5.412693168816099E-2</v>
      </c>
      <c r="Y11" s="81">
        <f t="shared" si="0"/>
        <v>3.8122717301449401E-2</v>
      </c>
      <c r="Z11" s="81">
        <f t="shared" si="0"/>
        <v>1.1774766399170092E-2</v>
      </c>
      <c r="AA11" s="81">
        <f t="shared" si="0"/>
        <v>2.4727009438257194E-3</v>
      </c>
      <c r="AB11" s="81">
        <f t="shared" si="0"/>
        <v>366.26474678373643</v>
      </c>
      <c r="AC11" s="81">
        <f t="shared" si="0"/>
        <v>6.3752171518704336E-3</v>
      </c>
      <c r="AD11" s="81">
        <f t="shared" si="0"/>
        <v>9.3822377536121934E-3</v>
      </c>
    </row>
    <row r="12" spans="1:30">
      <c r="A12" s="535"/>
      <c r="B12" s="74"/>
      <c r="C12" s="112"/>
      <c r="D12" s="112"/>
      <c r="E12" s="74"/>
      <c r="F12" s="74"/>
      <c r="G12" s="539"/>
      <c r="H12" s="41"/>
      <c r="I12" s="41"/>
      <c r="J12" s="41"/>
      <c r="K12" s="536"/>
      <c r="L12" s="536"/>
      <c r="M12" s="536"/>
      <c r="N12" s="536"/>
      <c r="O12" s="536"/>
      <c r="P12" s="536"/>
      <c r="Q12" s="41"/>
      <c r="R12" s="536"/>
      <c r="S12" s="536"/>
      <c r="T12" s="61"/>
      <c r="U12" s="61"/>
      <c r="V12" s="61"/>
      <c r="W12" s="61"/>
      <c r="X12" s="61"/>
      <c r="Y12" s="61"/>
      <c r="Z12" s="62"/>
      <c r="AA12" s="62"/>
      <c r="AB12" s="62"/>
      <c r="AC12" s="62"/>
      <c r="AD12" s="62"/>
    </row>
    <row r="13" spans="1:30">
      <c r="A13" s="75" t="s">
        <v>388</v>
      </c>
      <c r="B13" s="74"/>
      <c r="C13" s="112"/>
      <c r="D13" s="112"/>
      <c r="E13" s="74"/>
      <c r="F13" s="74"/>
      <c r="G13" s="539"/>
      <c r="H13" s="41"/>
      <c r="I13" s="41"/>
      <c r="J13" s="41"/>
      <c r="K13" s="536"/>
      <c r="L13" s="536"/>
      <c r="M13" s="536"/>
      <c r="N13" s="536"/>
      <c r="O13" s="536"/>
      <c r="P13" s="536"/>
      <c r="Q13" s="41"/>
      <c r="R13" s="536"/>
      <c r="S13" s="536"/>
      <c r="T13" s="81">
        <f>T11</f>
        <v>0.25754015097834909</v>
      </c>
      <c r="U13" s="81">
        <f t="shared" ref="U13:AD13" si="1">U11</f>
        <v>0.99972644400567823</v>
      </c>
      <c r="V13" s="81">
        <f t="shared" si="1"/>
        <v>6.1314260232905073E-2</v>
      </c>
      <c r="W13" s="81">
        <f t="shared" si="1"/>
        <v>2.8158254010393316E-3</v>
      </c>
      <c r="X13" s="81">
        <f t="shared" si="1"/>
        <v>5.412693168816099E-2</v>
      </c>
      <c r="Y13" s="81">
        <f t="shared" si="1"/>
        <v>3.8122717301449401E-2</v>
      </c>
      <c r="Z13" s="81">
        <f t="shared" si="1"/>
        <v>1.1774766399170092E-2</v>
      </c>
      <c r="AA13" s="81">
        <f t="shared" si="1"/>
        <v>2.4727009438257194E-3</v>
      </c>
      <c r="AB13" s="81">
        <f t="shared" si="1"/>
        <v>366.26474678373643</v>
      </c>
      <c r="AC13" s="81">
        <f t="shared" si="1"/>
        <v>6.3752171518704336E-3</v>
      </c>
      <c r="AD13" s="81">
        <f t="shared" si="1"/>
        <v>9.3822377536121934E-3</v>
      </c>
    </row>
    <row r="14" spans="1:30">
      <c r="A14" s="370"/>
      <c r="B14" s="371"/>
      <c r="C14" s="372"/>
      <c r="D14" s="372"/>
      <c r="E14" s="371"/>
      <c r="F14" s="371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3"/>
      <c r="S14" s="373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</row>
    <row r="15" spans="1:30">
      <c r="A15" s="370"/>
      <c r="B15" s="371"/>
      <c r="C15" s="372"/>
      <c r="D15" s="372"/>
      <c r="E15" s="371"/>
      <c r="F15" s="371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</row>
    <row r="16" spans="1:30">
      <c r="A16" s="370"/>
      <c r="B16" s="371"/>
      <c r="C16" s="372"/>
      <c r="D16" s="372"/>
      <c r="E16" s="371"/>
      <c r="F16" s="371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</row>
    <row r="361" spans="1:1" ht="25.5">
      <c r="A361" s="82" t="s">
        <v>109</v>
      </c>
    </row>
    <row r="363" spans="1:1">
      <c r="A363" s="36" t="s">
        <v>81</v>
      </c>
    </row>
    <row r="364" spans="1:1">
      <c r="A364" s="36" t="s">
        <v>82</v>
      </c>
    </row>
    <row r="365" spans="1:1">
      <c r="A365" s="36" t="s">
        <v>83</v>
      </c>
    </row>
    <row r="366" spans="1:1">
      <c r="A366" s="37" t="s">
        <v>96</v>
      </c>
    </row>
    <row r="367" spans="1:1">
      <c r="A367" s="36" t="s">
        <v>85</v>
      </c>
    </row>
    <row r="368" spans="1:1">
      <c r="A368" s="36" t="s">
        <v>86</v>
      </c>
    </row>
    <row r="369" spans="1:2">
      <c r="A369" s="36" t="s">
        <v>87</v>
      </c>
    </row>
    <row r="370" spans="1:2">
      <c r="A370" s="36" t="s">
        <v>0</v>
      </c>
    </row>
    <row r="371" spans="1:2">
      <c r="A371" s="37" t="s">
        <v>97</v>
      </c>
      <c r="B371" s="36">
        <f>(0.016*(0.03/2)^0.65*(2/3)^1.5)-0.00047</f>
        <v>9.8123053326417428E-5</v>
      </c>
    </row>
    <row r="372" spans="1:2">
      <c r="A372" s="37" t="s">
        <v>98</v>
      </c>
      <c r="B372" s="36">
        <f>(0.016*(0.03/2)^0.65*(13/3)^1.5)-0.00047</f>
        <v>8.9448292388582783E-3</v>
      </c>
    </row>
    <row r="373" spans="1:2">
      <c r="A373" s="37" t="s">
        <v>99</v>
      </c>
      <c r="B373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9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556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C9*(F9)*$B$360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C10*(F10)*$B$360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 ht="25.5">
      <c r="A13" s="114" t="s">
        <v>315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326</v>
      </c>
      <c r="B14" s="76" t="s">
        <v>95</v>
      </c>
      <c r="C14" s="79">
        <v>3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9.9891275533645019E-2</v>
      </c>
      <c r="U14" s="50">
        <f>C14*($F14*$H14)/453.59</f>
        <v>0.18440937782971867</v>
      </c>
      <c r="V14" s="50">
        <f>C14*(($F14*$I14))/453.59</f>
        <v>2.253067276294635E-2</v>
      </c>
      <c r="W14" s="50">
        <f>C14*($F14*$J14)/453.59</f>
        <v>1.3898613406074772E-3</v>
      </c>
      <c r="X14" s="50">
        <f>C14*(($F14*($K14+$L14+$M14)))/453.59</f>
        <v>3.6369464870151122E-2</v>
      </c>
      <c r="Y14" s="50">
        <f>C14*(($F14*($N14+$O14+$P14)))/453.59</f>
        <v>2.4166098982977401E-2</v>
      </c>
      <c r="Z14" s="50">
        <f>C14*(F14)*$B$360</f>
        <v>0</v>
      </c>
      <c r="AA14" s="50">
        <f>Z14*0.21</f>
        <v>0</v>
      </c>
      <c r="AB14" s="50">
        <f>C14*(($F14*($Q14)))/453.59</f>
        <v>96.814105590256631</v>
      </c>
      <c r="AC14" s="50">
        <f>C14*(($F14*($R14)))/453.59</f>
        <v>5.5322484357440338E-3</v>
      </c>
      <c r="AD14" s="50">
        <f>C14*(($F14*($S14)))/453.59</f>
        <v>2.4799901288000137E-3</v>
      </c>
    </row>
    <row r="15" spans="1:30">
      <c r="A15" s="78" t="s">
        <v>327</v>
      </c>
      <c r="B15" s="76" t="s">
        <v>105</v>
      </c>
      <c r="C15" s="374">
        <v>1</v>
      </c>
      <c r="D15" s="77"/>
      <c r="E15" s="77">
        <v>35</v>
      </c>
      <c r="F15" s="77">
        <v>80</v>
      </c>
      <c r="G15" s="106">
        <v>1.08263976628415</v>
      </c>
      <c r="H15" s="106">
        <v>4.9712718909585103</v>
      </c>
      <c r="I15" s="106">
        <v>0.26248012575016899</v>
      </c>
      <c r="J15" s="106">
        <v>1.0711818E-2</v>
      </c>
      <c r="K15" s="106">
        <v>7.1679901072141505E-2</v>
      </c>
      <c r="L15" s="576">
        <v>3.59998119015979E-2</v>
      </c>
      <c r="M15" s="576">
        <v>6.1739677411240299E-2</v>
      </c>
      <c r="N15" s="106">
        <v>6.5945508986370194E-2</v>
      </c>
      <c r="O15" s="576">
        <v>2.9999843251331498E-3</v>
      </c>
      <c r="P15" s="576">
        <v>5.5859708133979398E-2</v>
      </c>
      <c r="Q15" s="106">
        <v>1710.7260798814</v>
      </c>
      <c r="R15" s="47">
        <v>1.5235246282551899E-2</v>
      </c>
      <c r="S15" s="80">
        <f>0.000025616*Q15</f>
        <v>4.3821959262241944E-2</v>
      </c>
      <c r="T15" s="50">
        <f>C15*($F15*$G15)/453.59</f>
        <v>0.19094596728925242</v>
      </c>
      <c r="U15" s="50">
        <f>C15*($F15*$H15)/453.59</f>
        <v>0.87678685878586582</v>
      </c>
      <c r="V15" s="50">
        <f>C15*(($F15*$I15))/453.59</f>
        <v>4.6293811724274173E-2</v>
      </c>
      <c r="W15" s="50">
        <f>C15*($F15*$J15)/453.59</f>
        <v>1.8892511739676801E-3</v>
      </c>
      <c r="X15" s="50">
        <f>C15*(($F15*($K15+$L15+$M15)))/453.59</f>
        <v>2.9880621774726907E-2</v>
      </c>
      <c r="Y15" s="50">
        <f>C15*(($F15*($N15+$O15+$P15)))/453.59</f>
        <v>2.2011984646131133E-2</v>
      </c>
      <c r="Z15" s="50">
        <f>C15*(F15)*$B$360</f>
        <v>0</v>
      </c>
      <c r="AA15" s="50">
        <f>Z15*0.21</f>
        <v>0</v>
      </c>
      <c r="AB15" s="50">
        <f>C15*(($F15*($Q15)))/453.59</f>
        <v>301.72200972356535</v>
      </c>
      <c r="AC15" s="50">
        <f>C15*(($F15*($R15)))/453.59</f>
        <v>2.6870515280410772E-3</v>
      </c>
      <c r="AD15" s="50">
        <f>C15*(($F15*($S15)))/453.59</f>
        <v>7.7289110010788503E-3</v>
      </c>
    </row>
    <row r="16" spans="1:30">
      <c r="A16" s="75" t="s">
        <v>28</v>
      </c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>
        <f t="shared" ref="T16:AD16" si="1">SUM(T14:T15)</f>
        <v>0.29083724282289747</v>
      </c>
      <c r="U16" s="81">
        <f t="shared" si="1"/>
        <v>1.0611962366155845</v>
      </c>
      <c r="V16" s="81">
        <f t="shared" si="1"/>
        <v>6.8824484487220519E-2</v>
      </c>
      <c r="W16" s="81">
        <f t="shared" si="1"/>
        <v>3.2791125145751575E-3</v>
      </c>
      <c r="X16" s="81">
        <f t="shared" si="1"/>
        <v>6.6250086644878026E-2</v>
      </c>
      <c r="Y16" s="81">
        <f t="shared" si="1"/>
        <v>4.6178083629108538E-2</v>
      </c>
      <c r="Z16" s="81">
        <f t="shared" si="1"/>
        <v>0</v>
      </c>
      <c r="AA16" s="81">
        <f t="shared" si="1"/>
        <v>0</v>
      </c>
      <c r="AB16" s="81">
        <f t="shared" si="1"/>
        <v>398.53611531382199</v>
      </c>
      <c r="AC16" s="81">
        <f t="shared" si="1"/>
        <v>8.2192999637851101E-3</v>
      </c>
      <c r="AD16" s="81">
        <f t="shared" si="1"/>
        <v>1.0208901129878864E-2</v>
      </c>
    </row>
    <row r="17" spans="1:30">
      <c r="A17" s="75"/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</row>
    <row r="18" spans="1:30">
      <c r="A18" s="114" t="s">
        <v>330</v>
      </c>
      <c r="B18" s="74"/>
      <c r="C18" s="112"/>
      <c r="D18" s="112"/>
      <c r="E18" s="74"/>
      <c r="F18" s="74"/>
      <c r="G18" s="577"/>
      <c r="H18" s="41"/>
      <c r="I18" s="41"/>
      <c r="J18" s="41"/>
      <c r="K18" s="574"/>
      <c r="L18" s="574"/>
      <c r="M18" s="574"/>
      <c r="N18" s="574"/>
      <c r="O18" s="574"/>
      <c r="P18" s="574"/>
      <c r="Q18" s="41"/>
      <c r="R18" s="574"/>
      <c r="S18" s="574"/>
      <c r="T18" s="61"/>
      <c r="U18" s="61"/>
      <c r="V18" s="61"/>
      <c r="W18" s="61"/>
      <c r="X18" s="61"/>
      <c r="Y18" s="61"/>
      <c r="Z18" s="62"/>
      <c r="AA18" s="62"/>
      <c r="AB18" s="62"/>
      <c r="AC18" s="62"/>
      <c r="AD18" s="62"/>
    </row>
    <row r="19" spans="1:30">
      <c r="A19" s="78" t="s">
        <v>320</v>
      </c>
      <c r="B19" s="76" t="s">
        <v>95</v>
      </c>
      <c r="C19" s="79">
        <v>12</v>
      </c>
      <c r="D19" s="77"/>
      <c r="E19" s="77">
        <v>35</v>
      </c>
      <c r="F19" s="77">
        <v>60</v>
      </c>
      <c r="G19" s="106">
        <v>0.25172046482947802</v>
      </c>
      <c r="H19" s="106">
        <v>0.464701387165456</v>
      </c>
      <c r="I19" s="106">
        <v>5.6776043658582402E-2</v>
      </c>
      <c r="J19" s="106">
        <v>3.5023733638119199E-3</v>
      </c>
      <c r="K19" s="106">
        <v>4.6899256897933901E-2</v>
      </c>
      <c r="L19" s="47">
        <v>7.99995847163921E-3</v>
      </c>
      <c r="M19" s="47">
        <v>3.6749815577381599E-2</v>
      </c>
      <c r="N19" s="106">
        <v>4.3147317248333997E-2</v>
      </c>
      <c r="O19" s="47">
        <v>1.9999896145790402E-3</v>
      </c>
      <c r="P19" s="47">
        <v>1.57499200131354E-2</v>
      </c>
      <c r="Q19" s="106">
        <v>243.966167526025</v>
      </c>
      <c r="R19" s="47">
        <f>0.000057143*Q19</f>
        <v>1.3940958710939646E-2</v>
      </c>
      <c r="S19" s="80">
        <f>0.000025616*Q19</f>
        <v>6.2494373473466567E-3</v>
      </c>
      <c r="T19" s="50">
        <f>C19*($F19*$G19)/453.59</f>
        <v>0.39956510213458007</v>
      </c>
      <c r="U19" s="50">
        <f>C19*($F19*$H19)/453.59</f>
        <v>0.73763751131887467</v>
      </c>
      <c r="V19" s="50">
        <f>C19*(($F19*$I19))/453.59</f>
        <v>9.01226910517854E-2</v>
      </c>
      <c r="W19" s="50">
        <f>C19*($F19*$J19)/453.59</f>
        <v>5.5594453624299087E-3</v>
      </c>
      <c r="X19" s="50">
        <f>C19*(($F19*($K19+$L19+$M19)))/453.59</f>
        <v>0.14547785948060449</v>
      </c>
      <c r="Y19" s="50">
        <f>C19*(($F19*($N19+$O19+$P19)))/453.59</f>
        <v>9.6664395931909605E-2</v>
      </c>
      <c r="Z19" s="50">
        <f>C19*(F19)*$B$360</f>
        <v>0</v>
      </c>
      <c r="AA19" s="50">
        <f>Z19*0.21</f>
        <v>0</v>
      </c>
      <c r="AB19" s="50">
        <f>C19*(($F19*($Q19)))/453.59</f>
        <v>387.25642236102652</v>
      </c>
      <c r="AC19" s="50">
        <f>C19*(($F19*($R19)))/453.59</f>
        <v>2.2128993742976135E-2</v>
      </c>
      <c r="AD19" s="50">
        <f>C19*(($F19*($S19)))/453.59</f>
        <v>9.9199605152000547E-3</v>
      </c>
    </row>
    <row r="20" spans="1:30">
      <c r="A20" s="75" t="s">
        <v>28</v>
      </c>
      <c r="B20" s="74"/>
      <c r="C20" s="112"/>
      <c r="D20" s="112"/>
      <c r="E20" s="74"/>
      <c r="F20" s="74"/>
      <c r="G20" s="577"/>
      <c r="H20" s="41"/>
      <c r="I20" s="41"/>
      <c r="J20" s="41"/>
      <c r="K20" s="574"/>
      <c r="L20" s="574"/>
      <c r="M20" s="574"/>
      <c r="N20" s="574"/>
      <c r="O20" s="574"/>
      <c r="P20" s="574"/>
      <c r="Q20" s="41"/>
      <c r="R20" s="574"/>
      <c r="S20" s="574"/>
      <c r="T20" s="81">
        <f t="shared" ref="T20:AD20" si="2">SUM(T19:T19)</f>
        <v>0.39956510213458007</v>
      </c>
      <c r="U20" s="81">
        <f t="shared" si="2"/>
        <v>0.73763751131887467</v>
      </c>
      <c r="V20" s="81">
        <f t="shared" si="2"/>
        <v>9.01226910517854E-2</v>
      </c>
      <c r="W20" s="81">
        <f t="shared" si="2"/>
        <v>5.5594453624299087E-3</v>
      </c>
      <c r="X20" s="81">
        <f t="shared" si="2"/>
        <v>0.14547785948060449</v>
      </c>
      <c r="Y20" s="81">
        <f t="shared" si="2"/>
        <v>9.6664395931909605E-2</v>
      </c>
      <c r="Z20" s="81">
        <f t="shared" si="2"/>
        <v>0</v>
      </c>
      <c r="AA20" s="81">
        <f t="shared" si="2"/>
        <v>0</v>
      </c>
      <c r="AB20" s="81">
        <f t="shared" si="2"/>
        <v>387.25642236102652</v>
      </c>
      <c r="AC20" s="81">
        <f t="shared" si="2"/>
        <v>2.2128993742976135E-2</v>
      </c>
      <c r="AD20" s="81">
        <f t="shared" si="2"/>
        <v>9.9199605152000547E-3</v>
      </c>
    </row>
    <row r="21" spans="1:30">
      <c r="A21" s="573"/>
      <c r="B21" s="74"/>
      <c r="C21" s="112"/>
      <c r="D21" s="112"/>
      <c r="E21" s="74"/>
      <c r="F21" s="74"/>
      <c r="G21" s="577"/>
      <c r="H21" s="41"/>
      <c r="I21" s="41"/>
      <c r="J21" s="41"/>
      <c r="K21" s="574"/>
      <c r="L21" s="574"/>
      <c r="M21" s="574"/>
      <c r="N21" s="574"/>
      <c r="O21" s="574"/>
      <c r="P21" s="574"/>
      <c r="Q21" s="41"/>
      <c r="R21" s="574"/>
      <c r="S21" s="574"/>
      <c r="T21" s="61"/>
      <c r="U21" s="61"/>
      <c r="V21" s="61"/>
      <c r="W21" s="61"/>
      <c r="X21" s="61"/>
      <c r="Y21" s="61"/>
      <c r="Z21" s="62"/>
      <c r="AA21" s="62"/>
      <c r="AB21" s="62"/>
      <c r="AC21" s="62"/>
      <c r="AD21" s="62"/>
    </row>
    <row r="22" spans="1:30">
      <c r="A22" s="114" t="s">
        <v>426</v>
      </c>
      <c r="B22" s="74"/>
      <c r="C22" s="112"/>
      <c r="D22" s="112"/>
      <c r="E22" s="74"/>
      <c r="F22" s="74"/>
      <c r="G22" s="577"/>
      <c r="H22" s="41"/>
      <c r="I22" s="41"/>
      <c r="J22" s="41"/>
      <c r="K22" s="574"/>
      <c r="L22" s="574"/>
      <c r="M22" s="574"/>
      <c r="N22" s="574"/>
      <c r="O22" s="574"/>
      <c r="P22" s="574"/>
      <c r="Q22" s="41"/>
      <c r="R22" s="574"/>
      <c r="S22" s="574"/>
      <c r="T22" s="61"/>
      <c r="U22" s="61"/>
      <c r="V22" s="61"/>
      <c r="W22" s="61"/>
      <c r="X22" s="61"/>
      <c r="Y22" s="61"/>
      <c r="Z22" s="62"/>
      <c r="AA22" s="62"/>
      <c r="AB22" s="62"/>
      <c r="AC22" s="62"/>
      <c r="AD22" s="62"/>
    </row>
    <row r="23" spans="1:30">
      <c r="A23" s="78" t="s">
        <v>320</v>
      </c>
      <c r="B23" s="76" t="s">
        <v>95</v>
      </c>
      <c r="C23" s="79">
        <v>10</v>
      </c>
      <c r="D23" s="77"/>
      <c r="E23" s="77">
        <v>35</v>
      </c>
      <c r="F23" s="77">
        <v>60</v>
      </c>
      <c r="G23" s="106">
        <v>0.25172046482947802</v>
      </c>
      <c r="H23" s="106">
        <v>0.464701387165456</v>
      </c>
      <c r="I23" s="106">
        <v>5.6776043658582402E-2</v>
      </c>
      <c r="J23" s="106">
        <v>3.5023733638119199E-3</v>
      </c>
      <c r="K23" s="106">
        <v>4.6899256897933901E-2</v>
      </c>
      <c r="L23" s="47">
        <v>7.99995847163921E-3</v>
      </c>
      <c r="M23" s="47">
        <v>3.6749815577381599E-2</v>
      </c>
      <c r="N23" s="106">
        <v>4.3147317248333997E-2</v>
      </c>
      <c r="O23" s="47">
        <v>1.9999896145790402E-3</v>
      </c>
      <c r="P23" s="47">
        <v>1.57499200131354E-2</v>
      </c>
      <c r="Q23" s="106">
        <v>243.966167526025</v>
      </c>
      <c r="R23" s="47">
        <f>0.000057143*Q23</f>
        <v>1.3940958710939646E-2</v>
      </c>
      <c r="S23" s="80">
        <f>0.000025616*Q23</f>
        <v>6.2494373473466567E-3</v>
      </c>
      <c r="T23" s="50">
        <f>C23*($F23*$G23)/453.59</f>
        <v>0.33297091844548338</v>
      </c>
      <c r="U23" s="50">
        <f>C23*($F23*$H23)/453.59</f>
        <v>0.61469792609906215</v>
      </c>
      <c r="V23" s="50">
        <f>C23*(($F23*$I23))/453.59</f>
        <v>7.5102242543154479E-2</v>
      </c>
      <c r="W23" s="50">
        <f>C23*($F23*$J23)/453.59</f>
        <v>4.6328711353582578E-3</v>
      </c>
      <c r="X23" s="50">
        <f>C23*(($F23*($K23+$L23+$M23)))/453.59</f>
        <v>0.12123154956717042</v>
      </c>
      <c r="Y23" s="50">
        <f>C23*(($F23*($N23+$O23+$P23)))/453.59</f>
        <v>8.0553663276591345E-2</v>
      </c>
      <c r="Z23" s="50">
        <f>C23*(F23)*$B$360</f>
        <v>0</v>
      </c>
      <c r="AA23" s="50">
        <f>Z23*0.21</f>
        <v>0</v>
      </c>
      <c r="AB23" s="50">
        <f>C23*(($F23*($Q23)))/453.59</f>
        <v>322.71368530085539</v>
      </c>
      <c r="AC23" s="50">
        <f>C23*(($F23*($R23)))/453.59</f>
        <v>1.8440828119146779E-2</v>
      </c>
      <c r="AD23" s="50">
        <f>C23*(($F23*($S23)))/453.59</f>
        <v>8.2666337626667117E-3</v>
      </c>
    </row>
    <row r="24" spans="1:30">
      <c r="A24" s="75" t="s">
        <v>28</v>
      </c>
      <c r="B24" s="74"/>
      <c r="C24" s="112"/>
      <c r="D24" s="112"/>
      <c r="E24" s="74"/>
      <c r="F24" s="74"/>
      <c r="G24" s="577"/>
      <c r="H24" s="41"/>
      <c r="I24" s="41"/>
      <c r="J24" s="41"/>
      <c r="K24" s="574"/>
      <c r="L24" s="574"/>
      <c r="M24" s="574"/>
      <c r="N24" s="574"/>
      <c r="O24" s="574"/>
      <c r="P24" s="574"/>
      <c r="Q24" s="41"/>
      <c r="R24" s="574"/>
      <c r="S24" s="574"/>
      <c r="T24" s="81">
        <f t="shared" ref="T24:AD24" si="3">SUM(T23:T23)</f>
        <v>0.33297091844548338</v>
      </c>
      <c r="U24" s="81">
        <f t="shared" si="3"/>
        <v>0.61469792609906215</v>
      </c>
      <c r="V24" s="81">
        <f t="shared" si="3"/>
        <v>7.5102242543154479E-2</v>
      </c>
      <c r="W24" s="81">
        <f t="shared" si="3"/>
        <v>4.6328711353582578E-3</v>
      </c>
      <c r="X24" s="81">
        <f t="shared" si="3"/>
        <v>0.12123154956717042</v>
      </c>
      <c r="Y24" s="81">
        <f t="shared" si="3"/>
        <v>8.0553663276591345E-2</v>
      </c>
      <c r="Z24" s="81">
        <f t="shared" si="3"/>
        <v>0</v>
      </c>
      <c r="AA24" s="81">
        <f t="shared" si="3"/>
        <v>0</v>
      </c>
      <c r="AB24" s="81">
        <f t="shared" si="3"/>
        <v>322.71368530085539</v>
      </c>
      <c r="AC24" s="81">
        <f t="shared" si="3"/>
        <v>1.8440828119146779E-2</v>
      </c>
      <c r="AD24" s="81">
        <f t="shared" si="3"/>
        <v>8.2666337626667117E-3</v>
      </c>
    </row>
    <row r="25" spans="1:30">
      <c r="A25" s="75" t="s">
        <v>388</v>
      </c>
      <c r="B25" s="74"/>
      <c r="C25" s="112"/>
      <c r="D25" s="112"/>
      <c r="E25" s="74"/>
      <c r="F25" s="74"/>
      <c r="G25" s="547"/>
      <c r="H25" s="41"/>
      <c r="I25" s="41"/>
      <c r="J25" s="41"/>
      <c r="K25" s="544"/>
      <c r="L25" s="544"/>
      <c r="M25" s="544"/>
      <c r="N25" s="544"/>
      <c r="O25" s="544"/>
      <c r="P25" s="544"/>
      <c r="Q25" s="41"/>
      <c r="R25" s="544"/>
      <c r="S25" s="544"/>
      <c r="T25" s="81">
        <f>T11+T16+T20+T24</f>
        <v>1.3142105062258584</v>
      </c>
      <c r="U25" s="81">
        <f t="shared" ref="U25:AD25" si="4">U11+U16+U20+U24</f>
        <v>3.474727910649106</v>
      </c>
      <c r="V25" s="81">
        <f t="shared" si="4"/>
        <v>0.30287390256938096</v>
      </c>
      <c r="W25" s="81">
        <f t="shared" si="4"/>
        <v>1.675054152693848E-2</v>
      </c>
      <c r="X25" s="81">
        <f t="shared" si="4"/>
        <v>0.39920958233753095</v>
      </c>
      <c r="Y25" s="81">
        <f t="shared" si="4"/>
        <v>0.26957422646671803</v>
      </c>
      <c r="Z25" s="81">
        <f t="shared" si="4"/>
        <v>0</v>
      </c>
      <c r="AA25" s="81">
        <f t="shared" si="4"/>
        <v>0</v>
      </c>
      <c r="AB25" s="81">
        <f t="shared" si="4"/>
        <v>1507.0423382895258</v>
      </c>
      <c r="AC25" s="81">
        <f t="shared" si="4"/>
        <v>5.7008421789693134E-2</v>
      </c>
      <c r="AD25" s="81">
        <f t="shared" si="4"/>
        <v>3.8604396537624493E-2</v>
      </c>
    </row>
    <row r="26" spans="1:30">
      <c r="A26" s="370"/>
      <c r="B26" s="371"/>
      <c r="C26" s="372"/>
      <c r="D26" s="372"/>
      <c r="E26" s="371"/>
      <c r="F26" s="371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</row>
    <row r="27" spans="1:30">
      <c r="A27" s="370"/>
      <c r="B27" s="371"/>
      <c r="C27" s="372"/>
      <c r="D27" s="372"/>
      <c r="E27" s="371"/>
      <c r="F27" s="371"/>
      <c r="G27" s="373"/>
      <c r="H27" s="373"/>
      <c r="I27" s="373"/>
      <c r="J27" s="373"/>
      <c r="K27" s="373"/>
      <c r="L27" s="373"/>
      <c r="M27" s="373"/>
      <c r="N27" s="373"/>
      <c r="O27" s="373"/>
      <c r="P27" s="373"/>
      <c r="Q27" s="373"/>
      <c r="R27" s="373"/>
      <c r="S27" s="373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</row>
    <row r="28" spans="1:30">
      <c r="A28" s="370"/>
      <c r="B28" s="371"/>
      <c r="C28" s="372"/>
      <c r="D28" s="372"/>
      <c r="E28" s="371"/>
      <c r="F28" s="371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</row>
    <row r="29" spans="1:30">
      <c r="A29" s="370"/>
      <c r="B29" s="371"/>
      <c r="C29" s="372"/>
      <c r="D29" s="372"/>
      <c r="E29" s="371"/>
      <c r="F29" s="371"/>
      <c r="G29" s="373"/>
      <c r="H29" s="373"/>
      <c r="I29" s="373"/>
      <c r="J29" s="373"/>
      <c r="K29" s="373"/>
      <c r="L29" s="373"/>
      <c r="M29" s="373"/>
      <c r="N29" s="373"/>
      <c r="O29" s="373"/>
      <c r="P29" s="373"/>
      <c r="Q29" s="373"/>
      <c r="R29" s="373"/>
      <c r="S29" s="373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</row>
    <row r="377" spans="1:1" ht="25.5">
      <c r="A377" s="82" t="s">
        <v>109</v>
      </c>
    </row>
    <row r="379" spans="1:1">
      <c r="A379" s="36" t="s">
        <v>81</v>
      </c>
    </row>
    <row r="380" spans="1:1">
      <c r="A380" s="36" t="s">
        <v>82</v>
      </c>
    </row>
    <row r="381" spans="1:1">
      <c r="A381" s="36" t="s">
        <v>83</v>
      </c>
    </row>
    <row r="382" spans="1:1">
      <c r="A382" s="37" t="s">
        <v>96</v>
      </c>
    </row>
    <row r="383" spans="1:1">
      <c r="A383" s="36" t="s">
        <v>85</v>
      </c>
    </row>
    <row r="384" spans="1:1">
      <c r="A384" s="36" t="s">
        <v>86</v>
      </c>
    </row>
    <row r="385" spans="1:2">
      <c r="A385" s="36" t="s">
        <v>87</v>
      </c>
    </row>
    <row r="386" spans="1:2">
      <c r="A386" s="36" t="s">
        <v>0</v>
      </c>
    </row>
    <row r="387" spans="1:2">
      <c r="A387" s="37" t="s">
        <v>97</v>
      </c>
      <c r="B387" s="36">
        <f>(0.016*(0.03/2)^0.65*(2/3)^1.5)-0.00047</f>
        <v>9.8123053326417428E-5</v>
      </c>
    </row>
    <row r="388" spans="1:2">
      <c r="A388" s="37" t="s">
        <v>98</v>
      </c>
      <c r="B388" s="36">
        <f>(0.016*(0.03/2)^0.65*(13/3)^1.5)-0.00047</f>
        <v>8.9448292388582783E-3</v>
      </c>
    </row>
    <row r="389" spans="1:2">
      <c r="A389" s="37" t="s">
        <v>99</v>
      </c>
      <c r="B389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38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89"/>
  <sheetViews>
    <sheetView zoomScale="85" zoomScaleNormal="85" workbookViewId="0">
      <selection activeCell="F4" sqref="F4:AE4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489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39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36" t="s">
        <v>69</v>
      </c>
      <c r="S3" s="42" t="s">
        <v>118</v>
      </c>
      <c r="T3" s="536" t="s">
        <v>71</v>
      </c>
      <c r="U3" s="536" t="s">
        <v>72</v>
      </c>
      <c r="V3" s="536" t="s">
        <v>69</v>
      </c>
      <c r="W3" s="42" t="s">
        <v>118</v>
      </c>
      <c r="X3" s="536" t="s">
        <v>71</v>
      </c>
      <c r="Y3" s="536" t="s">
        <v>72</v>
      </c>
      <c r="Z3" s="41" t="s">
        <v>69</v>
      </c>
      <c r="AA3" s="42" t="s">
        <v>118</v>
      </c>
      <c r="AB3" s="536" t="s">
        <v>69</v>
      </c>
      <c r="AC3" s="42" t="s">
        <v>118</v>
      </c>
      <c r="AD3" s="536" t="s">
        <v>69</v>
      </c>
      <c r="AE3" s="42" t="s">
        <v>118</v>
      </c>
    </row>
    <row r="4" spans="1:67" ht="25.5">
      <c r="A4" s="44" t="s">
        <v>490</v>
      </c>
      <c r="B4" s="45" t="s">
        <v>102</v>
      </c>
      <c r="C4" s="46">
        <v>13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" si="0">0.000049261*AA4</f>
        <v>2.2095931710230707E-2</v>
      </c>
      <c r="AD4" s="49">
        <v>3.2599999999999997E-2</v>
      </c>
      <c r="AE4" s="47">
        <f t="shared" ref="AE4" si="1">0.000021675*AA4</f>
        <v>9.7222817202097123E-3</v>
      </c>
    </row>
    <row r="5" spans="1:67">
      <c r="A5" s="52"/>
      <c r="B5" s="52"/>
      <c r="C5" s="53"/>
      <c r="D5" s="54"/>
      <c r="E5" s="54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</row>
    <row r="6" spans="1:67" ht="25.5">
      <c r="A6" s="55" t="s">
        <v>366</v>
      </c>
      <c r="B6" s="37"/>
      <c r="C6" s="37"/>
    </row>
    <row r="7" spans="1:67">
      <c r="A7" s="55" t="s">
        <v>77</v>
      </c>
      <c r="B7" s="37"/>
      <c r="C7" s="3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78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t="38.25" hidden="1">
      <c r="A9" s="55" t="s">
        <v>79</v>
      </c>
      <c r="B9" s="37"/>
      <c r="C9" s="37"/>
      <c r="AA9" s="57"/>
      <c r="AB9" s="58" t="s">
        <v>80</v>
      </c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idden="1">
      <c r="A10" s="55"/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37"/>
      <c r="B11" s="37"/>
      <c r="C11" s="3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538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 t="s">
        <v>81</v>
      </c>
      <c r="B13" s="37"/>
      <c r="C13" s="37"/>
      <c r="AA13" s="64" t="s">
        <v>29</v>
      </c>
      <c r="AB13" s="65" t="s">
        <v>30</v>
      </c>
      <c r="AC13" s="65" t="s">
        <v>31</v>
      </c>
      <c r="AD13" s="65"/>
      <c r="AE13" s="65"/>
      <c r="AQ13" s="38"/>
    </row>
    <row r="14" spans="1:67" hidden="1">
      <c r="A14" s="37" t="s">
        <v>82</v>
      </c>
      <c r="B14" s="37"/>
      <c r="C14" s="37"/>
      <c r="AA14" s="64"/>
      <c r="AB14" s="65" t="s">
        <v>32</v>
      </c>
      <c r="AC14" s="65">
        <v>13.25</v>
      </c>
      <c r="AD14" s="65"/>
      <c r="AE14" s="65"/>
      <c r="AF14" s="36" t="e">
        <f>AF$9*$AC14</f>
        <v>#REF!</v>
      </c>
      <c r="AG14" s="36" t="e">
        <f t="shared" ref="AG14:AO22" si="2">AG$9*$AC14</f>
        <v>#REF!</v>
      </c>
      <c r="AH14" s="36" t="e">
        <f t="shared" si="2"/>
        <v>#REF!</v>
      </c>
      <c r="AI14" s="36" t="e">
        <f t="shared" si="2"/>
        <v>#REF!</v>
      </c>
      <c r="AJ14" s="36" t="e">
        <f t="shared" si="2"/>
        <v>#REF!</v>
      </c>
      <c r="AK14" s="36" t="e">
        <f t="shared" si="2"/>
        <v>#REF!</v>
      </c>
      <c r="AL14" s="36" t="e">
        <f t="shared" si="2"/>
        <v>#REF!</v>
      </c>
      <c r="AM14" s="36" t="e">
        <f t="shared" si="2"/>
        <v>#REF!</v>
      </c>
      <c r="AN14" s="36" t="e">
        <f t="shared" si="2"/>
        <v>#REF!</v>
      </c>
      <c r="AO14" s="36" t="e">
        <f t="shared" si="2"/>
        <v>#REF!</v>
      </c>
      <c r="AQ14" s="38"/>
      <c r="AR14" s="36" t="e">
        <f>AR$9*$AC14</f>
        <v>#REF!</v>
      </c>
      <c r="AS14" s="36" t="e">
        <f t="shared" ref="AS14:BA22" si="3">AS$9*$AC14</f>
        <v>#REF!</v>
      </c>
      <c r="AT14" s="36" t="e">
        <f t="shared" si="3"/>
        <v>#REF!</v>
      </c>
      <c r="AU14" s="36" t="e">
        <f t="shared" si="3"/>
        <v>#REF!</v>
      </c>
      <c r="AV14" s="36" t="e">
        <f t="shared" si="3"/>
        <v>#REF!</v>
      </c>
      <c r="AW14" s="36" t="e">
        <f t="shared" si="3"/>
        <v>#REF!</v>
      </c>
      <c r="AX14" s="36" t="e">
        <f t="shared" si="3"/>
        <v>#REF!</v>
      </c>
      <c r="AY14" s="36" t="e">
        <f t="shared" si="3"/>
        <v>#REF!</v>
      </c>
      <c r="AZ14" s="36" t="e">
        <f t="shared" si="3"/>
        <v>#REF!</v>
      </c>
      <c r="BA14" s="36" t="e">
        <f t="shared" si="3"/>
        <v>#REF!</v>
      </c>
    </row>
    <row r="15" spans="1:67" hidden="1">
      <c r="A15" s="37" t="s">
        <v>83</v>
      </c>
      <c r="B15" s="37"/>
      <c r="C15" s="37"/>
      <c r="AA15" s="64"/>
      <c r="AB15" s="65" t="s">
        <v>33</v>
      </c>
      <c r="AC15" s="65">
        <v>20.298999999999999</v>
      </c>
      <c r="AD15" s="65"/>
      <c r="AE15" s="65"/>
      <c r="AF15" s="36" t="e">
        <f t="shared" ref="AF15:AF22" si="4">AF$9*$AC15</f>
        <v>#REF!</v>
      </c>
      <c r="AG15" s="36" t="e">
        <f t="shared" si="2"/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 t="shared" ref="AR15:AR22" si="5">AR$9*$AC15</f>
        <v>#REF!</v>
      </c>
      <c r="AS15" s="36" t="e">
        <f t="shared" si="3"/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84</v>
      </c>
      <c r="B16" s="37"/>
      <c r="C16" s="37"/>
      <c r="AA16" s="64"/>
      <c r="AB16" s="65" t="s">
        <v>34</v>
      </c>
      <c r="AC16" s="65">
        <v>21.68</v>
      </c>
      <c r="AD16" s="65"/>
      <c r="AE16" s="65"/>
      <c r="AF16" s="36" t="e">
        <f t="shared" si="4"/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si="5"/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85</v>
      </c>
      <c r="B17" s="37"/>
      <c r="C17" s="37"/>
      <c r="AA17" s="64"/>
      <c r="AB17" s="65" t="s">
        <v>35</v>
      </c>
      <c r="AC17" s="65">
        <v>9.3046500000000005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86</v>
      </c>
      <c r="B18" s="37"/>
      <c r="C18" s="37"/>
      <c r="AA18" s="64"/>
      <c r="AB18" s="65" t="s">
        <v>36</v>
      </c>
      <c r="AC18" s="65">
        <v>5.0347999999999997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87</v>
      </c>
      <c r="B19" s="37"/>
      <c r="C19" s="37"/>
      <c r="AA19" s="64"/>
      <c r="AB19" s="65" t="s">
        <v>37</v>
      </c>
      <c r="AC19" s="65">
        <v>0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0</v>
      </c>
      <c r="B20" s="37"/>
      <c r="C20" s="37"/>
      <c r="AA20" s="64"/>
      <c r="AB20" s="65" t="s">
        <v>38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59</v>
      </c>
      <c r="B21" s="37">
        <f>(0.016*(0.03/2)^0.65*(2/3)^1.5)-0.00047</f>
        <v>9.8123053326417428E-5</v>
      </c>
      <c r="C21" s="37"/>
      <c r="AA21" s="64"/>
      <c r="AB21" s="65" t="s">
        <v>39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/>
      <c r="B22" s="37"/>
      <c r="C22" s="37"/>
      <c r="AA22" s="64"/>
      <c r="AB22" s="65" t="s">
        <v>40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/>
      <c r="AC23" s="65"/>
      <c r="AD23" s="65"/>
      <c r="AE23" s="65"/>
      <c r="AQ23" s="38"/>
    </row>
    <row r="24" spans="1:53" hidden="1">
      <c r="A24" s="37"/>
      <c r="B24" s="37"/>
      <c r="C24" s="37"/>
      <c r="AA24" s="64" t="s">
        <v>41</v>
      </c>
      <c r="AB24" s="65" t="s">
        <v>30</v>
      </c>
      <c r="AC24" s="65" t="s">
        <v>31</v>
      </c>
      <c r="AD24" s="65"/>
      <c r="AE24" s="65"/>
      <c r="AQ24" s="38"/>
    </row>
    <row r="25" spans="1:53" hidden="1">
      <c r="A25" s="37" t="s">
        <v>88</v>
      </c>
      <c r="B25" s="37"/>
      <c r="C25" s="37"/>
      <c r="AA25" s="64"/>
      <c r="AB25" s="65" t="s">
        <v>32</v>
      </c>
      <c r="AC25" s="65">
        <v>0</v>
      </c>
      <c r="AD25" s="65"/>
      <c r="AE25" s="65"/>
      <c r="AF25" s="36" t="e">
        <f t="shared" ref="AF25:AO33" si="6">AF$9*$AC25</f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ref="AR25:BA33" si="7">AR$9*$AC25</f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 t="s">
        <v>89</v>
      </c>
      <c r="B26" s="37"/>
      <c r="C26" s="37"/>
      <c r="AA26" s="64"/>
      <c r="AB26" s="65" t="s">
        <v>33</v>
      </c>
      <c r="AC26" s="65">
        <v>6.2010000000000005</v>
      </c>
      <c r="AD26" s="65"/>
      <c r="AE26" s="65"/>
      <c r="AF26" s="36" t="e">
        <f t="shared" si="6"/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si="7"/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90</v>
      </c>
      <c r="B27" s="37"/>
      <c r="C27" s="37"/>
      <c r="AA27" s="64"/>
      <c r="AB27" s="65" t="s">
        <v>34</v>
      </c>
      <c r="AC27" s="65">
        <v>0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91</v>
      </c>
      <c r="B28" s="37"/>
      <c r="C28" s="37"/>
      <c r="AA28" s="64"/>
      <c r="AB28" s="65" t="s">
        <v>35</v>
      </c>
      <c r="AC28" s="65">
        <v>9.8037500000000009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92</v>
      </c>
      <c r="B29" s="37"/>
      <c r="C29" s="37"/>
      <c r="AA29" s="64"/>
      <c r="AB29" s="65" t="s">
        <v>36</v>
      </c>
      <c r="AC29" s="65">
        <v>7.2451999999999996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84</v>
      </c>
      <c r="B30" s="37"/>
      <c r="C30" s="37"/>
      <c r="AA30" s="64"/>
      <c r="AB30" s="65" t="s">
        <v>37</v>
      </c>
      <c r="AC30" s="65">
        <v>3.6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93</v>
      </c>
      <c r="B31" s="37"/>
      <c r="C31" s="37"/>
      <c r="AA31" s="64"/>
      <c r="AB31" s="65" t="s">
        <v>38</v>
      </c>
      <c r="AC31" s="65">
        <v>6.1984000000000004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94</v>
      </c>
      <c r="B32" s="37"/>
      <c r="C32" s="37"/>
      <c r="AA32" s="64"/>
      <c r="AB32" s="65" t="s">
        <v>39</v>
      </c>
      <c r="AC32" s="65">
        <v>5.1995100000000001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0</v>
      </c>
      <c r="B33" s="37"/>
      <c r="C33" s="37"/>
      <c r="AA33" s="64"/>
      <c r="AB33" s="65" t="s">
        <v>40</v>
      </c>
      <c r="AC33" s="65">
        <v>17.71416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59</v>
      </c>
      <c r="B34" s="37">
        <f>0.39*1.5*(8.5/12)^0.9*(2/3)^0.45</f>
        <v>0.35737873826145539</v>
      </c>
      <c r="C34" s="37"/>
      <c r="AA34" s="64"/>
      <c r="AB34" s="65"/>
      <c r="AC34" s="65"/>
      <c r="AD34" s="65"/>
      <c r="AE34" s="65"/>
      <c r="AQ34" s="38"/>
    </row>
    <row r="35" spans="1:53" hidden="1">
      <c r="A35" s="37" t="s">
        <v>60</v>
      </c>
      <c r="B35" s="37">
        <f>0.39*0.15*(8.5/12)^0.9*(2/3)^0.45</f>
        <v>3.5737873826145544E-2</v>
      </c>
      <c r="C35" s="37"/>
      <c r="AA35" s="64" t="s">
        <v>42</v>
      </c>
      <c r="AB35" s="65" t="s">
        <v>30</v>
      </c>
      <c r="AC35" s="65" t="s">
        <v>31</v>
      </c>
      <c r="AD35" s="65"/>
      <c r="AE35" s="65"/>
      <c r="AQ35" s="38"/>
    </row>
    <row r="36" spans="1:53" hidden="1">
      <c r="AA36" s="64"/>
      <c r="AB36" s="65" t="s">
        <v>32</v>
      </c>
      <c r="AC36" s="65">
        <v>0</v>
      </c>
      <c r="AD36" s="65"/>
      <c r="AE36" s="65"/>
      <c r="AF36" s="36" t="e">
        <f t="shared" ref="AF36:AO44" si="8">AF$9*$AC36</f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ref="AR36:BA44" si="9">AR$9*$AC36</f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A37" s="64"/>
      <c r="AB37" s="65" t="s">
        <v>33</v>
      </c>
      <c r="AC37" s="65">
        <v>0</v>
      </c>
      <c r="AD37" s="65"/>
      <c r="AE37" s="65"/>
      <c r="AF37" s="36" t="e">
        <f t="shared" si="8"/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si="9"/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34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35</v>
      </c>
      <c r="AC39" s="65">
        <v>16.541599999999999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36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37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38</v>
      </c>
      <c r="AC42" s="65">
        <v>14.601599999999999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39</v>
      </c>
      <c r="AC43" s="65">
        <v>14.570489999999999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40</v>
      </c>
      <c r="AC44" s="65">
        <v>14.14584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Q45" s="38"/>
    </row>
    <row r="46" spans="1:53" hidden="1">
      <c r="AQ46" s="38"/>
    </row>
    <row r="47" spans="1:53" ht="63.75" hidden="1">
      <c r="AA47" s="66" t="s">
        <v>43</v>
      </c>
      <c r="AB47" s="67"/>
      <c r="AC47" s="68"/>
      <c r="AD47" s="68"/>
      <c r="AE47" s="68"/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9" t="s">
        <v>44</v>
      </c>
      <c r="AB48" s="35"/>
      <c r="AG48" s="70"/>
      <c r="AQ48" s="38"/>
    </row>
    <row r="49" spans="27:53" hidden="1">
      <c r="AA49" s="71" t="s">
        <v>29</v>
      </c>
      <c r="AB49" s="35"/>
      <c r="AF49" s="70" t="e">
        <f t="shared" ref="AF49:AO49" si="10">AF14+AF16+AF17</f>
        <v>#REF!</v>
      </c>
      <c r="AG49" s="70" t="e">
        <f t="shared" si="10"/>
        <v>#REF!</v>
      </c>
      <c r="AH49" s="70" t="e">
        <f t="shared" si="10"/>
        <v>#REF!</v>
      </c>
      <c r="AI49" s="70" t="e">
        <f t="shared" si="10"/>
        <v>#REF!</v>
      </c>
      <c r="AJ49" s="70" t="e">
        <f t="shared" si="10"/>
        <v>#REF!</v>
      </c>
      <c r="AK49" s="70" t="e">
        <f t="shared" si="10"/>
        <v>#REF!</v>
      </c>
      <c r="AL49" s="70" t="e">
        <f t="shared" si="10"/>
        <v>#REF!</v>
      </c>
      <c r="AM49" s="70" t="e">
        <f t="shared" si="10"/>
        <v>#REF!</v>
      </c>
      <c r="AN49" s="70" t="e">
        <f t="shared" si="10"/>
        <v>#REF!</v>
      </c>
      <c r="AO49" s="70" t="e">
        <f t="shared" si="10"/>
        <v>#REF!</v>
      </c>
      <c r="AP49" s="70"/>
      <c r="AQ49" s="70"/>
      <c r="AR49" s="70" t="e">
        <f t="shared" ref="AR49:BA49" si="11">AR14+AR16+AR17</f>
        <v>#REF!</v>
      </c>
      <c r="AS49" s="70" t="e">
        <f t="shared" si="11"/>
        <v>#REF!</v>
      </c>
      <c r="AT49" s="70" t="e">
        <f t="shared" si="11"/>
        <v>#REF!</v>
      </c>
      <c r="AU49" s="70" t="e">
        <f t="shared" si="11"/>
        <v>#REF!</v>
      </c>
      <c r="AV49" s="70" t="e">
        <f t="shared" si="11"/>
        <v>#REF!</v>
      </c>
      <c r="AW49" s="70" t="e">
        <f t="shared" si="11"/>
        <v>#REF!</v>
      </c>
      <c r="AX49" s="70" t="e">
        <f t="shared" si="11"/>
        <v>#REF!</v>
      </c>
      <c r="AY49" s="70" t="e">
        <f t="shared" si="11"/>
        <v>#REF!</v>
      </c>
      <c r="AZ49" s="70" t="e">
        <f t="shared" si="11"/>
        <v>#REF!</v>
      </c>
      <c r="BA49" s="70" t="e">
        <f t="shared" si="11"/>
        <v>#REF!</v>
      </c>
    </row>
    <row r="50" spans="27:53" hidden="1">
      <c r="AA50" s="71" t="s">
        <v>41</v>
      </c>
      <c r="AB50" s="35"/>
      <c r="AF50" s="70" t="e">
        <f t="shared" ref="AF50:AO50" si="12">AF25+AF27+AF28</f>
        <v>#REF!</v>
      </c>
      <c r="AG50" s="70" t="e">
        <f t="shared" si="12"/>
        <v>#REF!</v>
      </c>
      <c r="AH50" s="70" t="e">
        <f t="shared" si="12"/>
        <v>#REF!</v>
      </c>
      <c r="AI50" s="70" t="e">
        <f t="shared" si="12"/>
        <v>#REF!</v>
      </c>
      <c r="AJ50" s="70" t="e">
        <f t="shared" si="12"/>
        <v>#REF!</v>
      </c>
      <c r="AK50" s="70" t="e">
        <f t="shared" si="12"/>
        <v>#REF!</v>
      </c>
      <c r="AL50" s="70" t="e">
        <f t="shared" si="12"/>
        <v>#REF!</v>
      </c>
      <c r="AM50" s="70" t="e">
        <f t="shared" si="12"/>
        <v>#REF!</v>
      </c>
      <c r="AN50" s="70" t="e">
        <f t="shared" si="12"/>
        <v>#REF!</v>
      </c>
      <c r="AO50" s="70" t="e">
        <f t="shared" si="12"/>
        <v>#REF!</v>
      </c>
      <c r="AP50" s="70"/>
      <c r="AQ50" s="70"/>
      <c r="AR50" s="70" t="e">
        <f t="shared" ref="AR50:BA50" si="13">AR25+AR27+AR28</f>
        <v>#REF!</v>
      </c>
      <c r="AS50" s="70" t="e">
        <f t="shared" si="13"/>
        <v>#REF!</v>
      </c>
      <c r="AT50" s="70" t="e">
        <f t="shared" si="13"/>
        <v>#REF!</v>
      </c>
      <c r="AU50" s="70" t="e">
        <f t="shared" si="13"/>
        <v>#REF!</v>
      </c>
      <c r="AV50" s="70" t="e">
        <f t="shared" si="13"/>
        <v>#REF!</v>
      </c>
      <c r="AW50" s="70" t="e">
        <f t="shared" si="13"/>
        <v>#REF!</v>
      </c>
      <c r="AX50" s="70" t="e">
        <f t="shared" si="13"/>
        <v>#REF!</v>
      </c>
      <c r="AY50" s="70" t="e">
        <f t="shared" si="13"/>
        <v>#REF!</v>
      </c>
      <c r="AZ50" s="70" t="e">
        <f t="shared" si="13"/>
        <v>#REF!</v>
      </c>
      <c r="BA50" s="70" t="e">
        <f t="shared" si="13"/>
        <v>#REF!</v>
      </c>
    </row>
    <row r="51" spans="27:53" hidden="1">
      <c r="AA51" s="71" t="s">
        <v>42</v>
      </c>
      <c r="AB51" s="35"/>
      <c r="AF51" s="70" t="e">
        <f t="shared" ref="AF51:AO51" si="14">AF36+AF38+AF39</f>
        <v>#REF!</v>
      </c>
      <c r="AG51" s="70" t="e">
        <f t="shared" si="14"/>
        <v>#REF!</v>
      </c>
      <c r="AH51" s="70" t="e">
        <f t="shared" si="14"/>
        <v>#REF!</v>
      </c>
      <c r="AI51" s="70" t="e">
        <f t="shared" si="14"/>
        <v>#REF!</v>
      </c>
      <c r="AJ51" s="70" t="e">
        <f t="shared" si="14"/>
        <v>#REF!</v>
      </c>
      <c r="AK51" s="70" t="e">
        <f t="shared" si="14"/>
        <v>#REF!</v>
      </c>
      <c r="AL51" s="70" t="e">
        <f t="shared" si="14"/>
        <v>#REF!</v>
      </c>
      <c r="AM51" s="70" t="e">
        <f t="shared" si="14"/>
        <v>#REF!</v>
      </c>
      <c r="AN51" s="70" t="e">
        <f t="shared" si="14"/>
        <v>#REF!</v>
      </c>
      <c r="AO51" s="70" t="e">
        <f t="shared" si="14"/>
        <v>#REF!</v>
      </c>
      <c r="AP51" s="70"/>
      <c r="AQ51" s="70"/>
      <c r="AR51" s="70" t="e">
        <f t="shared" ref="AR51:BA51" si="15">AR36+AR38+AR39</f>
        <v>#REF!</v>
      </c>
      <c r="AS51" s="70" t="e">
        <f t="shared" si="15"/>
        <v>#REF!</v>
      </c>
      <c r="AT51" s="70" t="e">
        <f t="shared" si="15"/>
        <v>#REF!</v>
      </c>
      <c r="AU51" s="70" t="e">
        <f t="shared" si="15"/>
        <v>#REF!</v>
      </c>
      <c r="AV51" s="70" t="e">
        <f t="shared" si="15"/>
        <v>#REF!</v>
      </c>
      <c r="AW51" s="70" t="e">
        <f t="shared" si="15"/>
        <v>#REF!</v>
      </c>
      <c r="AX51" s="70" t="e">
        <f t="shared" si="15"/>
        <v>#REF!</v>
      </c>
      <c r="AY51" s="70" t="e">
        <f t="shared" si="15"/>
        <v>#REF!</v>
      </c>
      <c r="AZ51" s="70" t="e">
        <f t="shared" si="15"/>
        <v>#REF!</v>
      </c>
      <c r="BA51" s="70" t="e">
        <f t="shared" si="15"/>
        <v>#REF!</v>
      </c>
    </row>
    <row r="52" spans="27:53" hidden="1">
      <c r="AA52" s="69" t="s">
        <v>45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71" t="s">
        <v>29</v>
      </c>
      <c r="AB53" s="35"/>
      <c r="AF53" s="70" t="e">
        <f t="shared" ref="AF53:AO53" si="16">AF14+AF16+AF18+AF20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AR14+AR16+AR18+AR20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41</v>
      </c>
      <c r="AB54" s="35"/>
      <c r="AF54" s="70" t="e">
        <f t="shared" ref="AF54:AO54" si="18">AF25+AF27+AF29+AF31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AR25+AR27+AR29+AR31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71" t="s">
        <v>42</v>
      </c>
      <c r="AB55" s="35"/>
      <c r="AF55" s="70" t="e">
        <f t="shared" ref="AF55:AO55" si="20">AF36+AF38+AF40+AF42</f>
        <v>#REF!</v>
      </c>
      <c r="AG55" s="70" t="e">
        <f t="shared" si="20"/>
        <v>#REF!</v>
      </c>
      <c r="AH55" s="70" t="e">
        <f t="shared" si="20"/>
        <v>#REF!</v>
      </c>
      <c r="AI55" s="70" t="e">
        <f t="shared" si="20"/>
        <v>#REF!</v>
      </c>
      <c r="AJ55" s="70" t="e">
        <f t="shared" si="20"/>
        <v>#REF!</v>
      </c>
      <c r="AK55" s="70" t="e">
        <f t="shared" si="20"/>
        <v>#REF!</v>
      </c>
      <c r="AL55" s="70" t="e">
        <f t="shared" si="20"/>
        <v>#REF!</v>
      </c>
      <c r="AM55" s="70" t="e">
        <f t="shared" si="20"/>
        <v>#REF!</v>
      </c>
      <c r="AN55" s="70" t="e">
        <f t="shared" si="20"/>
        <v>#REF!</v>
      </c>
      <c r="AO55" s="70" t="e">
        <f t="shared" si="20"/>
        <v>#REF!</v>
      </c>
      <c r="AP55" s="70"/>
      <c r="AQ55" s="70"/>
      <c r="AR55" s="70" t="e">
        <f t="shared" ref="AR55:BA55" si="21">AR36+AR38+AR40+AR42</f>
        <v>#REF!</v>
      </c>
      <c r="AS55" s="70" t="e">
        <f t="shared" si="21"/>
        <v>#REF!</v>
      </c>
      <c r="AT55" s="70" t="e">
        <f t="shared" si="21"/>
        <v>#REF!</v>
      </c>
      <c r="AU55" s="70" t="e">
        <f t="shared" si="21"/>
        <v>#REF!</v>
      </c>
      <c r="AV55" s="70" t="e">
        <f t="shared" si="21"/>
        <v>#REF!</v>
      </c>
      <c r="AW55" s="70" t="e">
        <f t="shared" si="21"/>
        <v>#REF!</v>
      </c>
      <c r="AX55" s="70" t="e">
        <f t="shared" si="21"/>
        <v>#REF!</v>
      </c>
      <c r="AY55" s="70" t="e">
        <f t="shared" si="21"/>
        <v>#REF!</v>
      </c>
      <c r="AZ55" s="70" t="e">
        <f t="shared" si="21"/>
        <v>#REF!</v>
      </c>
      <c r="BA55" s="70" t="e">
        <f t="shared" si="21"/>
        <v>#REF!</v>
      </c>
    </row>
    <row r="56" spans="27:53" hidden="1">
      <c r="AA56" s="69" t="s">
        <v>46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71" t="s">
        <v>29</v>
      </c>
      <c r="AB57" s="35"/>
      <c r="AF57" s="70" t="e">
        <f t="shared" ref="AF57:AO57" si="22">AF14+AF16+AF18+AF19+AF21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AR14+AR16+AR18+AR19+AR21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41</v>
      </c>
      <c r="AB58" s="35"/>
      <c r="AF58" s="70" t="e">
        <f t="shared" ref="AF58:AO58" si="24">AF25+AF27+AF29+AF30+AF32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AR25+AR27+AR29+AR30+AR32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71" t="s">
        <v>42</v>
      </c>
      <c r="AB59" s="35"/>
      <c r="AF59" s="70" t="e">
        <f t="shared" ref="AF59:AO59" si="26">AF36+AF38+AF40+AF41+AF43</f>
        <v>#REF!</v>
      </c>
      <c r="AG59" s="70" t="e">
        <f t="shared" si="26"/>
        <v>#REF!</v>
      </c>
      <c r="AH59" s="70" t="e">
        <f t="shared" si="26"/>
        <v>#REF!</v>
      </c>
      <c r="AI59" s="70" t="e">
        <f t="shared" si="26"/>
        <v>#REF!</v>
      </c>
      <c r="AJ59" s="70" t="e">
        <f t="shared" si="26"/>
        <v>#REF!</v>
      </c>
      <c r="AK59" s="70" t="e">
        <f t="shared" si="26"/>
        <v>#REF!</v>
      </c>
      <c r="AL59" s="70" t="e">
        <f t="shared" si="26"/>
        <v>#REF!</v>
      </c>
      <c r="AM59" s="70" t="e">
        <f t="shared" si="26"/>
        <v>#REF!</v>
      </c>
      <c r="AN59" s="70" t="e">
        <f t="shared" si="26"/>
        <v>#REF!</v>
      </c>
      <c r="AO59" s="70" t="e">
        <f t="shared" si="26"/>
        <v>#REF!</v>
      </c>
      <c r="AP59" s="70"/>
      <c r="AQ59" s="70"/>
      <c r="AR59" s="70" t="e">
        <f t="shared" ref="AR59:BA59" si="27">AR36+AR38+AR40+AR41+AR43</f>
        <v>#REF!</v>
      </c>
      <c r="AS59" s="70" t="e">
        <f t="shared" si="27"/>
        <v>#REF!</v>
      </c>
      <c r="AT59" s="70" t="e">
        <f t="shared" si="27"/>
        <v>#REF!</v>
      </c>
      <c r="AU59" s="70" t="e">
        <f t="shared" si="27"/>
        <v>#REF!</v>
      </c>
      <c r="AV59" s="70" t="e">
        <f t="shared" si="27"/>
        <v>#REF!</v>
      </c>
      <c r="AW59" s="70" t="e">
        <f t="shared" si="27"/>
        <v>#REF!</v>
      </c>
      <c r="AX59" s="70" t="e">
        <f t="shared" si="27"/>
        <v>#REF!</v>
      </c>
      <c r="AY59" s="70" t="e">
        <f t="shared" si="27"/>
        <v>#REF!</v>
      </c>
      <c r="AZ59" s="70" t="e">
        <f t="shared" si="27"/>
        <v>#REF!</v>
      </c>
      <c r="BA59" s="70" t="e">
        <f t="shared" si="27"/>
        <v>#REF!</v>
      </c>
    </row>
    <row r="60" spans="27:53" hidden="1">
      <c r="AA60" s="69" t="s">
        <v>47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71" t="s">
        <v>29</v>
      </c>
      <c r="AB61" s="35"/>
      <c r="AF61" s="70" t="e">
        <f t="shared" ref="AF61:AO61" si="28">AF14+AF16+AF18+AF19+AF22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AR14+AR16+AR18+AR19+AR22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41</v>
      </c>
      <c r="AB62" s="35"/>
      <c r="AF62" s="70" t="e">
        <f t="shared" ref="AF62:AO62" si="30">AF25+AF27+AF29+AF30+AF33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AR25+AR27+AR29+AR30+AR33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71" t="s">
        <v>42</v>
      </c>
      <c r="AB63" s="35"/>
      <c r="AF63" s="70" t="e">
        <f t="shared" ref="AF63:AO63" si="32">AF36+AF38+AF40+AF41+AF44</f>
        <v>#REF!</v>
      </c>
      <c r="AG63" s="70" t="e">
        <f t="shared" si="32"/>
        <v>#REF!</v>
      </c>
      <c r="AH63" s="70" t="e">
        <f t="shared" si="32"/>
        <v>#REF!</v>
      </c>
      <c r="AI63" s="70" t="e">
        <f t="shared" si="32"/>
        <v>#REF!</v>
      </c>
      <c r="AJ63" s="70" t="e">
        <f t="shared" si="32"/>
        <v>#REF!</v>
      </c>
      <c r="AK63" s="70" t="e">
        <f t="shared" si="32"/>
        <v>#REF!</v>
      </c>
      <c r="AL63" s="70" t="e">
        <f t="shared" si="32"/>
        <v>#REF!</v>
      </c>
      <c r="AM63" s="70" t="e">
        <f t="shared" si="32"/>
        <v>#REF!</v>
      </c>
      <c r="AN63" s="70" t="e">
        <f t="shared" si="32"/>
        <v>#REF!</v>
      </c>
      <c r="AO63" s="70" t="e">
        <f t="shared" si="32"/>
        <v>#REF!</v>
      </c>
      <c r="AP63" s="70"/>
      <c r="AQ63" s="70"/>
      <c r="AR63" s="70" t="e">
        <f t="shared" ref="AR63:BA63" si="33">AR36+AR38+AR40+AR41+AR44</f>
        <v>#REF!</v>
      </c>
      <c r="AS63" s="70" t="e">
        <f t="shared" si="33"/>
        <v>#REF!</v>
      </c>
      <c r="AT63" s="70" t="e">
        <f t="shared" si="33"/>
        <v>#REF!</v>
      </c>
      <c r="AU63" s="70" t="e">
        <f t="shared" si="33"/>
        <v>#REF!</v>
      </c>
      <c r="AV63" s="70" t="e">
        <f t="shared" si="33"/>
        <v>#REF!</v>
      </c>
      <c r="AW63" s="70" t="e">
        <f t="shared" si="33"/>
        <v>#REF!</v>
      </c>
      <c r="AX63" s="70" t="e">
        <f t="shared" si="33"/>
        <v>#REF!</v>
      </c>
      <c r="AY63" s="70" t="e">
        <f t="shared" si="33"/>
        <v>#REF!</v>
      </c>
      <c r="AZ63" s="70" t="e">
        <f t="shared" si="33"/>
        <v>#REF!</v>
      </c>
      <c r="BA63" s="70" t="e">
        <f t="shared" si="33"/>
        <v>#REF!</v>
      </c>
    </row>
    <row r="64" spans="27:53" hidden="1">
      <c r="AA64" s="69" t="s">
        <v>48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71" t="s">
        <v>29</v>
      </c>
      <c r="AB65" s="35"/>
      <c r="AF65" s="70" t="e">
        <f t="shared" ref="AF65:AO65" si="34">AF14+AF15+AF20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AR14+AR15+AR20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41</v>
      </c>
      <c r="AB66" s="35"/>
      <c r="AF66" s="70" t="e">
        <f t="shared" ref="AF66:AO66" si="36">AF25+AF26+AF31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AR25+AR26+AR31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71" t="s">
        <v>42</v>
      </c>
      <c r="AB67" s="35"/>
      <c r="AF67" s="70" t="e">
        <f t="shared" ref="AF67:AO67" si="38">AF36+AF37+AF42</f>
        <v>#REF!</v>
      </c>
      <c r="AG67" s="70" t="e">
        <f t="shared" si="38"/>
        <v>#REF!</v>
      </c>
      <c r="AH67" s="70" t="e">
        <f t="shared" si="38"/>
        <v>#REF!</v>
      </c>
      <c r="AI67" s="70" t="e">
        <f t="shared" si="38"/>
        <v>#REF!</v>
      </c>
      <c r="AJ67" s="70" t="e">
        <f t="shared" si="38"/>
        <v>#REF!</v>
      </c>
      <c r="AK67" s="70" t="e">
        <f t="shared" si="38"/>
        <v>#REF!</v>
      </c>
      <c r="AL67" s="70" t="e">
        <f t="shared" si="38"/>
        <v>#REF!</v>
      </c>
      <c r="AM67" s="70" t="e">
        <f t="shared" si="38"/>
        <v>#REF!</v>
      </c>
      <c r="AN67" s="70" t="e">
        <f t="shared" si="38"/>
        <v>#REF!</v>
      </c>
      <c r="AO67" s="70" t="e">
        <f t="shared" si="38"/>
        <v>#REF!</v>
      </c>
      <c r="AP67" s="70"/>
      <c r="AQ67" s="70"/>
      <c r="AR67" s="70" t="e">
        <f t="shared" ref="AR67:BA67" si="39">AR36+AR37+AR42</f>
        <v>#REF!</v>
      </c>
      <c r="AS67" s="70" t="e">
        <f t="shared" si="39"/>
        <v>#REF!</v>
      </c>
      <c r="AT67" s="70" t="e">
        <f t="shared" si="39"/>
        <v>#REF!</v>
      </c>
      <c r="AU67" s="70" t="e">
        <f t="shared" si="39"/>
        <v>#REF!</v>
      </c>
      <c r="AV67" s="70" t="e">
        <f t="shared" si="39"/>
        <v>#REF!</v>
      </c>
      <c r="AW67" s="70" t="e">
        <f t="shared" si="39"/>
        <v>#REF!</v>
      </c>
      <c r="AX67" s="70" t="e">
        <f t="shared" si="39"/>
        <v>#REF!</v>
      </c>
      <c r="AY67" s="70" t="e">
        <f t="shared" si="39"/>
        <v>#REF!</v>
      </c>
      <c r="AZ67" s="70" t="e">
        <f t="shared" si="39"/>
        <v>#REF!</v>
      </c>
      <c r="BA67" s="70" t="e">
        <f t="shared" si="39"/>
        <v>#REF!</v>
      </c>
    </row>
    <row r="68" spans="27:53" hidden="1">
      <c r="AA68" s="72" t="s">
        <v>49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1" t="s">
        <v>29</v>
      </c>
      <c r="AB69" s="35"/>
      <c r="AF69" s="70" t="e">
        <f t="shared" ref="AF69:AO69" si="40">AF14+AF15+AF19+AF21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AR14+AR15+AR19+AR21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41</v>
      </c>
      <c r="AB70" s="35"/>
      <c r="AF70" s="70" t="e">
        <f t="shared" ref="AF70:AO70" si="42">AF25+AF26+AF30+AF32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AR25+AR26+AR30+AR32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1" t="s">
        <v>42</v>
      </c>
      <c r="AB71" s="35"/>
      <c r="AF71" s="70" t="e">
        <f t="shared" ref="AF71:AO71" si="44">AF36+AF37+AF41+AF43</f>
        <v>#REF!</v>
      </c>
      <c r="AG71" s="70" t="e">
        <f t="shared" si="44"/>
        <v>#REF!</v>
      </c>
      <c r="AH71" s="70" t="e">
        <f t="shared" si="44"/>
        <v>#REF!</v>
      </c>
      <c r="AI71" s="70" t="e">
        <f t="shared" si="44"/>
        <v>#REF!</v>
      </c>
      <c r="AJ71" s="70" t="e">
        <f t="shared" si="44"/>
        <v>#REF!</v>
      </c>
      <c r="AK71" s="70" t="e">
        <f t="shared" si="44"/>
        <v>#REF!</v>
      </c>
      <c r="AL71" s="70" t="e">
        <f t="shared" si="44"/>
        <v>#REF!</v>
      </c>
      <c r="AM71" s="70" t="e">
        <f t="shared" si="44"/>
        <v>#REF!</v>
      </c>
      <c r="AN71" s="70" t="e">
        <f t="shared" si="44"/>
        <v>#REF!</v>
      </c>
      <c r="AO71" s="70" t="e">
        <f t="shared" si="44"/>
        <v>#REF!</v>
      </c>
      <c r="AP71" s="70"/>
      <c r="AQ71" s="70"/>
      <c r="AR71" s="70" t="e">
        <f t="shared" ref="AR71:BA71" si="45">AR36+AR37+AR41+AR43</f>
        <v>#REF!</v>
      </c>
      <c r="AS71" s="70" t="e">
        <f t="shared" si="45"/>
        <v>#REF!</v>
      </c>
      <c r="AT71" s="70" t="e">
        <f t="shared" si="45"/>
        <v>#REF!</v>
      </c>
      <c r="AU71" s="70" t="e">
        <f t="shared" si="45"/>
        <v>#REF!</v>
      </c>
      <c r="AV71" s="70" t="e">
        <f t="shared" si="45"/>
        <v>#REF!</v>
      </c>
      <c r="AW71" s="70" t="e">
        <f t="shared" si="45"/>
        <v>#REF!</v>
      </c>
      <c r="AX71" s="70" t="e">
        <f t="shared" si="45"/>
        <v>#REF!</v>
      </c>
      <c r="AY71" s="70" t="e">
        <f t="shared" si="45"/>
        <v>#REF!</v>
      </c>
      <c r="AZ71" s="70" t="e">
        <f t="shared" si="45"/>
        <v>#REF!</v>
      </c>
      <c r="BA71" s="70" t="e">
        <f t="shared" si="45"/>
        <v>#REF!</v>
      </c>
    </row>
    <row r="72" spans="27:53" hidden="1">
      <c r="AA72" s="69" t="s">
        <v>50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71" t="s">
        <v>29</v>
      </c>
      <c r="AB73" s="35"/>
      <c r="AF73" s="70" t="e">
        <f t="shared" ref="AF73:AO73" si="46">AF14+AF15+AF19+AF22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AR14+AR15+AR19+AR22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41</v>
      </c>
      <c r="AB74" s="35"/>
      <c r="AF74" s="70" t="e">
        <f t="shared" ref="AF74:AO74" si="48">AF25+AF26+AF30+AF33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AR25+AR26+AR30+AR33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71" t="s">
        <v>42</v>
      </c>
      <c r="AB75" s="35"/>
      <c r="AF75" s="70" t="e">
        <f t="shared" ref="AF75:AO75" si="50">AF36+AF37+AF41+AF44</f>
        <v>#REF!</v>
      </c>
      <c r="AG75" s="70" t="e">
        <f t="shared" si="50"/>
        <v>#REF!</v>
      </c>
      <c r="AH75" s="70" t="e">
        <f t="shared" si="50"/>
        <v>#REF!</v>
      </c>
      <c r="AI75" s="70" t="e">
        <f t="shared" si="50"/>
        <v>#REF!</v>
      </c>
      <c r="AJ75" s="70" t="e">
        <f t="shared" si="50"/>
        <v>#REF!</v>
      </c>
      <c r="AK75" s="70" t="e">
        <f t="shared" si="50"/>
        <v>#REF!</v>
      </c>
      <c r="AL75" s="70" t="e">
        <f t="shared" si="50"/>
        <v>#REF!</v>
      </c>
      <c r="AM75" s="70" t="e">
        <f t="shared" si="50"/>
        <v>#REF!</v>
      </c>
      <c r="AN75" s="70" t="e">
        <f t="shared" si="50"/>
        <v>#REF!</v>
      </c>
      <c r="AO75" s="70" t="e">
        <f t="shared" si="50"/>
        <v>#REF!</v>
      </c>
      <c r="AP75" s="70"/>
      <c r="AQ75" s="70"/>
      <c r="AR75" s="70" t="e">
        <f t="shared" ref="AR75:BA75" si="51">AR36+AR37+AR41+AR44</f>
        <v>#REF!</v>
      </c>
      <c r="AS75" s="70" t="e">
        <f t="shared" si="51"/>
        <v>#REF!</v>
      </c>
      <c r="AT75" s="70" t="e">
        <f t="shared" si="51"/>
        <v>#REF!</v>
      </c>
      <c r="AU75" s="70" t="e">
        <f t="shared" si="51"/>
        <v>#REF!</v>
      </c>
      <c r="AV75" s="70" t="e">
        <f t="shared" si="51"/>
        <v>#REF!</v>
      </c>
      <c r="AW75" s="70" t="e">
        <f t="shared" si="51"/>
        <v>#REF!</v>
      </c>
      <c r="AX75" s="70" t="e">
        <f t="shared" si="51"/>
        <v>#REF!</v>
      </c>
      <c r="AY75" s="70" t="e">
        <f t="shared" si="51"/>
        <v>#REF!</v>
      </c>
      <c r="AZ75" s="70" t="e">
        <f t="shared" si="51"/>
        <v>#REF!</v>
      </c>
      <c r="BA75" s="70" t="e">
        <f t="shared" si="51"/>
        <v>#REF!</v>
      </c>
    </row>
    <row r="76" spans="27:53" hidden="1"/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86" s="598" t="s">
        <v>108</v>
      </c>
      <c r="B86" s="598" t="s">
        <v>52</v>
      </c>
      <c r="C86" s="39" t="s">
        <v>101</v>
      </c>
      <c r="D86" s="39" t="s">
        <v>53</v>
      </c>
      <c r="E86" s="39" t="s">
        <v>54</v>
      </c>
      <c r="F86" s="587" t="s">
        <v>64</v>
      </c>
      <c r="G86" s="600"/>
      <c r="H86" s="600"/>
      <c r="I86" s="600"/>
      <c r="J86" s="600"/>
      <c r="K86" s="600"/>
      <c r="L86" s="600"/>
      <c r="M86" s="600"/>
      <c r="N86" s="600"/>
      <c r="O86" s="600"/>
      <c r="P86" s="590"/>
      <c r="AN86" s="38"/>
      <c r="AZ86" s="36"/>
    </row>
    <row r="87" spans="1:52" ht="63.75">
      <c r="A87" s="599"/>
      <c r="B87" s="599"/>
      <c r="C87" s="41" t="s">
        <v>66</v>
      </c>
      <c r="D87" s="41" t="s">
        <v>67</v>
      </c>
      <c r="E87" s="41" t="s">
        <v>68</v>
      </c>
      <c r="F87" s="537" t="s">
        <v>55</v>
      </c>
      <c r="G87" s="537" t="s">
        <v>73</v>
      </c>
      <c r="H87" s="537" t="s">
        <v>74</v>
      </c>
      <c r="I87" s="537" t="s">
        <v>58</v>
      </c>
      <c r="J87" s="537" t="s">
        <v>59</v>
      </c>
      <c r="K87" s="537" t="s">
        <v>60</v>
      </c>
      <c r="L87" s="536" t="s">
        <v>75</v>
      </c>
      <c r="M87" s="536" t="s">
        <v>76</v>
      </c>
      <c r="N87" s="536" t="s">
        <v>61</v>
      </c>
      <c r="O87" s="536" t="s">
        <v>62</v>
      </c>
      <c r="P87" s="536" t="s">
        <v>63</v>
      </c>
      <c r="AN87" s="38"/>
      <c r="AZ87" s="36"/>
    </row>
    <row r="88" spans="1:52" ht="25.5">
      <c r="A88" s="44" t="str">
        <f>A4</f>
        <v>AC Mitigation</v>
      </c>
      <c r="B88" s="45" t="str">
        <f>B4</f>
        <v>Light-Duty Truck, catalyst</v>
      </c>
      <c r="C88" s="46">
        <f>C4</f>
        <v>13</v>
      </c>
      <c r="D88" s="46">
        <v>35</v>
      </c>
      <c r="E88" s="46">
        <v>80</v>
      </c>
      <c r="F88" s="50">
        <f>C4*($E4*$F4+($G4))/453.59</f>
        <v>6.3143520164519611</v>
      </c>
      <c r="G88" s="50">
        <f>C4*($E4*$H4+($I4))/453.59</f>
        <v>0.56771854482691408</v>
      </c>
      <c r="H88" s="50">
        <f>C4*(($E4*$J4)+($K4)+($L4)+($E4*$N4)+(($M4+$O4)))/453.59</f>
        <v>0.65649974421139334</v>
      </c>
      <c r="I88" s="50">
        <f>C4*($E4*$P4+($Q4))/453.59</f>
        <v>9.4483613530880074E-3</v>
      </c>
      <c r="J88" s="50">
        <f>C4*(($E4*($R4+$T4+$U4))+($S4))/453.59</f>
        <v>0.11081317591770266</v>
      </c>
      <c r="K88" s="50">
        <f>$C4*(($E4*($V4+$X4+$Y4))+($W4))/453.59</f>
        <v>4.8256069215290839E-2</v>
      </c>
      <c r="L88" s="50">
        <f>$B$21*C4*(E4+6)</f>
        <v>0.10970157361893468</v>
      </c>
      <c r="M88" s="50">
        <f t="shared" ref="M88" si="52">0.41*L88</f>
        <v>4.4977645183763217E-2</v>
      </c>
      <c r="N88" s="50">
        <f>C4*($E4*$Z4+($AA4))/453.59</f>
        <v>720.50649743850568</v>
      </c>
      <c r="O88" s="50">
        <f>C4*($E4*$AB4+($AC4))/453.59</f>
        <v>4.1216180057393241E-2</v>
      </c>
      <c r="P88" s="50">
        <f>C4*($E4*$AD4+($AE4))/453.59</f>
        <v>7.5024558879963676E-2</v>
      </c>
      <c r="AN88" s="38"/>
      <c r="AZ88" s="36"/>
    </row>
    <row r="89" spans="1:52">
      <c r="A89" s="40" t="s">
        <v>389</v>
      </c>
      <c r="B89" s="40"/>
      <c r="C89" s="40"/>
      <c r="D89" s="40"/>
      <c r="E89" s="40"/>
      <c r="F89" s="81">
        <f t="shared" ref="F89:P89" si="53">SUM(F88:F88)</f>
        <v>6.3143520164519611</v>
      </c>
      <c r="G89" s="81">
        <f t="shared" si="53"/>
        <v>0.56771854482691408</v>
      </c>
      <c r="H89" s="81">
        <f t="shared" si="53"/>
        <v>0.65649974421139334</v>
      </c>
      <c r="I89" s="81">
        <f t="shared" si="53"/>
        <v>9.4483613530880074E-3</v>
      </c>
      <c r="J89" s="81">
        <f t="shared" si="53"/>
        <v>0.11081317591770266</v>
      </c>
      <c r="K89" s="81">
        <f t="shared" si="53"/>
        <v>4.8256069215290839E-2</v>
      </c>
      <c r="L89" s="81">
        <f t="shared" si="53"/>
        <v>0.10970157361893468</v>
      </c>
      <c r="M89" s="81">
        <f t="shared" si="53"/>
        <v>4.4977645183763217E-2</v>
      </c>
      <c r="N89" s="81">
        <f t="shared" si="53"/>
        <v>720.50649743850568</v>
      </c>
      <c r="O89" s="81">
        <f t="shared" si="53"/>
        <v>4.1216180057393241E-2</v>
      </c>
      <c r="P89" s="81">
        <f t="shared" si="53"/>
        <v>7.5024558879963676E-2</v>
      </c>
      <c r="AN89" s="38"/>
      <c r="AZ89" s="36"/>
    </row>
  </sheetData>
  <mergeCells count="16">
    <mergeCell ref="AR11:BA11"/>
    <mergeCell ref="A86:A87"/>
    <mergeCell ref="B86:B87"/>
    <mergeCell ref="F86:P86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38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41"/>
  <sheetViews>
    <sheetView topLeftCell="A5" workbookViewId="0">
      <selection activeCell="H34" sqref="H34"/>
    </sheetView>
  </sheetViews>
  <sheetFormatPr defaultRowHeight="12.75"/>
  <cols>
    <col min="1" max="1" width="45.5703125" style="36" customWidth="1"/>
    <col min="2" max="2" width="10" style="36" customWidth="1"/>
    <col min="3" max="3" width="12.42578125" style="36" bestFit="1" customWidth="1"/>
    <col min="4" max="16384" width="9.140625" style="36"/>
  </cols>
  <sheetData>
    <row r="1" spans="1:12" s="57" customFormat="1">
      <c r="A1" s="3" t="s">
        <v>491</v>
      </c>
      <c r="B1" s="541"/>
      <c r="C1" s="542"/>
      <c r="D1" s="542"/>
      <c r="E1" s="542"/>
      <c r="F1" s="542"/>
      <c r="G1" s="542"/>
      <c r="H1" s="542"/>
      <c r="I1" s="542"/>
      <c r="J1" s="542"/>
      <c r="K1" s="542"/>
      <c r="L1" s="542"/>
    </row>
    <row r="2" spans="1:12" s="57" customFormat="1">
      <c r="A2" s="85" t="s">
        <v>490</v>
      </c>
      <c r="B2" s="541"/>
      <c r="C2" s="542"/>
      <c r="D2" s="542"/>
      <c r="E2" s="542"/>
      <c r="F2" s="542"/>
      <c r="G2" s="542"/>
      <c r="H2" s="542"/>
      <c r="I2" s="542"/>
      <c r="J2" s="542"/>
      <c r="K2" s="542"/>
      <c r="L2" s="542"/>
    </row>
    <row r="3" spans="1:12" s="57" customFormat="1">
      <c r="A3" s="85"/>
      <c r="B3" s="541"/>
      <c r="C3" s="542"/>
      <c r="D3" s="542"/>
      <c r="E3" s="542"/>
      <c r="F3" s="542"/>
      <c r="G3" s="542"/>
      <c r="H3" s="542"/>
      <c r="I3" s="542"/>
      <c r="J3" s="542"/>
      <c r="K3" s="542"/>
      <c r="L3" s="542"/>
    </row>
    <row r="4" spans="1:12" s="57" customFormat="1">
      <c r="A4" s="447" t="s">
        <v>490</v>
      </c>
      <c r="B4" s="541"/>
      <c r="C4" s="542"/>
      <c r="D4" s="542"/>
      <c r="E4" s="542"/>
      <c r="F4" s="542"/>
      <c r="G4" s="542"/>
      <c r="H4" s="542"/>
      <c r="I4" s="542"/>
      <c r="J4" s="542"/>
      <c r="K4" s="542"/>
      <c r="L4" s="542"/>
    </row>
    <row r="5" spans="1:12" s="57" customFormat="1">
      <c r="A5" s="85" t="s">
        <v>356</v>
      </c>
      <c r="B5" s="541"/>
      <c r="C5" s="542"/>
      <c r="D5" s="542"/>
      <c r="E5" s="542"/>
      <c r="F5" s="542"/>
      <c r="G5" s="542"/>
      <c r="H5" s="542"/>
      <c r="I5" s="542"/>
      <c r="J5" s="542"/>
      <c r="K5" s="542"/>
      <c r="L5" s="542"/>
    </row>
    <row r="6" spans="1:12" s="57" customFormat="1">
      <c r="A6" s="448" t="s">
        <v>348</v>
      </c>
      <c r="B6" s="541"/>
      <c r="C6" s="542"/>
      <c r="D6" s="542"/>
      <c r="E6" s="542"/>
      <c r="F6" s="542"/>
      <c r="G6" s="542"/>
      <c r="H6" s="542"/>
      <c r="I6" s="542"/>
      <c r="J6" s="542"/>
      <c r="K6" s="542"/>
      <c r="L6" s="542"/>
    </row>
    <row r="7" spans="1:12" s="57" customFormat="1">
      <c r="A7" s="58" t="s">
        <v>349</v>
      </c>
      <c r="B7" s="541"/>
      <c r="C7" s="542"/>
      <c r="D7" s="542"/>
      <c r="E7" s="542"/>
      <c r="F7" s="542"/>
      <c r="G7" s="542"/>
      <c r="H7" s="542"/>
      <c r="I7" s="542"/>
      <c r="J7" s="542"/>
      <c r="K7" s="542"/>
      <c r="L7" s="542"/>
    </row>
    <row r="8" spans="1:12" s="57" customFormat="1">
      <c r="A8" s="58" t="s">
        <v>347</v>
      </c>
      <c r="B8" s="541"/>
      <c r="C8" s="542"/>
      <c r="D8" s="542"/>
      <c r="E8" s="542"/>
      <c r="F8" s="542"/>
      <c r="G8" s="542"/>
      <c r="H8" s="542"/>
      <c r="I8" s="542"/>
      <c r="J8" s="542"/>
      <c r="K8" s="542"/>
      <c r="L8" s="542"/>
    </row>
    <row r="9" spans="1:12" s="57" customFormat="1">
      <c r="A9" s="448" t="s">
        <v>350</v>
      </c>
      <c r="B9" s="541"/>
      <c r="C9" s="542"/>
      <c r="D9" s="542"/>
      <c r="E9" s="542"/>
      <c r="F9" s="542"/>
      <c r="G9" s="542"/>
      <c r="H9" s="542"/>
      <c r="I9" s="542"/>
      <c r="J9" s="542"/>
      <c r="K9" s="542"/>
      <c r="L9" s="542"/>
    </row>
    <row r="10" spans="1:12" s="57" customFormat="1">
      <c r="A10" s="448" t="s">
        <v>351</v>
      </c>
      <c r="B10" s="541"/>
      <c r="C10" s="542"/>
      <c r="D10" s="542"/>
      <c r="E10" s="542"/>
      <c r="F10" s="542"/>
      <c r="G10" s="542"/>
      <c r="H10" s="542"/>
      <c r="I10" s="542"/>
      <c r="J10" s="542"/>
      <c r="K10" s="542"/>
      <c r="L10" s="542"/>
    </row>
    <row r="11" spans="1:12" s="57" customFormat="1">
      <c r="A11" s="448" t="s">
        <v>357</v>
      </c>
      <c r="B11" s="541"/>
      <c r="C11" s="542"/>
      <c r="D11" s="542"/>
      <c r="E11" s="542"/>
      <c r="F11" s="542"/>
      <c r="G11" s="542"/>
      <c r="H11" s="542"/>
      <c r="I11" s="542"/>
      <c r="J11" s="542"/>
      <c r="K11" s="542"/>
      <c r="L11" s="542"/>
    </row>
    <row r="12" spans="1:12" s="57" customFormat="1">
      <c r="A12" s="448" t="s">
        <v>353</v>
      </c>
      <c r="B12" s="541"/>
      <c r="C12" s="542"/>
      <c r="D12" s="542"/>
      <c r="E12" s="542"/>
      <c r="F12" s="542"/>
      <c r="G12" s="542"/>
      <c r="H12" s="542"/>
      <c r="I12" s="542"/>
      <c r="J12" s="542"/>
      <c r="K12" s="542"/>
      <c r="L12" s="542"/>
    </row>
    <row r="13" spans="1:12" s="57" customFormat="1">
      <c r="A13" s="448" t="s">
        <v>352</v>
      </c>
      <c r="B13" s="541"/>
      <c r="C13" s="542"/>
      <c r="D13" s="542"/>
      <c r="E13" s="542"/>
      <c r="F13" s="542"/>
      <c r="G13" s="542"/>
      <c r="H13" s="542"/>
      <c r="I13" s="542"/>
      <c r="J13" s="542"/>
      <c r="K13" s="542"/>
      <c r="L13" s="542"/>
    </row>
    <row r="14" spans="1:12" s="57" customFormat="1">
      <c r="A14" s="448" t="s">
        <v>362</v>
      </c>
      <c r="B14" s="541"/>
      <c r="C14" s="542"/>
      <c r="D14" s="542"/>
      <c r="E14" s="542"/>
      <c r="F14" s="542"/>
      <c r="G14" s="542"/>
      <c r="H14" s="542"/>
      <c r="I14" s="542"/>
      <c r="J14" s="542"/>
      <c r="K14" s="542"/>
      <c r="L14" s="542"/>
    </row>
    <row r="15" spans="1:12" s="57" customFormat="1">
      <c r="A15" s="448" t="s">
        <v>361</v>
      </c>
      <c r="B15" s="541"/>
      <c r="C15" s="542"/>
      <c r="D15" s="542"/>
      <c r="E15" s="542"/>
      <c r="F15" s="542"/>
      <c r="G15" s="542"/>
      <c r="H15" s="542"/>
      <c r="I15" s="542"/>
      <c r="J15" s="542"/>
      <c r="K15" s="542"/>
      <c r="L15" s="542"/>
    </row>
    <row r="16" spans="1:12" s="57" customFormat="1">
      <c r="A16" s="448" t="s">
        <v>492</v>
      </c>
      <c r="B16" s="449">
        <f>(3260+1110)*1*3</f>
        <v>13110</v>
      </c>
      <c r="C16" s="542" t="s">
        <v>493</v>
      </c>
      <c r="D16" s="542"/>
      <c r="E16" s="542"/>
      <c r="F16" s="542"/>
      <c r="G16" s="542"/>
      <c r="H16" s="542"/>
      <c r="I16" s="542"/>
      <c r="J16" s="542"/>
      <c r="K16" s="542"/>
      <c r="L16" s="542"/>
    </row>
    <row r="17" spans="1:12" s="57" customFormat="1">
      <c r="A17" s="448" t="s">
        <v>494</v>
      </c>
      <c r="B17" s="449">
        <f>B16/27*1600</f>
        <v>776888.88888888888</v>
      </c>
      <c r="C17" s="542" t="s">
        <v>495</v>
      </c>
      <c r="D17" s="542"/>
      <c r="E17" s="542"/>
      <c r="F17" s="542"/>
      <c r="G17" s="542"/>
      <c r="H17" s="542"/>
      <c r="I17" s="542"/>
      <c r="J17" s="542"/>
      <c r="K17" s="542"/>
      <c r="L17" s="542"/>
    </row>
    <row r="18" spans="1:12" s="57" customFormat="1">
      <c r="A18" s="448" t="s">
        <v>358</v>
      </c>
      <c r="B18" s="541"/>
      <c r="C18" s="542"/>
      <c r="D18" s="542"/>
      <c r="E18" s="542"/>
      <c r="F18" s="542"/>
      <c r="G18" s="542"/>
      <c r="H18" s="542"/>
      <c r="I18" s="542"/>
      <c r="J18" s="542"/>
      <c r="K18" s="542"/>
      <c r="L18" s="542"/>
    </row>
    <row r="19" spans="1:12" s="57" customFormat="1">
      <c r="A19" s="448"/>
      <c r="B19" s="449" t="s">
        <v>363</v>
      </c>
      <c r="C19" s="542" t="s">
        <v>364</v>
      </c>
      <c r="D19" s="542"/>
      <c r="E19" s="542"/>
      <c r="F19" s="542"/>
      <c r="G19" s="542"/>
      <c r="H19" s="542"/>
      <c r="I19" s="542"/>
      <c r="J19" s="542"/>
      <c r="K19" s="542"/>
      <c r="L19" s="542"/>
    </row>
    <row r="20" spans="1:12" s="57" customFormat="1">
      <c r="A20" s="448" t="s">
        <v>354</v>
      </c>
      <c r="B20" s="58">
        <f>10*(0.00112*(((12/5)^1.3)/(2/2)^1.4)*(B17/2000))/30</f>
        <v>0.45258514656290605</v>
      </c>
      <c r="C20" s="58">
        <f>10*(0.00112*(((12/5)^1.3)/(15/2)^1.4)*(B17/2000))/30</f>
        <v>2.6953460292847807E-2</v>
      </c>
      <c r="D20" s="449" t="s">
        <v>355</v>
      </c>
      <c r="E20" s="542"/>
      <c r="F20" s="542"/>
      <c r="G20" s="542"/>
      <c r="H20" s="542"/>
      <c r="I20" s="542"/>
      <c r="J20" s="542"/>
      <c r="K20" s="542"/>
      <c r="L20" s="542"/>
    </row>
    <row r="21" spans="1:12" s="57" customFormat="1">
      <c r="A21" s="58"/>
      <c r="B21" s="58">
        <f>(0.00112*(((12/5)^1.3)/(15/2)^1.4)*(152000000/2000))/2000</f>
        <v>7.9102546511618573E-3</v>
      </c>
      <c r="C21" s="58">
        <f>(0.00112*(((12/5)^1.3)/(15/2)^1.4)*(152000000/2000))/2000</f>
        <v>7.9102546511618573E-3</v>
      </c>
      <c r="D21" s="449" t="s">
        <v>360</v>
      </c>
      <c r="E21" s="542"/>
      <c r="F21" s="542"/>
      <c r="G21" s="542"/>
      <c r="H21" s="542"/>
      <c r="I21" s="542"/>
      <c r="J21" s="542"/>
      <c r="K21" s="542"/>
      <c r="L21" s="542"/>
    </row>
    <row r="22" spans="1:12" s="57" customFormat="1">
      <c r="A22" s="58"/>
      <c r="B22" s="541"/>
      <c r="C22" s="542"/>
      <c r="D22" s="542"/>
      <c r="E22" s="542"/>
      <c r="F22" s="542"/>
      <c r="G22" s="542"/>
      <c r="H22" s="542"/>
      <c r="I22" s="542"/>
      <c r="J22" s="542"/>
      <c r="K22" s="542"/>
      <c r="L22" s="542"/>
    </row>
    <row r="24" spans="1:12">
      <c r="A24" s="447" t="s">
        <v>496</v>
      </c>
      <c r="B24" s="541"/>
      <c r="C24" s="542"/>
      <c r="D24" s="542"/>
    </row>
    <row r="25" spans="1:12">
      <c r="A25" s="85" t="s">
        <v>356</v>
      </c>
      <c r="B25" s="541"/>
      <c r="C25" s="542"/>
      <c r="D25" s="542"/>
    </row>
    <row r="26" spans="1:12">
      <c r="A26" s="448" t="s">
        <v>348</v>
      </c>
      <c r="B26" s="541"/>
      <c r="C26" s="542"/>
      <c r="D26" s="542"/>
    </row>
    <row r="27" spans="1:12">
      <c r="A27" s="58" t="s">
        <v>349</v>
      </c>
      <c r="B27" s="541"/>
      <c r="C27" s="542"/>
      <c r="D27" s="542"/>
    </row>
    <row r="28" spans="1:12">
      <c r="A28" s="58" t="s">
        <v>347</v>
      </c>
      <c r="B28" s="541"/>
      <c r="C28" s="542"/>
      <c r="D28" s="542"/>
    </row>
    <row r="29" spans="1:12">
      <c r="A29" s="448" t="s">
        <v>350</v>
      </c>
      <c r="B29" s="541"/>
      <c r="C29" s="542"/>
      <c r="D29" s="542"/>
    </row>
    <row r="30" spans="1:12">
      <c r="A30" s="448" t="s">
        <v>351</v>
      </c>
      <c r="B30" s="541"/>
      <c r="C30" s="542"/>
      <c r="D30" s="542"/>
    </row>
    <row r="31" spans="1:12">
      <c r="A31" s="448" t="s">
        <v>357</v>
      </c>
      <c r="B31" s="541"/>
      <c r="C31" s="542"/>
      <c r="D31" s="542"/>
    </row>
    <row r="32" spans="1:12">
      <c r="A32" s="448" t="s">
        <v>353</v>
      </c>
      <c r="B32" s="541"/>
      <c r="C32" s="542"/>
      <c r="D32" s="542"/>
    </row>
    <row r="33" spans="1:4">
      <c r="A33" s="448" t="s">
        <v>352</v>
      </c>
      <c r="B33" s="541"/>
      <c r="C33" s="542"/>
      <c r="D33" s="542"/>
    </row>
    <row r="34" spans="1:4">
      <c r="A34" s="448" t="s">
        <v>362</v>
      </c>
      <c r="B34" s="541"/>
      <c r="C34" s="542"/>
      <c r="D34" s="542"/>
    </row>
    <row r="35" spans="1:4">
      <c r="A35" s="448" t="s">
        <v>361</v>
      </c>
      <c r="B35" s="541"/>
      <c r="C35" s="542"/>
      <c r="D35" s="542"/>
    </row>
    <row r="36" spans="1:4">
      <c r="A36" s="448" t="s">
        <v>497</v>
      </c>
      <c r="B36" s="449">
        <f>4*8*0.5*6</f>
        <v>96</v>
      </c>
      <c r="C36" s="542" t="s">
        <v>493</v>
      </c>
      <c r="D36" s="542"/>
    </row>
    <row r="37" spans="1:4">
      <c r="A37" s="448" t="s">
        <v>494</v>
      </c>
      <c r="B37" s="449">
        <f>B36/27*1600</f>
        <v>5688.8888888888887</v>
      </c>
      <c r="C37" s="542" t="s">
        <v>495</v>
      </c>
      <c r="D37" s="542"/>
    </row>
    <row r="38" spans="1:4">
      <c r="A38" s="448" t="s">
        <v>358</v>
      </c>
      <c r="B38" s="541"/>
      <c r="C38" s="542"/>
      <c r="D38" s="542"/>
    </row>
    <row r="39" spans="1:4">
      <c r="A39" s="448"/>
      <c r="B39" s="449" t="s">
        <v>363</v>
      </c>
      <c r="C39" s="542" t="s">
        <v>364</v>
      </c>
      <c r="D39" s="542"/>
    </row>
    <row r="40" spans="1:4">
      <c r="A40" s="448" t="s">
        <v>354</v>
      </c>
      <c r="B40" s="58">
        <f>10*(0.00112*(((12/5)^1.3)/(2/2)^1.4)*(B37/2000))/30</f>
        <v>3.3141246430235683E-3</v>
      </c>
      <c r="C40" s="58">
        <f>10*(0.00112*(((12/5)^1.3)/(15/2)^1.4)*(B37/2000))/30</f>
        <v>1.9737087628629978E-4</v>
      </c>
      <c r="D40" s="449" t="s">
        <v>355</v>
      </c>
    </row>
    <row r="41" spans="1:4">
      <c r="B41" s="58">
        <f>(0.00112*(((12/5)^1.3)/(2/2)^1.4)*(B37/2000))/2000</f>
        <v>4.9711869645353524E-6</v>
      </c>
      <c r="C41" s="58">
        <f>(0.00112*(((12/5)^1.3)/(15/2)^1.4)*(B37/2000))/2000</f>
        <v>2.9605631442944966E-7</v>
      </c>
      <c r="D41" s="450" t="s">
        <v>360</v>
      </c>
    </row>
  </sheetData>
  <pageMargins left="0.7" right="0.7" top="0.75" bottom="0.75" header="0.3" footer="0.3"/>
  <pageSetup scale="99" orientation="landscape" r:id="rId1"/>
  <headerFooter>
    <oddHeader>&amp;CTable B-16
Fugitive Dust Emission Calculations
Salt Creek Substation Construction</oddHeader>
    <oddFooter>&amp;CB-16</oddFooter>
  </headerFooter>
</worksheet>
</file>

<file path=xl/worksheets/sheet382.xml><?xml version="1.0" encoding="utf-8"?>
<worksheet xmlns="http://schemas.openxmlformats.org/spreadsheetml/2006/main" xmlns:r="http://schemas.openxmlformats.org/officeDocument/2006/relationships">
  <dimension ref="A1:Z88"/>
  <sheetViews>
    <sheetView topLeftCell="N1" workbookViewId="0">
      <selection activeCell="Z4" sqref="Z4"/>
    </sheetView>
  </sheetViews>
  <sheetFormatPr defaultRowHeight="12.75"/>
  <cols>
    <col min="1" max="1" width="10.140625" bestFit="1" customWidth="1"/>
    <col min="2" max="2" width="14" customWidth="1"/>
    <col min="3" max="3" width="15.42578125" customWidth="1"/>
    <col min="4" max="5" width="12" customWidth="1"/>
    <col min="6" max="9" width="13.5703125" customWidth="1"/>
    <col min="10" max="25" width="14.85546875" customWidth="1"/>
    <col min="26" max="26" width="12.85546875" customWidth="1"/>
  </cols>
  <sheetData>
    <row r="1" spans="1:26">
      <c r="A1" s="17" t="s">
        <v>894</v>
      </c>
    </row>
    <row r="2" spans="1:26">
      <c r="B2" s="666" t="s">
        <v>273</v>
      </c>
      <c r="C2" s="600"/>
      <c r="D2" s="600"/>
      <c r="E2" s="590"/>
      <c r="F2" s="666" t="s">
        <v>395</v>
      </c>
      <c r="G2" s="667"/>
      <c r="H2" s="667"/>
      <c r="I2" s="590"/>
      <c r="J2" s="666" t="s">
        <v>397</v>
      </c>
      <c r="K2" s="667"/>
      <c r="L2" s="667"/>
      <c r="M2" s="590"/>
      <c r="N2" s="666" t="s">
        <v>419</v>
      </c>
      <c r="O2" s="667"/>
      <c r="P2" s="667"/>
      <c r="Q2" s="590"/>
      <c r="R2" s="666" t="s">
        <v>345</v>
      </c>
      <c r="S2" s="667"/>
      <c r="T2" s="667"/>
      <c r="U2" s="590"/>
      <c r="V2" s="666" t="s">
        <v>490</v>
      </c>
      <c r="W2" s="667"/>
      <c r="X2" s="667"/>
      <c r="Y2" s="590"/>
      <c r="Z2" s="123"/>
    </row>
    <row r="3" spans="1:26" ht="38.25">
      <c r="A3" s="18" t="s">
        <v>391</v>
      </c>
      <c r="B3" s="18" t="s">
        <v>392</v>
      </c>
      <c r="C3" s="18" t="s">
        <v>393</v>
      </c>
      <c r="D3" s="18" t="s">
        <v>394</v>
      </c>
      <c r="E3" s="18" t="s">
        <v>425</v>
      </c>
      <c r="F3" s="18" t="s">
        <v>392</v>
      </c>
      <c r="G3" s="18" t="s">
        <v>393</v>
      </c>
      <c r="H3" s="18" t="s">
        <v>394</v>
      </c>
      <c r="I3" s="18" t="s">
        <v>424</v>
      </c>
      <c r="J3" s="18" t="s">
        <v>392</v>
      </c>
      <c r="K3" s="18" t="s">
        <v>393</v>
      </c>
      <c r="L3" s="18" t="s">
        <v>394</v>
      </c>
      <c r="M3" s="18" t="s">
        <v>423</v>
      </c>
      <c r="N3" s="18" t="s">
        <v>392</v>
      </c>
      <c r="O3" s="18" t="s">
        <v>393</v>
      </c>
      <c r="P3" s="18" t="s">
        <v>394</v>
      </c>
      <c r="Q3" s="18" t="s">
        <v>422</v>
      </c>
      <c r="R3" s="18" t="s">
        <v>392</v>
      </c>
      <c r="S3" s="18" t="s">
        <v>393</v>
      </c>
      <c r="T3" s="18" t="s">
        <v>394</v>
      </c>
      <c r="U3" s="18" t="s">
        <v>421</v>
      </c>
      <c r="V3" s="18" t="s">
        <v>392</v>
      </c>
      <c r="W3" s="18" t="s">
        <v>393</v>
      </c>
      <c r="X3" s="18" t="s">
        <v>394</v>
      </c>
      <c r="Y3" s="18" t="s">
        <v>899</v>
      </c>
      <c r="Z3" s="18" t="s">
        <v>420</v>
      </c>
    </row>
    <row r="4" spans="1:26">
      <c r="A4" s="582">
        <f t="shared" ref="A4:A11" si="0">A5-7</f>
        <v>42373</v>
      </c>
      <c r="B4" s="428">
        <f>'Equipment SCS 1-4-16'!S31</f>
        <v>83.261019315164901</v>
      </c>
      <c r="C4" s="428">
        <f>'Construction Trucks SCS 1-4-16'!U21</f>
        <v>2.3520618814236149</v>
      </c>
      <c r="D4" s="428">
        <f>'WorkerTrips SCS 1-4-16'!G93</f>
        <v>1.7031556344807424</v>
      </c>
      <c r="E4" s="428">
        <f t="shared" ref="E4:E11" si="1">SUM(B4:D4)</f>
        <v>87.316236831069247</v>
      </c>
      <c r="F4" s="18"/>
      <c r="G4" s="18"/>
      <c r="H4" s="18"/>
      <c r="I4" s="428">
        <f t="shared" ref="I4:I11" si="2">SUM(F4:H4)</f>
        <v>0</v>
      </c>
      <c r="J4" s="18"/>
      <c r="K4" s="18"/>
      <c r="L4" s="18"/>
      <c r="M4" s="428">
        <f t="shared" ref="M4:M11" si="3">SUM(J4:L4)</f>
        <v>0</v>
      </c>
      <c r="N4" s="18"/>
      <c r="O4" s="18"/>
      <c r="P4" s="18"/>
      <c r="Q4" s="428">
        <f t="shared" ref="Q4:Q11" si="4">SUM(N4:P4)</f>
        <v>0</v>
      </c>
      <c r="R4" s="18"/>
      <c r="S4" s="18"/>
      <c r="T4" s="18"/>
      <c r="U4" s="428">
        <f t="shared" ref="U4:U11" si="5">SUM(R4:T4)</f>
        <v>0</v>
      </c>
      <c r="V4" s="428"/>
      <c r="W4" s="428"/>
      <c r="X4" s="428"/>
      <c r="Y4" s="428">
        <f t="shared" ref="Y4:Y67" si="6">SUM(V4:X4)</f>
        <v>0</v>
      </c>
      <c r="Z4" s="27">
        <f>E4+I4+M4+Q4+U4+Y4</f>
        <v>87.316236831069247</v>
      </c>
    </row>
    <row r="5" spans="1:26">
      <c r="A5" s="582">
        <f t="shared" si="0"/>
        <v>42380</v>
      </c>
      <c r="B5" s="428">
        <f>'Equipment SCS 1-11-16'!S39</f>
        <v>134.92512825668803</v>
      </c>
      <c r="C5" s="428">
        <f>'Construction Trucks SCS 1-11-16'!U25</f>
        <v>4.5973939398745971</v>
      </c>
      <c r="D5" s="428">
        <f>'WorkerTrips SCS 1-11-16'!G95</f>
        <v>2.1835328647189005</v>
      </c>
      <c r="E5" s="428">
        <f t="shared" si="1"/>
        <v>141.70605506128152</v>
      </c>
      <c r="F5" s="18"/>
      <c r="G5" s="18"/>
      <c r="H5" s="18"/>
      <c r="I5" s="428">
        <f t="shared" si="2"/>
        <v>0</v>
      </c>
      <c r="J5" s="18"/>
      <c r="K5" s="18"/>
      <c r="L5" s="18"/>
      <c r="M5" s="428">
        <f t="shared" si="3"/>
        <v>0</v>
      </c>
      <c r="N5" s="18"/>
      <c r="O5" s="18"/>
      <c r="P5" s="18"/>
      <c r="Q5" s="428">
        <f t="shared" si="4"/>
        <v>0</v>
      </c>
      <c r="R5" s="18"/>
      <c r="S5" s="18"/>
      <c r="T5" s="18"/>
      <c r="U5" s="428">
        <f t="shared" si="5"/>
        <v>0</v>
      </c>
      <c r="V5" s="428"/>
      <c r="W5" s="428"/>
      <c r="X5" s="428"/>
      <c r="Y5" s="428">
        <f t="shared" si="6"/>
        <v>0</v>
      </c>
      <c r="Z5" s="27">
        <f t="shared" ref="Z4:Z10" si="7">E5+I5+M5+Q5+U5+Y5</f>
        <v>141.70605506128152</v>
      </c>
    </row>
    <row r="6" spans="1:26">
      <c r="A6" s="582">
        <f t="shared" si="0"/>
        <v>42387</v>
      </c>
      <c r="B6" s="428">
        <f>'Equipment SCS 1-18-16'!S41</f>
        <v>153.91963099037409</v>
      </c>
      <c r="C6" s="428">
        <f>'Construction Trucks SCS 1-18-16'!U24</f>
        <v>2.8438202223028646</v>
      </c>
      <c r="D6" s="428">
        <f>'WorkerTrips SCS 1-18-16'!G95</f>
        <v>2.5328981230739247</v>
      </c>
      <c r="E6" s="428">
        <f t="shared" si="1"/>
        <v>159.29634933575088</v>
      </c>
      <c r="F6" s="18"/>
      <c r="G6" s="18"/>
      <c r="H6" s="18"/>
      <c r="I6" s="428">
        <f t="shared" si="2"/>
        <v>0</v>
      </c>
      <c r="J6" s="18"/>
      <c r="K6" s="18"/>
      <c r="L6" s="18"/>
      <c r="M6" s="428">
        <f t="shared" si="3"/>
        <v>0</v>
      </c>
      <c r="N6" s="18"/>
      <c r="O6" s="18"/>
      <c r="P6" s="18"/>
      <c r="Q6" s="428">
        <f t="shared" si="4"/>
        <v>0</v>
      </c>
      <c r="R6" s="18"/>
      <c r="S6" s="18"/>
      <c r="T6" s="18"/>
      <c r="U6" s="428">
        <f t="shared" si="5"/>
        <v>0</v>
      </c>
      <c r="V6" s="428"/>
      <c r="W6" s="428"/>
      <c r="X6" s="428"/>
      <c r="Y6" s="428">
        <f t="shared" si="6"/>
        <v>0</v>
      </c>
      <c r="Z6" s="27">
        <f t="shared" si="7"/>
        <v>159.29634933575088</v>
      </c>
    </row>
    <row r="7" spans="1:26">
      <c r="A7" s="582">
        <f t="shared" si="0"/>
        <v>42394</v>
      </c>
      <c r="B7" s="428">
        <f>'Equipment SCS 1-25-16'!S31</f>
        <v>122.19696945653419</v>
      </c>
      <c r="C7" s="428">
        <f>'Construction Trucks SCS 1-25-16'!U21</f>
        <v>5.7977395239571718</v>
      </c>
      <c r="D7" s="428">
        <f>'WorkerTrips SCS 1-25-16'!G93</f>
        <v>1.8778382636582545</v>
      </c>
      <c r="E7" s="428">
        <f t="shared" si="1"/>
        <v>129.87254724414962</v>
      </c>
      <c r="F7" s="18"/>
      <c r="G7" s="18"/>
      <c r="H7" s="18"/>
      <c r="I7" s="428">
        <f t="shared" si="2"/>
        <v>0</v>
      </c>
      <c r="J7" s="18"/>
      <c r="K7" s="18"/>
      <c r="L7" s="18"/>
      <c r="M7" s="428">
        <f t="shared" si="3"/>
        <v>0</v>
      </c>
      <c r="N7" s="18"/>
      <c r="O7" s="18"/>
      <c r="P7" s="18"/>
      <c r="Q7" s="428">
        <f t="shared" si="4"/>
        <v>0</v>
      </c>
      <c r="R7" s="18"/>
      <c r="S7" s="18"/>
      <c r="T7" s="18"/>
      <c r="U7" s="428">
        <f t="shared" si="5"/>
        <v>0</v>
      </c>
      <c r="V7" s="428"/>
      <c r="W7" s="428"/>
      <c r="X7" s="428"/>
      <c r="Y7" s="428">
        <f t="shared" si="6"/>
        <v>0</v>
      </c>
      <c r="Z7" s="27">
        <f t="shared" si="7"/>
        <v>129.87254724414962</v>
      </c>
    </row>
    <row r="8" spans="1:26">
      <c r="A8" s="582">
        <f t="shared" si="0"/>
        <v>42401</v>
      </c>
      <c r="B8" s="428">
        <f>'Equipment SCS 2-1-16'!S29</f>
        <v>95.145593795158533</v>
      </c>
      <c r="C8" s="428">
        <f>'Construction Trucks SCS 2-1-16'!U20</f>
        <v>2.290592088813709</v>
      </c>
      <c r="D8" s="428">
        <f>'WorkerTrips SCS 2-1-16'!G93</f>
        <v>1.5721436625976084</v>
      </c>
      <c r="E8" s="428">
        <f t="shared" si="1"/>
        <v>99.008329546569854</v>
      </c>
      <c r="F8" s="18"/>
      <c r="G8" s="18"/>
      <c r="H8" s="18"/>
      <c r="I8" s="428">
        <f t="shared" si="2"/>
        <v>0</v>
      </c>
      <c r="J8" s="18"/>
      <c r="K8" s="18"/>
      <c r="L8" s="18"/>
      <c r="M8" s="428">
        <f t="shared" si="3"/>
        <v>0</v>
      </c>
      <c r="N8" s="18"/>
      <c r="O8" s="18"/>
      <c r="P8" s="18"/>
      <c r="Q8" s="428">
        <f t="shared" si="4"/>
        <v>0</v>
      </c>
      <c r="R8" s="18"/>
      <c r="S8" s="18"/>
      <c r="T8" s="18"/>
      <c r="U8" s="428">
        <f t="shared" si="5"/>
        <v>0</v>
      </c>
      <c r="V8" s="428"/>
      <c r="W8" s="428"/>
      <c r="X8" s="428"/>
      <c r="Y8" s="428">
        <f t="shared" si="6"/>
        <v>0</v>
      </c>
      <c r="Z8" s="27">
        <f t="shared" si="7"/>
        <v>99.008329546569854</v>
      </c>
    </row>
    <row r="9" spans="1:26">
      <c r="A9" s="582">
        <f t="shared" si="0"/>
        <v>42408</v>
      </c>
      <c r="B9" s="428">
        <f>'Equipment SCS 2-8-16'!S28</f>
        <v>92.98147201385342</v>
      </c>
      <c r="C9" s="428">
        <f>'Construction Trucks SCS 2-8-16'!U20</f>
        <v>2.290592088813709</v>
      </c>
      <c r="D9" s="428">
        <f>'WorkerTrips SCS 2-8-16'!G93</f>
        <v>1.5284730053032303</v>
      </c>
      <c r="E9" s="428">
        <f t="shared" si="1"/>
        <v>96.800537107970356</v>
      </c>
      <c r="F9" s="18"/>
      <c r="G9" s="18"/>
      <c r="H9" s="18"/>
      <c r="I9" s="428">
        <f t="shared" si="2"/>
        <v>0</v>
      </c>
      <c r="J9" s="18"/>
      <c r="K9" s="18"/>
      <c r="L9" s="18"/>
      <c r="M9" s="428">
        <f t="shared" si="3"/>
        <v>0</v>
      </c>
      <c r="N9" s="18"/>
      <c r="O9" s="18"/>
      <c r="P9" s="18"/>
      <c r="Q9" s="428">
        <f t="shared" si="4"/>
        <v>0</v>
      </c>
      <c r="R9" s="18"/>
      <c r="S9" s="18"/>
      <c r="T9" s="18"/>
      <c r="U9" s="428">
        <f t="shared" si="5"/>
        <v>0</v>
      </c>
      <c r="V9" s="428"/>
      <c r="W9" s="428"/>
      <c r="X9" s="428"/>
      <c r="Y9" s="428">
        <f t="shared" si="6"/>
        <v>0</v>
      </c>
      <c r="Z9" s="27">
        <f t="shared" si="7"/>
        <v>96.800537107970356</v>
      </c>
    </row>
    <row r="10" spans="1:26">
      <c r="A10" s="582">
        <f t="shared" si="0"/>
        <v>42415</v>
      </c>
      <c r="B10" s="428">
        <f>'Equipment SCS 2-15-16'!S28</f>
        <v>72.847070666934101</v>
      </c>
      <c r="C10" s="428">
        <f>'Construction Trucks SCS 2-15-16'!U21</f>
        <v>72.433540791682972</v>
      </c>
      <c r="D10" s="428">
        <f>'WorkerTrips SCS 2-15-16'!G93</f>
        <v>1.5284730053032303</v>
      </c>
      <c r="E10" s="428">
        <f t="shared" si="1"/>
        <v>146.8090844639203</v>
      </c>
      <c r="F10" s="18"/>
      <c r="G10" s="18"/>
      <c r="H10" s="18"/>
      <c r="I10" s="428">
        <f t="shared" si="2"/>
        <v>0</v>
      </c>
      <c r="J10" s="18"/>
      <c r="K10" s="18"/>
      <c r="L10" s="18"/>
      <c r="M10" s="428">
        <f t="shared" si="3"/>
        <v>0</v>
      </c>
      <c r="N10" s="18"/>
      <c r="O10" s="18"/>
      <c r="P10" s="18"/>
      <c r="Q10" s="428">
        <f t="shared" si="4"/>
        <v>0</v>
      </c>
      <c r="R10" s="18"/>
      <c r="S10" s="18"/>
      <c r="T10" s="18"/>
      <c r="U10" s="428">
        <f t="shared" si="5"/>
        <v>0</v>
      </c>
      <c r="V10" s="428"/>
      <c r="W10" s="428"/>
      <c r="X10" s="428"/>
      <c r="Y10" s="428">
        <f t="shared" si="6"/>
        <v>0</v>
      </c>
      <c r="Z10" s="27">
        <f t="shared" si="7"/>
        <v>146.8090844639203</v>
      </c>
    </row>
    <row r="11" spans="1:26">
      <c r="A11" s="582">
        <f t="shared" si="0"/>
        <v>42422</v>
      </c>
      <c r="B11" s="428">
        <f>'Equipment SCS 2-22-16'!S28</f>
        <v>59.971526310673084</v>
      </c>
      <c r="C11" s="428">
        <f>'Construction Trucks SCS 2-22-16'!U22</f>
        <v>72.556480376902798</v>
      </c>
      <c r="D11" s="428">
        <f>'WorkerTrips SCS 2-15-16'!G93</f>
        <v>1.5284730053032303</v>
      </c>
      <c r="E11" s="428">
        <f t="shared" si="1"/>
        <v>134.05647969287912</v>
      </c>
      <c r="F11" s="18"/>
      <c r="G11" s="18"/>
      <c r="H11" s="18"/>
      <c r="I11" s="428">
        <f t="shared" si="2"/>
        <v>0</v>
      </c>
      <c r="J11" s="18"/>
      <c r="K11" s="18"/>
      <c r="L11" s="18"/>
      <c r="M11" s="428">
        <f t="shared" si="3"/>
        <v>0</v>
      </c>
      <c r="N11" s="18"/>
      <c r="O11" s="18"/>
      <c r="P11" s="18"/>
      <c r="Q11" s="428">
        <f t="shared" si="4"/>
        <v>0</v>
      </c>
      <c r="R11" s="18"/>
      <c r="S11" s="18"/>
      <c r="T11" s="18"/>
      <c r="U11" s="428">
        <f t="shared" si="5"/>
        <v>0</v>
      </c>
      <c r="V11" s="428"/>
      <c r="W11" s="428"/>
      <c r="X11" s="428"/>
      <c r="Y11" s="428">
        <f t="shared" ref="Y11" si="8">SUM(V11:X11)</f>
        <v>0</v>
      </c>
      <c r="Z11" s="27">
        <f>E11+I11+M11+Q11+U11+Y11</f>
        <v>134.05647969287912</v>
      </c>
    </row>
    <row r="12" spans="1:26">
      <c r="A12" s="427">
        <v>42429</v>
      </c>
      <c r="B12" s="124">
        <f>'Equipment SCS 2-29-16'!S28</f>
        <v>59.971526310673084</v>
      </c>
      <c r="C12" s="124">
        <f>'Construction Trucks SCS 2-29-16'!U22</f>
        <v>72.556480376902798</v>
      </c>
      <c r="D12" s="124">
        <f>'WorkerTrips SCS 2-29-16'!G93</f>
        <v>1.5721436625976084</v>
      </c>
      <c r="E12" s="428">
        <f t="shared" ref="E12:E57" si="9">SUM(B12:D12)</f>
        <v>134.10015035017349</v>
      </c>
      <c r="F12" s="124"/>
      <c r="G12" s="124"/>
      <c r="H12" s="124"/>
      <c r="I12" s="428">
        <f t="shared" ref="I12:I57" si="10">SUM(F12:H12)</f>
        <v>0</v>
      </c>
      <c r="J12" s="124"/>
      <c r="K12" s="124"/>
      <c r="L12" s="124"/>
      <c r="M12" s="428">
        <f t="shared" ref="M12:M57" si="11">SUM(J12:L12)</f>
        <v>0</v>
      </c>
      <c r="N12" s="124"/>
      <c r="O12" s="124"/>
      <c r="P12" s="124"/>
      <c r="Q12" s="428">
        <f t="shared" ref="Q12:Q57" si="12">SUM(N12:P12)</f>
        <v>0</v>
      </c>
      <c r="R12" s="124"/>
      <c r="S12" s="124"/>
      <c r="T12" s="124"/>
      <c r="U12" s="428">
        <f t="shared" ref="U12:U57" si="13">SUM(R12:T12)</f>
        <v>0</v>
      </c>
      <c r="V12" s="428"/>
      <c r="W12" s="428"/>
      <c r="X12" s="428"/>
      <c r="Y12" s="428">
        <f t="shared" si="6"/>
        <v>0</v>
      </c>
      <c r="Z12" s="27">
        <f t="shared" ref="Z12:Z75" si="14">E12+I12+M12+Q12+U12+Y12</f>
        <v>134.10015035017349</v>
      </c>
    </row>
    <row r="13" spans="1:26">
      <c r="A13" s="427">
        <f>7+A12</f>
        <v>42436</v>
      </c>
      <c r="B13" s="124">
        <f>'Equipment SCS 3-7-16'!S28</f>
        <v>59.971526310673084</v>
      </c>
      <c r="C13" s="124">
        <f>'Construction Trucks SCS 3-7-16'!U21</f>
        <v>72.556480376902798</v>
      </c>
      <c r="D13" s="124">
        <f>'WorkerTrips SCS 3-7-16'!G93</f>
        <v>1.5721436625976084</v>
      </c>
      <c r="E13" s="428">
        <f t="shared" si="9"/>
        <v>134.10015035017349</v>
      </c>
      <c r="F13" s="124"/>
      <c r="G13" s="124"/>
      <c r="H13" s="124"/>
      <c r="I13" s="428">
        <f t="shared" si="10"/>
        <v>0</v>
      </c>
      <c r="J13" s="124"/>
      <c r="K13" s="124"/>
      <c r="L13" s="124"/>
      <c r="M13" s="428">
        <f t="shared" si="11"/>
        <v>0</v>
      </c>
      <c r="N13" s="124"/>
      <c r="O13" s="124"/>
      <c r="P13" s="124"/>
      <c r="Q13" s="428">
        <f t="shared" si="12"/>
        <v>0</v>
      </c>
      <c r="R13" s="124"/>
      <c r="S13" s="124"/>
      <c r="T13" s="124"/>
      <c r="U13" s="428">
        <f t="shared" si="13"/>
        <v>0</v>
      </c>
      <c r="V13" s="428"/>
      <c r="W13" s="428"/>
      <c r="X13" s="428"/>
      <c r="Y13" s="428">
        <f t="shared" si="6"/>
        <v>0</v>
      </c>
      <c r="Z13" s="27">
        <f t="shared" si="14"/>
        <v>134.10015035017349</v>
      </c>
    </row>
    <row r="14" spans="1:26">
      <c r="A14" s="427">
        <f t="shared" ref="A14:A77" si="15">7+A13</f>
        <v>42443</v>
      </c>
      <c r="B14" s="124">
        <f>'Equipment SCS 3-14-16'!S28</f>
        <v>59.971526310673084</v>
      </c>
      <c r="C14" s="124">
        <f>'Construction Trucks SCS 3-14-16'!U21</f>
        <v>72.556480376902798</v>
      </c>
      <c r="D14" s="124">
        <f>'WorkerTrips SCS 3-14-16'!G93</f>
        <v>1.5721436625976084</v>
      </c>
      <c r="E14" s="428">
        <f t="shared" si="9"/>
        <v>134.10015035017349</v>
      </c>
      <c r="F14" s="124"/>
      <c r="G14" s="124"/>
      <c r="H14" s="124"/>
      <c r="I14" s="428">
        <f t="shared" si="10"/>
        <v>0</v>
      </c>
      <c r="J14" s="124"/>
      <c r="K14" s="124"/>
      <c r="L14" s="124"/>
      <c r="M14" s="428">
        <f t="shared" si="11"/>
        <v>0</v>
      </c>
      <c r="N14" s="124"/>
      <c r="O14" s="124"/>
      <c r="P14" s="124"/>
      <c r="Q14" s="428">
        <f t="shared" si="12"/>
        <v>0</v>
      </c>
      <c r="R14" s="124"/>
      <c r="S14" s="124"/>
      <c r="T14" s="124"/>
      <c r="U14" s="428">
        <f t="shared" si="13"/>
        <v>0</v>
      </c>
      <c r="V14" s="428"/>
      <c r="W14" s="428"/>
      <c r="X14" s="428"/>
      <c r="Y14" s="428">
        <f t="shared" si="6"/>
        <v>0</v>
      </c>
      <c r="Z14" s="27">
        <f t="shared" si="14"/>
        <v>134.10015035017349</v>
      </c>
    </row>
    <row r="15" spans="1:26">
      <c r="A15" s="427">
        <f t="shared" si="15"/>
        <v>42450</v>
      </c>
      <c r="B15" s="124">
        <f>'Equipment SCS 3-21-16'!S35</f>
        <v>67.05061238644187</v>
      </c>
      <c r="C15" s="124">
        <f>'Construction Trucks SCS 3-21-16'!U21</f>
        <v>70.880586214188142</v>
      </c>
      <c r="D15" s="124">
        <f>'WorkerTrips SCS 3-21-16'!G95</f>
        <v>1.7468262917751205</v>
      </c>
      <c r="E15" s="428">
        <f t="shared" si="9"/>
        <v>139.67802489240512</v>
      </c>
      <c r="F15" s="124"/>
      <c r="G15" s="124"/>
      <c r="H15" s="124"/>
      <c r="I15" s="428">
        <f t="shared" si="10"/>
        <v>0</v>
      </c>
      <c r="J15" s="123"/>
      <c r="K15" s="123"/>
      <c r="L15" s="123"/>
      <c r="M15" s="428">
        <f t="shared" si="11"/>
        <v>0</v>
      </c>
      <c r="N15" s="124"/>
      <c r="O15" s="124"/>
      <c r="P15" s="124"/>
      <c r="Q15" s="428">
        <f t="shared" si="12"/>
        <v>0</v>
      </c>
      <c r="R15" s="123"/>
      <c r="S15" s="123"/>
      <c r="T15" s="123"/>
      <c r="U15" s="428">
        <f t="shared" si="13"/>
        <v>0</v>
      </c>
      <c r="V15" s="428"/>
      <c r="W15" s="428"/>
      <c r="X15" s="428"/>
      <c r="Y15" s="428">
        <f t="shared" si="6"/>
        <v>0</v>
      </c>
      <c r="Z15" s="27">
        <f t="shared" si="14"/>
        <v>139.67802489240512</v>
      </c>
    </row>
    <row r="16" spans="1:26">
      <c r="A16" s="427">
        <f t="shared" si="15"/>
        <v>42457</v>
      </c>
      <c r="B16" s="124">
        <f>'Equipment SCS 3-28-16'!S34</f>
        <v>62.791667701615154</v>
      </c>
      <c r="C16" s="124">
        <f>'Construction Trucks SCS 3-28-16'!U25</f>
        <v>3.474727910649106</v>
      </c>
      <c r="D16" s="124">
        <f>'WorkerTrips SCS 3-28-16'!G95</f>
        <v>1.7031556344807424</v>
      </c>
      <c r="E16" s="428">
        <f t="shared" si="9"/>
        <v>67.969551246744999</v>
      </c>
      <c r="F16" s="124"/>
      <c r="G16" s="124"/>
      <c r="H16" s="124"/>
      <c r="I16" s="428">
        <f t="shared" si="10"/>
        <v>0</v>
      </c>
      <c r="J16" s="123"/>
      <c r="K16" s="123"/>
      <c r="L16" s="123"/>
      <c r="M16" s="428">
        <f t="shared" si="11"/>
        <v>0</v>
      </c>
      <c r="N16" s="124"/>
      <c r="O16" s="124"/>
      <c r="P16" s="124"/>
      <c r="Q16" s="428">
        <f t="shared" si="12"/>
        <v>0</v>
      </c>
      <c r="R16" s="123"/>
      <c r="S16" s="123"/>
      <c r="T16" s="123"/>
      <c r="U16" s="428">
        <f t="shared" si="13"/>
        <v>0</v>
      </c>
      <c r="V16" s="428"/>
      <c r="W16" s="428"/>
      <c r="X16" s="428"/>
      <c r="Y16" s="428">
        <f t="shared" si="6"/>
        <v>0</v>
      </c>
      <c r="Z16" s="27">
        <f t="shared" si="14"/>
        <v>67.969551246744999</v>
      </c>
    </row>
    <row r="17" spans="1:26">
      <c r="A17" s="427">
        <f t="shared" si="15"/>
        <v>42464</v>
      </c>
      <c r="B17" s="124">
        <f>'Equipment SCS 4-4-16'!S34</f>
        <v>62.791667701615154</v>
      </c>
      <c r="C17" s="124">
        <f>'Construction Trucks SCS 4-4-16'!U25</f>
        <v>3.474727910649106</v>
      </c>
      <c r="D17" s="124">
        <f>'WorkerTrips SCS 4-4-16'!G95</f>
        <v>1.7031556344807424</v>
      </c>
      <c r="E17" s="428">
        <f t="shared" si="9"/>
        <v>67.969551246744999</v>
      </c>
      <c r="F17" s="124"/>
      <c r="G17" s="124"/>
      <c r="H17" s="124"/>
      <c r="I17" s="428">
        <f t="shared" si="10"/>
        <v>0</v>
      </c>
      <c r="J17" s="123"/>
      <c r="K17" s="123"/>
      <c r="L17" s="123"/>
      <c r="M17" s="428">
        <f t="shared" si="11"/>
        <v>0</v>
      </c>
      <c r="N17" s="124"/>
      <c r="O17" s="124"/>
      <c r="P17" s="124"/>
      <c r="Q17" s="428">
        <f t="shared" si="12"/>
        <v>0</v>
      </c>
      <c r="R17" s="123"/>
      <c r="S17" s="123"/>
      <c r="T17" s="123"/>
      <c r="U17" s="428">
        <f t="shared" si="13"/>
        <v>0</v>
      </c>
      <c r="V17" s="428"/>
      <c r="W17" s="428"/>
      <c r="X17" s="428"/>
      <c r="Y17" s="428">
        <f t="shared" si="6"/>
        <v>0</v>
      </c>
      <c r="Z17" s="27">
        <f t="shared" si="14"/>
        <v>67.969551246744999</v>
      </c>
    </row>
    <row r="18" spans="1:26">
      <c r="A18" s="427">
        <f t="shared" si="15"/>
        <v>42471</v>
      </c>
      <c r="B18" s="124">
        <f>'Equipment SCS 4-11-16'!S34</f>
        <v>62.791667701615154</v>
      </c>
      <c r="C18" s="124">
        <f>'Construction Trucks SCS 4-11-16'!U25</f>
        <v>3.474727910649106</v>
      </c>
      <c r="D18" s="124">
        <f>'WorkerTrips SCS 4-11-16'!G95</f>
        <v>1.7031556344807424</v>
      </c>
      <c r="E18" s="428">
        <f t="shared" si="9"/>
        <v>67.969551246744999</v>
      </c>
      <c r="F18" s="124">
        <f>'Equipment 69kV 415-513'!S20</f>
        <v>48.499849704392517</v>
      </c>
      <c r="G18" s="124">
        <f>'Trucks 69kV 415-513'!U13</f>
        <v>4.3839342939293289</v>
      </c>
      <c r="H18" s="124">
        <f>'WorkerTrips 69kV 415-513'!G89</f>
        <v>0.82974248859318211</v>
      </c>
      <c r="I18" s="428">
        <f t="shared" si="10"/>
        <v>53.713526486915029</v>
      </c>
      <c r="J18" s="123"/>
      <c r="K18" s="123"/>
      <c r="L18" s="123"/>
      <c r="M18" s="428">
        <f t="shared" si="11"/>
        <v>0</v>
      </c>
      <c r="N18" s="124"/>
      <c r="O18" s="124"/>
      <c r="P18" s="124"/>
      <c r="Q18" s="428">
        <f t="shared" si="12"/>
        <v>0</v>
      </c>
      <c r="R18" s="123"/>
      <c r="S18" s="123"/>
      <c r="T18" s="123"/>
      <c r="U18" s="428">
        <f t="shared" si="13"/>
        <v>0</v>
      </c>
      <c r="V18" s="428"/>
      <c r="W18" s="428"/>
      <c r="X18" s="428"/>
      <c r="Y18" s="428">
        <f t="shared" si="6"/>
        <v>0</v>
      </c>
      <c r="Z18" s="27">
        <f t="shared" si="14"/>
        <v>121.68307773366003</v>
      </c>
    </row>
    <row r="19" spans="1:26">
      <c r="A19" s="427">
        <f t="shared" si="15"/>
        <v>42478</v>
      </c>
      <c r="B19" s="124">
        <f>'Equipment SCS 4-18-16'!S31</f>
        <v>44.44615806774874</v>
      </c>
      <c r="C19" s="124">
        <f>'Construction Trucks SCS 4-18-16'!U26</f>
        <v>4.9824224577812126</v>
      </c>
      <c r="D19" s="124">
        <f>'WorkerTrips SCS 4-18-16'!G95</f>
        <v>1.6158143198919863</v>
      </c>
      <c r="E19" s="428">
        <f t="shared" si="9"/>
        <v>51.044394845421941</v>
      </c>
      <c r="F19" s="124">
        <f t="shared" ref="F19:H22" si="16">F18</f>
        <v>48.499849704392517</v>
      </c>
      <c r="G19" s="124">
        <f t="shared" si="16"/>
        <v>4.3839342939293289</v>
      </c>
      <c r="H19" s="124">
        <f t="shared" si="16"/>
        <v>0.82974248859318211</v>
      </c>
      <c r="I19" s="428">
        <f t="shared" si="10"/>
        <v>53.713526486915029</v>
      </c>
      <c r="J19" s="123"/>
      <c r="K19" s="123"/>
      <c r="L19" s="123"/>
      <c r="M19" s="428">
        <f t="shared" si="11"/>
        <v>0</v>
      </c>
      <c r="N19" s="124"/>
      <c r="O19" s="124"/>
      <c r="P19" s="124"/>
      <c r="Q19" s="428">
        <f t="shared" si="12"/>
        <v>0</v>
      </c>
      <c r="R19" s="123"/>
      <c r="S19" s="123"/>
      <c r="T19" s="123"/>
      <c r="U19" s="428">
        <f t="shared" si="13"/>
        <v>0</v>
      </c>
      <c r="V19" s="428"/>
      <c r="W19" s="428"/>
      <c r="X19" s="428"/>
      <c r="Y19" s="428">
        <f t="shared" si="6"/>
        <v>0</v>
      </c>
      <c r="Z19" s="27">
        <f t="shared" si="14"/>
        <v>104.75792133233696</v>
      </c>
    </row>
    <row r="20" spans="1:26">
      <c r="A20" s="427">
        <f t="shared" si="15"/>
        <v>42485</v>
      </c>
      <c r="B20" s="124">
        <f>'Equipment SCS 4-25-16'!S31</f>
        <v>44.44615806774874</v>
      </c>
      <c r="C20" s="124">
        <f>'Construction Trucks SCS 4-25-16'!U26</f>
        <v>4.9824224577812126</v>
      </c>
      <c r="D20" s="124">
        <f>'WorkerTrips SCS 4-25-16'!G95</f>
        <v>1.6158143198919863</v>
      </c>
      <c r="E20" s="428">
        <f t="shared" si="9"/>
        <v>51.044394845421941</v>
      </c>
      <c r="F20" s="124">
        <f t="shared" si="16"/>
        <v>48.499849704392517</v>
      </c>
      <c r="G20" s="124">
        <f t="shared" si="16"/>
        <v>4.3839342939293289</v>
      </c>
      <c r="H20" s="124">
        <f t="shared" si="16"/>
        <v>0.82974248859318211</v>
      </c>
      <c r="I20" s="428">
        <f t="shared" si="10"/>
        <v>53.713526486915029</v>
      </c>
      <c r="J20" s="123"/>
      <c r="K20" s="123"/>
      <c r="L20" s="123"/>
      <c r="M20" s="428">
        <f t="shared" si="11"/>
        <v>0</v>
      </c>
      <c r="N20" s="124"/>
      <c r="O20" s="124"/>
      <c r="P20" s="124"/>
      <c r="Q20" s="428">
        <f t="shared" si="12"/>
        <v>0</v>
      </c>
      <c r="R20" s="123"/>
      <c r="S20" s="123"/>
      <c r="T20" s="123"/>
      <c r="U20" s="428">
        <f t="shared" si="13"/>
        <v>0</v>
      </c>
      <c r="V20" s="428"/>
      <c r="W20" s="428"/>
      <c r="X20" s="428"/>
      <c r="Y20" s="428">
        <f t="shared" si="6"/>
        <v>0</v>
      </c>
      <c r="Z20" s="27">
        <f t="shared" si="14"/>
        <v>104.75792133233696</v>
      </c>
    </row>
    <row r="21" spans="1:26">
      <c r="A21" s="427">
        <f t="shared" si="15"/>
        <v>42492</v>
      </c>
      <c r="B21" s="124">
        <f>'Equipment SCS 5-2-16'!S31</f>
        <v>44.44615806774874</v>
      </c>
      <c r="C21" s="124">
        <f>'Construction Trucks SCS 5-2-16'!U26</f>
        <v>4.9824224577812126</v>
      </c>
      <c r="D21" s="124">
        <f>'WorkerTrips SCS 5-2-16'!G95</f>
        <v>1.6158143198919863</v>
      </c>
      <c r="E21" s="428">
        <f t="shared" si="9"/>
        <v>51.044394845421941</v>
      </c>
      <c r="F21" s="124">
        <f t="shared" si="16"/>
        <v>48.499849704392517</v>
      </c>
      <c r="G21" s="124">
        <f t="shared" si="16"/>
        <v>4.3839342939293289</v>
      </c>
      <c r="H21" s="124">
        <f t="shared" si="16"/>
        <v>0.82974248859318211</v>
      </c>
      <c r="I21" s="428">
        <f t="shared" si="10"/>
        <v>53.713526486915029</v>
      </c>
      <c r="J21" s="123"/>
      <c r="K21" s="123"/>
      <c r="L21" s="123"/>
      <c r="M21" s="428">
        <f t="shared" si="11"/>
        <v>0</v>
      </c>
      <c r="N21" s="124"/>
      <c r="O21" s="124"/>
      <c r="P21" s="124"/>
      <c r="Q21" s="428">
        <f t="shared" si="12"/>
        <v>0</v>
      </c>
      <c r="R21" s="123"/>
      <c r="S21" s="123"/>
      <c r="T21" s="123"/>
      <c r="U21" s="428">
        <f t="shared" si="13"/>
        <v>0</v>
      </c>
      <c r="V21" s="428"/>
      <c r="W21" s="428"/>
      <c r="X21" s="428"/>
      <c r="Y21" s="428">
        <f t="shared" si="6"/>
        <v>0</v>
      </c>
      <c r="Z21" s="27">
        <f t="shared" si="14"/>
        <v>104.75792133233696</v>
      </c>
    </row>
    <row r="22" spans="1:26">
      <c r="A22" s="427">
        <f t="shared" si="15"/>
        <v>42499</v>
      </c>
      <c r="B22" s="124">
        <f>'Equipment SCS 5-9-16'!S25</f>
        <v>20.923780925443239</v>
      </c>
      <c r="C22" s="124">
        <f>'Construction Trucks SCS 5-9-16'!U21</f>
        <v>2.4912112288906063</v>
      </c>
      <c r="D22" s="124">
        <f>'WorkerTrips SCS 5-9-16'!G93</f>
        <v>0.65505985941567013</v>
      </c>
      <c r="E22" s="428">
        <f t="shared" si="9"/>
        <v>24.070052013749514</v>
      </c>
      <c r="F22" s="124">
        <f t="shared" si="16"/>
        <v>48.499849704392517</v>
      </c>
      <c r="G22" s="124">
        <f t="shared" si="16"/>
        <v>4.3839342939293289</v>
      </c>
      <c r="H22" s="124">
        <f t="shared" si="16"/>
        <v>0.82974248859318211</v>
      </c>
      <c r="I22" s="428">
        <f t="shared" si="10"/>
        <v>53.713526486915029</v>
      </c>
      <c r="J22" s="123"/>
      <c r="K22" s="123"/>
      <c r="L22" s="123"/>
      <c r="M22" s="428">
        <f t="shared" si="11"/>
        <v>0</v>
      </c>
      <c r="N22" s="124"/>
      <c r="O22" s="124"/>
      <c r="P22" s="124"/>
      <c r="Q22" s="428">
        <f t="shared" si="12"/>
        <v>0</v>
      </c>
      <c r="R22" s="123"/>
      <c r="S22" s="123"/>
      <c r="T22" s="123"/>
      <c r="U22" s="428">
        <f t="shared" si="13"/>
        <v>0</v>
      </c>
      <c r="V22" s="428"/>
      <c r="W22" s="428"/>
      <c r="X22" s="428"/>
      <c r="Y22" s="428">
        <f t="shared" si="6"/>
        <v>0</v>
      </c>
      <c r="Z22" s="27">
        <f t="shared" si="14"/>
        <v>77.783578500664547</v>
      </c>
    </row>
    <row r="23" spans="1:26">
      <c r="A23" s="427">
        <f t="shared" si="15"/>
        <v>42506</v>
      </c>
      <c r="B23" s="124">
        <f>'Equipment SCS 5-16-16'!S25</f>
        <v>20.923780925443239</v>
      </c>
      <c r="C23" s="124">
        <f>'Construction Trucks SCS 5-16-16'!U21</f>
        <v>2.4912112288906063</v>
      </c>
      <c r="D23" s="124">
        <f>'WorkerTrips SCS 5-16-16'!G93</f>
        <v>0.65505985941567013</v>
      </c>
      <c r="E23" s="428">
        <f t="shared" si="9"/>
        <v>24.070052013749514</v>
      </c>
      <c r="F23" s="124">
        <f>'Equipment 69kV 514-716'!S18</f>
        <v>41.225230568590057</v>
      </c>
      <c r="G23" s="124">
        <f>'Trucks 69kV 514-716'!U13</f>
        <v>4.3839342939293289</v>
      </c>
      <c r="H23" s="124">
        <f>'WorkerTrips 69kV 514-716'!G89</f>
        <v>0.74240117400442607</v>
      </c>
      <c r="I23" s="428">
        <f t="shared" si="10"/>
        <v>46.351566036523813</v>
      </c>
      <c r="J23" s="123"/>
      <c r="K23" s="123"/>
      <c r="L23" s="123"/>
      <c r="M23" s="428">
        <f t="shared" si="11"/>
        <v>0</v>
      </c>
      <c r="N23" s="124"/>
      <c r="O23" s="124"/>
      <c r="P23" s="124"/>
      <c r="Q23" s="428">
        <f t="shared" si="12"/>
        <v>0</v>
      </c>
      <c r="R23" s="123"/>
      <c r="S23" s="123"/>
      <c r="T23" s="123"/>
      <c r="U23" s="428">
        <f t="shared" si="13"/>
        <v>0</v>
      </c>
      <c r="V23" s="428"/>
      <c r="W23" s="428"/>
      <c r="X23" s="428"/>
      <c r="Y23" s="428">
        <f t="shared" si="6"/>
        <v>0</v>
      </c>
      <c r="Z23" s="27">
        <f t="shared" si="14"/>
        <v>70.421618050273324</v>
      </c>
    </row>
    <row r="24" spans="1:26">
      <c r="A24" s="427">
        <f t="shared" si="15"/>
        <v>42513</v>
      </c>
      <c r="B24" s="124">
        <f>'Equipment SCS 5-23-16'!S26</f>
        <v>25.138975325795972</v>
      </c>
      <c r="C24" s="124">
        <f>'Construction Trucks SCS 5-23-16'!U22</f>
        <v>2.4912112288906063</v>
      </c>
      <c r="D24" s="124">
        <f>'WorkerTrips SCS 5-23-16'!G93</f>
        <v>0.69873051671004816</v>
      </c>
      <c r="E24" s="428">
        <f t="shared" si="9"/>
        <v>28.328917071396624</v>
      </c>
      <c r="F24" s="124">
        <f t="shared" ref="F24:F31" si="17">F23</f>
        <v>41.225230568590057</v>
      </c>
      <c r="G24" s="124">
        <f t="shared" ref="G24:H24" si="18">G23</f>
        <v>4.3839342939293289</v>
      </c>
      <c r="H24" s="124">
        <f t="shared" si="18"/>
        <v>0.74240117400442607</v>
      </c>
      <c r="I24" s="428">
        <f t="shared" si="10"/>
        <v>46.351566036523813</v>
      </c>
      <c r="J24" s="123"/>
      <c r="K24" s="123"/>
      <c r="L24" s="123"/>
      <c r="M24" s="428">
        <f t="shared" si="11"/>
        <v>0</v>
      </c>
      <c r="N24" s="124"/>
      <c r="O24" s="124"/>
      <c r="P24" s="124"/>
      <c r="Q24" s="428">
        <f t="shared" si="12"/>
        <v>0</v>
      </c>
      <c r="R24" s="123"/>
      <c r="S24" s="123"/>
      <c r="T24" s="123"/>
      <c r="U24" s="428">
        <f t="shared" si="13"/>
        <v>0</v>
      </c>
      <c r="V24" s="428"/>
      <c r="W24" s="428"/>
      <c r="X24" s="428"/>
      <c r="Y24" s="428">
        <f t="shared" si="6"/>
        <v>0</v>
      </c>
      <c r="Z24" s="27">
        <f t="shared" si="14"/>
        <v>74.680483107920438</v>
      </c>
    </row>
    <row r="25" spans="1:26">
      <c r="A25" s="427">
        <f t="shared" si="15"/>
        <v>42520</v>
      </c>
      <c r="B25" s="124">
        <f>'Equipment SCS 5-30-16'!S33</f>
        <v>32.341143482659028</v>
      </c>
      <c r="C25" s="124">
        <f>'Construction Trucks SCS 5-30-16'!U28</f>
        <v>32.670783183269485</v>
      </c>
      <c r="D25" s="124">
        <f>'WorkerTrips SCS 5-30-16'!G95</f>
        <v>1.2227784042425842</v>
      </c>
      <c r="E25" s="428">
        <f t="shared" si="9"/>
        <v>66.234705070171103</v>
      </c>
      <c r="F25" s="124">
        <f t="shared" si="17"/>
        <v>41.225230568590057</v>
      </c>
      <c r="G25" s="124">
        <f t="shared" ref="G25:G31" si="19">G24</f>
        <v>4.3839342939293289</v>
      </c>
      <c r="H25" s="124">
        <f t="shared" ref="H25:H31" si="20">H24</f>
        <v>0.74240117400442607</v>
      </c>
      <c r="I25" s="428">
        <f t="shared" si="10"/>
        <v>46.351566036523813</v>
      </c>
      <c r="J25" s="123"/>
      <c r="K25" s="123"/>
      <c r="L25" s="123"/>
      <c r="M25" s="428">
        <f t="shared" si="11"/>
        <v>0</v>
      </c>
      <c r="N25" s="124"/>
      <c r="O25" s="124"/>
      <c r="P25" s="124"/>
      <c r="Q25" s="428">
        <f t="shared" si="12"/>
        <v>0</v>
      </c>
      <c r="R25" s="123"/>
      <c r="S25" s="123"/>
      <c r="T25" s="123"/>
      <c r="U25" s="428">
        <f t="shared" si="13"/>
        <v>0</v>
      </c>
      <c r="V25" s="428">
        <f>'Equipment AC Mitigation'!S13</f>
        <v>27.694751630703749</v>
      </c>
      <c r="W25" s="428">
        <f>'Construction AC Mitigation'!U13</f>
        <v>0.99972644400567823</v>
      </c>
      <c r="X25" s="428">
        <f>'WorkerTrips AC Mitigation'!G89</f>
        <v>0.56771854482691408</v>
      </c>
      <c r="Y25" s="428">
        <f t="shared" si="6"/>
        <v>29.26219661953634</v>
      </c>
      <c r="Z25" s="27">
        <f t="shared" si="14"/>
        <v>141.84846772623126</v>
      </c>
    </row>
    <row r="26" spans="1:26">
      <c r="A26" s="427">
        <f t="shared" si="15"/>
        <v>42527</v>
      </c>
      <c r="B26" s="124">
        <f>'Equipment SCS 6-6-16'!S33</f>
        <v>33.616864470313345</v>
      </c>
      <c r="C26" s="124">
        <f>'Construction Trucks SCS 6-6-16'!U30</f>
        <v>53.713667794130259</v>
      </c>
      <c r="D26" s="124">
        <f>'WorkerTrips SCS 6-6-16'!G95</f>
        <v>1.2227784042425842</v>
      </c>
      <c r="E26" s="428">
        <f t="shared" si="9"/>
        <v>88.553310668686194</v>
      </c>
      <c r="F26" s="124">
        <f t="shared" si="17"/>
        <v>41.225230568590057</v>
      </c>
      <c r="G26" s="124">
        <f t="shared" si="19"/>
        <v>4.3839342939293289</v>
      </c>
      <c r="H26" s="124">
        <f t="shared" si="20"/>
        <v>0.74240117400442607</v>
      </c>
      <c r="I26" s="428">
        <f t="shared" si="10"/>
        <v>46.351566036523813</v>
      </c>
      <c r="J26" s="124">
        <f>'Equipment TL6910 6-6-16'!S13</f>
        <v>46.604160017673635</v>
      </c>
      <c r="K26" s="124">
        <f>'Trucks TL6910 6-6-16'!U13</f>
        <v>7.8910817290727913</v>
      </c>
      <c r="L26" s="124">
        <f>'WorkerTrips TL6910 6-6-16'!G89</f>
        <v>0.48037723023815809</v>
      </c>
      <c r="M26" s="428">
        <f t="shared" si="11"/>
        <v>54.975618976984585</v>
      </c>
      <c r="N26" s="124"/>
      <c r="O26" s="124"/>
      <c r="P26" s="124"/>
      <c r="Q26" s="428">
        <f t="shared" si="12"/>
        <v>0</v>
      </c>
      <c r="R26" s="123"/>
      <c r="S26" s="123"/>
      <c r="T26" s="123"/>
      <c r="U26" s="428">
        <f t="shared" si="13"/>
        <v>0</v>
      </c>
      <c r="V26" s="428">
        <f t="shared" ref="V26:X27" si="21">V25</f>
        <v>27.694751630703749</v>
      </c>
      <c r="W26" s="428">
        <f t="shared" si="21"/>
        <v>0.99972644400567823</v>
      </c>
      <c r="X26" s="428">
        <f t="shared" si="21"/>
        <v>0.56771854482691408</v>
      </c>
      <c r="Y26" s="428">
        <f t="shared" si="6"/>
        <v>29.26219661953634</v>
      </c>
      <c r="Z26" s="430">
        <f t="shared" si="14"/>
        <v>219.1426923017309</v>
      </c>
    </row>
    <row r="27" spans="1:26">
      <c r="A27" s="427">
        <f t="shared" si="15"/>
        <v>42534</v>
      </c>
      <c r="B27" s="124">
        <f>'Equipment SCS 6-13-16'!S29</f>
        <v>25.284874390948271</v>
      </c>
      <c r="C27" s="124">
        <f>'Construction Trucks SCS 6-13-16'!U28</f>
        <v>41.438651771128136</v>
      </c>
      <c r="D27" s="124">
        <f>'WorkerTrips SCS 6-13-16'!G95</f>
        <v>1.0044251177706942</v>
      </c>
      <c r="E27" s="428">
        <f t="shared" si="9"/>
        <v>67.727951279847105</v>
      </c>
      <c r="F27" s="124">
        <f t="shared" si="17"/>
        <v>41.225230568590057</v>
      </c>
      <c r="G27" s="124">
        <f t="shared" si="19"/>
        <v>4.3839342939293289</v>
      </c>
      <c r="H27" s="124">
        <f t="shared" si="20"/>
        <v>0.74240117400442607</v>
      </c>
      <c r="I27" s="428">
        <f t="shared" ref="I27:I31" si="22">SUM(F27:H27)</f>
        <v>46.351566036523813</v>
      </c>
      <c r="J27" s="124">
        <f>'Equipment TL6910 6-13-16'!S13</f>
        <v>46.734345202858819</v>
      </c>
      <c r="K27" s="124">
        <f>'Trucks TL6910 6-13-16'!U13</f>
        <v>7.8910817290727913</v>
      </c>
      <c r="L27" s="124">
        <f>'WorkerTrips TL6910 6-13-16'!G89</f>
        <v>0.48037723023815809</v>
      </c>
      <c r="M27" s="428">
        <f t="shared" si="11"/>
        <v>55.105804162169768</v>
      </c>
      <c r="N27" s="124"/>
      <c r="O27" s="124"/>
      <c r="P27" s="124"/>
      <c r="Q27" s="428">
        <f t="shared" si="12"/>
        <v>0</v>
      </c>
      <c r="R27" s="124"/>
      <c r="S27" s="124"/>
      <c r="T27" s="124"/>
      <c r="U27" s="428">
        <f t="shared" si="13"/>
        <v>0</v>
      </c>
      <c r="V27" s="428">
        <f t="shared" si="21"/>
        <v>27.694751630703749</v>
      </c>
      <c r="W27" s="428">
        <f t="shared" si="21"/>
        <v>0.99972644400567823</v>
      </c>
      <c r="X27" s="428">
        <f t="shared" si="21"/>
        <v>0.56771854482691408</v>
      </c>
      <c r="Y27" s="428">
        <f t="shared" si="6"/>
        <v>29.26219661953634</v>
      </c>
      <c r="Z27" s="27">
        <f t="shared" si="14"/>
        <v>198.44751809807701</v>
      </c>
    </row>
    <row r="28" spans="1:26">
      <c r="A28" s="427">
        <f t="shared" si="15"/>
        <v>42541</v>
      </c>
      <c r="B28" s="124">
        <f>'Equipment SCS 6-20-16'!S29</f>
        <v>25.284874390948271</v>
      </c>
      <c r="C28" s="124">
        <f>'Construction Trucks SCS 6-20-16'!U26</f>
        <v>3.7368168433359097</v>
      </c>
      <c r="D28" s="124">
        <f>'WorkerTrips SCS 6-20-16'!G95</f>
        <v>1.0044251177706942</v>
      </c>
      <c r="E28" s="428">
        <f t="shared" si="9"/>
        <v>30.026116352054874</v>
      </c>
      <c r="F28" s="124">
        <f t="shared" si="17"/>
        <v>41.225230568590057</v>
      </c>
      <c r="G28" s="124">
        <f t="shared" si="19"/>
        <v>4.3839342939293289</v>
      </c>
      <c r="H28" s="124">
        <f t="shared" si="20"/>
        <v>0.74240117400442607</v>
      </c>
      <c r="I28" s="428">
        <f t="shared" si="22"/>
        <v>46.351566036523813</v>
      </c>
      <c r="J28" s="124">
        <f>'Equipment TL6910 6-20-16'!S10</f>
        <v>0.13018518518518515</v>
      </c>
      <c r="K28" s="124">
        <f>'Trucks TL6910 6-20-16'!U10</f>
        <v>0</v>
      </c>
      <c r="L28" s="124">
        <f>'WorkerTrips TL6910 6-20-16'!G89</f>
        <v>4.367065729437801E-2</v>
      </c>
      <c r="M28" s="428">
        <f t="shared" si="11"/>
        <v>0.17385584247956315</v>
      </c>
      <c r="N28" s="124"/>
      <c r="O28" s="124"/>
      <c r="P28" s="124"/>
      <c r="Q28" s="428">
        <f t="shared" si="12"/>
        <v>0</v>
      </c>
      <c r="R28" s="124"/>
      <c r="S28" s="124"/>
      <c r="T28" s="124"/>
      <c r="U28" s="428">
        <f t="shared" si="13"/>
        <v>0</v>
      </c>
      <c r="V28" s="428"/>
      <c r="W28" s="428"/>
      <c r="X28" s="428"/>
      <c r="Y28" s="428">
        <f t="shared" si="6"/>
        <v>0</v>
      </c>
      <c r="Z28" s="27">
        <f t="shared" si="14"/>
        <v>76.551538231058259</v>
      </c>
    </row>
    <row r="29" spans="1:26">
      <c r="A29" s="427">
        <f t="shared" si="15"/>
        <v>42548</v>
      </c>
      <c r="B29" s="124">
        <f>'Equipment SCS 6-27-16'!S20</f>
        <v>11.811903674132536</v>
      </c>
      <c r="C29" s="124">
        <f>'Construction Trucks SCS 6-27-16'!U17</f>
        <v>15.458604732848874</v>
      </c>
      <c r="D29" s="124">
        <f>'WorkerTrips SCS 6-20-16'!G95</f>
        <v>1.0044251177706942</v>
      </c>
      <c r="E29" s="428">
        <f t="shared" si="9"/>
        <v>28.274933524752104</v>
      </c>
      <c r="F29" s="124">
        <f t="shared" si="17"/>
        <v>41.225230568590057</v>
      </c>
      <c r="G29" s="124">
        <f t="shared" si="19"/>
        <v>4.3839342939293289</v>
      </c>
      <c r="H29" s="124">
        <f t="shared" si="20"/>
        <v>0.74240117400442607</v>
      </c>
      <c r="I29" s="428">
        <f t="shared" si="22"/>
        <v>46.351566036523813</v>
      </c>
      <c r="J29" s="123"/>
      <c r="K29" s="123"/>
      <c r="L29" s="123"/>
      <c r="M29" s="428">
        <f t="shared" si="11"/>
        <v>0</v>
      </c>
      <c r="N29" s="124"/>
      <c r="O29" s="124"/>
      <c r="P29" s="124"/>
      <c r="Q29" s="428">
        <f t="shared" si="12"/>
        <v>0</v>
      </c>
      <c r="R29" s="124"/>
      <c r="S29" s="124"/>
      <c r="T29" s="124"/>
      <c r="U29" s="428">
        <f t="shared" si="13"/>
        <v>0</v>
      </c>
      <c r="V29" s="428"/>
      <c r="W29" s="428"/>
      <c r="X29" s="428"/>
      <c r="Y29" s="428">
        <f t="shared" si="6"/>
        <v>0</v>
      </c>
      <c r="Z29" s="27">
        <f t="shared" si="14"/>
        <v>74.626499561275921</v>
      </c>
    </row>
    <row r="30" spans="1:26">
      <c r="A30" s="427">
        <f t="shared" si="15"/>
        <v>42555</v>
      </c>
      <c r="B30" s="124">
        <f>'Equipment SCS 7-4-16'!S20</f>
        <v>11.811903674132536</v>
      </c>
      <c r="C30" s="124">
        <f>'Construction Trucks SCS 7-4-16'!U17</f>
        <v>15.458604732848874</v>
      </c>
      <c r="D30" s="124">
        <f>'WorkerTrips SCS 6-27-16'!G92</f>
        <v>0.65505985941567002</v>
      </c>
      <c r="E30" s="428">
        <f t="shared" si="9"/>
        <v>27.925568266397079</v>
      </c>
      <c r="F30" s="124">
        <f t="shared" si="17"/>
        <v>41.225230568590057</v>
      </c>
      <c r="G30" s="124">
        <f t="shared" si="19"/>
        <v>4.3839342939293289</v>
      </c>
      <c r="H30" s="124">
        <f t="shared" si="20"/>
        <v>0.74240117400442607</v>
      </c>
      <c r="I30" s="428">
        <f t="shared" si="22"/>
        <v>46.351566036523813</v>
      </c>
      <c r="J30" s="123"/>
      <c r="K30" s="123"/>
      <c r="L30" s="123"/>
      <c r="M30" s="428">
        <f t="shared" si="11"/>
        <v>0</v>
      </c>
      <c r="N30" s="124"/>
      <c r="O30" s="124"/>
      <c r="P30" s="124"/>
      <c r="Q30" s="428">
        <f t="shared" si="12"/>
        <v>0</v>
      </c>
      <c r="R30" s="124"/>
      <c r="S30" s="124"/>
      <c r="T30" s="124"/>
      <c r="U30" s="428">
        <f t="shared" si="13"/>
        <v>0</v>
      </c>
      <c r="V30" s="428"/>
      <c r="W30" s="428"/>
      <c r="X30" s="428"/>
      <c r="Y30" s="428">
        <f t="shared" si="6"/>
        <v>0</v>
      </c>
      <c r="Z30" s="27">
        <f t="shared" si="14"/>
        <v>74.277134302920899</v>
      </c>
    </row>
    <row r="31" spans="1:26">
      <c r="A31" s="427">
        <f t="shared" si="15"/>
        <v>42562</v>
      </c>
      <c r="B31" s="124">
        <f>'Equipment SCS 7-11-16'!S20</f>
        <v>11.811903674132536</v>
      </c>
      <c r="C31" s="124">
        <f>'Construction Trucks SCS 7-11-16'!U17</f>
        <v>15.458604732848874</v>
      </c>
      <c r="D31" s="124">
        <f>'WorkerTrips SCS 7-11-16'!G91</f>
        <v>0.65505985941567002</v>
      </c>
      <c r="E31" s="428">
        <f t="shared" si="9"/>
        <v>27.925568266397079</v>
      </c>
      <c r="F31" s="124">
        <f t="shared" si="17"/>
        <v>41.225230568590057</v>
      </c>
      <c r="G31" s="124">
        <f t="shared" si="19"/>
        <v>4.3839342939293289</v>
      </c>
      <c r="H31" s="124">
        <f t="shared" si="20"/>
        <v>0.74240117400442607</v>
      </c>
      <c r="I31" s="428">
        <f t="shared" si="22"/>
        <v>46.351566036523813</v>
      </c>
      <c r="J31" s="123"/>
      <c r="K31" s="123"/>
      <c r="L31" s="123"/>
      <c r="M31" s="428">
        <f t="shared" si="11"/>
        <v>0</v>
      </c>
      <c r="N31" s="124"/>
      <c r="O31" s="124"/>
      <c r="P31" s="124"/>
      <c r="Q31" s="428">
        <f t="shared" si="12"/>
        <v>0</v>
      </c>
      <c r="R31" s="124"/>
      <c r="S31" s="124"/>
      <c r="T31" s="124"/>
      <c r="U31" s="428">
        <f t="shared" si="13"/>
        <v>0</v>
      </c>
      <c r="V31" s="428"/>
      <c r="W31" s="428"/>
      <c r="X31" s="428"/>
      <c r="Y31" s="428">
        <f t="shared" si="6"/>
        <v>0</v>
      </c>
      <c r="Z31" s="27">
        <f t="shared" si="14"/>
        <v>74.277134302920899</v>
      </c>
    </row>
    <row r="32" spans="1:26">
      <c r="A32" s="427">
        <f t="shared" si="15"/>
        <v>42569</v>
      </c>
      <c r="B32" s="124">
        <f>'Equipment SCS 7-18-16'!S20</f>
        <v>11.811903674132536</v>
      </c>
      <c r="C32" s="124">
        <f>'Construction Trucks SCS 7-18-16'!U16</f>
        <v>1.4300149922750218</v>
      </c>
      <c r="D32" s="124">
        <f>'WorkerTrips SCS 7-18-16'!G91</f>
        <v>0.65505985941567002</v>
      </c>
      <c r="E32" s="428">
        <f t="shared" si="9"/>
        <v>13.896978525823227</v>
      </c>
      <c r="F32" s="124">
        <f>'Equipment 69kV 7-16-16'!S13</f>
        <v>16.676795097010999</v>
      </c>
      <c r="G32" s="124">
        <f>'Trucks 69kV 7-16-16'!U12</f>
        <v>0.87678685878586582</v>
      </c>
      <c r="H32" s="124">
        <f>'WorkerTrips 69kV 7-16-16'!G89</f>
        <v>0.26202394376626803</v>
      </c>
      <c r="I32" s="428">
        <f t="shared" si="10"/>
        <v>17.815605899563135</v>
      </c>
      <c r="J32" s="123"/>
      <c r="K32" s="123"/>
      <c r="L32" s="123"/>
      <c r="M32" s="428">
        <f t="shared" si="11"/>
        <v>0</v>
      </c>
      <c r="N32" s="124"/>
      <c r="O32" s="124"/>
      <c r="P32" s="124"/>
      <c r="Q32" s="428">
        <f t="shared" si="12"/>
        <v>0</v>
      </c>
      <c r="R32" s="124"/>
      <c r="S32" s="124"/>
      <c r="T32" s="124"/>
      <c r="U32" s="428">
        <f t="shared" si="13"/>
        <v>0</v>
      </c>
      <c r="V32" s="428"/>
      <c r="W32" s="428"/>
      <c r="X32" s="428"/>
      <c r="Y32" s="428">
        <f t="shared" si="6"/>
        <v>0</v>
      </c>
      <c r="Z32" s="27">
        <f t="shared" si="14"/>
        <v>31.71258442538636</v>
      </c>
    </row>
    <row r="33" spans="1:26">
      <c r="A33" s="427">
        <f t="shared" si="15"/>
        <v>42576</v>
      </c>
      <c r="B33" s="124">
        <f>'Equipment SCS 7-25-16'!S19</f>
        <v>11.623224603002214</v>
      </c>
      <c r="C33" s="124">
        <f>'Construction Trucks SCS 7-25-16'!U16</f>
        <v>1.4300149922750218</v>
      </c>
      <c r="D33" s="124">
        <f>'WorkerTrips SCS 7-25-16'!G91</f>
        <v>0.65505985941567002</v>
      </c>
      <c r="E33" s="428">
        <f t="shared" si="9"/>
        <v>13.708299454692906</v>
      </c>
      <c r="F33" s="124">
        <f>'Equipment 69kV 723-827'!S14</f>
        <v>24.487126882414987</v>
      </c>
      <c r="G33" s="124">
        <f>'Trucks 69kV 723-827'!U12</f>
        <v>2.6303605763575972</v>
      </c>
      <c r="H33" s="124">
        <f>'WorkerTrips 69kV 723-827'!G89</f>
        <v>0.26202394376626803</v>
      </c>
      <c r="I33" s="428">
        <f t="shared" si="10"/>
        <v>27.379511402538853</v>
      </c>
      <c r="J33" s="123"/>
      <c r="K33" s="123"/>
      <c r="L33" s="123"/>
      <c r="M33" s="428">
        <f t="shared" si="11"/>
        <v>0</v>
      </c>
      <c r="N33" s="124"/>
      <c r="O33" s="124"/>
      <c r="P33" s="124"/>
      <c r="Q33" s="428">
        <f t="shared" si="12"/>
        <v>0</v>
      </c>
      <c r="R33" s="124"/>
      <c r="S33" s="124"/>
      <c r="T33" s="124"/>
      <c r="U33" s="428">
        <f t="shared" si="13"/>
        <v>0</v>
      </c>
      <c r="V33" s="428"/>
      <c r="W33" s="428"/>
      <c r="X33" s="428"/>
      <c r="Y33" s="428">
        <f t="shared" si="6"/>
        <v>0</v>
      </c>
      <c r="Z33" s="27">
        <f t="shared" si="14"/>
        <v>41.087810857231759</v>
      </c>
    </row>
    <row r="34" spans="1:26">
      <c r="A34" s="427">
        <f t="shared" si="15"/>
        <v>42583</v>
      </c>
      <c r="B34" s="124">
        <f>'Equipment SCS 8-1-16'!S19</f>
        <v>11.623224603002214</v>
      </c>
      <c r="C34" s="124">
        <f>'Construction Trucks SCS 8-1-16'!U16</f>
        <v>1.4300149922750218</v>
      </c>
      <c r="D34" s="124">
        <f>'WorkerTrips SCS 8-1-16'!G91</f>
        <v>0.65505985941567002</v>
      </c>
      <c r="E34" s="428">
        <f t="shared" si="9"/>
        <v>13.708299454692906</v>
      </c>
      <c r="F34" s="124">
        <f>F33</f>
        <v>24.487126882414987</v>
      </c>
      <c r="G34" s="124">
        <f t="shared" ref="G34:H34" si="23">G33</f>
        <v>2.6303605763575972</v>
      </c>
      <c r="H34" s="124">
        <f t="shared" si="23"/>
        <v>0.26202394376626803</v>
      </c>
      <c r="I34" s="428">
        <f t="shared" si="10"/>
        <v>27.379511402538853</v>
      </c>
      <c r="J34" s="123"/>
      <c r="K34" s="123"/>
      <c r="L34" s="123"/>
      <c r="M34" s="428">
        <f t="shared" si="11"/>
        <v>0</v>
      </c>
      <c r="N34" s="124"/>
      <c r="O34" s="124"/>
      <c r="P34" s="124"/>
      <c r="Q34" s="428">
        <f t="shared" si="12"/>
        <v>0</v>
      </c>
      <c r="R34" s="124">
        <f>'Equipment Miguel Sub 8-1-16'!S22</f>
        <v>52.572539182578197</v>
      </c>
      <c r="S34" s="124">
        <f>'Trucks Miguel Sub 8-1-16'!U19</f>
        <v>6.6907361449902165</v>
      </c>
      <c r="T34" s="124">
        <f>'WorkerTrips Miguel Sub 8-1-16'!G91</f>
        <v>0.7860718312988042</v>
      </c>
      <c r="U34" s="428">
        <f t="shared" si="13"/>
        <v>60.049347158867221</v>
      </c>
      <c r="V34" s="428"/>
      <c r="W34" s="428"/>
      <c r="X34" s="428"/>
      <c r="Y34" s="428">
        <f t="shared" si="6"/>
        <v>0</v>
      </c>
      <c r="Z34" s="27">
        <f t="shared" si="14"/>
        <v>101.13715801609898</v>
      </c>
    </row>
    <row r="35" spans="1:26">
      <c r="A35" s="427">
        <f t="shared" si="15"/>
        <v>42590</v>
      </c>
      <c r="B35" s="124">
        <f>'Equipment SCS 8-8-16'!S19</f>
        <v>11.623224603002214</v>
      </c>
      <c r="C35" s="124">
        <f>'Construction Trucks SCS 8-8-16'!U16</f>
        <v>1.4300149922750218</v>
      </c>
      <c r="D35" s="124">
        <f>'WorkerTrips SCS 8-8-16'!G91</f>
        <v>0.65505985941567002</v>
      </c>
      <c r="E35" s="428">
        <f t="shared" si="9"/>
        <v>13.708299454692906</v>
      </c>
      <c r="F35" s="124">
        <f>F34</f>
        <v>24.487126882414987</v>
      </c>
      <c r="G35" s="124">
        <f t="shared" ref="G35:G37" si="24">G34</f>
        <v>2.6303605763575972</v>
      </c>
      <c r="H35" s="124">
        <f t="shared" ref="H35:H37" si="25">H34</f>
        <v>0.26202394376626803</v>
      </c>
      <c r="I35" s="428">
        <f t="shared" si="10"/>
        <v>27.379511402538853</v>
      </c>
      <c r="J35" s="124">
        <f>'Equipment TL6910 8-8-16'!S13</f>
        <v>36.885015908013415</v>
      </c>
      <c r="K35" s="124">
        <f>'Trucks TL6910 8-8-16'!U12</f>
        <v>0.99972644400567834</v>
      </c>
      <c r="L35" s="124">
        <f>'WorkerTrips TL6910 8-8-16'!G89</f>
        <v>0.52404788753253606</v>
      </c>
      <c r="M35" s="428">
        <f t="shared" si="11"/>
        <v>38.408790239551635</v>
      </c>
      <c r="N35" s="124"/>
      <c r="O35" s="124"/>
      <c r="P35" s="124"/>
      <c r="Q35" s="428">
        <f t="shared" si="12"/>
        <v>0</v>
      </c>
      <c r="R35" s="124">
        <f>'Equipment Miguel Sub 8-8-16'!S17</f>
        <v>11.422500433391797</v>
      </c>
      <c r="S35" s="124">
        <f>'Trucks Miguel Sub 8-8-16'!U16</f>
        <v>1.4300149922750218</v>
      </c>
      <c r="T35" s="124">
        <f>'WorkerTrips Miguel Sub 8-8-16'!G91</f>
        <v>0.52404788753253606</v>
      </c>
      <c r="U35" s="428">
        <f t="shared" si="13"/>
        <v>13.376563313199354</v>
      </c>
      <c r="V35" s="428"/>
      <c r="W35" s="428"/>
      <c r="X35" s="428"/>
      <c r="Y35" s="428">
        <f t="shared" si="6"/>
        <v>0</v>
      </c>
      <c r="Z35" s="27">
        <f t="shared" si="14"/>
        <v>92.873164409982749</v>
      </c>
    </row>
    <row r="36" spans="1:26">
      <c r="A36" s="427">
        <f t="shared" si="15"/>
        <v>42597</v>
      </c>
      <c r="B36" s="124">
        <f>'Equipment SCS 8-15-16'!S19</f>
        <v>11.623224603002214</v>
      </c>
      <c r="C36" s="124">
        <f>'Construction Trucks SCS 8-15-16'!U16</f>
        <v>1.4300149922750218</v>
      </c>
      <c r="D36" s="124">
        <f>'WorkerTrips SCS 8-15-16'!G91</f>
        <v>0.65505985941567002</v>
      </c>
      <c r="E36" s="428">
        <f t="shared" si="9"/>
        <v>13.708299454692906</v>
      </c>
      <c r="F36" s="124">
        <f>F35</f>
        <v>24.487126882414987</v>
      </c>
      <c r="G36" s="124">
        <f t="shared" si="24"/>
        <v>2.6303605763575972</v>
      </c>
      <c r="H36" s="124">
        <f t="shared" si="25"/>
        <v>0.26202394376626803</v>
      </c>
      <c r="I36" s="428">
        <f t="shared" si="10"/>
        <v>27.379511402538853</v>
      </c>
      <c r="J36" s="123"/>
      <c r="K36" s="123"/>
      <c r="L36" s="123"/>
      <c r="M36" s="428">
        <f t="shared" si="11"/>
        <v>0</v>
      </c>
      <c r="N36" s="124"/>
      <c r="O36" s="124"/>
      <c r="P36" s="124"/>
      <c r="Q36" s="428">
        <f t="shared" si="12"/>
        <v>0</v>
      </c>
      <c r="R36" s="124">
        <f>'Equipment Miguel Sub 8-15-16'!S16</f>
        <v>6.8660189519103154</v>
      </c>
      <c r="S36" s="124">
        <f>'Trucks Miguel Sub 8-15-16'!U16</f>
        <v>1.4300149922750218</v>
      </c>
      <c r="T36" s="124">
        <f>'WorkerTrips Miguel Sub 8-15-16'!G91</f>
        <v>0.48037723023815809</v>
      </c>
      <c r="U36" s="428">
        <f t="shared" si="13"/>
        <v>8.7764111744234956</v>
      </c>
      <c r="V36" s="428"/>
      <c r="W36" s="428"/>
      <c r="X36" s="428"/>
      <c r="Y36" s="428">
        <f t="shared" si="6"/>
        <v>0</v>
      </c>
      <c r="Z36" s="27">
        <f t="shared" si="14"/>
        <v>49.864222031655252</v>
      </c>
    </row>
    <row r="37" spans="1:26">
      <c r="A37" s="427">
        <f t="shared" si="15"/>
        <v>42604</v>
      </c>
      <c r="B37" s="124">
        <f>'Equipment SCS 8-22-16'!S18</f>
        <v>9.6128398807799904</v>
      </c>
      <c r="C37" s="124">
        <f>'Construction Trucks SCS 8-22-16'!U16</f>
        <v>1.4300149922750218</v>
      </c>
      <c r="D37" s="124">
        <f>'WorkerTrips SCS 8-22-16'!G91</f>
        <v>0.61138920212129211</v>
      </c>
      <c r="E37" s="428">
        <f t="shared" si="9"/>
        <v>11.654244075176305</v>
      </c>
      <c r="F37" s="124">
        <f>F36</f>
        <v>24.487126882414987</v>
      </c>
      <c r="G37" s="124">
        <f t="shared" si="24"/>
        <v>2.6303605763575972</v>
      </c>
      <c r="H37" s="124">
        <f t="shared" si="25"/>
        <v>0.26202394376626803</v>
      </c>
      <c r="I37" s="428">
        <f t="shared" si="10"/>
        <v>27.379511402538853</v>
      </c>
      <c r="J37" s="123"/>
      <c r="K37" s="123"/>
      <c r="L37" s="123"/>
      <c r="M37" s="428">
        <f t="shared" si="11"/>
        <v>0</v>
      </c>
      <c r="N37" s="124"/>
      <c r="O37" s="124"/>
      <c r="P37" s="124"/>
      <c r="Q37" s="428">
        <f t="shared" si="12"/>
        <v>0</v>
      </c>
      <c r="R37" s="124">
        <f>'Equipment Miguel Sub 8-23-16'!S16</f>
        <v>6.8660189519103154</v>
      </c>
      <c r="S37" s="124">
        <f>'Trucks Miguel Sub 8-23-16'!U16</f>
        <v>1.4300149922750218</v>
      </c>
      <c r="T37" s="124">
        <f>'WorkerTrips Miguel Sub 8-23-16'!G91</f>
        <v>0.48037723023815809</v>
      </c>
      <c r="U37" s="428">
        <f t="shared" si="13"/>
        <v>8.7764111744234956</v>
      </c>
      <c r="V37" s="428"/>
      <c r="W37" s="428"/>
      <c r="X37" s="428"/>
      <c r="Y37" s="428">
        <f t="shared" si="6"/>
        <v>0</v>
      </c>
      <c r="Z37" s="27">
        <f t="shared" si="14"/>
        <v>47.810166652138655</v>
      </c>
    </row>
    <row r="38" spans="1:26">
      <c r="A38" s="427">
        <f t="shared" si="15"/>
        <v>42611</v>
      </c>
      <c r="B38" s="124">
        <f>'Equipment SCS 8-29-16'!S18</f>
        <v>9.6128398807799904</v>
      </c>
      <c r="C38" s="124">
        <f>'Construction Trucks SCS 8-29-16'!U16</f>
        <v>1.4300149922750218</v>
      </c>
      <c r="D38" s="124">
        <f>'WorkerTrips SCS 8-29-16'!G91</f>
        <v>0.5677185448269142</v>
      </c>
      <c r="E38" s="428">
        <f t="shared" si="9"/>
        <v>11.610573417881925</v>
      </c>
      <c r="F38" s="124">
        <f>'Equipment 69kV 827-1119'!S13</f>
        <v>34.384392309854</v>
      </c>
      <c r="G38" s="124">
        <f>'Trucks 69kV 827-1119'!U13</f>
        <v>0.24587917043962487</v>
      </c>
      <c r="H38" s="124">
        <f>'WorkerTrips 69kV 827-1119'!G88</f>
        <v>0.7860718312988042</v>
      </c>
      <c r="I38" s="428">
        <f t="shared" si="10"/>
        <v>35.416343311592428</v>
      </c>
      <c r="J38" s="123"/>
      <c r="K38" s="123"/>
      <c r="L38" s="123"/>
      <c r="M38" s="428">
        <f t="shared" si="11"/>
        <v>0</v>
      </c>
      <c r="N38" s="124"/>
      <c r="O38" s="124"/>
      <c r="P38" s="124"/>
      <c r="Q38" s="428">
        <f t="shared" si="12"/>
        <v>0</v>
      </c>
      <c r="R38" s="124">
        <f>'Equipment Miguel Sub 8-30-16'!S20</f>
        <v>11.404796154927002</v>
      </c>
      <c r="S38" s="124">
        <f>'Trucks Miguel Sub 8-30-16'!U16</f>
        <v>1.2456056144453032</v>
      </c>
      <c r="T38" s="124">
        <f>'WorkerTrips Miguel Sub 8-30-16'!G91</f>
        <v>0.48037723023815809</v>
      </c>
      <c r="U38" s="428">
        <f t="shared" si="13"/>
        <v>13.130778999610463</v>
      </c>
      <c r="V38" s="428"/>
      <c r="W38" s="428"/>
      <c r="X38" s="428"/>
      <c r="Y38" s="428">
        <f t="shared" si="6"/>
        <v>0</v>
      </c>
      <c r="Z38" s="27">
        <f t="shared" si="14"/>
        <v>60.157695729084814</v>
      </c>
    </row>
    <row r="39" spans="1:26">
      <c r="A39" s="427">
        <f t="shared" si="15"/>
        <v>42618</v>
      </c>
      <c r="B39" s="124">
        <f>'Equipment SCS 9-5-16'!S19</f>
        <v>12.293352843742955</v>
      </c>
      <c r="C39" s="124">
        <f>'Construction Trucks SCS 9-5-16'!U16</f>
        <v>1.4300149922750218</v>
      </c>
      <c r="D39" s="124">
        <f>'WorkerTrips SCS 9-5-16'!G91</f>
        <v>0.5677185448269142</v>
      </c>
      <c r="E39" s="428">
        <f t="shared" si="9"/>
        <v>14.29108638084489</v>
      </c>
      <c r="F39" s="124">
        <f t="shared" ref="F39:F49" si="26">F38</f>
        <v>34.384392309854</v>
      </c>
      <c r="G39" s="124">
        <f t="shared" ref="G39:G49" si="27">G38</f>
        <v>0.24587917043962487</v>
      </c>
      <c r="H39" s="124">
        <f t="shared" ref="H39:H49" si="28">H38</f>
        <v>0.7860718312988042</v>
      </c>
      <c r="I39" s="428">
        <f t="shared" si="10"/>
        <v>35.416343311592428</v>
      </c>
      <c r="J39" s="123"/>
      <c r="K39" s="123"/>
      <c r="L39" s="123"/>
      <c r="M39" s="428">
        <f t="shared" si="11"/>
        <v>0</v>
      </c>
      <c r="N39" s="124"/>
      <c r="O39" s="124"/>
      <c r="P39" s="124"/>
      <c r="Q39" s="428">
        <f t="shared" si="12"/>
        <v>0</v>
      </c>
      <c r="R39" s="124">
        <f>'Equipment Miguel Sub 9-5-16'!S18</f>
        <v>9.6691668692816712</v>
      </c>
      <c r="S39" s="124">
        <f>'Trucks Miguel Sub 9-5-16'!U16</f>
        <v>1.2456056144453032</v>
      </c>
      <c r="T39" s="124">
        <f>'WorkerTrips Miguel Sub 9-5-16'!G91</f>
        <v>0.43670657294378007</v>
      </c>
      <c r="U39" s="428">
        <f t="shared" si="13"/>
        <v>11.351479056670755</v>
      </c>
      <c r="V39" s="428"/>
      <c r="W39" s="428"/>
      <c r="X39" s="428"/>
      <c r="Y39" s="428">
        <f t="shared" si="6"/>
        <v>0</v>
      </c>
      <c r="Z39" s="27">
        <f t="shared" si="14"/>
        <v>61.05890874910807</v>
      </c>
    </row>
    <row r="40" spans="1:26">
      <c r="A40" s="427">
        <f t="shared" si="15"/>
        <v>42625</v>
      </c>
      <c r="B40" s="124">
        <f>'Equipment SCS 9-12-16'!S24</f>
        <v>26.178387128905602</v>
      </c>
      <c r="C40" s="124">
        <f>'Construction Trucks SCS 9-12-16'!U20</f>
        <v>1.6144243701047405</v>
      </c>
      <c r="D40" s="124">
        <f>'WorkerTrips SCS 9-12-16'!G93</f>
        <v>0.7860718312988042</v>
      </c>
      <c r="E40" s="428">
        <f t="shared" si="9"/>
        <v>28.578883330309147</v>
      </c>
      <c r="F40" s="124">
        <f t="shared" si="26"/>
        <v>34.384392309854</v>
      </c>
      <c r="G40" s="124">
        <f t="shared" si="27"/>
        <v>0.24587917043962487</v>
      </c>
      <c r="H40" s="124">
        <f t="shared" si="28"/>
        <v>0.7860718312988042</v>
      </c>
      <c r="I40" s="428">
        <f t="shared" si="10"/>
        <v>35.416343311592428</v>
      </c>
      <c r="J40" s="123"/>
      <c r="K40" s="123"/>
      <c r="L40" s="123"/>
      <c r="M40" s="428">
        <f t="shared" si="11"/>
        <v>0</v>
      </c>
      <c r="N40" s="124"/>
      <c r="O40" s="124"/>
      <c r="P40" s="124"/>
      <c r="Q40" s="428">
        <f t="shared" si="12"/>
        <v>0</v>
      </c>
      <c r="R40" s="124">
        <f>'Equipment Miguel Sub 9-12-16'!S16</f>
        <v>6.551228941661031</v>
      </c>
      <c r="S40" s="124">
        <f>'Trucks Miguel Sub 9-12-16'!U16</f>
        <v>1.2456056144453032</v>
      </c>
      <c r="T40" s="124">
        <f>'WorkerTrips Miguel Sub 9-12-16'!G91</f>
        <v>0.39303591564940205</v>
      </c>
      <c r="U40" s="428">
        <f t="shared" si="13"/>
        <v>8.1898704717557358</v>
      </c>
      <c r="V40" s="428"/>
      <c r="W40" s="428"/>
      <c r="X40" s="428"/>
      <c r="Y40" s="428">
        <f t="shared" si="6"/>
        <v>0</v>
      </c>
      <c r="Z40" s="27">
        <f t="shared" si="14"/>
        <v>72.185097113657307</v>
      </c>
    </row>
    <row r="41" spans="1:26">
      <c r="A41" s="427">
        <f t="shared" si="15"/>
        <v>42632</v>
      </c>
      <c r="B41" s="124">
        <f>'Equipment SCS 9-19-16'!S24</f>
        <v>26.178387128905602</v>
      </c>
      <c r="C41" s="124">
        <f>'Construction Trucks SCS 9-19-16'!U20</f>
        <v>1.6144243701047405</v>
      </c>
      <c r="D41" s="124">
        <f>'WorkerTrips SCS 9-19-16'!G93</f>
        <v>0.7860718312988042</v>
      </c>
      <c r="E41" s="428">
        <f t="shared" si="9"/>
        <v>28.578883330309147</v>
      </c>
      <c r="F41" s="124">
        <f t="shared" si="26"/>
        <v>34.384392309854</v>
      </c>
      <c r="G41" s="124">
        <f t="shared" si="27"/>
        <v>0.24587917043962487</v>
      </c>
      <c r="H41" s="124">
        <f t="shared" si="28"/>
        <v>0.7860718312988042</v>
      </c>
      <c r="I41" s="428">
        <f t="shared" si="10"/>
        <v>35.416343311592428</v>
      </c>
      <c r="J41" s="123"/>
      <c r="K41" s="123"/>
      <c r="L41" s="123"/>
      <c r="M41" s="428">
        <f t="shared" si="11"/>
        <v>0</v>
      </c>
      <c r="N41" s="124">
        <f>'Equipment 12kV Dist 920-129'!S21</f>
        <v>61.938878002045684</v>
      </c>
      <c r="O41" s="124">
        <f>'Trucks 12kV Dist 920-129'!U12</f>
        <v>4.5068738791491416</v>
      </c>
      <c r="P41" s="124">
        <f>'WorkerTrips 12kV Dist 920-129'!G89</f>
        <v>1.4848023480088521</v>
      </c>
      <c r="Q41" s="428">
        <f t="shared" si="12"/>
        <v>67.930554229203679</v>
      </c>
      <c r="R41" s="124">
        <f>'Equipment Miguel Sub 9-19-16'!S16</f>
        <v>6.551228941661031</v>
      </c>
      <c r="S41" s="124">
        <f>'Trucks Miguel Sub 9-19-16'!U16</f>
        <v>1.2456056144453032</v>
      </c>
      <c r="T41" s="124">
        <f>'WorkerTrips Miguel Sub 9-19-16'!G91</f>
        <v>0.39303591564940205</v>
      </c>
      <c r="U41" s="428">
        <f t="shared" si="13"/>
        <v>8.1898704717557358</v>
      </c>
      <c r="V41" s="428"/>
      <c r="W41" s="428"/>
      <c r="X41" s="428"/>
      <c r="Y41" s="428">
        <f t="shared" si="6"/>
        <v>0</v>
      </c>
      <c r="Z41" s="27">
        <f t="shared" si="14"/>
        <v>140.11565134286099</v>
      </c>
    </row>
    <row r="42" spans="1:26">
      <c r="A42" s="427">
        <f t="shared" si="15"/>
        <v>42639</v>
      </c>
      <c r="B42" s="124">
        <f>'Equipment SCS 9-26-16'!S24</f>
        <v>26.178387128905602</v>
      </c>
      <c r="C42" s="124">
        <f>'Construction Trucks SCS 9-26-16'!U20</f>
        <v>1.6144243701047405</v>
      </c>
      <c r="D42" s="124">
        <f>'WorkerTrips SCS 9-26-16'!G93</f>
        <v>0.7860718312988042</v>
      </c>
      <c r="E42" s="428">
        <f t="shared" si="9"/>
        <v>28.578883330309147</v>
      </c>
      <c r="F42" s="124">
        <f t="shared" si="26"/>
        <v>34.384392309854</v>
      </c>
      <c r="G42" s="124">
        <f t="shared" si="27"/>
        <v>0.24587917043962487</v>
      </c>
      <c r="H42" s="124">
        <f t="shared" si="28"/>
        <v>0.7860718312988042</v>
      </c>
      <c r="I42" s="428">
        <f t="shared" si="10"/>
        <v>35.416343311592428</v>
      </c>
      <c r="J42" s="123"/>
      <c r="K42" s="123"/>
      <c r="L42" s="123"/>
      <c r="M42" s="428">
        <f t="shared" si="11"/>
        <v>0</v>
      </c>
      <c r="N42" s="124">
        <f>N41</f>
        <v>61.938878002045684</v>
      </c>
      <c r="O42" s="124">
        <f>O41</f>
        <v>4.5068738791491416</v>
      </c>
      <c r="P42" s="124">
        <f>P41</f>
        <v>1.4848023480088521</v>
      </c>
      <c r="Q42" s="428">
        <f t="shared" si="12"/>
        <v>67.930554229203679</v>
      </c>
      <c r="R42" s="124">
        <f>'Equipment Miguel Sub 9-26-16'!S20</f>
        <v>8.2868582273063609</v>
      </c>
      <c r="S42" s="124">
        <f>'Trucks Miguel Sub 9-26-16'!U20</f>
        <v>2.122392473231169</v>
      </c>
      <c r="T42" s="124">
        <f>'WorkerTrips Miguel Sub 9-26-16'!G93</f>
        <v>0.39303591564940205</v>
      </c>
      <c r="U42" s="428">
        <f t="shared" si="13"/>
        <v>10.802286616186933</v>
      </c>
      <c r="V42" s="428"/>
      <c r="W42" s="428"/>
      <c r="X42" s="428"/>
      <c r="Y42" s="428">
        <f t="shared" si="6"/>
        <v>0</v>
      </c>
      <c r="Z42" s="27">
        <f t="shared" si="14"/>
        <v>142.72806748729218</v>
      </c>
    </row>
    <row r="43" spans="1:26">
      <c r="A43" s="427">
        <f t="shared" si="15"/>
        <v>42646</v>
      </c>
      <c r="B43" s="124">
        <f>'Equipment SCS 10-3-16'!S23</f>
        <v>23.497874165942637</v>
      </c>
      <c r="C43" s="124">
        <f>'Construction Trucks SCS 10-3-16'!U20</f>
        <v>1.6144243701047405</v>
      </c>
      <c r="D43" s="124">
        <f>'WorkerTrips SCS 10-3-16'!G93</f>
        <v>0.7860718312988042</v>
      </c>
      <c r="E43" s="428">
        <f t="shared" si="9"/>
        <v>25.898370367346182</v>
      </c>
      <c r="F43" s="124">
        <f t="shared" si="26"/>
        <v>34.384392309854</v>
      </c>
      <c r="G43" s="124">
        <f t="shared" si="27"/>
        <v>0.24587917043962487</v>
      </c>
      <c r="H43" s="124">
        <f t="shared" si="28"/>
        <v>0.7860718312988042</v>
      </c>
      <c r="I43" s="428">
        <f t="shared" si="10"/>
        <v>35.416343311592428</v>
      </c>
      <c r="J43" s="123"/>
      <c r="K43" s="123"/>
      <c r="L43" s="123"/>
      <c r="M43" s="428">
        <f t="shared" si="11"/>
        <v>0</v>
      </c>
      <c r="N43" s="124">
        <f t="shared" ref="N43:N60" si="29">N42</f>
        <v>61.938878002045684</v>
      </c>
      <c r="O43" s="124">
        <f t="shared" ref="O43:O60" si="30">O42</f>
        <v>4.5068738791491416</v>
      </c>
      <c r="P43" s="124">
        <f t="shared" ref="P43:P60" si="31">P42</f>
        <v>1.4848023480088521</v>
      </c>
      <c r="Q43" s="428">
        <f t="shared" si="12"/>
        <v>67.930554229203679</v>
      </c>
      <c r="R43" s="124">
        <f>'Equipment Miguel Sub 10-3-16'!S12</f>
        <v>1.7356292856453308</v>
      </c>
      <c r="S43" s="124">
        <f>'Trucks Miguel Sub 10-3-16'!U16</f>
        <v>1.2456056144453032</v>
      </c>
      <c r="T43" s="124">
        <f>'WorkerTrips Miguel Sub 10-3-16'!G91</f>
        <v>0.26202394376626803</v>
      </c>
      <c r="U43" s="428">
        <f t="shared" si="13"/>
        <v>3.2432588438569017</v>
      </c>
      <c r="V43" s="428"/>
      <c r="W43" s="428"/>
      <c r="X43" s="428"/>
      <c r="Y43" s="428">
        <f t="shared" si="6"/>
        <v>0</v>
      </c>
      <c r="Z43" s="27">
        <f t="shared" si="14"/>
        <v>132.48852675199919</v>
      </c>
    </row>
    <row r="44" spans="1:26">
      <c r="A44" s="427">
        <f t="shared" si="15"/>
        <v>42653</v>
      </c>
      <c r="B44" s="124">
        <f>'Equipment SCS 10-10-16'!S23</f>
        <v>23.497874165942637</v>
      </c>
      <c r="C44" s="124">
        <f>'Construction Truck SCS 10-10-16'!U20</f>
        <v>1.6144243701047405</v>
      </c>
      <c r="D44" s="124">
        <f>'WorkerTrips SCS 10-10-16'!G93</f>
        <v>0.7860718312988042</v>
      </c>
      <c r="E44" s="428">
        <f t="shared" si="9"/>
        <v>25.898370367346182</v>
      </c>
      <c r="F44" s="124">
        <f t="shared" si="26"/>
        <v>34.384392309854</v>
      </c>
      <c r="G44" s="124">
        <f t="shared" si="27"/>
        <v>0.24587917043962487</v>
      </c>
      <c r="H44" s="124">
        <f t="shared" si="28"/>
        <v>0.7860718312988042</v>
      </c>
      <c r="I44" s="428">
        <f t="shared" si="10"/>
        <v>35.416343311592428</v>
      </c>
      <c r="J44" s="123"/>
      <c r="K44" s="123"/>
      <c r="L44" s="123"/>
      <c r="M44" s="428">
        <f t="shared" si="11"/>
        <v>0</v>
      </c>
      <c r="N44" s="124">
        <f t="shared" si="29"/>
        <v>61.938878002045684</v>
      </c>
      <c r="O44" s="124">
        <f t="shared" si="30"/>
        <v>4.5068738791491416</v>
      </c>
      <c r="P44" s="124">
        <f t="shared" si="31"/>
        <v>1.4848023480088521</v>
      </c>
      <c r="Q44" s="428">
        <f t="shared" si="12"/>
        <v>67.930554229203679</v>
      </c>
      <c r="R44" s="124">
        <f>'Equipment Miguel Sub 10-10-16'!S12</f>
        <v>1.7356292856453308</v>
      </c>
      <c r="S44" s="124">
        <f>'Trucks Miguel Sub 10-10-16'!U16</f>
        <v>1.2456056144453032</v>
      </c>
      <c r="T44" s="124">
        <f>'WorkerTrips Miguel Sub 10-10-16'!G91</f>
        <v>0.26202394376626803</v>
      </c>
      <c r="U44" s="428">
        <f t="shared" si="13"/>
        <v>3.2432588438569017</v>
      </c>
      <c r="V44" s="428"/>
      <c r="W44" s="428"/>
      <c r="X44" s="428"/>
      <c r="Y44" s="428">
        <f t="shared" si="6"/>
        <v>0</v>
      </c>
      <c r="Z44" s="27">
        <f t="shared" si="14"/>
        <v>132.48852675199919</v>
      </c>
    </row>
    <row r="45" spans="1:26">
      <c r="A45" s="427">
        <f t="shared" si="15"/>
        <v>42660</v>
      </c>
      <c r="B45" s="124">
        <f>'Equipment SCS 10-17-16'!S24</f>
        <v>31.082638222104208</v>
      </c>
      <c r="C45" s="124">
        <f>'Construction Truck SCS 10-17-16'!U21</f>
        <v>2.4912112288906063</v>
      </c>
      <c r="D45" s="124">
        <f>'WorkerTrips SCS 10-17-16'!G93</f>
        <v>0.91708380318193827</v>
      </c>
      <c r="E45" s="428">
        <f t="shared" si="9"/>
        <v>34.490933254176753</v>
      </c>
      <c r="F45" s="124">
        <f t="shared" si="26"/>
        <v>34.384392309854</v>
      </c>
      <c r="G45" s="124">
        <f t="shared" si="27"/>
        <v>0.24587917043962487</v>
      </c>
      <c r="H45" s="124">
        <f t="shared" si="28"/>
        <v>0.7860718312988042</v>
      </c>
      <c r="I45" s="428">
        <f t="shared" si="10"/>
        <v>35.416343311592428</v>
      </c>
      <c r="J45" s="123"/>
      <c r="K45" s="123"/>
      <c r="L45" s="123"/>
      <c r="M45" s="428">
        <f t="shared" si="11"/>
        <v>0</v>
      </c>
      <c r="N45" s="124">
        <f t="shared" si="29"/>
        <v>61.938878002045684</v>
      </c>
      <c r="O45" s="124">
        <f t="shared" si="30"/>
        <v>4.5068738791491416</v>
      </c>
      <c r="P45" s="124">
        <f t="shared" si="31"/>
        <v>1.4848023480088521</v>
      </c>
      <c r="Q45" s="428">
        <f t="shared" si="12"/>
        <v>67.930554229203679</v>
      </c>
      <c r="R45" s="124">
        <f>'Equipment Miguel Sub 10-17-16'!S12</f>
        <v>1.7356292856453308</v>
      </c>
      <c r="S45" s="124">
        <f>'Trucks Miguel Sub 10-17-16'!U16</f>
        <v>1.2456056144453032</v>
      </c>
      <c r="T45" s="124">
        <f>'WorkerTrips Miguel Sub 10-17-16'!G91</f>
        <v>0.26202394376626803</v>
      </c>
      <c r="U45" s="428">
        <f t="shared" si="13"/>
        <v>3.2432588438569017</v>
      </c>
      <c r="V45" s="428"/>
      <c r="W45" s="428"/>
      <c r="X45" s="428"/>
      <c r="Y45" s="428">
        <f t="shared" si="6"/>
        <v>0</v>
      </c>
      <c r="Z45" s="27">
        <f t="shared" si="14"/>
        <v>141.08108963882975</v>
      </c>
    </row>
    <row r="46" spans="1:26">
      <c r="A46" s="427">
        <f t="shared" si="15"/>
        <v>42667</v>
      </c>
      <c r="B46" s="124">
        <f>'Equipment SCS 10-24-16'!S24</f>
        <v>31.082638222104208</v>
      </c>
      <c r="C46" s="124">
        <f>'Construction Truck SCS 10-24-16'!U20</f>
        <v>1.6144243701047405</v>
      </c>
      <c r="D46" s="124">
        <f>'WorkerTrips SCS 10-24-16'!G93</f>
        <v>0.9607544604763163</v>
      </c>
      <c r="E46" s="428">
        <f t="shared" si="9"/>
        <v>33.657817052685267</v>
      </c>
      <c r="F46" s="124">
        <f t="shared" si="26"/>
        <v>34.384392309854</v>
      </c>
      <c r="G46" s="124">
        <f t="shared" si="27"/>
        <v>0.24587917043962487</v>
      </c>
      <c r="H46" s="124">
        <f t="shared" si="28"/>
        <v>0.7860718312988042</v>
      </c>
      <c r="I46" s="428">
        <f t="shared" si="10"/>
        <v>35.416343311592428</v>
      </c>
      <c r="J46" s="123"/>
      <c r="K46" s="123"/>
      <c r="L46" s="123"/>
      <c r="M46" s="428">
        <f t="shared" si="11"/>
        <v>0</v>
      </c>
      <c r="N46" s="124">
        <f t="shared" si="29"/>
        <v>61.938878002045684</v>
      </c>
      <c r="O46" s="124">
        <f t="shared" si="30"/>
        <v>4.5068738791491416</v>
      </c>
      <c r="P46" s="124">
        <f t="shared" si="31"/>
        <v>1.4848023480088521</v>
      </c>
      <c r="Q46" s="428">
        <f t="shared" ref="Q46:Q48" si="32">SUM(N46:P46)</f>
        <v>67.930554229203679</v>
      </c>
      <c r="R46" s="124">
        <f>'Equipment Miguel Sub 10-24-16'!S9</f>
        <v>0</v>
      </c>
      <c r="S46" s="124">
        <f>'Trucks Miguel Sub 10-24-16'!U13</f>
        <v>1.0611962366155845</v>
      </c>
      <c r="T46" s="124">
        <f>'WorkerTrips Miguel Sub 10-24-16'!G89</f>
        <v>0.13101197188313402</v>
      </c>
      <c r="U46" s="428">
        <f t="shared" si="13"/>
        <v>1.1922082084987184</v>
      </c>
      <c r="V46" s="428"/>
      <c r="W46" s="428"/>
      <c r="X46" s="428"/>
      <c r="Y46" s="428">
        <f t="shared" si="6"/>
        <v>0</v>
      </c>
      <c r="Z46" s="27">
        <f t="shared" si="14"/>
        <v>138.19692280198009</v>
      </c>
    </row>
    <row r="47" spans="1:26">
      <c r="A47" s="427">
        <f t="shared" si="15"/>
        <v>42674</v>
      </c>
      <c r="B47" s="124">
        <f>'Equipment SCS 10-31-16'!S24</f>
        <v>24.140121079522885</v>
      </c>
      <c r="C47" s="124">
        <f>'Construction Truck SCS 10-31-16'!U20</f>
        <v>1.6144243701047405</v>
      </c>
      <c r="D47" s="124">
        <f>'WorkerTrips SCS 10-31-16'!G93</f>
        <v>0.91708380318193827</v>
      </c>
      <c r="E47" s="428">
        <f t="shared" si="9"/>
        <v>26.671629252809563</v>
      </c>
      <c r="F47" s="124">
        <f t="shared" si="26"/>
        <v>34.384392309854</v>
      </c>
      <c r="G47" s="124">
        <f t="shared" si="27"/>
        <v>0.24587917043962487</v>
      </c>
      <c r="H47" s="124">
        <f t="shared" si="28"/>
        <v>0.7860718312988042</v>
      </c>
      <c r="I47" s="428">
        <f t="shared" si="10"/>
        <v>35.416343311592428</v>
      </c>
      <c r="J47" s="123"/>
      <c r="K47" s="123"/>
      <c r="L47" s="123"/>
      <c r="M47" s="428">
        <f t="shared" si="11"/>
        <v>0</v>
      </c>
      <c r="N47" s="124">
        <f t="shared" si="29"/>
        <v>61.938878002045684</v>
      </c>
      <c r="O47" s="124">
        <f t="shared" si="30"/>
        <v>4.5068738791491416</v>
      </c>
      <c r="P47" s="124">
        <f t="shared" si="31"/>
        <v>1.4848023480088521</v>
      </c>
      <c r="Q47" s="428">
        <f t="shared" si="32"/>
        <v>67.930554229203679</v>
      </c>
      <c r="R47" s="124">
        <f>'Equipment Miguel Sub 10-31-16'!S9</f>
        <v>0</v>
      </c>
      <c r="S47" s="124">
        <f>'Trucks Miguel Sub 10-31-16'!U13</f>
        <v>1.0611962366155845</v>
      </c>
      <c r="T47" s="124">
        <f>'WorkerTrips Miguel Sub 10-31-16'!G89</f>
        <v>0.13101197188313402</v>
      </c>
      <c r="U47" s="428">
        <f t="shared" si="13"/>
        <v>1.1922082084987184</v>
      </c>
      <c r="V47" s="428"/>
      <c r="W47" s="428"/>
      <c r="X47" s="428"/>
      <c r="Y47" s="428">
        <f t="shared" si="6"/>
        <v>0</v>
      </c>
      <c r="Z47" s="27">
        <f t="shared" si="14"/>
        <v>131.2107350021044</v>
      </c>
    </row>
    <row r="48" spans="1:26">
      <c r="A48" s="427">
        <f t="shared" si="15"/>
        <v>42681</v>
      </c>
      <c r="B48" s="124">
        <f>'Equipment SCS 11-7-16'!S24</f>
        <v>24.140121079522885</v>
      </c>
      <c r="C48" s="124">
        <f>'Construction Truck SCS 11-7-16'!U20</f>
        <v>1.6144243701047405</v>
      </c>
      <c r="D48" s="124">
        <f>'WorkerTrips SCS 11-7-16'!G93</f>
        <v>0.91708380318193827</v>
      </c>
      <c r="E48" s="428">
        <f t="shared" si="9"/>
        <v>26.671629252809563</v>
      </c>
      <c r="F48" s="124">
        <f t="shared" si="26"/>
        <v>34.384392309854</v>
      </c>
      <c r="G48" s="124">
        <f t="shared" si="27"/>
        <v>0.24587917043962487</v>
      </c>
      <c r="H48" s="124">
        <f t="shared" si="28"/>
        <v>0.7860718312988042</v>
      </c>
      <c r="I48" s="428">
        <f t="shared" si="10"/>
        <v>35.416343311592428</v>
      </c>
      <c r="J48" s="123"/>
      <c r="K48" s="123"/>
      <c r="L48" s="123"/>
      <c r="M48" s="428">
        <f t="shared" si="11"/>
        <v>0</v>
      </c>
      <c r="N48" s="124">
        <f t="shared" si="29"/>
        <v>61.938878002045684</v>
      </c>
      <c r="O48" s="124">
        <f t="shared" si="30"/>
        <v>4.5068738791491416</v>
      </c>
      <c r="P48" s="124">
        <f t="shared" si="31"/>
        <v>1.4848023480088521</v>
      </c>
      <c r="Q48" s="428">
        <f t="shared" si="32"/>
        <v>67.930554229203679</v>
      </c>
      <c r="R48" s="124">
        <f>'Equipment Miguel Sub 11-7-16'!S9</f>
        <v>0</v>
      </c>
      <c r="S48" s="124">
        <f>'Trucks Miguel Sub 11-7-16'!U13</f>
        <v>1.0611962366155845</v>
      </c>
      <c r="T48" s="124">
        <f>'WorkerTrips Miguel Sub 11-7-16'!G89</f>
        <v>0.13101197188313402</v>
      </c>
      <c r="U48" s="428">
        <f t="shared" si="13"/>
        <v>1.1922082084987184</v>
      </c>
      <c r="V48" s="428"/>
      <c r="W48" s="428"/>
      <c r="X48" s="428"/>
      <c r="Y48" s="428">
        <f t="shared" si="6"/>
        <v>0</v>
      </c>
      <c r="Z48" s="27">
        <f t="shared" si="14"/>
        <v>131.2107350021044</v>
      </c>
    </row>
    <row r="49" spans="1:26">
      <c r="A49" s="427">
        <f t="shared" si="15"/>
        <v>42688</v>
      </c>
      <c r="B49" s="124">
        <f>'Equipment SCS 11-14-16'!S21</f>
        <v>20.041720016947135</v>
      </c>
      <c r="C49" s="124">
        <f>'Construction Truck SCS 11-14-16'!U21</f>
        <v>3.1835887098467532</v>
      </c>
      <c r="D49" s="124">
        <f>'WorkerTrips SCS 11-14-16'!G93</f>
        <v>0.52404788753253606</v>
      </c>
      <c r="E49" s="428">
        <f t="shared" si="9"/>
        <v>23.749356614326423</v>
      </c>
      <c r="F49" s="124">
        <f t="shared" si="26"/>
        <v>34.384392309854</v>
      </c>
      <c r="G49" s="124">
        <f t="shared" si="27"/>
        <v>0.24587917043962487</v>
      </c>
      <c r="H49" s="124">
        <f t="shared" si="28"/>
        <v>0.7860718312988042</v>
      </c>
      <c r="I49" s="428">
        <f t="shared" si="10"/>
        <v>35.416343311592428</v>
      </c>
      <c r="J49" s="123"/>
      <c r="K49" s="123"/>
      <c r="L49" s="123"/>
      <c r="M49" s="428">
        <f t="shared" si="11"/>
        <v>0</v>
      </c>
      <c r="N49" s="124">
        <f t="shared" si="29"/>
        <v>61.938878002045684</v>
      </c>
      <c r="O49" s="124">
        <f t="shared" si="30"/>
        <v>4.5068738791491416</v>
      </c>
      <c r="P49" s="124">
        <f t="shared" si="31"/>
        <v>1.4848023480088521</v>
      </c>
      <c r="Q49" s="428">
        <f t="shared" si="12"/>
        <v>67.930554229203679</v>
      </c>
      <c r="R49" s="124">
        <f>'Equipment Miguel Sub 11-14-16'!S9</f>
        <v>0</v>
      </c>
      <c r="S49" s="124">
        <f>'Trucks Miguel Sub 11-14-16'!U13</f>
        <v>1.0611962366155845</v>
      </c>
      <c r="T49" s="124">
        <f>'WorkerTrips Miguel Sub 11-14-16'!G89</f>
        <v>0.13101197188313402</v>
      </c>
      <c r="U49" s="428">
        <f t="shared" si="13"/>
        <v>1.1922082084987184</v>
      </c>
      <c r="V49" s="428"/>
      <c r="W49" s="428"/>
      <c r="X49" s="428"/>
      <c r="Y49" s="428">
        <f t="shared" si="6"/>
        <v>0</v>
      </c>
      <c r="Z49" s="27">
        <f t="shared" si="14"/>
        <v>128.28846236362125</v>
      </c>
    </row>
    <row r="50" spans="1:26">
      <c r="A50" s="427">
        <f t="shared" si="15"/>
        <v>42695</v>
      </c>
      <c r="B50" s="124">
        <f>'Equipment SCS 11-21-16'!S23</f>
        <v>40.113017711467542</v>
      </c>
      <c r="C50" s="124">
        <f>'Construction Truck SCS 11-21-16'!U21</f>
        <v>3.1835887098467532</v>
      </c>
      <c r="D50" s="124">
        <f>'WorkerTrips SCS 11-21-16'!G93</f>
        <v>0.52404788753253606</v>
      </c>
      <c r="E50" s="428">
        <f t="shared" si="9"/>
        <v>43.820654308846834</v>
      </c>
      <c r="F50" s="124">
        <f>'Equipment 69kV 11-19-16'!S15+'Equipment 69kV 11-19-16'!E36</f>
        <v>53.46146285882849</v>
      </c>
      <c r="G50" s="124">
        <f>'Trucks 69kV 11-19-16'!U12</f>
        <v>2.6303605763575972</v>
      </c>
      <c r="H50" s="124">
        <f>'WorkerTrips 69kV 11-19-16'!G89</f>
        <v>1.0480957750650721</v>
      </c>
      <c r="I50" s="428">
        <f t="shared" si="10"/>
        <v>57.139919210251158</v>
      </c>
      <c r="J50" s="123"/>
      <c r="K50" s="123"/>
      <c r="L50" s="123"/>
      <c r="M50" s="428">
        <f t="shared" si="11"/>
        <v>0</v>
      </c>
      <c r="N50" s="124">
        <f t="shared" si="29"/>
        <v>61.938878002045684</v>
      </c>
      <c r="O50" s="124">
        <f t="shared" si="30"/>
        <v>4.5068738791491416</v>
      </c>
      <c r="P50" s="124">
        <f t="shared" si="31"/>
        <v>1.4848023480088521</v>
      </c>
      <c r="Q50" s="428">
        <f t="shared" si="12"/>
        <v>67.930554229203679</v>
      </c>
      <c r="R50" s="124">
        <f>'Equipment Miguel Sub 11-21-16'!S9</f>
        <v>0</v>
      </c>
      <c r="S50" s="124">
        <f>'Trucks Miguel Sub 11-21-16'!U13</f>
        <v>1.0611962366155845</v>
      </c>
      <c r="T50" s="124">
        <f>'WorkerTrips Miguel Sub 11-21-16'!G89</f>
        <v>0.13101197188313402</v>
      </c>
      <c r="U50" s="428">
        <f t="shared" si="13"/>
        <v>1.1922082084987184</v>
      </c>
      <c r="V50" s="428"/>
      <c r="W50" s="428"/>
      <c r="X50" s="428"/>
      <c r="Y50" s="428">
        <f t="shared" si="6"/>
        <v>0</v>
      </c>
      <c r="Z50" s="27">
        <f t="shared" si="14"/>
        <v>170.0833359568004</v>
      </c>
    </row>
    <row r="51" spans="1:26">
      <c r="A51" s="427">
        <f t="shared" si="15"/>
        <v>42702</v>
      </c>
      <c r="B51" s="124">
        <f>'Equipment SCS 11-28-16'!S21</f>
        <v>20.041720016947135</v>
      </c>
      <c r="C51" s="124">
        <f>'Construction Truck SCS 11-28-16'!U20</f>
        <v>2.3068018510608876</v>
      </c>
      <c r="D51" s="124">
        <f>'WorkerTrips SCS 11-28-16'!G93</f>
        <v>0.3930359156494021</v>
      </c>
      <c r="E51" s="428">
        <f t="shared" si="9"/>
        <v>22.741557783657424</v>
      </c>
      <c r="F51" s="124">
        <f>'Equipment 69kV 11-26-16'!S14</f>
        <v>43.222685347359537</v>
      </c>
      <c r="G51" s="124">
        <f>'Trucks 69kV 11-26-16'!U12</f>
        <v>2.6303605763575972</v>
      </c>
      <c r="H51" s="124">
        <f>'WorkerTrips 69kV 11-26-16'!G89</f>
        <v>1.0480957750650721</v>
      </c>
      <c r="I51" s="428">
        <f t="shared" si="10"/>
        <v>46.901141698782205</v>
      </c>
      <c r="J51" s="123"/>
      <c r="K51" s="123"/>
      <c r="L51" s="123"/>
      <c r="M51" s="428">
        <f t="shared" si="11"/>
        <v>0</v>
      </c>
      <c r="N51" s="124">
        <f t="shared" si="29"/>
        <v>61.938878002045684</v>
      </c>
      <c r="O51" s="124">
        <f t="shared" si="30"/>
        <v>4.5068738791491416</v>
      </c>
      <c r="P51" s="124">
        <f t="shared" si="31"/>
        <v>1.4848023480088521</v>
      </c>
      <c r="Q51" s="428">
        <f t="shared" si="12"/>
        <v>67.930554229203679</v>
      </c>
      <c r="R51" s="124"/>
      <c r="S51" s="124"/>
      <c r="T51" s="124"/>
      <c r="U51" s="428">
        <f t="shared" si="13"/>
        <v>0</v>
      </c>
      <c r="V51" s="428"/>
      <c r="W51" s="428"/>
      <c r="X51" s="428"/>
      <c r="Y51" s="428">
        <f t="shared" si="6"/>
        <v>0</v>
      </c>
      <c r="Z51" s="27">
        <f t="shared" si="14"/>
        <v>137.5732537116433</v>
      </c>
    </row>
    <row r="52" spans="1:26">
      <c r="A52" s="427">
        <f t="shared" si="15"/>
        <v>42709</v>
      </c>
      <c r="B52" s="124">
        <f>'Equipment SCS 12-5-16'!S21</f>
        <v>20.041720016947135</v>
      </c>
      <c r="C52" s="124">
        <f>'Construction Truck SCS 12-5-16'!U20</f>
        <v>2.3068018510608876</v>
      </c>
      <c r="D52" s="124">
        <f>'WorkerTrips SCS 12-5-16'!G93</f>
        <v>0.3930359156494021</v>
      </c>
      <c r="E52" s="428">
        <f t="shared" si="9"/>
        <v>22.741557783657424</v>
      </c>
      <c r="F52" s="124">
        <f>'Equipment 69kV 12-3-16'!S14</f>
        <v>43.222685347359537</v>
      </c>
      <c r="G52" s="124">
        <f>'Trucks 69kV 12-3-16'!U12</f>
        <v>2.6303605763575972</v>
      </c>
      <c r="H52" s="124">
        <f>'WorkerTrips 69kV 12-3-16'!G89</f>
        <v>1.0480957750650721</v>
      </c>
      <c r="I52" s="428">
        <f t="shared" si="10"/>
        <v>46.901141698782205</v>
      </c>
      <c r="J52" s="124">
        <f>'Equipment TL6910 12-5-16'!S11</f>
        <v>19.708452857152093</v>
      </c>
      <c r="K52" s="124">
        <f>'Trucks TL6910 12-5-16'!U11</f>
        <v>4.3839342939293289</v>
      </c>
      <c r="L52" s="124">
        <f>'WorkerTrips TL6910 12-5-16'!G89</f>
        <v>0.34936525835502408</v>
      </c>
      <c r="M52" s="428">
        <f t="shared" si="11"/>
        <v>24.441752409436447</v>
      </c>
      <c r="N52" s="124">
        <f t="shared" si="29"/>
        <v>61.938878002045684</v>
      </c>
      <c r="O52" s="124">
        <f t="shared" si="30"/>
        <v>4.5068738791491416</v>
      </c>
      <c r="P52" s="124">
        <f t="shared" si="31"/>
        <v>1.4848023480088521</v>
      </c>
      <c r="Q52" s="428">
        <f t="shared" si="12"/>
        <v>67.930554229203679</v>
      </c>
      <c r="R52" s="124"/>
      <c r="S52" s="124"/>
      <c r="T52" s="124"/>
      <c r="U52" s="428">
        <f t="shared" si="13"/>
        <v>0</v>
      </c>
      <c r="V52" s="428"/>
      <c r="W52" s="428"/>
      <c r="X52" s="428"/>
      <c r="Y52" s="428">
        <f t="shared" si="6"/>
        <v>0</v>
      </c>
      <c r="Z52" s="27">
        <f t="shared" si="14"/>
        <v>162.01500612107975</v>
      </c>
    </row>
    <row r="53" spans="1:26">
      <c r="A53" s="427">
        <f t="shared" si="15"/>
        <v>42716</v>
      </c>
      <c r="B53" s="124">
        <f>'Equipment SCS 12-12-16'!S16</f>
        <v>6.1566857317844876</v>
      </c>
      <c r="C53" s="124">
        <f>'Construction Truck SCS 12-12-16'!U16</f>
        <v>1.9379830954014503</v>
      </c>
      <c r="D53" s="124">
        <f>'WorkerTrips SCS 12-12-16'!G91</f>
        <v>0.17468262917751204</v>
      </c>
      <c r="E53" s="428">
        <f t="shared" si="9"/>
        <v>8.2693514563634505</v>
      </c>
      <c r="F53" s="124">
        <f>'Equipment 69kV 12-10-16'!S14</f>
        <v>43.222685347359537</v>
      </c>
      <c r="G53" s="124">
        <f>'Trucks 69kV 12-10-16'!U12</f>
        <v>2.6303605763575972</v>
      </c>
      <c r="H53" s="124">
        <f>'WorkerTrips 69kV 12-10-16'!G89</f>
        <v>1.0480957750650721</v>
      </c>
      <c r="I53" s="428">
        <f t="shared" si="10"/>
        <v>46.901141698782205</v>
      </c>
      <c r="J53" s="124">
        <f>'Equipment TL6910 12-12-16'!S11</f>
        <v>49.766002962999906</v>
      </c>
      <c r="K53" s="124">
        <f>'Trucks TL6910 12-12-16'!U11</f>
        <v>5.2607211527151954</v>
      </c>
      <c r="L53" s="124">
        <f>'WorkerTrips TL6910 12-12-16'!G89</f>
        <v>0.21835328647189006</v>
      </c>
      <c r="M53" s="428">
        <f t="shared" si="11"/>
        <v>55.245077402186986</v>
      </c>
      <c r="N53" s="124">
        <f t="shared" si="29"/>
        <v>61.938878002045684</v>
      </c>
      <c r="O53" s="124">
        <f t="shared" si="30"/>
        <v>4.5068738791491416</v>
      </c>
      <c r="P53" s="124">
        <f t="shared" si="31"/>
        <v>1.4848023480088521</v>
      </c>
      <c r="Q53" s="428">
        <f t="shared" si="12"/>
        <v>67.930554229203679</v>
      </c>
      <c r="R53" s="124"/>
      <c r="S53" s="124"/>
      <c r="T53" s="124"/>
      <c r="U53" s="428">
        <f t="shared" si="13"/>
        <v>0</v>
      </c>
      <c r="V53" s="428"/>
      <c r="W53" s="428"/>
      <c r="X53" s="428"/>
      <c r="Y53" s="428">
        <f t="shared" si="6"/>
        <v>0</v>
      </c>
      <c r="Z53" s="27">
        <f t="shared" si="14"/>
        <v>178.34612478653634</v>
      </c>
    </row>
    <row r="54" spans="1:26">
      <c r="A54" s="427">
        <f t="shared" si="15"/>
        <v>42723</v>
      </c>
      <c r="B54" s="124">
        <f>'Equipment SCS 12-19-16'!S16</f>
        <v>6.1566857317844876</v>
      </c>
      <c r="C54" s="124">
        <f>'Construction Truck SCS 12-19-16'!U16</f>
        <v>1.9379830954014503</v>
      </c>
      <c r="D54" s="124">
        <f>'WorkerTrips SCS 12-19-16'!G91</f>
        <v>0.17468262917751204</v>
      </c>
      <c r="E54" s="428">
        <f t="shared" si="9"/>
        <v>8.2693514563634505</v>
      </c>
      <c r="F54" s="124">
        <f>'Equipment 69kV 12-17-16'!S12</f>
        <v>39.746819594383965</v>
      </c>
      <c r="G54" s="124">
        <f>'Trucks 69kV 12-17-16'!U12</f>
        <v>1.7535737175717316</v>
      </c>
      <c r="H54" s="124">
        <f>'WorkerTrips 69kV 12-17-16'!G89</f>
        <v>0.56771854482691408</v>
      </c>
      <c r="I54" s="428">
        <f t="shared" si="10"/>
        <v>42.068111856782615</v>
      </c>
      <c r="J54" s="124">
        <f>'Equipment TL6910 12-19-16'!S12</f>
        <v>63.651037248162552</v>
      </c>
      <c r="K54" s="124">
        <f>'Trucks TL6910 12-19-16'!U10</f>
        <v>0.87678685878586582</v>
      </c>
      <c r="L54" s="124">
        <f>'WorkerTrips TL6910 12-19-16'!G89</f>
        <v>0.52404788753253606</v>
      </c>
      <c r="M54" s="428">
        <f t="shared" si="11"/>
        <v>65.051871994480948</v>
      </c>
      <c r="N54" s="124">
        <f t="shared" si="29"/>
        <v>61.938878002045684</v>
      </c>
      <c r="O54" s="124">
        <f t="shared" si="30"/>
        <v>4.5068738791491416</v>
      </c>
      <c r="P54" s="124">
        <f t="shared" si="31"/>
        <v>1.4848023480088521</v>
      </c>
      <c r="Q54" s="428">
        <f t="shared" si="12"/>
        <v>67.930554229203679</v>
      </c>
      <c r="R54" s="124"/>
      <c r="S54" s="124"/>
      <c r="T54" s="124"/>
      <c r="U54" s="428">
        <f t="shared" si="13"/>
        <v>0</v>
      </c>
      <c r="V54" s="428"/>
      <c r="W54" s="428"/>
      <c r="X54" s="428"/>
      <c r="Y54" s="428">
        <f t="shared" si="6"/>
        <v>0</v>
      </c>
      <c r="Z54" s="27">
        <f t="shared" si="14"/>
        <v>183.31988953683071</v>
      </c>
    </row>
    <row r="55" spans="1:26">
      <c r="A55" s="427">
        <f t="shared" si="15"/>
        <v>42730</v>
      </c>
      <c r="B55" s="124">
        <f>'Equipment SCS 12-26-16'!S16</f>
        <v>6.1566857317844876</v>
      </c>
      <c r="C55" s="124">
        <f>'Construction Truck SCS 12-26-16'!U16</f>
        <v>1.9379830954014503</v>
      </c>
      <c r="D55" s="124">
        <f>'WorkerTrips SCS 12-26-16'!G91</f>
        <v>0.17468262917751204</v>
      </c>
      <c r="E55" s="428">
        <f t="shared" si="9"/>
        <v>8.2693514563634505</v>
      </c>
      <c r="F55" s="124">
        <f>'Equipment 69kV 12-24-16'!S12</f>
        <v>39.746819594383965</v>
      </c>
      <c r="G55" s="124">
        <f>'Trucks 69kV 12-24-16'!U12</f>
        <v>1.7535737175717316</v>
      </c>
      <c r="H55" s="124">
        <f>'WorkerTrips 69kV 12-24-16'!G89</f>
        <v>0.56771854482691408</v>
      </c>
      <c r="I55" s="428">
        <f t="shared" si="10"/>
        <v>42.068111856782615</v>
      </c>
      <c r="J55" s="124">
        <f>'Equipment TL6910 12-26-16'!S11</f>
        <v>59.322793685552327</v>
      </c>
      <c r="K55" s="124">
        <f>'Trucks TL6910 12-26-16'!U11</f>
        <v>4.3839342939293289</v>
      </c>
      <c r="L55" s="124">
        <f>'WorkerTrips TL6910 12-26-16'!G89</f>
        <v>0.48037723023815809</v>
      </c>
      <c r="M55" s="428">
        <f t="shared" si="11"/>
        <v>64.187105209719817</v>
      </c>
      <c r="N55" s="124">
        <f t="shared" si="29"/>
        <v>61.938878002045684</v>
      </c>
      <c r="O55" s="124">
        <f t="shared" si="30"/>
        <v>4.5068738791491416</v>
      </c>
      <c r="P55" s="124">
        <f t="shared" si="31"/>
        <v>1.4848023480088521</v>
      </c>
      <c r="Q55" s="428">
        <f t="shared" si="12"/>
        <v>67.930554229203679</v>
      </c>
      <c r="R55" s="123"/>
      <c r="S55" s="123"/>
      <c r="T55" s="123"/>
      <c r="U55" s="428">
        <f t="shared" si="13"/>
        <v>0</v>
      </c>
      <c r="V55" s="428"/>
      <c r="W55" s="428"/>
      <c r="X55" s="428"/>
      <c r="Y55" s="428">
        <f t="shared" si="6"/>
        <v>0</v>
      </c>
      <c r="Z55" s="27">
        <f t="shared" si="14"/>
        <v>182.45512275206954</v>
      </c>
    </row>
    <row r="56" spans="1:26">
      <c r="A56" s="427">
        <f t="shared" si="15"/>
        <v>42737</v>
      </c>
      <c r="B56" s="124">
        <f>'Equipment SCS 1-2-17'!S16</f>
        <v>6.1566857317844876</v>
      </c>
      <c r="C56" s="124">
        <f>'Construction Trucks SCS 1-2-17'!U16</f>
        <v>1.9379830954014503</v>
      </c>
      <c r="D56" s="124">
        <f>'WorkerTrips SCS 1-2-17'!G91</f>
        <v>0.17468262917751204</v>
      </c>
      <c r="E56" s="428">
        <f t="shared" si="9"/>
        <v>8.2693514563634505</v>
      </c>
      <c r="F56" s="124">
        <f>'Equipment 69kV 1-2-17'!S10</f>
        <v>35.418576031773739</v>
      </c>
      <c r="G56" s="124">
        <f>'Trucks 69kV 1-2-17'!U9</f>
        <v>1.7535737175717316</v>
      </c>
      <c r="H56" s="124">
        <f>'WorkerTrips 69kV 1-2-17'!G89</f>
        <v>0.56771854482691408</v>
      </c>
      <c r="I56" s="428">
        <f t="shared" si="10"/>
        <v>37.739868294172389</v>
      </c>
      <c r="J56" s="124">
        <f>'Equipment TL6910 1-2-17'!S9</f>
        <v>13.885034285162646</v>
      </c>
      <c r="K56" s="124">
        <f>'Trucks TL6910 1-2-17'!U10</f>
        <v>3.5071474351434633</v>
      </c>
      <c r="L56" s="124">
        <f>'WorkerTrips TL6910 1-2-17'!G89</f>
        <v>0.17468262917751204</v>
      </c>
      <c r="M56" s="428">
        <f t="shared" si="11"/>
        <v>17.56686434948362</v>
      </c>
      <c r="N56" s="124">
        <f t="shared" si="29"/>
        <v>61.938878002045684</v>
      </c>
      <c r="O56" s="124">
        <f t="shared" si="30"/>
        <v>4.5068738791491416</v>
      </c>
      <c r="P56" s="124">
        <f t="shared" si="31"/>
        <v>1.4848023480088521</v>
      </c>
      <c r="Q56" s="428">
        <f t="shared" si="12"/>
        <v>67.930554229203679</v>
      </c>
      <c r="R56" s="123"/>
      <c r="S56" s="123"/>
      <c r="T56" s="123"/>
      <c r="U56" s="428">
        <f t="shared" si="13"/>
        <v>0</v>
      </c>
      <c r="V56" s="428"/>
      <c r="W56" s="428"/>
      <c r="X56" s="428"/>
      <c r="Y56" s="428">
        <f t="shared" si="6"/>
        <v>0</v>
      </c>
      <c r="Z56" s="27">
        <f t="shared" si="14"/>
        <v>131.50663832922314</v>
      </c>
    </row>
    <row r="57" spans="1:26">
      <c r="A57" s="427">
        <f t="shared" si="15"/>
        <v>42744</v>
      </c>
      <c r="B57" s="124">
        <f>'Equipment SCS 1-9-17'!S16</f>
        <v>6.1566857317844876</v>
      </c>
      <c r="C57" s="124">
        <f>'Construction Trucks SCS 1-9-17'!U16</f>
        <v>1.9379830954014503</v>
      </c>
      <c r="D57" s="124">
        <f>'WorkerTrips SCS 1-9-17'!G91</f>
        <v>0.17468262917751204</v>
      </c>
      <c r="E57" s="428">
        <f t="shared" si="9"/>
        <v>8.2693514563634505</v>
      </c>
      <c r="F57" s="124">
        <f>'Equipment 69kV 1-9-17'!S9</f>
        <v>17.356292856453308</v>
      </c>
      <c r="G57" s="124">
        <f>'Trucks 69kV 1-9-17'!U10</f>
        <v>4.3839342939293289</v>
      </c>
      <c r="H57" s="124">
        <f>'WorkerTrips 69kV 1-9-17'!G89</f>
        <v>0.21835328647189006</v>
      </c>
      <c r="I57" s="428">
        <f t="shared" si="10"/>
        <v>21.958580436854525</v>
      </c>
      <c r="J57" s="124">
        <f>J56</f>
        <v>13.885034285162646</v>
      </c>
      <c r="K57" s="124">
        <f>K56</f>
        <v>3.5071474351434633</v>
      </c>
      <c r="L57" s="124">
        <f>L56</f>
        <v>0.17468262917751204</v>
      </c>
      <c r="M57" s="428">
        <f t="shared" si="11"/>
        <v>17.56686434948362</v>
      </c>
      <c r="N57" s="124">
        <f t="shared" si="29"/>
        <v>61.938878002045684</v>
      </c>
      <c r="O57" s="124">
        <f t="shared" si="30"/>
        <v>4.5068738791491416</v>
      </c>
      <c r="P57" s="124">
        <f t="shared" si="31"/>
        <v>1.4848023480088521</v>
      </c>
      <c r="Q57" s="428">
        <f t="shared" si="12"/>
        <v>67.930554229203679</v>
      </c>
      <c r="R57" s="123"/>
      <c r="S57" s="123"/>
      <c r="T57" s="123"/>
      <c r="U57" s="428">
        <f t="shared" si="13"/>
        <v>0</v>
      </c>
      <c r="V57" s="428"/>
      <c r="W57" s="428"/>
      <c r="X57" s="428"/>
      <c r="Y57" s="428">
        <f t="shared" si="6"/>
        <v>0</v>
      </c>
      <c r="Z57" s="27">
        <f t="shared" si="14"/>
        <v>115.72535047190527</v>
      </c>
    </row>
    <row r="58" spans="1:26">
      <c r="A58" s="427">
        <f t="shared" si="15"/>
        <v>42751</v>
      </c>
      <c r="B58" s="124">
        <f>'Equipment SCS 1-16-17'!S16</f>
        <v>6.1566857317844876</v>
      </c>
      <c r="C58" s="124">
        <f>'Construction Trucks SCS 1-16-17'!U16</f>
        <v>1.9379830954014503</v>
      </c>
      <c r="D58" s="124">
        <f>'WorkerTrips SCS 1-16-17'!G91</f>
        <v>0.17468262917751204</v>
      </c>
      <c r="E58" s="428">
        <f t="shared" ref="E58:E69" si="33">SUM(B58:D58)</f>
        <v>8.2693514563634505</v>
      </c>
      <c r="F58" s="124"/>
      <c r="G58" s="124"/>
      <c r="H58" s="124"/>
      <c r="I58" s="428">
        <f t="shared" ref="I58:I69" si="34">SUM(F58:H58)</f>
        <v>0</v>
      </c>
      <c r="J58" s="124">
        <f>'Equipment TL6910 1-16-17'!S14</f>
        <v>43.222685347359537</v>
      </c>
      <c r="K58" s="124">
        <f>'Trucks TL6910 1-16-17'!U12</f>
        <v>0.99972644400567834</v>
      </c>
      <c r="L58" s="124">
        <f>'WorkerTrips TL6910 1-16-17'!G89</f>
        <v>0.61138920212129211</v>
      </c>
      <c r="M58" s="428">
        <f t="shared" ref="M58:M69" si="35">SUM(J58:L58)</f>
        <v>44.833800993486513</v>
      </c>
      <c r="N58" s="124">
        <f t="shared" si="29"/>
        <v>61.938878002045684</v>
      </c>
      <c r="O58" s="124">
        <f t="shared" si="30"/>
        <v>4.5068738791491416</v>
      </c>
      <c r="P58" s="124">
        <f t="shared" si="31"/>
        <v>1.4848023480088521</v>
      </c>
      <c r="Q58" s="428">
        <f t="shared" ref="Q58:Q69" si="36">SUM(N58:P58)</f>
        <v>67.930554229203679</v>
      </c>
      <c r="R58" s="123"/>
      <c r="S58" s="123"/>
      <c r="T58" s="123"/>
      <c r="U58" s="428">
        <f t="shared" ref="U58:U69" si="37">SUM(R58:T58)</f>
        <v>0</v>
      </c>
      <c r="V58" s="428"/>
      <c r="W58" s="428"/>
      <c r="X58" s="428"/>
      <c r="Y58" s="428">
        <f t="shared" si="6"/>
        <v>0</v>
      </c>
      <c r="Z58" s="27">
        <f t="shared" si="14"/>
        <v>121.03370667905364</v>
      </c>
    </row>
    <row r="59" spans="1:26">
      <c r="A59" s="427">
        <f t="shared" si="15"/>
        <v>42758</v>
      </c>
      <c r="B59" s="124">
        <f>'Equipment SCS 1-23-17'!S16</f>
        <v>6.1566857317844876</v>
      </c>
      <c r="C59" s="124">
        <f>'Construction Trucks SCS 1-23-17'!U16</f>
        <v>1.9379830954014503</v>
      </c>
      <c r="D59" s="124">
        <f>'WorkerTrips SCS 1-23-17'!G91</f>
        <v>0.17468262917751204</v>
      </c>
      <c r="E59" s="428">
        <f t="shared" si="33"/>
        <v>8.2693514563634505</v>
      </c>
      <c r="F59" s="124"/>
      <c r="G59" s="124"/>
      <c r="H59" s="124"/>
      <c r="I59" s="428">
        <f t="shared" si="34"/>
        <v>0</v>
      </c>
      <c r="J59" s="124">
        <f>'Equipment TL6910 1-23-17'!S12</f>
        <v>26.558342758165828</v>
      </c>
      <c r="K59" s="124">
        <f>'Trucks TL6910 1-23-17'!U11</f>
        <v>0.12293958521981244</v>
      </c>
      <c r="L59" s="124">
        <f>'WorkerTrips TL6910 1-23-17'!G89</f>
        <v>0.43670657294378012</v>
      </c>
      <c r="M59" s="428">
        <f t="shared" si="35"/>
        <v>27.11798891632942</v>
      </c>
      <c r="N59" s="124">
        <f t="shared" si="29"/>
        <v>61.938878002045684</v>
      </c>
      <c r="O59" s="124">
        <f t="shared" si="30"/>
        <v>4.5068738791491416</v>
      </c>
      <c r="P59" s="124">
        <f t="shared" si="31"/>
        <v>1.4848023480088521</v>
      </c>
      <c r="Q59" s="428">
        <f t="shared" si="36"/>
        <v>67.930554229203679</v>
      </c>
      <c r="R59" s="123"/>
      <c r="S59" s="123"/>
      <c r="T59" s="123"/>
      <c r="U59" s="428">
        <f t="shared" si="37"/>
        <v>0</v>
      </c>
      <c r="V59" s="428"/>
      <c r="W59" s="428"/>
      <c r="X59" s="428"/>
      <c r="Y59" s="428">
        <f t="shared" si="6"/>
        <v>0</v>
      </c>
      <c r="Z59" s="27">
        <f t="shared" si="14"/>
        <v>103.31789460189654</v>
      </c>
    </row>
    <row r="60" spans="1:26">
      <c r="A60" s="427">
        <f t="shared" si="15"/>
        <v>42765</v>
      </c>
      <c r="B60" s="124">
        <f>'Equipment SCS 1-30-17'!S16</f>
        <v>6.1566857317844876</v>
      </c>
      <c r="C60" s="124">
        <f>'Construction Trucks SCS 1-30-17'!U16</f>
        <v>1.9379830954014503</v>
      </c>
      <c r="D60" s="124">
        <f>'WorkerTrips SCS 1-30-17'!G91</f>
        <v>0.17468262917751204</v>
      </c>
      <c r="E60" s="428">
        <f t="shared" si="33"/>
        <v>8.2693514563634505</v>
      </c>
      <c r="F60" s="124">
        <f>'Equipment 69kV 1-30-17'!S14</f>
        <v>43.222685347359537</v>
      </c>
      <c r="G60" s="124">
        <f>'Trucks 69kV 1-30-17'!U12</f>
        <v>0.12293958521981244</v>
      </c>
      <c r="H60" s="124">
        <f>'WorkerTrips 69kV 1-30-17'!G89</f>
        <v>0.48037723023815809</v>
      </c>
      <c r="I60" s="428">
        <f t="shared" si="34"/>
        <v>43.826002162817502</v>
      </c>
      <c r="J60" s="124">
        <f>J59</f>
        <v>26.558342758165828</v>
      </c>
      <c r="K60" s="124">
        <f>K59</f>
        <v>0.12293958521981244</v>
      </c>
      <c r="L60" s="124">
        <f>L59</f>
        <v>0.43670657294378012</v>
      </c>
      <c r="M60" s="428">
        <f t="shared" si="35"/>
        <v>27.11798891632942</v>
      </c>
      <c r="N60" s="124">
        <f t="shared" si="29"/>
        <v>61.938878002045684</v>
      </c>
      <c r="O60" s="124">
        <f t="shared" si="30"/>
        <v>4.5068738791491416</v>
      </c>
      <c r="P60" s="124">
        <f t="shared" si="31"/>
        <v>1.4848023480088521</v>
      </c>
      <c r="Q60" s="428">
        <f t="shared" si="36"/>
        <v>67.930554229203679</v>
      </c>
      <c r="R60" s="123"/>
      <c r="S60" s="123"/>
      <c r="T60" s="123"/>
      <c r="U60" s="428">
        <f t="shared" si="37"/>
        <v>0</v>
      </c>
      <c r="V60" s="428"/>
      <c r="W60" s="428"/>
      <c r="X60" s="428"/>
      <c r="Y60" s="428">
        <f t="shared" si="6"/>
        <v>0</v>
      </c>
      <c r="Z60" s="430">
        <f t="shared" si="14"/>
        <v>147.14389676471404</v>
      </c>
    </row>
    <row r="61" spans="1:26">
      <c r="A61" s="427">
        <f t="shared" si="15"/>
        <v>42772</v>
      </c>
      <c r="B61" s="124">
        <f>'Equipment SCS 2-6-17'!S16</f>
        <v>6.1566857317844876</v>
      </c>
      <c r="C61" s="124">
        <f>'Construction Trucks SCS 2-6-17'!U16</f>
        <v>1.9379830954014503</v>
      </c>
      <c r="D61" s="124">
        <f>'WorkerTrips SCS 2-6-17'!G91</f>
        <v>0.17468262917751204</v>
      </c>
      <c r="E61" s="428">
        <f t="shared" si="33"/>
        <v>8.2693514563634505</v>
      </c>
      <c r="F61" s="124">
        <f>'Equipment 69kV 2-6-17'!S13</f>
        <v>34.890514052762683</v>
      </c>
      <c r="G61" s="124">
        <f>'Trucks 69kV 2-6-17'!U12</f>
        <v>0.12293958521981244</v>
      </c>
      <c r="H61" s="124">
        <f>'WorkerTrips 69kV 2-6-17'!G89</f>
        <v>0.48037723023815809</v>
      </c>
      <c r="I61" s="428">
        <f t="shared" si="34"/>
        <v>35.493830868220648</v>
      </c>
      <c r="J61" s="124"/>
      <c r="K61" s="124"/>
      <c r="L61" s="124"/>
      <c r="M61" s="428">
        <f t="shared" si="35"/>
        <v>0</v>
      </c>
      <c r="N61" s="124"/>
      <c r="O61" s="124"/>
      <c r="P61" s="124"/>
      <c r="Q61" s="428">
        <f t="shared" si="36"/>
        <v>0</v>
      </c>
      <c r="R61" s="123"/>
      <c r="S61" s="123"/>
      <c r="T61" s="123"/>
      <c r="U61" s="428">
        <f t="shared" si="37"/>
        <v>0</v>
      </c>
      <c r="V61" s="428"/>
      <c r="W61" s="428"/>
      <c r="X61" s="428"/>
      <c r="Y61" s="428">
        <f t="shared" si="6"/>
        <v>0</v>
      </c>
      <c r="Z61" s="27">
        <f t="shared" si="14"/>
        <v>43.763182324584101</v>
      </c>
    </row>
    <row r="62" spans="1:26">
      <c r="A62" s="427">
        <f t="shared" si="15"/>
        <v>42779</v>
      </c>
      <c r="B62" s="124">
        <f>'Equipment SCS 2-13-17'!S20</f>
        <v>6.1566857317844876</v>
      </c>
      <c r="C62" s="124">
        <f>'Construction Trucks SCS 2-13-17'!U20</f>
        <v>1.3070754070552093</v>
      </c>
      <c r="D62" s="124">
        <f>'WorkerTrips SCS 2-13-17'!G93</f>
        <v>0.26202394376626803</v>
      </c>
      <c r="E62" s="428">
        <f t="shared" si="33"/>
        <v>7.7257850826059649</v>
      </c>
      <c r="F62" s="124">
        <f>'Equipment 69kV 2-13-17'!S9</f>
        <v>8.3321712945968525</v>
      </c>
      <c r="G62" s="124">
        <f>'Trucks 69kV 2-13-17'!U12</f>
        <v>0.12293958521981244</v>
      </c>
      <c r="H62" s="124">
        <f>'WorkerTrips 69kV 2-13-17'!G89</f>
        <v>0.56771854482691408</v>
      </c>
      <c r="I62" s="428">
        <f t="shared" si="34"/>
        <v>9.0228294246435787</v>
      </c>
      <c r="J62" s="123"/>
      <c r="K62" s="123"/>
      <c r="L62" s="123"/>
      <c r="M62" s="428">
        <f t="shared" si="35"/>
        <v>0</v>
      </c>
      <c r="N62" s="124"/>
      <c r="O62" s="124"/>
      <c r="P62" s="124"/>
      <c r="Q62" s="428">
        <f t="shared" si="36"/>
        <v>0</v>
      </c>
      <c r="R62" s="123"/>
      <c r="S62" s="123"/>
      <c r="T62" s="123"/>
      <c r="U62" s="428">
        <f t="shared" si="37"/>
        <v>0</v>
      </c>
      <c r="V62" s="428"/>
      <c r="W62" s="428"/>
      <c r="X62" s="428"/>
      <c r="Y62" s="428">
        <f t="shared" si="6"/>
        <v>0</v>
      </c>
      <c r="Z62" s="27">
        <f t="shared" si="14"/>
        <v>16.748614507249542</v>
      </c>
    </row>
    <row r="63" spans="1:26">
      <c r="A63" s="427">
        <f t="shared" si="15"/>
        <v>42786</v>
      </c>
      <c r="B63" s="124">
        <f>'Equipment SCS 2-20-17'!S20</f>
        <v>6.1566857317844876</v>
      </c>
      <c r="C63" s="124">
        <f>'Construction Trucks SCS 2-20-17'!U19</f>
        <v>0.43028854826934354</v>
      </c>
      <c r="D63" s="124">
        <f>'WorkerTrips SCS 2-20-17'!G93</f>
        <v>0.26202394376626803</v>
      </c>
      <c r="E63" s="428">
        <f t="shared" si="33"/>
        <v>6.8489982238200993</v>
      </c>
      <c r="F63" s="124">
        <f t="shared" ref="F63:H66" si="38">F62</f>
        <v>8.3321712945968525</v>
      </c>
      <c r="G63" s="124">
        <f t="shared" si="38"/>
        <v>0.12293958521981244</v>
      </c>
      <c r="H63" s="124">
        <f t="shared" si="38"/>
        <v>0.56771854482691408</v>
      </c>
      <c r="I63" s="428">
        <f t="shared" si="34"/>
        <v>9.0228294246435787</v>
      </c>
      <c r="J63" s="123"/>
      <c r="K63" s="123"/>
      <c r="L63" s="123"/>
      <c r="M63" s="428">
        <f t="shared" si="35"/>
        <v>0</v>
      </c>
      <c r="N63" s="124"/>
      <c r="O63" s="124"/>
      <c r="P63" s="124"/>
      <c r="Q63" s="428">
        <f t="shared" si="36"/>
        <v>0</v>
      </c>
      <c r="R63" s="123"/>
      <c r="S63" s="123"/>
      <c r="T63" s="123"/>
      <c r="U63" s="428">
        <f t="shared" si="37"/>
        <v>0</v>
      </c>
      <c r="V63" s="428"/>
      <c r="W63" s="428"/>
      <c r="X63" s="428"/>
      <c r="Y63" s="428">
        <f t="shared" si="6"/>
        <v>0</v>
      </c>
      <c r="Z63" s="27">
        <f t="shared" si="14"/>
        <v>15.871827648463679</v>
      </c>
    </row>
    <row r="64" spans="1:26">
      <c r="A64" s="427">
        <f t="shared" si="15"/>
        <v>42793</v>
      </c>
      <c r="B64" s="124">
        <f>'Equipment SCS 2-27-17'!S20</f>
        <v>6.1566857317844876</v>
      </c>
      <c r="C64" s="124">
        <f>'Construction Trucks SCS 2-27-17'!U19</f>
        <v>0.43028854826934354</v>
      </c>
      <c r="D64" s="124">
        <f>'WorkerTrips SCS 2-27-17'!G93</f>
        <v>0.26202394376626803</v>
      </c>
      <c r="E64" s="428">
        <f t="shared" si="33"/>
        <v>6.8489982238200993</v>
      </c>
      <c r="F64" s="124">
        <f t="shared" si="38"/>
        <v>8.3321712945968525</v>
      </c>
      <c r="G64" s="124">
        <f t="shared" si="38"/>
        <v>0.12293958521981244</v>
      </c>
      <c r="H64" s="124">
        <f t="shared" si="38"/>
        <v>0.56771854482691408</v>
      </c>
      <c r="I64" s="428">
        <f t="shared" si="34"/>
        <v>9.0228294246435787</v>
      </c>
      <c r="J64" s="123"/>
      <c r="K64" s="123"/>
      <c r="L64" s="123"/>
      <c r="M64" s="428">
        <f t="shared" si="35"/>
        <v>0</v>
      </c>
      <c r="N64" s="124"/>
      <c r="O64" s="124"/>
      <c r="P64" s="124"/>
      <c r="Q64" s="428">
        <f t="shared" si="36"/>
        <v>0</v>
      </c>
      <c r="R64" s="123"/>
      <c r="S64" s="123"/>
      <c r="T64" s="123"/>
      <c r="U64" s="428">
        <f t="shared" si="37"/>
        <v>0</v>
      </c>
      <c r="V64" s="428"/>
      <c r="W64" s="428"/>
      <c r="X64" s="428"/>
      <c r="Y64" s="428">
        <f t="shared" si="6"/>
        <v>0</v>
      </c>
      <c r="Z64" s="27">
        <f t="shared" si="14"/>
        <v>15.871827648463679</v>
      </c>
    </row>
    <row r="65" spans="1:26">
      <c r="A65" s="427">
        <f t="shared" si="15"/>
        <v>42800</v>
      </c>
      <c r="B65" s="124">
        <f>'Equipment SCS 3-6-17'!S19</f>
        <v>6.1566857317844876</v>
      </c>
      <c r="C65" s="124">
        <f>'Construction Trucks SCS 3-6-17'!U19</f>
        <v>0.43028854826934354</v>
      </c>
      <c r="D65" s="124">
        <f>'WorkerTrips SCS 3-6-17'!G93</f>
        <v>0.26202394376626803</v>
      </c>
      <c r="E65" s="428">
        <f t="shared" si="33"/>
        <v>6.8489982238200993</v>
      </c>
      <c r="F65" s="124">
        <f t="shared" si="38"/>
        <v>8.3321712945968525</v>
      </c>
      <c r="G65" s="124">
        <f t="shared" si="38"/>
        <v>0.12293958521981244</v>
      </c>
      <c r="H65" s="124">
        <f t="shared" si="38"/>
        <v>0.56771854482691408</v>
      </c>
      <c r="I65" s="428">
        <f t="shared" si="34"/>
        <v>9.0228294246435787</v>
      </c>
      <c r="J65" s="123"/>
      <c r="K65" s="123"/>
      <c r="L65" s="123"/>
      <c r="M65" s="428">
        <f t="shared" si="35"/>
        <v>0</v>
      </c>
      <c r="N65" s="124"/>
      <c r="O65" s="124"/>
      <c r="P65" s="124"/>
      <c r="Q65" s="428">
        <f t="shared" si="36"/>
        <v>0</v>
      </c>
      <c r="R65" s="123"/>
      <c r="S65" s="123"/>
      <c r="T65" s="123"/>
      <c r="U65" s="428">
        <f t="shared" si="37"/>
        <v>0</v>
      </c>
      <c r="V65" s="428"/>
      <c r="W65" s="428"/>
      <c r="X65" s="428"/>
      <c r="Y65" s="428">
        <f t="shared" si="6"/>
        <v>0</v>
      </c>
      <c r="Z65" s="27">
        <f t="shared" si="14"/>
        <v>15.871827648463679</v>
      </c>
    </row>
    <row r="66" spans="1:26">
      <c r="A66" s="427">
        <f t="shared" si="15"/>
        <v>42807</v>
      </c>
      <c r="B66" s="124">
        <f>'Equipment SCS 3-13-17'!S19</f>
        <v>6.1566857317844876</v>
      </c>
      <c r="C66" s="124">
        <f>'Construction Trucks SCS 3-13-17'!U19</f>
        <v>0.43028854826934354</v>
      </c>
      <c r="D66" s="124">
        <f>'WorkerTrips SCS 3-13-17'!G93</f>
        <v>0.26202394376626803</v>
      </c>
      <c r="E66" s="428">
        <f t="shared" si="33"/>
        <v>6.8489982238200993</v>
      </c>
      <c r="F66" s="124">
        <f t="shared" si="38"/>
        <v>8.3321712945968525</v>
      </c>
      <c r="G66" s="124">
        <f t="shared" si="38"/>
        <v>0.12293958521981244</v>
      </c>
      <c r="H66" s="124">
        <f t="shared" si="38"/>
        <v>0.56771854482691408</v>
      </c>
      <c r="I66" s="428">
        <f t="shared" si="34"/>
        <v>9.0228294246435787</v>
      </c>
      <c r="J66" s="123"/>
      <c r="K66" s="123"/>
      <c r="L66" s="123"/>
      <c r="M66" s="428">
        <f t="shared" si="35"/>
        <v>0</v>
      </c>
      <c r="N66" s="124"/>
      <c r="O66" s="124"/>
      <c r="P66" s="124"/>
      <c r="Q66" s="428">
        <f t="shared" si="36"/>
        <v>0</v>
      </c>
      <c r="R66" s="124"/>
      <c r="S66" s="124"/>
      <c r="T66" s="124"/>
      <c r="U66" s="428">
        <f t="shared" si="37"/>
        <v>0</v>
      </c>
      <c r="V66" s="428"/>
      <c r="W66" s="428"/>
      <c r="X66" s="428"/>
      <c r="Y66" s="428">
        <f t="shared" si="6"/>
        <v>0</v>
      </c>
      <c r="Z66" s="27">
        <f t="shared" si="14"/>
        <v>15.871827648463679</v>
      </c>
    </row>
    <row r="67" spans="1:26">
      <c r="A67" s="427">
        <f t="shared" si="15"/>
        <v>42814</v>
      </c>
      <c r="B67" s="124">
        <f>'Equipment SCS 3-20-17'!S19</f>
        <v>6.1566857317844876</v>
      </c>
      <c r="C67" s="124">
        <f>'Construction Trucks SCS 3-20-17'!U19</f>
        <v>0.43028854826934354</v>
      </c>
      <c r="D67" s="124">
        <f>'WorkerTrips SCS 3-20-17'!G93</f>
        <v>0.26202394376626803</v>
      </c>
      <c r="E67" s="428">
        <f t="shared" si="33"/>
        <v>6.8489982238200993</v>
      </c>
      <c r="F67" s="123"/>
      <c r="G67" s="123"/>
      <c r="H67" s="123"/>
      <c r="I67" s="428">
        <f t="shared" si="34"/>
        <v>0</v>
      </c>
      <c r="J67" s="123"/>
      <c r="K67" s="123"/>
      <c r="L67" s="123"/>
      <c r="M67" s="428">
        <f t="shared" si="35"/>
        <v>0</v>
      </c>
      <c r="N67" s="123"/>
      <c r="O67" s="123"/>
      <c r="P67" s="123"/>
      <c r="Q67" s="428">
        <f t="shared" si="36"/>
        <v>0</v>
      </c>
      <c r="R67" s="124"/>
      <c r="S67" s="124"/>
      <c r="T67" s="124"/>
      <c r="U67" s="428">
        <f t="shared" si="37"/>
        <v>0</v>
      </c>
      <c r="V67" s="428"/>
      <c r="W67" s="428"/>
      <c r="X67" s="428"/>
      <c r="Y67" s="428">
        <f t="shared" si="6"/>
        <v>0</v>
      </c>
      <c r="Z67" s="27">
        <f t="shared" si="14"/>
        <v>6.8489982238200993</v>
      </c>
    </row>
    <row r="68" spans="1:26">
      <c r="A68" s="427">
        <f t="shared" si="15"/>
        <v>42821</v>
      </c>
      <c r="B68" s="124">
        <f>'Equipment SCS 3-27-17a'!S15</f>
        <v>4.4210564461391568</v>
      </c>
      <c r="C68" s="124">
        <f>'Construction Truck SCS 3-20-17'!U15</f>
        <v>0.24587917043962487</v>
      </c>
      <c r="D68" s="124">
        <f>'WorkerTrip SCS 3-27-17'!G91</f>
        <v>0.21835328647189003</v>
      </c>
      <c r="E68" s="428">
        <f t="shared" si="33"/>
        <v>4.8852889030506716</v>
      </c>
      <c r="F68" s="123"/>
      <c r="G68" s="123"/>
      <c r="H68" s="123"/>
      <c r="I68" s="428">
        <f t="shared" si="34"/>
        <v>0</v>
      </c>
      <c r="J68" s="123"/>
      <c r="K68" s="123"/>
      <c r="L68" s="123"/>
      <c r="M68" s="428">
        <f t="shared" si="35"/>
        <v>0</v>
      </c>
      <c r="N68" s="123"/>
      <c r="O68" s="123"/>
      <c r="P68" s="123"/>
      <c r="Q68" s="428">
        <f t="shared" si="36"/>
        <v>0</v>
      </c>
      <c r="R68" s="124"/>
      <c r="S68" s="124"/>
      <c r="T68" s="124"/>
      <c r="U68" s="428">
        <f t="shared" si="37"/>
        <v>0</v>
      </c>
      <c r="V68" s="428"/>
      <c r="W68" s="428"/>
      <c r="X68" s="428"/>
      <c r="Y68" s="428">
        <f t="shared" ref="Y68:Y88" si="39">SUM(V68:X68)</f>
        <v>0</v>
      </c>
      <c r="Z68" s="27">
        <f t="shared" si="14"/>
        <v>4.8852889030506716</v>
      </c>
    </row>
    <row r="69" spans="1:26">
      <c r="A69" s="427">
        <f t="shared" si="15"/>
        <v>42828</v>
      </c>
      <c r="B69" s="124">
        <f>'Equipment SCS 4-3-17'!S15</f>
        <v>4.4210564461391568</v>
      </c>
      <c r="C69" s="124">
        <f>'Construction Trucks SCS 4-3-17'!U15</f>
        <v>0.24587917043962487</v>
      </c>
      <c r="D69" s="124">
        <f>'WorkerTrips SCS 4-3-17'!G91</f>
        <v>0.21835328647189003</v>
      </c>
      <c r="E69" s="428">
        <f t="shared" si="33"/>
        <v>4.8852889030506716</v>
      </c>
      <c r="F69" s="123"/>
      <c r="G69" s="123"/>
      <c r="H69" s="123"/>
      <c r="I69" s="428">
        <f t="shared" si="34"/>
        <v>0</v>
      </c>
      <c r="J69" s="123"/>
      <c r="K69" s="123"/>
      <c r="L69" s="123"/>
      <c r="M69" s="428">
        <f t="shared" si="35"/>
        <v>0</v>
      </c>
      <c r="N69" s="123"/>
      <c r="O69" s="123"/>
      <c r="P69" s="123"/>
      <c r="Q69" s="428">
        <f t="shared" si="36"/>
        <v>0</v>
      </c>
      <c r="R69" s="124"/>
      <c r="S69" s="124"/>
      <c r="T69" s="124"/>
      <c r="U69" s="428">
        <f t="shared" si="37"/>
        <v>0</v>
      </c>
      <c r="V69" s="428"/>
      <c r="W69" s="428"/>
      <c r="X69" s="428"/>
      <c r="Y69" s="428">
        <f t="shared" si="39"/>
        <v>0</v>
      </c>
      <c r="Z69" s="27">
        <f t="shared" si="14"/>
        <v>4.8852889030506716</v>
      </c>
    </row>
    <row r="70" spans="1:26">
      <c r="A70" s="427">
        <f t="shared" si="15"/>
        <v>42835</v>
      </c>
      <c r="B70" s="124">
        <f>'Equipment SCS 4-10-17'!S15</f>
        <v>4.4210564461391568</v>
      </c>
      <c r="C70" s="124">
        <f>'Construction Trucks SCS 4-10-17'!U15</f>
        <v>0.24587917043962487</v>
      </c>
      <c r="D70" s="124">
        <f>'WorkerTrips SCS 4-10-17'!G91</f>
        <v>0.21835328647189003</v>
      </c>
      <c r="E70" s="428">
        <f t="shared" ref="E70:E85" si="40">SUM(B70:D70)</f>
        <v>4.8852889030506716</v>
      </c>
      <c r="F70" s="123"/>
      <c r="G70" s="123"/>
      <c r="H70" s="123"/>
      <c r="I70" s="428">
        <f t="shared" ref="I70:I88" si="41">SUM(F70:H70)</f>
        <v>0</v>
      </c>
      <c r="J70" s="123"/>
      <c r="K70" s="123"/>
      <c r="L70" s="123"/>
      <c r="M70" s="428">
        <f t="shared" ref="M70:M88" si="42">SUM(J70:L70)</f>
        <v>0</v>
      </c>
      <c r="N70" s="123"/>
      <c r="O70" s="123"/>
      <c r="P70" s="123"/>
      <c r="Q70" s="428">
        <f t="shared" ref="Q70:Q88" si="43">SUM(N70:P70)</f>
        <v>0</v>
      </c>
      <c r="R70" s="124">
        <f>'Equipment Miguel 5-21-17'!S9</f>
        <v>1.7356292856453308</v>
      </c>
      <c r="S70" s="124">
        <f>'Construction Truck Mig 5-21-17'!U8</f>
        <v>0</v>
      </c>
      <c r="T70" s="124">
        <f>'WorkerTrips Mguel 5-21-17'!G89</f>
        <v>8.7341314588756019E-2</v>
      </c>
      <c r="U70" s="428">
        <f t="shared" ref="U70:U88" si="44">SUM(R70:T70)</f>
        <v>1.8229706002340869</v>
      </c>
      <c r="V70" s="428"/>
      <c r="W70" s="428"/>
      <c r="X70" s="428"/>
      <c r="Y70" s="428">
        <f t="shared" si="39"/>
        <v>0</v>
      </c>
      <c r="Z70" s="27">
        <f t="shared" si="14"/>
        <v>6.7082595032847587</v>
      </c>
    </row>
    <row r="71" spans="1:26">
      <c r="A71" s="427">
        <f t="shared" si="15"/>
        <v>42842</v>
      </c>
      <c r="B71" s="124">
        <f>'Equipment SCS 4-17-17'!S15</f>
        <v>4.4210564461391568</v>
      </c>
      <c r="C71" s="124">
        <f>'Construction Trucks SCS 4-17-17'!U15</f>
        <v>0.24587917043962487</v>
      </c>
      <c r="D71" s="124">
        <f>'WorkerTrips SCS 4-17-17'!G91</f>
        <v>0.21835328647189003</v>
      </c>
      <c r="E71" s="428">
        <f t="shared" si="40"/>
        <v>4.8852889030506716</v>
      </c>
      <c r="F71" s="123"/>
      <c r="G71" s="123"/>
      <c r="H71" s="123"/>
      <c r="I71" s="428">
        <f t="shared" si="41"/>
        <v>0</v>
      </c>
      <c r="J71" s="123"/>
      <c r="K71" s="123"/>
      <c r="L71" s="123"/>
      <c r="M71" s="428">
        <f t="shared" si="42"/>
        <v>0</v>
      </c>
      <c r="N71" s="124">
        <f>'Equipment 12kV Dist 422-58'!S14</f>
        <v>38.881548168953202</v>
      </c>
      <c r="O71" s="124">
        <f>'Trucks 12kV Dist 422-58'!U12</f>
        <v>0.36881875565943734</v>
      </c>
      <c r="P71" s="124">
        <f>'WorkerTrips 12kV Dist 422-58'!G89</f>
        <v>0.52404788753253606</v>
      </c>
      <c r="Q71" s="428">
        <f t="shared" si="43"/>
        <v>39.774414812145181</v>
      </c>
      <c r="R71" s="124">
        <f t="shared" ref="R71:T73" si="45">R70</f>
        <v>1.7356292856453308</v>
      </c>
      <c r="S71" s="124">
        <f t="shared" si="45"/>
        <v>0</v>
      </c>
      <c r="T71" s="124">
        <f t="shared" si="45"/>
        <v>8.7341314588756019E-2</v>
      </c>
      <c r="U71" s="428">
        <f t="shared" si="44"/>
        <v>1.8229706002340869</v>
      </c>
      <c r="V71" s="428"/>
      <c r="W71" s="428"/>
      <c r="X71" s="428"/>
      <c r="Y71" s="428">
        <f t="shared" si="39"/>
        <v>0</v>
      </c>
      <c r="Z71" s="27">
        <f t="shared" si="14"/>
        <v>46.482674315429939</v>
      </c>
    </row>
    <row r="72" spans="1:26">
      <c r="A72" s="427">
        <f t="shared" si="15"/>
        <v>42849</v>
      </c>
      <c r="B72" s="124">
        <f>'Equipment SCS 4-24-17'!S12</f>
        <v>0</v>
      </c>
      <c r="C72" s="124">
        <f>'Construction Trucks SCS 4-24-17'!U16</f>
        <v>0.12293958521981244</v>
      </c>
      <c r="D72" s="124">
        <f>'WorkerTrips SCS 4-24-17'!G91</f>
        <v>0.17468262917751204</v>
      </c>
      <c r="E72" s="428">
        <f t="shared" si="40"/>
        <v>0.2976222143973245</v>
      </c>
      <c r="F72" s="123"/>
      <c r="G72" s="123"/>
      <c r="H72" s="123"/>
      <c r="I72" s="428">
        <f t="shared" si="41"/>
        <v>0</v>
      </c>
      <c r="J72" s="123"/>
      <c r="K72" s="123"/>
      <c r="L72" s="123"/>
      <c r="M72" s="428">
        <f t="shared" si="42"/>
        <v>0</v>
      </c>
      <c r="N72" s="124">
        <f>N71</f>
        <v>38.881548168953202</v>
      </c>
      <c r="O72" s="124">
        <f>O71</f>
        <v>0.36881875565943734</v>
      </c>
      <c r="P72" s="124">
        <f>P71</f>
        <v>0.52404788753253606</v>
      </c>
      <c r="Q72" s="428">
        <f t="shared" si="43"/>
        <v>39.774414812145181</v>
      </c>
      <c r="R72" s="124">
        <f t="shared" si="45"/>
        <v>1.7356292856453308</v>
      </c>
      <c r="S72" s="124">
        <f t="shared" si="45"/>
        <v>0</v>
      </c>
      <c r="T72" s="124">
        <f t="shared" si="45"/>
        <v>8.7341314588756019E-2</v>
      </c>
      <c r="U72" s="428">
        <f t="shared" si="44"/>
        <v>1.8229706002340869</v>
      </c>
      <c r="V72" s="428"/>
      <c r="W72" s="428"/>
      <c r="X72" s="428"/>
      <c r="Y72" s="428">
        <f t="shared" si="39"/>
        <v>0</v>
      </c>
      <c r="Z72" s="27">
        <f t="shared" si="14"/>
        <v>41.895007626776589</v>
      </c>
    </row>
    <row r="73" spans="1:26">
      <c r="A73" s="427">
        <f t="shared" si="15"/>
        <v>42856</v>
      </c>
      <c r="B73" s="124">
        <f>'Equipment SCS 5-1-17'!S12</f>
        <v>0</v>
      </c>
      <c r="C73" s="124">
        <f>'Construction Trucks SCS 5-1-17'!U15</f>
        <v>0.12293958521981244</v>
      </c>
      <c r="D73" s="124">
        <f>'WorkerTrips SCS 5-1-17'!G91</f>
        <v>0.17468262917751204</v>
      </c>
      <c r="E73" s="428">
        <f t="shared" si="40"/>
        <v>0.2976222143973245</v>
      </c>
      <c r="F73" s="123"/>
      <c r="G73" s="123"/>
      <c r="H73" s="123"/>
      <c r="I73" s="428">
        <f t="shared" si="41"/>
        <v>0</v>
      </c>
      <c r="J73" s="123"/>
      <c r="K73" s="123"/>
      <c r="L73" s="123"/>
      <c r="M73" s="428">
        <f t="shared" si="42"/>
        <v>0</v>
      </c>
      <c r="N73" s="124">
        <f t="shared" ref="N73:N74" si="46">N72</f>
        <v>38.881548168953202</v>
      </c>
      <c r="O73" s="124">
        <f t="shared" ref="O73:O74" si="47">O72</f>
        <v>0.36881875565943734</v>
      </c>
      <c r="P73" s="124">
        <f t="shared" ref="P73:P74" si="48">P72</f>
        <v>0.52404788753253606</v>
      </c>
      <c r="Q73" s="428">
        <f t="shared" si="43"/>
        <v>39.774414812145181</v>
      </c>
      <c r="R73" s="124">
        <f t="shared" si="45"/>
        <v>1.7356292856453308</v>
      </c>
      <c r="S73" s="124">
        <f t="shared" si="45"/>
        <v>0</v>
      </c>
      <c r="T73" s="124">
        <f t="shared" si="45"/>
        <v>8.7341314588756019E-2</v>
      </c>
      <c r="U73" s="428">
        <f t="shared" si="44"/>
        <v>1.8229706002340869</v>
      </c>
      <c r="V73" s="428"/>
      <c r="W73" s="428"/>
      <c r="X73" s="428"/>
      <c r="Y73" s="428">
        <f t="shared" si="39"/>
        <v>0</v>
      </c>
      <c r="Z73" s="27">
        <f t="shared" si="14"/>
        <v>41.895007626776589</v>
      </c>
    </row>
    <row r="74" spans="1:26">
      <c r="A74" s="427">
        <f t="shared" si="15"/>
        <v>42863</v>
      </c>
      <c r="B74" s="124">
        <f>'Equipment SCS 5-8-17'!S12</f>
        <v>0</v>
      </c>
      <c r="C74" s="124">
        <f>'Construction Trucks SCS 5-8-17'!U16</f>
        <v>0.12293958521981244</v>
      </c>
      <c r="D74" s="124">
        <f>'WorkerTrips SCS 5-8-17'!G91</f>
        <v>0.17468262917751204</v>
      </c>
      <c r="E74" s="428">
        <f t="shared" si="40"/>
        <v>0.2976222143973245</v>
      </c>
      <c r="F74" s="123"/>
      <c r="G74" s="123"/>
      <c r="H74" s="123"/>
      <c r="I74" s="428">
        <f t="shared" si="41"/>
        <v>0</v>
      </c>
      <c r="J74" s="123"/>
      <c r="K74" s="123"/>
      <c r="L74" s="123"/>
      <c r="M74" s="428">
        <f t="shared" si="42"/>
        <v>0</v>
      </c>
      <c r="N74" s="124">
        <f t="shared" si="46"/>
        <v>38.881548168953202</v>
      </c>
      <c r="O74" s="124">
        <f t="shared" si="47"/>
        <v>0.36881875565943734</v>
      </c>
      <c r="P74" s="124">
        <f t="shared" si="48"/>
        <v>0.52404788753253606</v>
      </c>
      <c r="Q74" s="428">
        <f t="shared" si="43"/>
        <v>39.774414812145181</v>
      </c>
      <c r="R74" s="124">
        <f>'Equipment Miguel 6-23-17'!S9</f>
        <v>1.7356292856453308</v>
      </c>
      <c r="S74" s="124">
        <f>'Construction Truck Mig 6-23-17'!U11</f>
        <v>0.18440937782971867</v>
      </c>
      <c r="T74" s="124">
        <f>'WorkerTrips Miguel 6-23-17'!G89</f>
        <v>0.13101197188313402</v>
      </c>
      <c r="U74" s="428">
        <f t="shared" si="44"/>
        <v>2.0510506353581834</v>
      </c>
      <c r="V74" s="428"/>
      <c r="W74" s="428"/>
      <c r="X74" s="428"/>
      <c r="Y74" s="428">
        <f t="shared" si="39"/>
        <v>0</v>
      </c>
      <c r="Z74" s="27">
        <f t="shared" si="14"/>
        <v>42.123087661900684</v>
      </c>
    </row>
    <row r="75" spans="1:26">
      <c r="A75" s="427">
        <f t="shared" si="15"/>
        <v>42870</v>
      </c>
      <c r="B75" s="124">
        <f>'Equipment SCS 5-15-17'!S9</f>
        <v>0</v>
      </c>
      <c r="C75" s="124">
        <f>'Construction Trucks SCS 5-15-17'!U11</f>
        <v>6.1469792609906218E-2</v>
      </c>
      <c r="D75" s="124">
        <f>'WorkerTrips SCS 5-15-17'!G89</f>
        <v>8.7341314588756019E-2</v>
      </c>
      <c r="E75" s="428">
        <f t="shared" si="40"/>
        <v>0.14881110719866225</v>
      </c>
      <c r="F75" s="123"/>
      <c r="G75" s="123"/>
      <c r="H75" s="123"/>
      <c r="I75" s="428">
        <f t="shared" si="41"/>
        <v>0</v>
      </c>
      <c r="J75" s="123"/>
      <c r="K75" s="123"/>
      <c r="L75" s="123"/>
      <c r="M75" s="428">
        <f t="shared" si="42"/>
        <v>0</v>
      </c>
      <c r="N75" s="123"/>
      <c r="O75" s="123"/>
      <c r="P75" s="123"/>
      <c r="Q75" s="428">
        <f t="shared" si="43"/>
        <v>0</v>
      </c>
      <c r="R75" s="124">
        <f>'Equipment Miguel 6-30-17'!S9</f>
        <v>1.7356292856453308</v>
      </c>
      <c r="S75" s="124">
        <f>'Construction Truck Mig 6-30-17'!U11</f>
        <v>0.18440937782971867</v>
      </c>
      <c r="T75" s="124">
        <f>'WorkerTrips Miguel 6-30-17'!G89</f>
        <v>0.13101197188313402</v>
      </c>
      <c r="U75" s="428">
        <f t="shared" si="44"/>
        <v>2.0510506353581834</v>
      </c>
      <c r="V75" s="428"/>
      <c r="W75" s="428"/>
      <c r="X75" s="428"/>
      <c r="Y75" s="428">
        <f t="shared" si="39"/>
        <v>0</v>
      </c>
      <c r="Z75" s="27">
        <f t="shared" si="14"/>
        <v>2.1998617425568456</v>
      </c>
    </row>
    <row r="76" spans="1:26">
      <c r="A76" s="427">
        <f t="shared" si="15"/>
        <v>42877</v>
      </c>
      <c r="B76" s="124">
        <f t="shared" ref="B76:D80" si="49">B75</f>
        <v>0</v>
      </c>
      <c r="C76" s="124">
        <f t="shared" si="49"/>
        <v>6.1469792609906218E-2</v>
      </c>
      <c r="D76" s="124">
        <f t="shared" si="49"/>
        <v>8.7341314588756019E-2</v>
      </c>
      <c r="E76" s="428">
        <f t="shared" si="40"/>
        <v>0.14881110719866225</v>
      </c>
      <c r="F76" s="123"/>
      <c r="G76" s="123"/>
      <c r="H76" s="123"/>
      <c r="I76" s="428">
        <f t="shared" si="41"/>
        <v>0</v>
      </c>
      <c r="J76" s="123"/>
      <c r="K76" s="123"/>
      <c r="L76" s="123"/>
      <c r="M76" s="428">
        <f t="shared" si="42"/>
        <v>0</v>
      </c>
      <c r="N76" s="123"/>
      <c r="O76" s="123"/>
      <c r="P76" s="123"/>
      <c r="Q76" s="428">
        <f t="shared" si="43"/>
        <v>0</v>
      </c>
      <c r="R76" s="124">
        <f t="shared" ref="R76:T77" si="50">R75</f>
        <v>1.7356292856453308</v>
      </c>
      <c r="S76" s="124">
        <f t="shared" si="50"/>
        <v>0.18440937782971867</v>
      </c>
      <c r="T76" s="124">
        <f t="shared" si="50"/>
        <v>0.13101197188313402</v>
      </c>
      <c r="U76" s="428">
        <f t="shared" si="44"/>
        <v>2.0510506353581834</v>
      </c>
      <c r="V76" s="428"/>
      <c r="W76" s="428"/>
      <c r="X76" s="428"/>
      <c r="Y76" s="428">
        <f t="shared" si="39"/>
        <v>0</v>
      </c>
      <c r="Z76" s="27">
        <f t="shared" ref="Z76:Z88" si="51">E76+I76+M76+Q76+U76+Y76</f>
        <v>2.1998617425568456</v>
      </c>
    </row>
    <row r="77" spans="1:26">
      <c r="A77" s="427">
        <f t="shared" si="15"/>
        <v>42884</v>
      </c>
      <c r="B77" s="124">
        <f t="shared" si="49"/>
        <v>0</v>
      </c>
      <c r="C77" s="124">
        <f t="shared" si="49"/>
        <v>6.1469792609906218E-2</v>
      </c>
      <c r="D77" s="124">
        <f t="shared" si="49"/>
        <v>8.7341314588756019E-2</v>
      </c>
      <c r="E77" s="428">
        <f t="shared" si="40"/>
        <v>0.14881110719866225</v>
      </c>
      <c r="F77" s="123"/>
      <c r="G77" s="123"/>
      <c r="H77" s="123"/>
      <c r="I77" s="428">
        <f t="shared" si="41"/>
        <v>0</v>
      </c>
      <c r="J77" s="123"/>
      <c r="K77" s="123"/>
      <c r="L77" s="123"/>
      <c r="M77" s="428">
        <f t="shared" si="42"/>
        <v>0</v>
      </c>
      <c r="N77" s="123"/>
      <c r="O77" s="123"/>
      <c r="P77" s="123"/>
      <c r="Q77" s="428">
        <f t="shared" si="43"/>
        <v>0</v>
      </c>
      <c r="R77" s="124">
        <f t="shared" si="50"/>
        <v>1.7356292856453308</v>
      </c>
      <c r="S77" s="124">
        <f t="shared" si="50"/>
        <v>0.18440937782971867</v>
      </c>
      <c r="T77" s="124">
        <f t="shared" si="50"/>
        <v>0.13101197188313402</v>
      </c>
      <c r="U77" s="428">
        <f t="shared" si="44"/>
        <v>2.0510506353581834</v>
      </c>
      <c r="V77" s="428"/>
      <c r="W77" s="428"/>
      <c r="X77" s="428"/>
      <c r="Y77" s="428">
        <f t="shared" si="39"/>
        <v>0</v>
      </c>
      <c r="Z77" s="27">
        <f t="shared" si="51"/>
        <v>2.1998617425568456</v>
      </c>
    </row>
    <row r="78" spans="1:26">
      <c r="A78" s="427">
        <f t="shared" ref="A78:A88" si="52">7+A77</f>
        <v>42891</v>
      </c>
      <c r="B78" s="124">
        <f t="shared" si="49"/>
        <v>0</v>
      </c>
      <c r="C78" s="124">
        <f t="shared" si="49"/>
        <v>6.1469792609906218E-2</v>
      </c>
      <c r="D78" s="124">
        <f t="shared" si="49"/>
        <v>8.7341314588756019E-2</v>
      </c>
      <c r="E78" s="428">
        <f t="shared" si="40"/>
        <v>0.14881110719866225</v>
      </c>
      <c r="F78" s="123"/>
      <c r="G78" s="123"/>
      <c r="H78" s="123"/>
      <c r="I78" s="428">
        <f t="shared" si="41"/>
        <v>0</v>
      </c>
      <c r="J78" s="123"/>
      <c r="K78" s="123"/>
      <c r="L78" s="123"/>
      <c r="M78" s="428">
        <f t="shared" si="42"/>
        <v>0</v>
      </c>
      <c r="N78" s="123"/>
      <c r="O78" s="123"/>
      <c r="P78" s="123"/>
      <c r="Q78" s="428">
        <f t="shared" si="43"/>
        <v>0</v>
      </c>
      <c r="R78" s="124"/>
      <c r="S78" s="124"/>
      <c r="T78" s="124"/>
      <c r="U78" s="428">
        <f t="shared" si="44"/>
        <v>0</v>
      </c>
      <c r="V78" s="428"/>
      <c r="W78" s="428"/>
      <c r="X78" s="428"/>
      <c r="Y78" s="428">
        <f t="shared" si="39"/>
        <v>0</v>
      </c>
      <c r="Z78" s="27">
        <f t="shared" si="51"/>
        <v>0.14881110719866225</v>
      </c>
    </row>
    <row r="79" spans="1:26">
      <c r="A79" s="427">
        <f t="shared" si="52"/>
        <v>42898</v>
      </c>
      <c r="B79" s="124">
        <f t="shared" si="49"/>
        <v>0</v>
      </c>
      <c r="C79" s="124">
        <f t="shared" si="49"/>
        <v>6.1469792609906218E-2</v>
      </c>
      <c r="D79" s="124">
        <f t="shared" si="49"/>
        <v>8.7341314588756019E-2</v>
      </c>
      <c r="E79" s="428">
        <f t="shared" si="40"/>
        <v>0.14881110719866225</v>
      </c>
      <c r="F79" s="123"/>
      <c r="G79" s="123"/>
      <c r="H79" s="123"/>
      <c r="I79" s="428">
        <f t="shared" si="41"/>
        <v>0</v>
      </c>
      <c r="J79" s="123"/>
      <c r="K79" s="123"/>
      <c r="L79" s="123"/>
      <c r="M79" s="428">
        <f t="shared" si="42"/>
        <v>0</v>
      </c>
      <c r="N79" s="123"/>
      <c r="O79" s="123"/>
      <c r="P79" s="123"/>
      <c r="Q79" s="428">
        <f t="shared" si="43"/>
        <v>0</v>
      </c>
      <c r="R79" s="124"/>
      <c r="S79" s="124"/>
      <c r="T79" s="124"/>
      <c r="U79" s="428">
        <f t="shared" si="44"/>
        <v>0</v>
      </c>
      <c r="V79" s="428"/>
      <c r="W79" s="428"/>
      <c r="X79" s="428"/>
      <c r="Y79" s="428">
        <f t="shared" si="39"/>
        <v>0</v>
      </c>
      <c r="Z79" s="27">
        <f t="shared" si="51"/>
        <v>0.14881110719866225</v>
      </c>
    </row>
    <row r="80" spans="1:26">
      <c r="A80" s="427">
        <f t="shared" si="52"/>
        <v>42905</v>
      </c>
      <c r="B80" s="124">
        <f t="shared" si="49"/>
        <v>0</v>
      </c>
      <c r="C80" s="124">
        <f t="shared" si="49"/>
        <v>6.1469792609906218E-2</v>
      </c>
      <c r="D80" s="124">
        <f t="shared" si="49"/>
        <v>8.7341314588756019E-2</v>
      </c>
      <c r="E80" s="428">
        <f t="shared" si="40"/>
        <v>0.14881110719866225</v>
      </c>
      <c r="F80" s="123"/>
      <c r="G80" s="123"/>
      <c r="H80" s="123"/>
      <c r="I80" s="428">
        <f t="shared" si="41"/>
        <v>0</v>
      </c>
      <c r="J80" s="123"/>
      <c r="K80" s="123"/>
      <c r="L80" s="123"/>
      <c r="M80" s="428">
        <f t="shared" si="42"/>
        <v>0</v>
      </c>
      <c r="N80" s="123"/>
      <c r="O80" s="123"/>
      <c r="P80" s="123"/>
      <c r="Q80" s="428">
        <f t="shared" si="43"/>
        <v>0</v>
      </c>
      <c r="R80" s="124"/>
      <c r="S80" s="124"/>
      <c r="T80" s="124"/>
      <c r="U80" s="428">
        <f t="shared" si="44"/>
        <v>0</v>
      </c>
      <c r="V80" s="428"/>
      <c r="W80" s="428"/>
      <c r="X80" s="428"/>
      <c r="Y80" s="428">
        <f t="shared" si="39"/>
        <v>0</v>
      </c>
      <c r="Z80" s="27">
        <f t="shared" si="51"/>
        <v>0.14881110719866225</v>
      </c>
    </row>
    <row r="81" spans="1:26">
      <c r="A81" s="427">
        <f t="shared" si="52"/>
        <v>42912</v>
      </c>
      <c r="B81" s="124">
        <f>'Equipment SCS 6-23-17'!S9</f>
        <v>0</v>
      </c>
      <c r="C81" s="124">
        <f>'Construction Trucks SCS 6-23-17'!U13</f>
        <v>0.12293958521981244</v>
      </c>
      <c r="D81" s="124">
        <f>'WorkerTrips SCS 6-23-17'!G89</f>
        <v>0.17468262917751204</v>
      </c>
      <c r="E81" s="428">
        <f t="shared" si="40"/>
        <v>0.2976222143973245</v>
      </c>
      <c r="F81" s="123"/>
      <c r="G81" s="123"/>
      <c r="H81" s="123"/>
      <c r="I81" s="428">
        <f t="shared" si="41"/>
        <v>0</v>
      </c>
      <c r="J81" s="123"/>
      <c r="K81" s="123"/>
      <c r="L81" s="123"/>
      <c r="M81" s="428">
        <f t="shared" si="42"/>
        <v>0</v>
      </c>
      <c r="N81" s="123"/>
      <c r="O81" s="123"/>
      <c r="P81" s="123"/>
      <c r="Q81" s="428">
        <f t="shared" si="43"/>
        <v>0</v>
      </c>
      <c r="R81" s="124"/>
      <c r="S81" s="124"/>
      <c r="T81" s="124"/>
      <c r="U81" s="428">
        <f t="shared" si="44"/>
        <v>0</v>
      </c>
      <c r="V81" s="428"/>
      <c r="W81" s="428"/>
      <c r="X81" s="428"/>
      <c r="Y81" s="428">
        <f t="shared" si="39"/>
        <v>0</v>
      </c>
      <c r="Z81" s="27">
        <f t="shared" si="51"/>
        <v>0.2976222143973245</v>
      </c>
    </row>
    <row r="82" spans="1:26">
      <c r="A82" s="427">
        <f t="shared" si="52"/>
        <v>42919</v>
      </c>
      <c r="B82" s="124">
        <f>'Equipment SCS 6-30-17'!S9</f>
        <v>0</v>
      </c>
      <c r="C82" s="124">
        <f>'Construction Trucks SCS 6-30-17'!U12</f>
        <v>0.18440937782971867</v>
      </c>
      <c r="D82" s="124">
        <f>'WorkerTrips SCS 6-30-17'!G89</f>
        <v>8.7341314588756019E-2</v>
      </c>
      <c r="E82" s="428">
        <f t="shared" si="40"/>
        <v>0.27175069241847472</v>
      </c>
      <c r="F82" s="123"/>
      <c r="G82" s="123"/>
      <c r="H82" s="123"/>
      <c r="I82" s="428">
        <f t="shared" si="41"/>
        <v>0</v>
      </c>
      <c r="J82" s="123"/>
      <c r="K82" s="123"/>
      <c r="L82" s="123"/>
      <c r="M82" s="428">
        <f t="shared" si="42"/>
        <v>0</v>
      </c>
      <c r="N82" s="123"/>
      <c r="O82" s="123"/>
      <c r="P82" s="123"/>
      <c r="Q82" s="428">
        <f t="shared" si="43"/>
        <v>0</v>
      </c>
      <c r="R82" s="124"/>
      <c r="S82" s="124"/>
      <c r="T82" s="124"/>
      <c r="U82" s="428">
        <f t="shared" si="44"/>
        <v>0</v>
      </c>
      <c r="V82" s="428"/>
      <c r="W82" s="428"/>
      <c r="X82" s="428"/>
      <c r="Y82" s="428">
        <f t="shared" si="39"/>
        <v>0</v>
      </c>
      <c r="Z82" s="27">
        <f t="shared" si="51"/>
        <v>0.27175069241847472</v>
      </c>
    </row>
    <row r="83" spans="1:26">
      <c r="A83" s="427">
        <f t="shared" si="52"/>
        <v>42926</v>
      </c>
      <c r="B83" s="124">
        <f t="shared" ref="B83:D85" si="53">B82</f>
        <v>0</v>
      </c>
      <c r="C83" s="124">
        <f t="shared" si="53"/>
        <v>0.18440937782971867</v>
      </c>
      <c r="D83" s="124">
        <f t="shared" si="53"/>
        <v>8.7341314588756019E-2</v>
      </c>
      <c r="E83" s="428">
        <f t="shared" si="40"/>
        <v>0.27175069241847472</v>
      </c>
      <c r="F83" s="123"/>
      <c r="G83" s="123"/>
      <c r="H83" s="123"/>
      <c r="I83" s="428">
        <f t="shared" si="41"/>
        <v>0</v>
      </c>
      <c r="J83" s="123"/>
      <c r="K83" s="123"/>
      <c r="L83" s="123"/>
      <c r="M83" s="428">
        <f t="shared" si="42"/>
        <v>0</v>
      </c>
      <c r="N83" s="123"/>
      <c r="O83" s="123"/>
      <c r="P83" s="123"/>
      <c r="Q83" s="428">
        <f t="shared" si="43"/>
        <v>0</v>
      </c>
      <c r="R83" s="124"/>
      <c r="S83" s="124"/>
      <c r="T83" s="124"/>
      <c r="U83" s="428">
        <f t="shared" si="44"/>
        <v>0</v>
      </c>
      <c r="V83" s="428"/>
      <c r="W83" s="428"/>
      <c r="X83" s="428"/>
      <c r="Y83" s="428">
        <f t="shared" si="39"/>
        <v>0</v>
      </c>
      <c r="Z83" s="27">
        <f t="shared" si="51"/>
        <v>0.27175069241847472</v>
      </c>
    </row>
    <row r="84" spans="1:26">
      <c r="A84" s="427">
        <f t="shared" si="52"/>
        <v>42933</v>
      </c>
      <c r="B84" s="124">
        <f t="shared" si="53"/>
        <v>0</v>
      </c>
      <c r="C84" s="124">
        <f t="shared" si="53"/>
        <v>0.18440937782971867</v>
      </c>
      <c r="D84" s="124">
        <f t="shared" si="53"/>
        <v>8.7341314588756019E-2</v>
      </c>
      <c r="E84" s="428">
        <f t="shared" si="40"/>
        <v>0.27175069241847472</v>
      </c>
      <c r="F84" s="123"/>
      <c r="G84" s="123"/>
      <c r="H84" s="123"/>
      <c r="I84" s="428">
        <f t="shared" si="41"/>
        <v>0</v>
      </c>
      <c r="J84" s="123"/>
      <c r="K84" s="123"/>
      <c r="L84" s="123"/>
      <c r="M84" s="428">
        <f t="shared" si="42"/>
        <v>0</v>
      </c>
      <c r="N84" s="123"/>
      <c r="O84" s="123"/>
      <c r="P84" s="123"/>
      <c r="Q84" s="428">
        <f t="shared" si="43"/>
        <v>0</v>
      </c>
      <c r="R84" s="124"/>
      <c r="S84" s="124"/>
      <c r="T84" s="124"/>
      <c r="U84" s="428">
        <f t="shared" si="44"/>
        <v>0</v>
      </c>
      <c r="V84" s="428"/>
      <c r="W84" s="428"/>
      <c r="X84" s="428"/>
      <c r="Y84" s="428">
        <f t="shared" si="39"/>
        <v>0</v>
      </c>
      <c r="Z84" s="27">
        <f t="shared" si="51"/>
        <v>0.27175069241847472</v>
      </c>
    </row>
    <row r="85" spans="1:26">
      <c r="A85" s="427">
        <f t="shared" si="52"/>
        <v>42940</v>
      </c>
      <c r="B85" s="124">
        <f t="shared" si="53"/>
        <v>0</v>
      </c>
      <c r="C85" s="124">
        <f t="shared" si="53"/>
        <v>0.18440937782971867</v>
      </c>
      <c r="D85" s="124">
        <f t="shared" si="53"/>
        <v>8.7341314588756019E-2</v>
      </c>
      <c r="E85" s="428">
        <f t="shared" si="40"/>
        <v>0.27175069241847472</v>
      </c>
      <c r="F85" s="123"/>
      <c r="G85" s="123"/>
      <c r="H85" s="123"/>
      <c r="I85" s="428">
        <f t="shared" si="41"/>
        <v>0</v>
      </c>
      <c r="J85" s="123"/>
      <c r="K85" s="123"/>
      <c r="L85" s="123"/>
      <c r="M85" s="428">
        <f t="shared" si="42"/>
        <v>0</v>
      </c>
      <c r="N85" s="123"/>
      <c r="O85" s="123"/>
      <c r="P85" s="123"/>
      <c r="Q85" s="428">
        <f t="shared" si="43"/>
        <v>0</v>
      </c>
      <c r="R85" s="124"/>
      <c r="S85" s="124"/>
      <c r="T85" s="124"/>
      <c r="U85" s="428">
        <f t="shared" si="44"/>
        <v>0</v>
      </c>
      <c r="V85" s="428"/>
      <c r="W85" s="428"/>
      <c r="X85" s="428"/>
      <c r="Y85" s="428">
        <f t="shared" si="39"/>
        <v>0</v>
      </c>
      <c r="Z85" s="27">
        <f t="shared" si="51"/>
        <v>0.27175069241847472</v>
      </c>
    </row>
    <row r="86" spans="1:26">
      <c r="A86" s="427">
        <f t="shared" si="52"/>
        <v>42947</v>
      </c>
      <c r="B86" s="124"/>
      <c r="C86" s="124"/>
      <c r="D86" s="124"/>
      <c r="E86" s="428"/>
      <c r="F86" s="123"/>
      <c r="G86" s="123"/>
      <c r="H86" s="123"/>
      <c r="I86" s="428">
        <f t="shared" si="41"/>
        <v>0</v>
      </c>
      <c r="J86" s="123"/>
      <c r="K86" s="123"/>
      <c r="L86" s="123"/>
      <c r="M86" s="428">
        <f t="shared" si="42"/>
        <v>0</v>
      </c>
      <c r="N86" s="123"/>
      <c r="O86" s="123"/>
      <c r="P86" s="123"/>
      <c r="Q86" s="428">
        <f t="shared" si="43"/>
        <v>0</v>
      </c>
      <c r="R86" s="124"/>
      <c r="S86" s="124"/>
      <c r="T86" s="124"/>
      <c r="U86" s="428">
        <f t="shared" si="44"/>
        <v>0</v>
      </c>
      <c r="V86" s="428"/>
      <c r="W86" s="428"/>
      <c r="X86" s="428"/>
      <c r="Y86" s="428">
        <f t="shared" si="39"/>
        <v>0</v>
      </c>
      <c r="Z86" s="27">
        <f t="shared" si="51"/>
        <v>0</v>
      </c>
    </row>
    <row r="87" spans="1:26">
      <c r="A87" s="427">
        <f t="shared" si="52"/>
        <v>42954</v>
      </c>
      <c r="B87" s="124"/>
      <c r="C87" s="124"/>
      <c r="D87" s="124"/>
      <c r="E87" s="428"/>
      <c r="F87" s="123"/>
      <c r="G87" s="123"/>
      <c r="H87" s="123"/>
      <c r="I87" s="428">
        <f t="shared" si="41"/>
        <v>0</v>
      </c>
      <c r="J87" s="123"/>
      <c r="K87" s="123"/>
      <c r="L87" s="123"/>
      <c r="M87" s="428">
        <f t="shared" si="42"/>
        <v>0</v>
      </c>
      <c r="N87" s="123"/>
      <c r="O87" s="123"/>
      <c r="P87" s="123"/>
      <c r="Q87" s="428">
        <f t="shared" si="43"/>
        <v>0</v>
      </c>
      <c r="R87" s="124"/>
      <c r="S87" s="124"/>
      <c r="T87" s="124"/>
      <c r="U87" s="428">
        <f t="shared" si="44"/>
        <v>0</v>
      </c>
      <c r="V87" s="428"/>
      <c r="W87" s="428"/>
      <c r="X87" s="428"/>
      <c r="Y87" s="428">
        <f t="shared" si="39"/>
        <v>0</v>
      </c>
      <c r="Z87" s="27">
        <f t="shared" si="51"/>
        <v>0</v>
      </c>
    </row>
    <row r="88" spans="1:26">
      <c r="A88" s="427">
        <f t="shared" si="52"/>
        <v>42961</v>
      </c>
      <c r="B88" s="124"/>
      <c r="C88" s="124"/>
      <c r="D88" s="124"/>
      <c r="E88" s="428"/>
      <c r="F88" s="123"/>
      <c r="G88" s="123"/>
      <c r="H88" s="123"/>
      <c r="I88" s="428">
        <f t="shared" si="41"/>
        <v>0</v>
      </c>
      <c r="J88" s="123"/>
      <c r="K88" s="123"/>
      <c r="L88" s="123"/>
      <c r="M88" s="428">
        <f t="shared" si="42"/>
        <v>0</v>
      </c>
      <c r="N88" s="123"/>
      <c r="O88" s="123"/>
      <c r="P88" s="123"/>
      <c r="Q88" s="428">
        <f t="shared" si="43"/>
        <v>0</v>
      </c>
      <c r="R88" s="124"/>
      <c r="S88" s="124"/>
      <c r="T88" s="124"/>
      <c r="U88" s="428">
        <f t="shared" si="44"/>
        <v>0</v>
      </c>
      <c r="V88" s="428"/>
      <c r="W88" s="428"/>
      <c r="X88" s="428"/>
      <c r="Y88" s="428">
        <f t="shared" si="39"/>
        <v>0</v>
      </c>
      <c r="Z88" s="27">
        <f t="shared" si="51"/>
        <v>0</v>
      </c>
    </row>
  </sheetData>
  <mergeCells count="6">
    <mergeCell ref="V2:Y2"/>
    <mergeCell ref="B2:E2"/>
    <mergeCell ref="R2:U2"/>
    <mergeCell ref="N2:Q2"/>
    <mergeCell ref="J2:M2"/>
    <mergeCell ref="F2:I2"/>
  </mergeCells>
  <pageMargins left="0.7" right="0.7" top="0.75" bottom="0.75" header="0.3" footer="0.3"/>
  <pageSetup orientation="portrait" r:id="rId1"/>
</worksheet>
</file>

<file path=xl/worksheets/sheet383.xml><?xml version="1.0" encoding="utf-8"?>
<worksheet xmlns="http://schemas.openxmlformats.org/spreadsheetml/2006/main" xmlns:r="http://schemas.openxmlformats.org/officeDocument/2006/relationships">
  <sheetPr>
    <tabColor rgb="FFFF0000"/>
  </sheetPr>
  <dimension ref="A1:AS432"/>
  <sheetViews>
    <sheetView view="pageBreakPreview" zoomScale="75" zoomScaleSheetLayoutView="75" workbookViewId="0">
      <selection activeCell="O8" sqref="O8:R8"/>
    </sheetView>
  </sheetViews>
  <sheetFormatPr defaultColWidth="9.140625" defaultRowHeight="12.75"/>
  <cols>
    <col min="1" max="1" width="11.7109375" style="282" customWidth="1"/>
    <col min="2" max="23" width="5.7109375" style="282" customWidth="1"/>
    <col min="24" max="24" width="10.28515625" style="282" customWidth="1"/>
    <col min="25" max="37" width="8.7109375" style="282" customWidth="1"/>
    <col min="38" max="38" width="5" style="282" customWidth="1"/>
    <col min="39" max="41" width="11.7109375" style="282" customWidth="1"/>
    <col min="42" max="42" width="5" style="282" customWidth="1"/>
    <col min="43" max="43" width="6.42578125" style="282" customWidth="1"/>
    <col min="44" max="45" width="6.85546875" style="282" customWidth="1"/>
    <col min="46" max="16384" width="9.140625" style="282"/>
  </cols>
  <sheetData>
    <row r="1" spans="1:45" s="279" customFormat="1" ht="42" customHeight="1" thickBot="1">
      <c r="A1" s="679" t="s">
        <v>895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680"/>
      <c r="X1" s="280"/>
      <c r="Y1" s="681" t="s">
        <v>211</v>
      </c>
      <c r="Z1" s="682"/>
      <c r="AA1" s="682"/>
      <c r="AB1" s="682"/>
      <c r="AC1" s="682"/>
      <c r="AD1" s="683"/>
      <c r="AE1" s="281"/>
      <c r="AF1" s="681" t="s">
        <v>212</v>
      </c>
      <c r="AG1" s="682"/>
      <c r="AH1" s="682"/>
      <c r="AI1" s="682"/>
      <c r="AJ1" s="682"/>
      <c r="AK1" s="683"/>
      <c r="AM1" s="670" t="s">
        <v>386</v>
      </c>
      <c r="AN1" s="585"/>
      <c r="AO1" s="585"/>
      <c r="AQ1" s="741" t="s">
        <v>213</v>
      </c>
      <c r="AR1" s="742"/>
      <c r="AS1" s="743"/>
    </row>
    <row r="2" spans="1:45" s="283" customFormat="1" ht="26.25" customHeight="1" thickBot="1">
      <c r="A2" s="282"/>
      <c r="X2" s="284"/>
      <c r="Y2" s="744" t="s">
        <v>73</v>
      </c>
      <c r="Z2" s="745"/>
      <c r="AA2" s="745" t="s">
        <v>55</v>
      </c>
      <c r="AB2" s="745"/>
      <c r="AC2" s="745" t="s">
        <v>139</v>
      </c>
      <c r="AD2" s="746"/>
      <c r="AE2" s="285"/>
      <c r="AF2" s="744" t="s">
        <v>73</v>
      </c>
      <c r="AG2" s="745"/>
      <c r="AH2" s="745" t="s">
        <v>55</v>
      </c>
      <c r="AI2" s="745"/>
      <c r="AJ2" s="745" t="s">
        <v>139</v>
      </c>
      <c r="AK2" s="746"/>
      <c r="AL2" s="286"/>
      <c r="AM2" s="398" t="s">
        <v>73</v>
      </c>
      <c r="AN2" s="399" t="s">
        <v>55</v>
      </c>
      <c r="AO2" s="400" t="s">
        <v>139</v>
      </c>
      <c r="AP2" s="286"/>
      <c r="AQ2" s="747" t="s">
        <v>73</v>
      </c>
      <c r="AR2" s="749" t="s">
        <v>55</v>
      </c>
      <c r="AS2" s="751" t="s">
        <v>139</v>
      </c>
    </row>
    <row r="3" spans="1:45" s="291" customFormat="1" ht="35.25" customHeight="1" thickTop="1" thickBot="1">
      <c r="A3" s="287" t="s">
        <v>214</v>
      </c>
      <c r="B3" s="288">
        <v>1995</v>
      </c>
      <c r="C3" s="289">
        <v>1996</v>
      </c>
      <c r="D3" s="289">
        <v>1997</v>
      </c>
      <c r="E3" s="289">
        <v>1998</v>
      </c>
      <c r="F3" s="289">
        <v>1999</v>
      </c>
      <c r="G3" s="289">
        <v>2000</v>
      </c>
      <c r="H3" s="289">
        <v>2001</v>
      </c>
      <c r="I3" s="289">
        <v>2002</v>
      </c>
      <c r="J3" s="289">
        <v>2003</v>
      </c>
      <c r="K3" s="289">
        <v>2004</v>
      </c>
      <c r="L3" s="289">
        <v>2005</v>
      </c>
      <c r="M3" s="289">
        <v>2006</v>
      </c>
      <c r="N3" s="289">
        <v>2007</v>
      </c>
      <c r="O3" s="289">
        <v>2008</v>
      </c>
      <c r="P3" s="289">
        <v>2009</v>
      </c>
      <c r="Q3" s="289">
        <v>2010</v>
      </c>
      <c r="R3" s="289">
        <v>2011</v>
      </c>
      <c r="S3" s="289">
        <v>2012</v>
      </c>
      <c r="T3" s="289">
        <v>2013</v>
      </c>
      <c r="U3" s="289">
        <v>2014</v>
      </c>
      <c r="V3" s="290" t="s">
        <v>215</v>
      </c>
      <c r="X3" s="292" t="s">
        <v>214</v>
      </c>
      <c r="Y3" s="293" t="s">
        <v>216</v>
      </c>
      <c r="Z3" s="294" t="s">
        <v>217</v>
      </c>
      <c r="AA3" s="294" t="s">
        <v>216</v>
      </c>
      <c r="AB3" s="294" t="s">
        <v>217</v>
      </c>
      <c r="AC3" s="294" t="s">
        <v>216</v>
      </c>
      <c r="AD3" s="295" t="s">
        <v>217</v>
      </c>
      <c r="AE3" s="296"/>
      <c r="AF3" s="297" t="s">
        <v>216</v>
      </c>
      <c r="AG3" s="294" t="s">
        <v>217</v>
      </c>
      <c r="AH3" s="294" t="s">
        <v>216</v>
      </c>
      <c r="AI3" s="294" t="s">
        <v>217</v>
      </c>
      <c r="AJ3" s="294" t="s">
        <v>216</v>
      </c>
      <c r="AK3" s="295" t="s">
        <v>217</v>
      </c>
      <c r="AL3" s="298"/>
      <c r="AM3" s="297" t="s">
        <v>217</v>
      </c>
      <c r="AN3" s="294" t="s">
        <v>217</v>
      </c>
      <c r="AO3" s="295" t="s">
        <v>217</v>
      </c>
      <c r="AP3" s="298"/>
      <c r="AQ3" s="748"/>
      <c r="AR3" s="750"/>
      <c r="AS3" s="752"/>
    </row>
    <row r="4" spans="1:45" s="300" customFormat="1" ht="30" customHeight="1">
      <c r="A4" s="299" t="s">
        <v>218</v>
      </c>
      <c r="B4" s="725" t="s">
        <v>219</v>
      </c>
      <c r="C4" s="726"/>
      <c r="D4" s="726"/>
      <c r="E4" s="726"/>
      <c r="F4" s="727"/>
      <c r="G4" s="731" t="s">
        <v>220</v>
      </c>
      <c r="H4" s="732"/>
      <c r="I4" s="732"/>
      <c r="J4" s="732"/>
      <c r="K4" s="733"/>
      <c r="L4" s="734" t="s">
        <v>221</v>
      </c>
      <c r="M4" s="732"/>
      <c r="N4" s="733"/>
      <c r="O4" s="735" t="s">
        <v>222</v>
      </c>
      <c r="P4" s="736"/>
      <c r="Q4" s="736"/>
      <c r="R4" s="736"/>
      <c r="S4" s="736"/>
      <c r="T4" s="736"/>
      <c r="U4" s="736"/>
      <c r="V4" s="737"/>
      <c r="X4" s="376" t="s">
        <v>218</v>
      </c>
      <c r="Y4" s="301">
        <f>0.95*5.6</f>
        <v>5.3199999999999994</v>
      </c>
      <c r="Z4" s="302">
        <f>Y4/453.6</f>
        <v>1.1728395061728392E-2</v>
      </c>
      <c r="AA4" s="302">
        <v>6</v>
      </c>
      <c r="AB4" s="302">
        <f>AA4/453.6</f>
        <v>1.3227513227513227E-2</v>
      </c>
      <c r="AC4" s="302">
        <v>0.6</v>
      </c>
      <c r="AD4" s="303">
        <f>AC4/453.6</f>
        <v>1.3227513227513227E-3</v>
      </c>
      <c r="AE4" s="285"/>
      <c r="AF4" s="401">
        <f>0.95*5.6</f>
        <v>5.3199999999999994</v>
      </c>
      <c r="AG4" s="402">
        <f t="shared" ref="AG4:AG16" si="0">AF4/453.6</f>
        <v>1.1728395061728392E-2</v>
      </c>
      <c r="AH4" s="402">
        <v>6</v>
      </c>
      <c r="AI4" s="402">
        <f>AH4/453.6</f>
        <v>1.3227513227513227E-2</v>
      </c>
      <c r="AJ4" s="402">
        <v>0.6</v>
      </c>
      <c r="AK4" s="403">
        <f>AJ4/453.6</f>
        <v>1.3227513227513227E-3</v>
      </c>
      <c r="AL4" s="304"/>
      <c r="AM4" s="404">
        <f>0.7*Z4+0.3*AG4</f>
        <v>1.1728395061728392E-2</v>
      </c>
      <c r="AN4" s="405">
        <f>0.7*AB4+0.3*AI4</f>
        <v>1.3227513227513227E-2</v>
      </c>
      <c r="AO4" s="406">
        <f>0.7*AD4+0.3*AK4</f>
        <v>1.3227513227513227E-3</v>
      </c>
      <c r="AP4" s="304"/>
      <c r="AQ4" s="305">
        <f t="shared" ref="AQ4:AQ16" si="1">(Z4-AG4)/Z4</f>
        <v>0</v>
      </c>
      <c r="AR4" s="306">
        <f>(AB4-AI4)/AB4</f>
        <v>0</v>
      </c>
      <c r="AS4" s="307">
        <f>(AD4-AK4)/AD4</f>
        <v>0</v>
      </c>
    </row>
    <row r="5" spans="1:45" s="300" customFormat="1" ht="30" customHeight="1">
      <c r="A5" s="308" t="s">
        <v>223</v>
      </c>
      <c r="B5" s="728"/>
      <c r="C5" s="729"/>
      <c r="D5" s="729"/>
      <c r="E5" s="729"/>
      <c r="F5" s="730"/>
      <c r="G5" s="738" t="s">
        <v>224</v>
      </c>
      <c r="H5" s="700"/>
      <c r="I5" s="700"/>
      <c r="J5" s="700"/>
      <c r="K5" s="707"/>
      <c r="L5" s="705" t="s">
        <v>225</v>
      </c>
      <c r="M5" s="706"/>
      <c r="N5" s="707"/>
      <c r="O5" s="739" t="s">
        <v>226</v>
      </c>
      <c r="P5" s="713"/>
      <c r="Q5" s="713"/>
      <c r="R5" s="713"/>
      <c r="S5" s="713"/>
      <c r="T5" s="713"/>
      <c r="U5" s="713"/>
      <c r="V5" s="740"/>
      <c r="X5" s="376" t="s">
        <v>223</v>
      </c>
      <c r="Y5" s="301">
        <f>0.95*5.6</f>
        <v>5.3199999999999994</v>
      </c>
      <c r="Z5" s="310">
        <f t="shared" ref="Z5:Z16" si="2">Y5/453.6</f>
        <v>1.1728395061728392E-2</v>
      </c>
      <c r="AA5" s="310">
        <v>4.9000000000000004</v>
      </c>
      <c r="AB5" s="310">
        <f t="shared" ref="AB5:AB16" si="3">AA5/453.6</f>
        <v>1.0802469135802469E-2</v>
      </c>
      <c r="AC5" s="310">
        <v>0.6</v>
      </c>
      <c r="AD5" s="311">
        <f t="shared" ref="AD5:AD16" si="4">AC5/453.6</f>
        <v>1.3227513227513227E-3</v>
      </c>
      <c r="AE5" s="304"/>
      <c r="AF5" s="312">
        <f>0.95*5.6</f>
        <v>5.3199999999999994</v>
      </c>
      <c r="AG5" s="310">
        <f t="shared" si="0"/>
        <v>1.1728395061728392E-2</v>
      </c>
      <c r="AH5" s="310">
        <v>4.9000000000000004</v>
      </c>
      <c r="AI5" s="310">
        <f t="shared" ref="AI5:AI12" si="5">AH5/453.6</f>
        <v>1.0802469135802469E-2</v>
      </c>
      <c r="AJ5" s="310">
        <v>0.6</v>
      </c>
      <c r="AK5" s="311">
        <f t="shared" ref="AK5:AK12" si="6">AJ5/453.6</f>
        <v>1.3227513227513227E-3</v>
      </c>
      <c r="AL5" s="304"/>
      <c r="AM5" s="407">
        <f t="shared" ref="AM5:AM16" si="7">0.7*Z5+0.3*AG5</f>
        <v>1.1728395061728392E-2</v>
      </c>
      <c r="AN5" s="408">
        <f t="shared" ref="AN5:AN16" si="8">0.7*AB5+0.3*AI5</f>
        <v>1.0802469135802469E-2</v>
      </c>
      <c r="AO5" s="409">
        <f t="shared" ref="AO5:AO16" si="9">0.7*AD5+0.3*AK5</f>
        <v>1.3227513227513227E-3</v>
      </c>
      <c r="AP5" s="304"/>
      <c r="AQ5" s="313">
        <f t="shared" si="1"/>
        <v>0</v>
      </c>
      <c r="AR5" s="314">
        <f t="shared" ref="AR5:AR16" si="10">(AB5-AI5)/AB5</f>
        <v>0</v>
      </c>
      <c r="AS5" s="315">
        <f t="shared" ref="AS5:AS16" si="11">(AD5-AK5)/AD5</f>
        <v>0</v>
      </c>
    </row>
    <row r="6" spans="1:45" s="300" customFormat="1" ht="30" customHeight="1">
      <c r="A6" s="316" t="s">
        <v>227</v>
      </c>
      <c r="B6" s="377" t="s">
        <v>228</v>
      </c>
      <c r="C6" s="378"/>
      <c r="D6" s="378"/>
      <c r="E6" s="378"/>
      <c r="F6" s="317"/>
      <c r="G6" s="712" t="s">
        <v>229</v>
      </c>
      <c r="H6" s="713"/>
      <c r="I6" s="713"/>
      <c r="J6" s="714"/>
      <c r="K6" s="705" t="s">
        <v>230</v>
      </c>
      <c r="L6" s="713"/>
      <c r="M6" s="713"/>
      <c r="N6" s="714"/>
      <c r="O6" s="715" t="s">
        <v>231</v>
      </c>
      <c r="P6" s="706"/>
      <c r="Q6" s="706"/>
      <c r="R6" s="706"/>
      <c r="S6" s="706"/>
      <c r="T6" s="716" t="s">
        <v>232</v>
      </c>
      <c r="U6" s="706"/>
      <c r="V6" s="717"/>
      <c r="X6" s="376" t="s">
        <v>227</v>
      </c>
      <c r="Y6" s="301">
        <f>0.95*5.6</f>
        <v>5.3199999999999994</v>
      </c>
      <c r="Z6" s="310">
        <f t="shared" si="2"/>
        <v>1.1728395061728392E-2</v>
      </c>
      <c r="AA6" s="310">
        <v>4.0999999999999996</v>
      </c>
      <c r="AB6" s="310">
        <f t="shared" si="3"/>
        <v>9.0388007054673716E-3</v>
      </c>
      <c r="AC6" s="310">
        <v>0.45</v>
      </c>
      <c r="AD6" s="311">
        <f t="shared" si="4"/>
        <v>9.9206349206349201E-4</v>
      </c>
      <c r="AE6" s="304"/>
      <c r="AF6" s="312">
        <f>0.95*5.6</f>
        <v>5.3199999999999994</v>
      </c>
      <c r="AG6" s="310">
        <f t="shared" si="0"/>
        <v>1.1728395061728392E-2</v>
      </c>
      <c r="AH6" s="310">
        <v>4.0999999999999996</v>
      </c>
      <c r="AI6" s="310">
        <f t="shared" si="5"/>
        <v>9.0388007054673716E-3</v>
      </c>
      <c r="AJ6" s="310">
        <v>0.45</v>
      </c>
      <c r="AK6" s="311">
        <f t="shared" si="6"/>
        <v>9.9206349206349201E-4</v>
      </c>
      <c r="AL6" s="304"/>
      <c r="AM6" s="407">
        <f t="shared" si="7"/>
        <v>1.1728395061728392E-2</v>
      </c>
      <c r="AN6" s="408">
        <f t="shared" si="8"/>
        <v>9.0388007054673716E-3</v>
      </c>
      <c r="AO6" s="409">
        <f t="shared" si="9"/>
        <v>9.9206349206349201E-4</v>
      </c>
      <c r="AP6" s="304"/>
      <c r="AQ6" s="313">
        <f t="shared" si="1"/>
        <v>0</v>
      </c>
      <c r="AR6" s="314">
        <f t="shared" si="10"/>
        <v>0</v>
      </c>
      <c r="AS6" s="315">
        <f t="shared" si="11"/>
        <v>0</v>
      </c>
    </row>
    <row r="7" spans="1:45" s="300" customFormat="1" ht="30" customHeight="1">
      <c r="A7" s="308" t="s">
        <v>233</v>
      </c>
      <c r="B7" s="377"/>
      <c r="C7" s="378"/>
      <c r="D7" s="378"/>
      <c r="E7" s="318"/>
      <c r="F7" s="319"/>
      <c r="G7" s="319"/>
      <c r="H7" s="319"/>
      <c r="I7" s="319"/>
      <c r="J7" s="319"/>
      <c r="K7" s="699" t="s">
        <v>234</v>
      </c>
      <c r="L7" s="718"/>
      <c r="M7" s="718"/>
      <c r="N7" s="719"/>
      <c r="O7" s="715" t="s">
        <v>235</v>
      </c>
      <c r="P7" s="713"/>
      <c r="Q7" s="713"/>
      <c r="R7" s="713"/>
      <c r="S7" s="713"/>
      <c r="T7" s="716" t="s">
        <v>236</v>
      </c>
      <c r="U7" s="706"/>
      <c r="V7" s="717"/>
      <c r="X7" s="376" t="s">
        <v>233</v>
      </c>
      <c r="Y7" s="301">
        <f>0.95*5.6</f>
        <v>5.3199999999999994</v>
      </c>
      <c r="Z7" s="310">
        <f t="shared" si="2"/>
        <v>1.1728395061728392E-2</v>
      </c>
      <c r="AA7" s="310">
        <v>3.7</v>
      </c>
      <c r="AB7" s="310">
        <f t="shared" si="3"/>
        <v>8.1569664902998232E-3</v>
      </c>
      <c r="AC7" s="310">
        <v>0.3</v>
      </c>
      <c r="AD7" s="311">
        <f t="shared" si="4"/>
        <v>6.6137566137566134E-4</v>
      </c>
      <c r="AE7" s="304"/>
      <c r="AF7" s="312">
        <f>0.95*5.6</f>
        <v>5.3199999999999994</v>
      </c>
      <c r="AG7" s="310">
        <f t="shared" si="0"/>
        <v>1.1728395061728392E-2</v>
      </c>
      <c r="AH7" s="310">
        <v>3.7</v>
      </c>
      <c r="AI7" s="310">
        <f t="shared" si="5"/>
        <v>8.1569664902998232E-3</v>
      </c>
      <c r="AJ7" s="310">
        <v>0.3</v>
      </c>
      <c r="AK7" s="311">
        <f t="shared" si="6"/>
        <v>6.6137566137566134E-4</v>
      </c>
      <c r="AL7" s="304"/>
      <c r="AM7" s="407">
        <f t="shared" si="7"/>
        <v>1.1728395061728392E-2</v>
      </c>
      <c r="AN7" s="408">
        <f t="shared" si="8"/>
        <v>8.1569664902998232E-3</v>
      </c>
      <c r="AO7" s="409">
        <f t="shared" si="9"/>
        <v>6.6137566137566134E-4</v>
      </c>
      <c r="AP7" s="304"/>
      <c r="AQ7" s="313">
        <f t="shared" si="1"/>
        <v>0</v>
      </c>
      <c r="AR7" s="314">
        <f t="shared" si="10"/>
        <v>0</v>
      </c>
      <c r="AS7" s="315">
        <f t="shared" si="11"/>
        <v>0</v>
      </c>
    </row>
    <row r="8" spans="1:45" s="300" customFormat="1" ht="30" customHeight="1">
      <c r="A8" s="316" t="s">
        <v>237</v>
      </c>
      <c r="B8" s="377"/>
      <c r="C8" s="378"/>
      <c r="D8" s="378"/>
      <c r="E8" s="320"/>
      <c r="F8" s="319"/>
      <c r="G8" s="723" t="s">
        <v>238</v>
      </c>
      <c r="H8" s="693"/>
      <c r="I8" s="693"/>
      <c r="J8" s="694"/>
      <c r="K8" s="720"/>
      <c r="L8" s="721"/>
      <c r="M8" s="721"/>
      <c r="N8" s="722"/>
      <c r="O8" s="724" t="s">
        <v>239</v>
      </c>
      <c r="P8" s="713"/>
      <c r="Q8" s="713"/>
      <c r="R8" s="714"/>
      <c r="S8" s="702" t="s">
        <v>240</v>
      </c>
      <c r="T8" s="700"/>
      <c r="U8" s="700"/>
      <c r="V8" s="673" t="s">
        <v>241</v>
      </c>
      <c r="X8" s="376" t="s">
        <v>237</v>
      </c>
      <c r="Y8" s="301">
        <f>0.95*5.6</f>
        <v>5.3199999999999994</v>
      </c>
      <c r="Z8" s="310">
        <f t="shared" si="2"/>
        <v>1.1728395061728392E-2</v>
      </c>
      <c r="AA8" s="310">
        <v>3.7</v>
      </c>
      <c r="AB8" s="310">
        <f t="shared" si="3"/>
        <v>8.1569664902998232E-3</v>
      </c>
      <c r="AC8" s="310">
        <v>0.3</v>
      </c>
      <c r="AD8" s="311">
        <f t="shared" si="4"/>
        <v>6.6137566137566134E-4</v>
      </c>
      <c r="AE8" s="304"/>
      <c r="AF8" s="321">
        <f>0.95*3.5</f>
        <v>3.3249999999999997</v>
      </c>
      <c r="AG8" s="322">
        <f t="shared" si="0"/>
        <v>7.3302469135802456E-3</v>
      </c>
      <c r="AH8" s="322">
        <v>3.7</v>
      </c>
      <c r="AI8" s="322">
        <f t="shared" si="5"/>
        <v>8.1569664902998232E-3</v>
      </c>
      <c r="AJ8" s="322">
        <v>0.3</v>
      </c>
      <c r="AK8" s="323">
        <f t="shared" si="6"/>
        <v>6.6137566137566134E-4</v>
      </c>
      <c r="AL8" s="304"/>
      <c r="AM8" s="407">
        <f t="shared" si="7"/>
        <v>1.0408950617283948E-2</v>
      </c>
      <c r="AN8" s="408">
        <f t="shared" si="8"/>
        <v>8.1569664902998232E-3</v>
      </c>
      <c r="AO8" s="409">
        <f t="shared" si="9"/>
        <v>6.6137566137566134E-4</v>
      </c>
      <c r="AP8" s="304"/>
      <c r="AQ8" s="313">
        <f t="shared" si="1"/>
        <v>0.37499999999999994</v>
      </c>
      <c r="AR8" s="314">
        <f t="shared" si="10"/>
        <v>0</v>
      </c>
      <c r="AS8" s="315">
        <f t="shared" si="11"/>
        <v>0</v>
      </c>
    </row>
    <row r="9" spans="1:45" s="300" customFormat="1" ht="30" customHeight="1">
      <c r="A9" s="308" t="s">
        <v>242</v>
      </c>
      <c r="B9" s="377"/>
      <c r="C9" s="378"/>
      <c r="D9" s="324"/>
      <c r="E9" s="325"/>
      <c r="F9" s="325"/>
      <c r="G9" s="325"/>
      <c r="H9" s="325"/>
      <c r="I9" s="326"/>
      <c r="J9" s="705" t="s">
        <v>243</v>
      </c>
      <c r="K9" s="713"/>
      <c r="L9" s="713"/>
      <c r="M9" s="714"/>
      <c r="N9" s="724" t="s">
        <v>244</v>
      </c>
      <c r="O9" s="713"/>
      <c r="P9" s="713"/>
      <c r="Q9" s="713"/>
      <c r="R9" s="714"/>
      <c r="S9" s="703"/>
      <c r="T9" s="704"/>
      <c r="U9" s="704"/>
      <c r="V9" s="675"/>
      <c r="X9" s="376" t="s">
        <v>242</v>
      </c>
      <c r="Y9" s="309">
        <f>0.95*4.9</f>
        <v>4.6550000000000002</v>
      </c>
      <c r="Z9" s="310">
        <f t="shared" si="2"/>
        <v>1.0262345679012345E-2</v>
      </c>
      <c r="AA9" s="310">
        <v>3.7</v>
      </c>
      <c r="AB9" s="310">
        <f t="shared" si="3"/>
        <v>8.1569664902998232E-3</v>
      </c>
      <c r="AC9" s="310">
        <v>0.22</v>
      </c>
      <c r="AD9" s="311">
        <f t="shared" si="4"/>
        <v>4.8500881834215163E-4</v>
      </c>
      <c r="AE9" s="304"/>
      <c r="AF9" s="321">
        <f>0.95*3</f>
        <v>2.8499999999999996</v>
      </c>
      <c r="AG9" s="322">
        <f t="shared" si="0"/>
        <v>6.2830687830687819E-3</v>
      </c>
      <c r="AH9" s="322">
        <v>3.7</v>
      </c>
      <c r="AI9" s="322">
        <f t="shared" si="5"/>
        <v>8.1569664902998232E-3</v>
      </c>
      <c r="AJ9" s="322">
        <v>0.22</v>
      </c>
      <c r="AK9" s="323">
        <f t="shared" si="6"/>
        <v>4.8500881834215163E-4</v>
      </c>
      <c r="AL9" s="304"/>
      <c r="AM9" s="407">
        <f t="shared" si="7"/>
        <v>9.0685626102292756E-3</v>
      </c>
      <c r="AN9" s="408">
        <f t="shared" si="8"/>
        <v>8.1569664902998232E-3</v>
      </c>
      <c r="AO9" s="409">
        <f t="shared" si="9"/>
        <v>4.8500881834215163E-4</v>
      </c>
      <c r="AP9" s="304"/>
      <c r="AQ9" s="313">
        <f t="shared" si="1"/>
        <v>0.38775510204081642</v>
      </c>
      <c r="AR9" s="314">
        <f t="shared" si="10"/>
        <v>0</v>
      </c>
      <c r="AS9" s="315">
        <f t="shared" si="11"/>
        <v>0</v>
      </c>
    </row>
    <row r="10" spans="1:45" s="300" customFormat="1" ht="30" customHeight="1">
      <c r="A10" s="316" t="s">
        <v>245</v>
      </c>
      <c r="B10" s="327"/>
      <c r="C10" s="318"/>
      <c r="D10" s="319"/>
      <c r="E10" s="319"/>
      <c r="F10" s="319"/>
      <c r="G10" s="319"/>
      <c r="H10" s="319"/>
      <c r="I10" s="319"/>
      <c r="J10" s="705" t="s">
        <v>246</v>
      </c>
      <c r="K10" s="706"/>
      <c r="L10" s="707"/>
      <c r="M10" s="708" t="s">
        <v>247</v>
      </c>
      <c r="N10" s="700"/>
      <c r="O10" s="700"/>
      <c r="P10" s="700"/>
      <c r="Q10" s="701"/>
      <c r="R10" s="702" t="s">
        <v>248</v>
      </c>
      <c r="S10" s="700"/>
      <c r="T10" s="700"/>
      <c r="U10" s="328"/>
      <c r="V10" s="676" t="s">
        <v>249</v>
      </c>
      <c r="X10" s="376" t="s">
        <v>245</v>
      </c>
      <c r="Y10" s="309">
        <f>0.95*4.9</f>
        <v>4.6550000000000002</v>
      </c>
      <c r="Z10" s="310">
        <f t="shared" si="2"/>
        <v>1.0262345679012345E-2</v>
      </c>
      <c r="AA10" s="310">
        <v>2.6</v>
      </c>
      <c r="AB10" s="310">
        <f t="shared" si="3"/>
        <v>5.7319223985890649E-3</v>
      </c>
      <c r="AC10" s="310">
        <v>0.15</v>
      </c>
      <c r="AD10" s="311">
        <f t="shared" si="4"/>
        <v>3.3068783068783067E-4</v>
      </c>
      <c r="AE10" s="304"/>
      <c r="AF10" s="321">
        <f>0.95*3</f>
        <v>2.8499999999999996</v>
      </c>
      <c r="AG10" s="322">
        <f t="shared" si="0"/>
        <v>6.2830687830687819E-3</v>
      </c>
      <c r="AH10" s="322">
        <v>2.6</v>
      </c>
      <c r="AI10" s="322">
        <f t="shared" si="5"/>
        <v>5.7319223985890649E-3</v>
      </c>
      <c r="AJ10" s="322">
        <v>0.15</v>
      </c>
      <c r="AK10" s="323">
        <f t="shared" si="6"/>
        <v>3.3068783068783067E-4</v>
      </c>
      <c r="AL10" s="304"/>
      <c r="AM10" s="407">
        <f t="shared" si="7"/>
        <v>9.0685626102292756E-3</v>
      </c>
      <c r="AN10" s="408">
        <f t="shared" si="8"/>
        <v>5.7319223985890649E-3</v>
      </c>
      <c r="AO10" s="409">
        <f t="shared" si="9"/>
        <v>3.3068783068783067E-4</v>
      </c>
      <c r="AP10" s="304"/>
      <c r="AQ10" s="313">
        <f t="shared" si="1"/>
        <v>0.38775510204081642</v>
      </c>
      <c r="AR10" s="314">
        <f t="shared" si="10"/>
        <v>0</v>
      </c>
      <c r="AS10" s="315">
        <f t="shared" si="11"/>
        <v>0</v>
      </c>
    </row>
    <row r="11" spans="1:45" s="300" customFormat="1" ht="30" customHeight="1">
      <c r="A11" s="329" t="s">
        <v>250</v>
      </c>
      <c r="B11" s="378" t="s">
        <v>228</v>
      </c>
      <c r="C11" s="320"/>
      <c r="D11" s="319"/>
      <c r="E11" s="380" t="s">
        <v>251</v>
      </c>
      <c r="F11" s="319"/>
      <c r="G11" s="330"/>
      <c r="H11" s="331"/>
      <c r="I11" s="332"/>
      <c r="J11" s="333" t="s">
        <v>252</v>
      </c>
      <c r="K11" s="332"/>
      <c r="L11" s="332"/>
      <c r="M11" s="695"/>
      <c r="N11" s="693"/>
      <c r="O11" s="693"/>
      <c r="P11" s="693"/>
      <c r="Q11" s="694"/>
      <c r="R11" s="695"/>
      <c r="S11" s="693"/>
      <c r="T11" s="693"/>
      <c r="U11" s="334"/>
      <c r="V11" s="677"/>
      <c r="X11" s="376" t="s">
        <v>250</v>
      </c>
      <c r="Y11" s="309">
        <f t="shared" ref="Y11:Y16" si="12">0.95*4.8</f>
        <v>4.5599999999999996</v>
      </c>
      <c r="Z11" s="310">
        <f t="shared" si="2"/>
        <v>1.0052910052910051E-2</v>
      </c>
      <c r="AA11" s="310">
        <v>2.6</v>
      </c>
      <c r="AB11" s="310">
        <f t="shared" si="3"/>
        <v>5.7319223985890649E-3</v>
      </c>
      <c r="AC11" s="310">
        <v>0.15</v>
      </c>
      <c r="AD11" s="311">
        <f t="shared" si="4"/>
        <v>3.3068783068783067E-4</v>
      </c>
      <c r="AE11" s="304"/>
      <c r="AF11" s="321">
        <f>0.95*3</f>
        <v>2.8499999999999996</v>
      </c>
      <c r="AG11" s="322">
        <f t="shared" si="0"/>
        <v>6.2830687830687819E-3</v>
      </c>
      <c r="AH11" s="322">
        <v>2.6</v>
      </c>
      <c r="AI11" s="322">
        <f t="shared" si="5"/>
        <v>5.7319223985890649E-3</v>
      </c>
      <c r="AJ11" s="322">
        <v>0.15</v>
      </c>
      <c r="AK11" s="323">
        <f t="shared" si="6"/>
        <v>3.3068783068783067E-4</v>
      </c>
      <c r="AL11" s="304"/>
      <c r="AM11" s="407">
        <f t="shared" si="7"/>
        <v>8.9219576719576695E-3</v>
      </c>
      <c r="AN11" s="408">
        <f t="shared" si="8"/>
        <v>5.7319223985890649E-3</v>
      </c>
      <c r="AO11" s="409">
        <f t="shared" si="9"/>
        <v>3.3068783068783067E-4</v>
      </c>
      <c r="AP11" s="304"/>
      <c r="AQ11" s="313">
        <f t="shared" si="1"/>
        <v>0.375</v>
      </c>
      <c r="AR11" s="314">
        <f t="shared" si="10"/>
        <v>0</v>
      </c>
      <c r="AS11" s="315">
        <f t="shared" si="11"/>
        <v>0</v>
      </c>
    </row>
    <row r="12" spans="1:45" s="300" customFormat="1" ht="30" customHeight="1">
      <c r="A12" s="335" t="s">
        <v>253</v>
      </c>
      <c r="B12" s="327"/>
      <c r="C12" s="317"/>
      <c r="D12" s="325"/>
      <c r="E12" s="325"/>
      <c r="F12" s="325"/>
      <c r="G12" s="319"/>
      <c r="H12" s="330"/>
      <c r="I12" s="336"/>
      <c r="J12" s="337"/>
      <c r="K12" s="337"/>
      <c r="L12" s="338"/>
      <c r="M12" s="703"/>
      <c r="N12" s="704"/>
      <c r="O12" s="704"/>
      <c r="P12" s="704"/>
      <c r="Q12" s="709"/>
      <c r="R12" s="703"/>
      <c r="S12" s="704"/>
      <c r="T12" s="704"/>
      <c r="U12" s="328"/>
      <c r="V12" s="678"/>
      <c r="X12" s="376" t="s">
        <v>253</v>
      </c>
      <c r="Y12" s="309">
        <f t="shared" si="12"/>
        <v>4.5599999999999996</v>
      </c>
      <c r="Z12" s="310">
        <f t="shared" si="2"/>
        <v>1.0052910052910051E-2</v>
      </c>
      <c r="AA12" s="310">
        <v>2.6</v>
      </c>
      <c r="AB12" s="310">
        <f t="shared" si="3"/>
        <v>5.7319223985890649E-3</v>
      </c>
      <c r="AC12" s="310">
        <v>0.15</v>
      </c>
      <c r="AD12" s="311">
        <f t="shared" si="4"/>
        <v>3.3068783068783067E-4</v>
      </c>
      <c r="AE12" s="304"/>
      <c r="AF12" s="321">
        <f>0.95*3</f>
        <v>2.8499999999999996</v>
      </c>
      <c r="AG12" s="322">
        <f t="shared" si="0"/>
        <v>6.2830687830687819E-3</v>
      </c>
      <c r="AH12" s="322">
        <v>2.6</v>
      </c>
      <c r="AI12" s="322">
        <f t="shared" si="5"/>
        <v>5.7319223985890649E-3</v>
      </c>
      <c r="AJ12" s="322">
        <v>0.15</v>
      </c>
      <c r="AK12" s="323">
        <f t="shared" si="6"/>
        <v>3.3068783068783067E-4</v>
      </c>
      <c r="AL12" s="304"/>
      <c r="AM12" s="407">
        <f t="shared" si="7"/>
        <v>8.9219576719576695E-3</v>
      </c>
      <c r="AN12" s="408">
        <f t="shared" si="8"/>
        <v>5.7319223985890649E-3</v>
      </c>
      <c r="AO12" s="409">
        <f t="shared" si="9"/>
        <v>3.3068783068783067E-4</v>
      </c>
      <c r="AP12" s="304"/>
      <c r="AQ12" s="313">
        <f t="shared" si="1"/>
        <v>0.375</v>
      </c>
      <c r="AR12" s="314">
        <f t="shared" si="10"/>
        <v>0</v>
      </c>
      <c r="AS12" s="315">
        <f t="shared" si="11"/>
        <v>0</v>
      </c>
    </row>
    <row r="13" spans="1:45" s="300" customFormat="1" ht="30" customHeight="1">
      <c r="A13" s="684" t="s">
        <v>254</v>
      </c>
      <c r="B13" s="686" t="s">
        <v>228</v>
      </c>
      <c r="C13" s="687"/>
      <c r="D13" s="687"/>
      <c r="E13" s="687"/>
      <c r="F13" s="688"/>
      <c r="G13" s="692" t="s">
        <v>251</v>
      </c>
      <c r="H13" s="693"/>
      <c r="I13" s="693"/>
      <c r="J13" s="693"/>
      <c r="K13" s="693"/>
      <c r="L13" s="694"/>
      <c r="M13" s="699" t="s">
        <v>252</v>
      </c>
      <c r="N13" s="700"/>
      <c r="O13" s="700"/>
      <c r="P13" s="700"/>
      <c r="Q13" s="701"/>
      <c r="R13" s="702" t="s">
        <v>255</v>
      </c>
      <c r="S13" s="700"/>
      <c r="T13" s="700"/>
      <c r="U13" s="700"/>
      <c r="V13" s="673" t="s">
        <v>256</v>
      </c>
      <c r="X13" s="671" t="s">
        <v>254</v>
      </c>
      <c r="Y13" s="309">
        <f t="shared" si="12"/>
        <v>4.5599999999999996</v>
      </c>
      <c r="Z13" s="310">
        <f t="shared" si="2"/>
        <v>1.0052910052910051E-2</v>
      </c>
      <c r="AA13" s="310">
        <v>2.6</v>
      </c>
      <c r="AB13" s="310">
        <f t="shared" si="3"/>
        <v>5.7319223985890649E-3</v>
      </c>
      <c r="AC13" s="310">
        <v>0.15</v>
      </c>
      <c r="AD13" s="311">
        <f t="shared" si="4"/>
        <v>3.3068783068783067E-4</v>
      </c>
      <c r="AE13" s="304"/>
      <c r="AF13" s="312">
        <f>0.95*4.8</f>
        <v>4.5599999999999996</v>
      </c>
      <c r="AG13" s="310">
        <f t="shared" si="0"/>
        <v>1.0052910052910051E-2</v>
      </c>
      <c r="AH13" s="310">
        <v>2.6</v>
      </c>
      <c r="AI13" s="310">
        <f>AH13/453.6</f>
        <v>5.7319223985890649E-3</v>
      </c>
      <c r="AJ13" s="310">
        <v>0.15</v>
      </c>
      <c r="AK13" s="311">
        <f>AJ13/453.6</f>
        <v>3.3068783068783067E-4</v>
      </c>
      <c r="AL13" s="304"/>
      <c r="AM13" s="407">
        <f t="shared" si="7"/>
        <v>1.005291005291005E-2</v>
      </c>
      <c r="AN13" s="408">
        <f t="shared" si="8"/>
        <v>5.7319223985890649E-3</v>
      </c>
      <c r="AO13" s="409">
        <f t="shared" si="9"/>
        <v>3.3068783068783067E-4</v>
      </c>
      <c r="AP13" s="304"/>
      <c r="AQ13" s="313">
        <f t="shared" si="1"/>
        <v>0</v>
      </c>
      <c r="AR13" s="314">
        <f t="shared" si="10"/>
        <v>0</v>
      </c>
      <c r="AS13" s="315">
        <f t="shared" si="11"/>
        <v>0</v>
      </c>
    </row>
    <row r="14" spans="1:45" s="300" customFormat="1" ht="30" customHeight="1">
      <c r="A14" s="685"/>
      <c r="B14" s="686"/>
      <c r="C14" s="687"/>
      <c r="D14" s="687"/>
      <c r="E14" s="687"/>
      <c r="F14" s="688"/>
      <c r="G14" s="695"/>
      <c r="H14" s="693"/>
      <c r="I14" s="693"/>
      <c r="J14" s="693"/>
      <c r="K14" s="693"/>
      <c r="L14" s="694"/>
      <c r="M14" s="695"/>
      <c r="N14" s="693"/>
      <c r="O14" s="693"/>
      <c r="P14" s="693"/>
      <c r="Q14" s="694"/>
      <c r="R14" s="695"/>
      <c r="S14" s="693"/>
      <c r="T14" s="693"/>
      <c r="U14" s="693"/>
      <c r="V14" s="675"/>
      <c r="X14" s="672"/>
      <c r="Y14" s="309">
        <f t="shared" si="12"/>
        <v>4.5599999999999996</v>
      </c>
      <c r="Z14" s="310">
        <f t="shared" si="2"/>
        <v>1.0052910052910051E-2</v>
      </c>
      <c r="AA14" s="310">
        <v>2.6</v>
      </c>
      <c r="AB14" s="310">
        <f t="shared" si="3"/>
        <v>5.7319223985890649E-3</v>
      </c>
      <c r="AC14" s="310">
        <v>0.15</v>
      </c>
      <c r="AD14" s="311">
        <f t="shared" si="4"/>
        <v>3.3068783068783067E-4</v>
      </c>
      <c r="AE14" s="304"/>
      <c r="AF14" s="312">
        <f>0.95*4.8</f>
        <v>4.5599999999999996</v>
      </c>
      <c r="AG14" s="310">
        <f t="shared" si="0"/>
        <v>1.0052910052910051E-2</v>
      </c>
      <c r="AH14" s="310">
        <v>2.6</v>
      </c>
      <c r="AI14" s="310">
        <f>AH14/453.6</f>
        <v>5.7319223985890649E-3</v>
      </c>
      <c r="AJ14" s="310">
        <v>0.15</v>
      </c>
      <c r="AK14" s="311">
        <f>AJ14/453.6</f>
        <v>3.3068783068783067E-4</v>
      </c>
      <c r="AL14" s="304"/>
      <c r="AM14" s="407">
        <f t="shared" si="7"/>
        <v>1.005291005291005E-2</v>
      </c>
      <c r="AN14" s="408">
        <f t="shared" si="8"/>
        <v>5.7319223985890649E-3</v>
      </c>
      <c r="AO14" s="409">
        <f t="shared" si="9"/>
        <v>3.3068783068783067E-4</v>
      </c>
      <c r="AP14" s="304"/>
      <c r="AQ14" s="313">
        <f t="shared" si="1"/>
        <v>0</v>
      </c>
      <c r="AR14" s="314">
        <f t="shared" si="10"/>
        <v>0</v>
      </c>
      <c r="AS14" s="315">
        <f t="shared" si="11"/>
        <v>0</v>
      </c>
    </row>
    <row r="15" spans="1:45" s="300" customFormat="1" ht="30" customHeight="1">
      <c r="A15" s="329" t="s">
        <v>257</v>
      </c>
      <c r="B15" s="686"/>
      <c r="C15" s="687"/>
      <c r="D15" s="687"/>
      <c r="E15" s="687"/>
      <c r="F15" s="688"/>
      <c r="G15" s="695"/>
      <c r="H15" s="693"/>
      <c r="I15" s="693"/>
      <c r="J15" s="693"/>
      <c r="K15" s="693"/>
      <c r="L15" s="694"/>
      <c r="M15" s="695"/>
      <c r="N15" s="693"/>
      <c r="O15" s="693"/>
      <c r="P15" s="693"/>
      <c r="Q15" s="694"/>
      <c r="R15" s="703"/>
      <c r="S15" s="704"/>
      <c r="T15" s="704"/>
      <c r="U15" s="704"/>
      <c r="V15" s="673" t="s">
        <v>258</v>
      </c>
      <c r="X15" s="376" t="s">
        <v>257</v>
      </c>
      <c r="Y15" s="309">
        <f t="shared" si="12"/>
        <v>4.5599999999999996</v>
      </c>
      <c r="Z15" s="310">
        <f t="shared" si="2"/>
        <v>1.0052910052910051E-2</v>
      </c>
      <c r="AA15" s="310">
        <v>2.6</v>
      </c>
      <c r="AB15" s="310">
        <f t="shared" si="3"/>
        <v>5.7319223985890649E-3</v>
      </c>
      <c r="AC15" s="310">
        <v>0.15</v>
      </c>
      <c r="AD15" s="311">
        <f t="shared" si="4"/>
        <v>3.3068783068783067E-4</v>
      </c>
      <c r="AE15" s="304"/>
      <c r="AF15" s="312">
        <f>0.95*4.8</f>
        <v>4.5599999999999996</v>
      </c>
      <c r="AG15" s="310">
        <f t="shared" si="0"/>
        <v>1.0052910052910051E-2</v>
      </c>
      <c r="AH15" s="310">
        <v>2.6</v>
      </c>
      <c r="AI15" s="310">
        <f>AH15/453.6</f>
        <v>5.7319223985890649E-3</v>
      </c>
      <c r="AJ15" s="310">
        <v>0.15</v>
      </c>
      <c r="AK15" s="311">
        <f>AJ15/453.6</f>
        <v>3.3068783068783067E-4</v>
      </c>
      <c r="AL15" s="304"/>
      <c r="AM15" s="407">
        <f t="shared" si="7"/>
        <v>1.005291005291005E-2</v>
      </c>
      <c r="AN15" s="408">
        <f t="shared" si="8"/>
        <v>5.7319223985890649E-3</v>
      </c>
      <c r="AO15" s="409">
        <f t="shared" si="9"/>
        <v>3.3068783068783067E-4</v>
      </c>
      <c r="AP15" s="304"/>
      <c r="AQ15" s="313">
        <f t="shared" si="1"/>
        <v>0</v>
      </c>
      <c r="AR15" s="314">
        <f t="shared" si="10"/>
        <v>0</v>
      </c>
      <c r="AS15" s="315">
        <f t="shared" si="11"/>
        <v>0</v>
      </c>
    </row>
    <row r="16" spans="1:45" s="300" customFormat="1" ht="30" customHeight="1" thickBot="1">
      <c r="A16" s="339" t="s">
        <v>259</v>
      </c>
      <c r="B16" s="689"/>
      <c r="C16" s="690"/>
      <c r="D16" s="690"/>
      <c r="E16" s="690"/>
      <c r="F16" s="691"/>
      <c r="G16" s="696"/>
      <c r="H16" s="697"/>
      <c r="I16" s="697"/>
      <c r="J16" s="697"/>
      <c r="K16" s="697"/>
      <c r="L16" s="698"/>
      <c r="M16" s="696"/>
      <c r="N16" s="697"/>
      <c r="O16" s="697"/>
      <c r="P16" s="697"/>
      <c r="Q16" s="698"/>
      <c r="R16" s="710" t="s">
        <v>260</v>
      </c>
      <c r="S16" s="711"/>
      <c r="T16" s="711"/>
      <c r="U16" s="711"/>
      <c r="V16" s="674"/>
      <c r="X16" s="340" t="s">
        <v>259</v>
      </c>
      <c r="Y16" s="309">
        <f t="shared" si="12"/>
        <v>4.5599999999999996</v>
      </c>
      <c r="Z16" s="341">
        <f t="shared" si="2"/>
        <v>1.0052910052910051E-2</v>
      </c>
      <c r="AA16" s="341">
        <v>2.6</v>
      </c>
      <c r="AB16" s="341">
        <f t="shared" si="3"/>
        <v>5.7319223985890649E-3</v>
      </c>
      <c r="AC16" s="341">
        <v>0.15</v>
      </c>
      <c r="AD16" s="342">
        <f t="shared" si="4"/>
        <v>3.3068783068783067E-4</v>
      </c>
      <c r="AE16" s="304"/>
      <c r="AF16" s="343">
        <f>0.95*4.8</f>
        <v>4.5599999999999996</v>
      </c>
      <c r="AG16" s="341">
        <f t="shared" si="0"/>
        <v>1.0052910052910051E-2</v>
      </c>
      <c r="AH16" s="341">
        <v>2.6</v>
      </c>
      <c r="AI16" s="341">
        <f>AH16/453.6</f>
        <v>5.7319223985890649E-3</v>
      </c>
      <c r="AJ16" s="341">
        <v>0.15</v>
      </c>
      <c r="AK16" s="342">
        <f>AJ16/453.6</f>
        <v>3.3068783068783067E-4</v>
      </c>
      <c r="AL16" s="304"/>
      <c r="AM16" s="410">
        <f t="shared" si="7"/>
        <v>1.005291005291005E-2</v>
      </c>
      <c r="AN16" s="411">
        <f t="shared" si="8"/>
        <v>5.7319223985890649E-3</v>
      </c>
      <c r="AO16" s="412">
        <f t="shared" si="9"/>
        <v>3.3068783068783067E-4</v>
      </c>
      <c r="AP16" s="304"/>
      <c r="AQ16" s="344">
        <f t="shared" si="1"/>
        <v>0</v>
      </c>
      <c r="AR16" s="345">
        <f t="shared" si="10"/>
        <v>0</v>
      </c>
      <c r="AS16" s="346">
        <f t="shared" si="11"/>
        <v>0</v>
      </c>
    </row>
    <row r="17" spans="1:32" s="347" customFormat="1" ht="13.5" thickTop="1"/>
    <row r="18" spans="1:32" s="347" customFormat="1">
      <c r="A18" s="347" t="s">
        <v>261</v>
      </c>
    </row>
    <row r="19" spans="1:32">
      <c r="A19" s="347" t="s">
        <v>262</v>
      </c>
      <c r="AF19" s="348"/>
    </row>
    <row r="20" spans="1:32" s="347" customFormat="1">
      <c r="A20" s="347" t="s">
        <v>263</v>
      </c>
    </row>
    <row r="21" spans="1:32" s="347" customFormat="1">
      <c r="A21" s="347" t="s">
        <v>264</v>
      </c>
    </row>
    <row r="22" spans="1:32" s="349" customFormat="1">
      <c r="A22" s="347" t="s">
        <v>265</v>
      </c>
    </row>
    <row r="24" spans="1:32" s="349" customFormat="1">
      <c r="A24" s="347"/>
      <c r="F24" s="350"/>
      <c r="G24" s="668" t="s">
        <v>266</v>
      </c>
      <c r="J24" s="351"/>
      <c r="K24" s="668" t="s">
        <v>267</v>
      </c>
      <c r="N24" s="352"/>
      <c r="O24" s="669" t="s">
        <v>268</v>
      </c>
      <c r="R24" s="353"/>
      <c r="S24" s="354"/>
      <c r="T24" s="379" t="s">
        <v>269</v>
      </c>
      <c r="U24" s="348"/>
      <c r="V24" s="348"/>
      <c r="Y24" s="351"/>
      <c r="Z24" s="668" t="s">
        <v>267</v>
      </c>
      <c r="AC24" s="352"/>
      <c r="AD24" s="669" t="s">
        <v>268</v>
      </c>
    </row>
    <row r="25" spans="1:32" s="349" customFormat="1">
      <c r="A25" s="347"/>
      <c r="F25" s="355"/>
      <c r="G25" s="668"/>
      <c r="J25" s="356"/>
      <c r="K25" s="668"/>
      <c r="N25" s="357"/>
      <c r="O25" s="669"/>
      <c r="R25" s="358"/>
      <c r="S25" s="359"/>
      <c r="T25" s="360"/>
      <c r="U25" s="348"/>
      <c r="V25" s="348"/>
      <c r="Y25" s="356"/>
      <c r="Z25" s="668"/>
      <c r="AC25" s="357"/>
      <c r="AD25" s="669"/>
    </row>
    <row r="26" spans="1:32" s="349" customFormat="1">
      <c r="A26" s="347"/>
    </row>
    <row r="27" spans="1:32" s="362" customFormat="1">
      <c r="A27" s="361"/>
    </row>
    <row r="28" spans="1:32" s="362" customFormat="1">
      <c r="A28" s="361"/>
    </row>
    <row r="29" spans="1:32" s="362" customFormat="1">
      <c r="A29" s="361"/>
    </row>
    <row r="30" spans="1:32" s="362" customFormat="1">
      <c r="A30" s="361"/>
    </row>
    <row r="31" spans="1:32" s="362" customFormat="1">
      <c r="A31" s="361"/>
    </row>
    <row r="32" spans="1:32" s="362" customFormat="1">
      <c r="A32" s="361"/>
    </row>
    <row r="33" spans="1:1" s="362" customFormat="1">
      <c r="A33" s="361"/>
    </row>
    <row r="34" spans="1:1" s="362" customFormat="1">
      <c r="A34" s="361"/>
    </row>
    <row r="35" spans="1:1" s="362" customFormat="1">
      <c r="A35" s="361"/>
    </row>
    <row r="36" spans="1:1" s="362" customFormat="1">
      <c r="A36" s="361"/>
    </row>
    <row r="37" spans="1:1" s="362" customFormat="1">
      <c r="A37" s="361"/>
    </row>
    <row r="38" spans="1:1" s="362" customFormat="1">
      <c r="A38" s="361"/>
    </row>
    <row r="39" spans="1:1" s="362" customFormat="1">
      <c r="A39" s="361"/>
    </row>
    <row r="40" spans="1:1" s="362" customFormat="1">
      <c r="A40" s="361"/>
    </row>
    <row r="41" spans="1:1" s="362" customFormat="1">
      <c r="A41" s="361"/>
    </row>
    <row r="42" spans="1:1" s="362" customFormat="1">
      <c r="A42" s="361"/>
    </row>
    <row r="43" spans="1:1" s="362" customFormat="1">
      <c r="A43" s="361"/>
    </row>
    <row r="44" spans="1:1" s="362" customFormat="1">
      <c r="A44" s="361"/>
    </row>
    <row r="45" spans="1:1" s="362" customFormat="1">
      <c r="A45" s="361"/>
    </row>
    <row r="46" spans="1:1" s="362" customFormat="1">
      <c r="A46" s="361"/>
    </row>
    <row r="47" spans="1:1" s="362" customFormat="1">
      <c r="A47" s="361"/>
    </row>
    <row r="48" spans="1:1" s="362" customFormat="1">
      <c r="A48" s="361"/>
    </row>
    <row r="49" spans="1:1" s="362" customFormat="1">
      <c r="A49" s="361"/>
    </row>
    <row r="50" spans="1:1" s="362" customFormat="1">
      <c r="A50" s="361"/>
    </row>
    <row r="51" spans="1:1" s="362" customFormat="1">
      <c r="A51" s="361"/>
    </row>
    <row r="52" spans="1:1" s="362" customFormat="1">
      <c r="A52" s="361"/>
    </row>
    <row r="53" spans="1:1" s="362" customFormat="1">
      <c r="A53" s="361"/>
    </row>
    <row r="54" spans="1:1" s="362" customFormat="1">
      <c r="A54" s="361"/>
    </row>
    <row r="55" spans="1:1" s="362" customFormat="1">
      <c r="A55" s="361"/>
    </row>
    <row r="56" spans="1:1" s="362" customFormat="1">
      <c r="A56" s="361"/>
    </row>
    <row r="57" spans="1:1" s="362" customFormat="1">
      <c r="A57" s="361"/>
    </row>
    <row r="58" spans="1:1" s="362" customFormat="1">
      <c r="A58" s="361"/>
    </row>
    <row r="59" spans="1:1" s="362" customFormat="1">
      <c r="A59" s="361"/>
    </row>
    <row r="60" spans="1:1" s="362" customFormat="1">
      <c r="A60" s="361"/>
    </row>
    <row r="61" spans="1:1" s="362" customFormat="1">
      <c r="A61" s="361"/>
    </row>
    <row r="62" spans="1:1" s="362" customFormat="1">
      <c r="A62" s="361"/>
    </row>
    <row r="63" spans="1:1" s="362" customFormat="1">
      <c r="A63" s="361"/>
    </row>
    <row r="64" spans="1:1" s="362" customFormat="1">
      <c r="A64" s="361"/>
    </row>
    <row r="65" spans="1:1" s="362" customFormat="1">
      <c r="A65" s="361"/>
    </row>
    <row r="66" spans="1:1" s="362" customFormat="1">
      <c r="A66" s="361"/>
    </row>
    <row r="67" spans="1:1" s="362" customFormat="1">
      <c r="A67" s="361"/>
    </row>
    <row r="68" spans="1:1" s="362" customFormat="1">
      <c r="A68" s="361"/>
    </row>
    <row r="69" spans="1:1" s="362" customFormat="1">
      <c r="A69" s="361"/>
    </row>
    <row r="70" spans="1:1" s="362" customFormat="1">
      <c r="A70" s="361"/>
    </row>
    <row r="71" spans="1:1" s="362" customFormat="1">
      <c r="A71" s="361"/>
    </row>
    <row r="72" spans="1:1" s="362" customFormat="1">
      <c r="A72" s="361"/>
    </row>
    <row r="73" spans="1:1" s="362" customFormat="1">
      <c r="A73" s="361"/>
    </row>
    <row r="74" spans="1:1" s="362" customFormat="1">
      <c r="A74" s="361"/>
    </row>
    <row r="75" spans="1:1" s="362" customFormat="1">
      <c r="A75" s="361"/>
    </row>
    <row r="76" spans="1:1" s="362" customFormat="1">
      <c r="A76" s="361"/>
    </row>
    <row r="77" spans="1:1" s="362" customFormat="1">
      <c r="A77" s="361"/>
    </row>
    <row r="78" spans="1:1" s="362" customFormat="1">
      <c r="A78" s="361"/>
    </row>
    <row r="79" spans="1:1" s="362" customFormat="1">
      <c r="A79" s="361"/>
    </row>
    <row r="80" spans="1:1" s="362" customFormat="1">
      <c r="A80" s="361"/>
    </row>
    <row r="81" spans="1:1" s="362" customFormat="1">
      <c r="A81" s="361"/>
    </row>
    <row r="82" spans="1:1" s="362" customFormat="1">
      <c r="A82" s="361"/>
    </row>
    <row r="83" spans="1:1" s="362" customFormat="1">
      <c r="A83" s="361"/>
    </row>
    <row r="84" spans="1:1" s="362" customFormat="1">
      <c r="A84" s="361"/>
    </row>
    <row r="85" spans="1:1" s="362" customFormat="1">
      <c r="A85" s="361"/>
    </row>
    <row r="86" spans="1:1" s="362" customFormat="1">
      <c r="A86" s="361"/>
    </row>
    <row r="87" spans="1:1" s="362" customFormat="1">
      <c r="A87" s="361"/>
    </row>
    <row r="88" spans="1:1" s="362" customFormat="1">
      <c r="A88" s="361"/>
    </row>
    <row r="89" spans="1:1" s="362" customFormat="1">
      <c r="A89" s="361"/>
    </row>
    <row r="90" spans="1:1" s="362" customFormat="1">
      <c r="A90" s="361"/>
    </row>
    <row r="91" spans="1:1" s="362" customFormat="1">
      <c r="A91" s="361"/>
    </row>
    <row r="92" spans="1:1" s="362" customFormat="1">
      <c r="A92" s="361"/>
    </row>
    <row r="93" spans="1:1" s="362" customFormat="1">
      <c r="A93" s="361"/>
    </row>
    <row r="94" spans="1:1" s="362" customFormat="1">
      <c r="A94" s="361"/>
    </row>
    <row r="95" spans="1:1" s="362" customFormat="1">
      <c r="A95" s="361"/>
    </row>
    <row r="96" spans="1:1" s="362" customFormat="1">
      <c r="A96" s="361"/>
    </row>
    <row r="97" spans="1:1" s="362" customFormat="1">
      <c r="A97" s="361"/>
    </row>
    <row r="98" spans="1:1" s="362" customFormat="1">
      <c r="A98" s="361"/>
    </row>
    <row r="99" spans="1:1" s="362" customFormat="1">
      <c r="A99" s="361"/>
    </row>
    <row r="100" spans="1:1" s="362" customFormat="1">
      <c r="A100" s="361"/>
    </row>
    <row r="101" spans="1:1" s="362" customFormat="1">
      <c r="A101" s="361"/>
    </row>
    <row r="102" spans="1:1" s="362" customFormat="1">
      <c r="A102" s="361"/>
    </row>
    <row r="103" spans="1:1" s="362" customFormat="1">
      <c r="A103" s="361"/>
    </row>
    <row r="104" spans="1:1" s="362" customFormat="1">
      <c r="A104" s="361"/>
    </row>
    <row r="105" spans="1:1" s="362" customFormat="1">
      <c r="A105" s="361"/>
    </row>
    <row r="106" spans="1:1" s="362" customFormat="1">
      <c r="A106" s="361"/>
    </row>
    <row r="107" spans="1:1" s="362" customFormat="1">
      <c r="A107" s="361"/>
    </row>
    <row r="108" spans="1:1" s="362" customFormat="1">
      <c r="A108" s="361"/>
    </row>
    <row r="109" spans="1:1" s="362" customFormat="1">
      <c r="A109" s="361"/>
    </row>
    <row r="110" spans="1:1" s="362" customFormat="1">
      <c r="A110" s="361"/>
    </row>
    <row r="111" spans="1:1" s="362" customFormat="1">
      <c r="A111" s="361"/>
    </row>
    <row r="112" spans="1:1" s="362" customFormat="1">
      <c r="A112" s="361"/>
    </row>
    <row r="113" spans="1:1" s="362" customFormat="1">
      <c r="A113" s="361"/>
    </row>
    <row r="114" spans="1:1" s="362" customFormat="1">
      <c r="A114" s="361"/>
    </row>
    <row r="115" spans="1:1" s="362" customFormat="1">
      <c r="A115" s="361"/>
    </row>
    <row r="116" spans="1:1" s="362" customFormat="1">
      <c r="A116" s="361"/>
    </row>
    <row r="117" spans="1:1" s="362" customFormat="1">
      <c r="A117" s="361"/>
    </row>
    <row r="118" spans="1:1" s="362" customFormat="1">
      <c r="A118" s="361"/>
    </row>
    <row r="119" spans="1:1" s="362" customFormat="1">
      <c r="A119" s="361"/>
    </row>
    <row r="120" spans="1:1" s="362" customFormat="1">
      <c r="A120" s="361"/>
    </row>
    <row r="121" spans="1:1" s="362" customFormat="1">
      <c r="A121" s="361"/>
    </row>
    <row r="122" spans="1:1" s="362" customFormat="1">
      <c r="A122" s="361"/>
    </row>
    <row r="123" spans="1:1" s="362" customFormat="1">
      <c r="A123" s="361"/>
    </row>
    <row r="124" spans="1:1" s="362" customFormat="1">
      <c r="A124" s="361"/>
    </row>
    <row r="125" spans="1:1" s="362" customFormat="1">
      <c r="A125" s="361"/>
    </row>
    <row r="126" spans="1:1" s="362" customFormat="1">
      <c r="A126" s="361"/>
    </row>
    <row r="127" spans="1:1" s="362" customFormat="1">
      <c r="A127" s="361"/>
    </row>
    <row r="128" spans="1:1" s="362" customFormat="1">
      <c r="A128" s="361"/>
    </row>
    <row r="129" spans="1:1" s="362" customFormat="1">
      <c r="A129" s="361"/>
    </row>
    <row r="130" spans="1:1" s="362" customFormat="1">
      <c r="A130" s="361"/>
    </row>
    <row r="131" spans="1:1" s="362" customFormat="1">
      <c r="A131" s="361"/>
    </row>
    <row r="132" spans="1:1" s="362" customFormat="1">
      <c r="A132" s="361"/>
    </row>
    <row r="133" spans="1:1" s="362" customFormat="1">
      <c r="A133" s="361"/>
    </row>
    <row r="134" spans="1:1" s="362" customFormat="1">
      <c r="A134" s="361"/>
    </row>
    <row r="135" spans="1:1" s="362" customFormat="1">
      <c r="A135" s="361"/>
    </row>
    <row r="136" spans="1:1" s="362" customFormat="1">
      <c r="A136" s="361"/>
    </row>
    <row r="137" spans="1:1" s="362" customFormat="1">
      <c r="A137" s="361"/>
    </row>
    <row r="138" spans="1:1" s="362" customFormat="1">
      <c r="A138" s="361"/>
    </row>
    <row r="139" spans="1:1" s="362" customFormat="1">
      <c r="A139" s="361"/>
    </row>
    <row r="140" spans="1:1" s="362" customFormat="1">
      <c r="A140" s="361"/>
    </row>
    <row r="141" spans="1:1" s="362" customFormat="1">
      <c r="A141" s="361"/>
    </row>
    <row r="142" spans="1:1" s="362" customFormat="1">
      <c r="A142" s="361"/>
    </row>
    <row r="143" spans="1:1" s="362" customFormat="1">
      <c r="A143" s="361"/>
    </row>
    <row r="144" spans="1:1" s="362" customFormat="1">
      <c r="A144" s="361"/>
    </row>
    <row r="145" spans="1:1" s="362" customFormat="1">
      <c r="A145" s="361"/>
    </row>
    <row r="146" spans="1:1" s="283" customFormat="1">
      <c r="A146" s="282"/>
    </row>
    <row r="147" spans="1:1" s="283" customFormat="1">
      <c r="A147" s="282"/>
    </row>
    <row r="148" spans="1:1" s="283" customFormat="1">
      <c r="A148" s="282"/>
    </row>
    <row r="149" spans="1:1" s="283" customFormat="1">
      <c r="A149" s="282"/>
    </row>
    <row r="150" spans="1:1" s="283" customFormat="1">
      <c r="A150" s="282"/>
    </row>
    <row r="151" spans="1:1" s="283" customFormat="1">
      <c r="A151" s="282"/>
    </row>
    <row r="152" spans="1:1" s="283" customFormat="1">
      <c r="A152" s="282"/>
    </row>
    <row r="153" spans="1:1" s="283" customFormat="1">
      <c r="A153" s="282"/>
    </row>
    <row r="154" spans="1:1" s="283" customFormat="1">
      <c r="A154" s="282"/>
    </row>
    <row r="155" spans="1:1" s="283" customFormat="1">
      <c r="A155" s="282"/>
    </row>
    <row r="156" spans="1:1" s="283" customFormat="1">
      <c r="A156" s="282"/>
    </row>
    <row r="157" spans="1:1" s="283" customFormat="1">
      <c r="A157" s="282"/>
    </row>
    <row r="158" spans="1:1" s="283" customFormat="1">
      <c r="A158" s="282"/>
    </row>
    <row r="159" spans="1:1" s="283" customFormat="1">
      <c r="A159" s="282"/>
    </row>
    <row r="160" spans="1:1" s="283" customFormat="1">
      <c r="A160" s="282"/>
    </row>
    <row r="161" spans="1:1" s="283" customFormat="1">
      <c r="A161" s="282"/>
    </row>
    <row r="162" spans="1:1" s="283" customFormat="1">
      <c r="A162" s="282"/>
    </row>
    <row r="163" spans="1:1" s="283" customFormat="1">
      <c r="A163" s="282"/>
    </row>
    <row r="164" spans="1:1" s="283" customFormat="1">
      <c r="A164" s="282"/>
    </row>
    <row r="165" spans="1:1" s="283" customFormat="1">
      <c r="A165" s="282"/>
    </row>
    <row r="166" spans="1:1" s="283" customFormat="1">
      <c r="A166" s="282"/>
    </row>
    <row r="167" spans="1:1" s="283" customFormat="1">
      <c r="A167" s="282"/>
    </row>
    <row r="168" spans="1:1" s="283" customFormat="1">
      <c r="A168" s="282"/>
    </row>
    <row r="169" spans="1:1" s="283" customFormat="1">
      <c r="A169" s="282"/>
    </row>
    <row r="170" spans="1:1" s="283" customFormat="1">
      <c r="A170" s="282"/>
    </row>
    <row r="171" spans="1:1" s="283" customFormat="1">
      <c r="A171" s="282"/>
    </row>
    <row r="172" spans="1:1" s="283" customFormat="1">
      <c r="A172" s="282"/>
    </row>
    <row r="173" spans="1:1" s="283" customFormat="1">
      <c r="A173" s="282"/>
    </row>
    <row r="174" spans="1:1" s="283" customFormat="1">
      <c r="A174" s="282"/>
    </row>
    <row r="175" spans="1:1" s="283" customFormat="1">
      <c r="A175" s="282"/>
    </row>
    <row r="176" spans="1:1" s="283" customFormat="1">
      <c r="A176" s="282"/>
    </row>
    <row r="177" spans="1:1" s="283" customFormat="1">
      <c r="A177" s="282"/>
    </row>
    <row r="178" spans="1:1" s="283" customFormat="1">
      <c r="A178" s="282"/>
    </row>
    <row r="179" spans="1:1" s="283" customFormat="1">
      <c r="A179" s="282"/>
    </row>
    <row r="180" spans="1:1" s="283" customFormat="1">
      <c r="A180" s="282"/>
    </row>
    <row r="181" spans="1:1" s="283" customFormat="1">
      <c r="A181" s="282"/>
    </row>
    <row r="182" spans="1:1" s="283" customFormat="1">
      <c r="A182" s="282"/>
    </row>
    <row r="183" spans="1:1" s="283" customFormat="1">
      <c r="A183" s="282"/>
    </row>
    <row r="184" spans="1:1" s="283" customFormat="1">
      <c r="A184" s="282"/>
    </row>
    <row r="185" spans="1:1" s="283" customFormat="1">
      <c r="A185" s="282"/>
    </row>
    <row r="186" spans="1:1" s="283" customFormat="1">
      <c r="A186" s="282"/>
    </row>
    <row r="187" spans="1:1" s="283" customFormat="1">
      <c r="A187" s="282"/>
    </row>
    <row r="188" spans="1:1" s="283" customFormat="1">
      <c r="A188" s="282"/>
    </row>
    <row r="189" spans="1:1" s="283" customFormat="1">
      <c r="A189" s="282"/>
    </row>
    <row r="190" spans="1:1" s="283" customFormat="1">
      <c r="A190" s="282"/>
    </row>
    <row r="191" spans="1:1" s="283" customFormat="1">
      <c r="A191" s="282"/>
    </row>
    <row r="192" spans="1:1" s="283" customFormat="1">
      <c r="A192" s="282"/>
    </row>
    <row r="193" spans="1:1" s="283" customFormat="1">
      <c r="A193" s="282"/>
    </row>
    <row r="194" spans="1:1" s="283" customFormat="1">
      <c r="A194" s="282"/>
    </row>
    <row r="195" spans="1:1" s="283" customFormat="1">
      <c r="A195" s="282"/>
    </row>
    <row r="196" spans="1:1" s="283" customFormat="1">
      <c r="A196" s="282"/>
    </row>
    <row r="197" spans="1:1" s="283" customFormat="1">
      <c r="A197" s="282"/>
    </row>
    <row r="198" spans="1:1" s="283" customFormat="1">
      <c r="A198" s="282"/>
    </row>
    <row r="199" spans="1:1" s="283" customFormat="1">
      <c r="A199" s="282"/>
    </row>
    <row r="200" spans="1:1" s="283" customFormat="1">
      <c r="A200" s="282"/>
    </row>
    <row r="201" spans="1:1" s="283" customFormat="1">
      <c r="A201" s="282"/>
    </row>
    <row r="202" spans="1:1" s="283" customFormat="1">
      <c r="A202" s="282"/>
    </row>
    <row r="203" spans="1:1" s="283" customFormat="1">
      <c r="A203" s="282"/>
    </row>
    <row r="204" spans="1:1" s="283" customFormat="1">
      <c r="A204" s="282"/>
    </row>
    <row r="205" spans="1:1" s="283" customFormat="1">
      <c r="A205" s="282"/>
    </row>
    <row r="206" spans="1:1" s="283" customFormat="1">
      <c r="A206" s="282"/>
    </row>
    <row r="207" spans="1:1" s="283" customFormat="1">
      <c r="A207" s="282"/>
    </row>
    <row r="208" spans="1:1" s="283" customFormat="1">
      <c r="A208" s="282"/>
    </row>
    <row r="209" spans="1:1" s="283" customFormat="1">
      <c r="A209" s="282"/>
    </row>
    <row r="210" spans="1:1" s="283" customFormat="1">
      <c r="A210" s="282"/>
    </row>
    <row r="211" spans="1:1" s="283" customFormat="1">
      <c r="A211" s="282"/>
    </row>
    <row r="212" spans="1:1" s="283" customFormat="1">
      <c r="A212" s="282"/>
    </row>
    <row r="213" spans="1:1" s="283" customFormat="1">
      <c r="A213" s="282"/>
    </row>
    <row r="214" spans="1:1" s="283" customFormat="1">
      <c r="A214" s="282"/>
    </row>
    <row r="215" spans="1:1" s="283" customFormat="1">
      <c r="A215" s="282"/>
    </row>
    <row r="216" spans="1:1" s="283" customFormat="1">
      <c r="A216" s="282"/>
    </row>
    <row r="217" spans="1:1" s="283" customFormat="1">
      <c r="A217" s="282"/>
    </row>
    <row r="218" spans="1:1" s="283" customFormat="1">
      <c r="A218" s="282"/>
    </row>
    <row r="219" spans="1:1" s="283" customFormat="1">
      <c r="A219" s="282"/>
    </row>
    <row r="220" spans="1:1" s="283" customFormat="1">
      <c r="A220" s="282"/>
    </row>
    <row r="221" spans="1:1" s="283" customFormat="1">
      <c r="A221" s="282"/>
    </row>
    <row r="222" spans="1:1" s="283" customFormat="1">
      <c r="A222" s="282"/>
    </row>
    <row r="223" spans="1:1" s="283" customFormat="1">
      <c r="A223" s="282"/>
    </row>
    <row r="224" spans="1:1" s="283" customFormat="1">
      <c r="A224" s="282"/>
    </row>
    <row r="225" spans="1:1" s="283" customFormat="1">
      <c r="A225" s="282"/>
    </row>
    <row r="226" spans="1:1" s="283" customFormat="1">
      <c r="A226" s="282"/>
    </row>
    <row r="227" spans="1:1" s="283" customFormat="1">
      <c r="A227" s="282"/>
    </row>
    <row r="228" spans="1:1" s="283" customFormat="1">
      <c r="A228" s="282"/>
    </row>
    <row r="229" spans="1:1" s="283" customFormat="1">
      <c r="A229" s="282"/>
    </row>
    <row r="230" spans="1:1" s="283" customFormat="1">
      <c r="A230" s="282"/>
    </row>
    <row r="231" spans="1:1" s="283" customFormat="1">
      <c r="A231" s="282"/>
    </row>
    <row r="232" spans="1:1" s="283" customFormat="1">
      <c r="A232" s="282"/>
    </row>
    <row r="233" spans="1:1" s="283" customFormat="1">
      <c r="A233" s="282"/>
    </row>
    <row r="234" spans="1:1" s="283" customFormat="1">
      <c r="A234" s="282"/>
    </row>
    <row r="235" spans="1:1" s="283" customFormat="1">
      <c r="A235" s="282"/>
    </row>
    <row r="236" spans="1:1" s="283" customFormat="1">
      <c r="A236" s="282"/>
    </row>
    <row r="237" spans="1:1" s="283" customFormat="1">
      <c r="A237" s="282"/>
    </row>
    <row r="238" spans="1:1" s="283" customFormat="1">
      <c r="A238" s="282"/>
    </row>
    <row r="239" spans="1:1" s="283" customFormat="1">
      <c r="A239" s="282"/>
    </row>
    <row r="240" spans="1:1" s="283" customFormat="1">
      <c r="A240" s="282"/>
    </row>
    <row r="241" spans="1:1" s="283" customFormat="1">
      <c r="A241" s="282"/>
    </row>
    <row r="242" spans="1:1" s="283" customFormat="1">
      <c r="A242" s="282"/>
    </row>
    <row r="243" spans="1:1" s="283" customFormat="1">
      <c r="A243" s="282"/>
    </row>
    <row r="244" spans="1:1" s="283" customFormat="1">
      <c r="A244" s="282"/>
    </row>
    <row r="245" spans="1:1" s="283" customFormat="1">
      <c r="A245" s="282"/>
    </row>
    <row r="246" spans="1:1" s="283" customFormat="1">
      <c r="A246" s="282"/>
    </row>
    <row r="247" spans="1:1" s="283" customFormat="1">
      <c r="A247" s="282"/>
    </row>
    <row r="248" spans="1:1" s="283" customFormat="1">
      <c r="A248" s="282"/>
    </row>
    <row r="249" spans="1:1" s="283" customFormat="1">
      <c r="A249" s="282"/>
    </row>
    <row r="250" spans="1:1" s="283" customFormat="1">
      <c r="A250" s="282"/>
    </row>
    <row r="251" spans="1:1" s="283" customFormat="1">
      <c r="A251" s="282"/>
    </row>
    <row r="252" spans="1:1" s="283" customFormat="1">
      <c r="A252" s="282"/>
    </row>
    <row r="253" spans="1:1" s="283" customFormat="1">
      <c r="A253" s="282"/>
    </row>
    <row r="254" spans="1:1" s="283" customFormat="1">
      <c r="A254" s="282"/>
    </row>
    <row r="255" spans="1:1" s="283" customFormat="1">
      <c r="A255" s="282"/>
    </row>
    <row r="256" spans="1:1" s="283" customFormat="1">
      <c r="A256" s="282"/>
    </row>
    <row r="257" spans="1:1" s="283" customFormat="1">
      <c r="A257" s="282"/>
    </row>
    <row r="258" spans="1:1" s="283" customFormat="1">
      <c r="A258" s="282"/>
    </row>
    <row r="259" spans="1:1" s="283" customFormat="1">
      <c r="A259" s="282"/>
    </row>
    <row r="260" spans="1:1" s="283" customFormat="1">
      <c r="A260" s="282"/>
    </row>
    <row r="261" spans="1:1" s="283" customFormat="1">
      <c r="A261" s="282"/>
    </row>
    <row r="262" spans="1:1" s="283" customFormat="1">
      <c r="A262" s="282"/>
    </row>
    <row r="263" spans="1:1" s="283" customFormat="1">
      <c r="A263" s="282"/>
    </row>
    <row r="264" spans="1:1" s="283" customFormat="1">
      <c r="A264" s="282"/>
    </row>
    <row r="265" spans="1:1" s="283" customFormat="1">
      <c r="A265" s="282"/>
    </row>
    <row r="266" spans="1:1" s="283" customFormat="1">
      <c r="A266" s="282"/>
    </row>
    <row r="267" spans="1:1" s="283" customFormat="1">
      <c r="A267" s="282"/>
    </row>
    <row r="268" spans="1:1" s="283" customFormat="1">
      <c r="A268" s="282"/>
    </row>
    <row r="269" spans="1:1" s="283" customFormat="1">
      <c r="A269" s="282"/>
    </row>
    <row r="270" spans="1:1" s="283" customFormat="1">
      <c r="A270" s="282"/>
    </row>
    <row r="271" spans="1:1" s="283" customFormat="1">
      <c r="A271" s="282"/>
    </row>
    <row r="272" spans="1:1" s="283" customFormat="1">
      <c r="A272" s="282"/>
    </row>
    <row r="273" spans="1:1" s="283" customFormat="1">
      <c r="A273" s="282"/>
    </row>
    <row r="274" spans="1:1" s="283" customFormat="1">
      <c r="A274" s="282"/>
    </row>
    <row r="275" spans="1:1" s="283" customFormat="1">
      <c r="A275" s="282"/>
    </row>
    <row r="276" spans="1:1" s="283" customFormat="1">
      <c r="A276" s="282"/>
    </row>
    <row r="277" spans="1:1" s="283" customFormat="1">
      <c r="A277" s="282"/>
    </row>
    <row r="278" spans="1:1" s="283" customFormat="1">
      <c r="A278" s="282"/>
    </row>
    <row r="279" spans="1:1" s="283" customFormat="1">
      <c r="A279" s="282"/>
    </row>
    <row r="280" spans="1:1" s="283" customFormat="1">
      <c r="A280" s="282"/>
    </row>
    <row r="281" spans="1:1" s="283" customFormat="1">
      <c r="A281" s="282"/>
    </row>
    <row r="282" spans="1:1" s="283" customFormat="1">
      <c r="A282" s="282"/>
    </row>
    <row r="283" spans="1:1" s="283" customFormat="1">
      <c r="A283" s="282"/>
    </row>
    <row r="284" spans="1:1" s="283" customFormat="1">
      <c r="A284" s="282"/>
    </row>
    <row r="285" spans="1:1" s="283" customFormat="1">
      <c r="A285" s="282"/>
    </row>
    <row r="286" spans="1:1" s="283" customFormat="1">
      <c r="A286" s="282"/>
    </row>
    <row r="287" spans="1:1" s="283" customFormat="1">
      <c r="A287" s="282"/>
    </row>
    <row r="288" spans="1:1" s="283" customFormat="1">
      <c r="A288" s="282"/>
    </row>
    <row r="289" spans="1:1" s="283" customFormat="1">
      <c r="A289" s="282"/>
    </row>
    <row r="290" spans="1:1" s="283" customFormat="1">
      <c r="A290" s="282"/>
    </row>
    <row r="291" spans="1:1" s="283" customFormat="1">
      <c r="A291" s="282"/>
    </row>
    <row r="292" spans="1:1" s="283" customFormat="1">
      <c r="A292" s="282"/>
    </row>
    <row r="293" spans="1:1" s="283" customFormat="1">
      <c r="A293" s="282"/>
    </row>
    <row r="294" spans="1:1" s="283" customFormat="1">
      <c r="A294" s="282"/>
    </row>
    <row r="295" spans="1:1" s="283" customFormat="1">
      <c r="A295" s="282"/>
    </row>
    <row r="296" spans="1:1" s="283" customFormat="1">
      <c r="A296" s="282"/>
    </row>
    <row r="297" spans="1:1" s="283" customFormat="1">
      <c r="A297" s="282"/>
    </row>
    <row r="298" spans="1:1" s="283" customFormat="1">
      <c r="A298" s="282"/>
    </row>
    <row r="299" spans="1:1" s="283" customFormat="1">
      <c r="A299" s="282"/>
    </row>
    <row r="300" spans="1:1" s="283" customFormat="1">
      <c r="A300" s="282"/>
    </row>
    <row r="301" spans="1:1" s="283" customFormat="1">
      <c r="A301" s="282"/>
    </row>
    <row r="302" spans="1:1" s="283" customFormat="1">
      <c r="A302" s="282"/>
    </row>
    <row r="303" spans="1:1" s="283" customFormat="1">
      <c r="A303" s="282"/>
    </row>
    <row r="304" spans="1:1" s="283" customFormat="1">
      <c r="A304" s="282"/>
    </row>
    <row r="305" spans="1:1" s="283" customFormat="1">
      <c r="A305" s="282"/>
    </row>
    <row r="306" spans="1:1" s="283" customFormat="1">
      <c r="A306" s="282"/>
    </row>
    <row r="307" spans="1:1" s="283" customFormat="1">
      <c r="A307" s="282"/>
    </row>
    <row r="308" spans="1:1" s="283" customFormat="1">
      <c r="A308" s="282"/>
    </row>
    <row r="309" spans="1:1" s="283" customFormat="1">
      <c r="A309" s="282"/>
    </row>
    <row r="310" spans="1:1" s="283" customFormat="1">
      <c r="A310" s="282"/>
    </row>
    <row r="311" spans="1:1" s="283" customFormat="1">
      <c r="A311" s="282"/>
    </row>
    <row r="312" spans="1:1" s="283" customFormat="1">
      <c r="A312" s="282"/>
    </row>
    <row r="313" spans="1:1" s="283" customFormat="1">
      <c r="A313" s="282"/>
    </row>
    <row r="314" spans="1:1" s="283" customFormat="1">
      <c r="A314" s="282"/>
    </row>
    <row r="315" spans="1:1" s="283" customFormat="1">
      <c r="A315" s="282"/>
    </row>
    <row r="316" spans="1:1" s="283" customFormat="1">
      <c r="A316" s="282"/>
    </row>
    <row r="317" spans="1:1" s="283" customFormat="1">
      <c r="A317" s="282"/>
    </row>
    <row r="318" spans="1:1" s="283" customFormat="1">
      <c r="A318" s="282"/>
    </row>
    <row r="319" spans="1:1" s="283" customFormat="1">
      <c r="A319" s="282"/>
    </row>
    <row r="320" spans="1:1" s="283" customFormat="1">
      <c r="A320" s="282"/>
    </row>
    <row r="321" spans="1:1" s="283" customFormat="1">
      <c r="A321" s="282"/>
    </row>
    <row r="322" spans="1:1" s="283" customFormat="1">
      <c r="A322" s="282"/>
    </row>
    <row r="323" spans="1:1" s="283" customFormat="1">
      <c r="A323" s="282"/>
    </row>
    <row r="324" spans="1:1" s="283" customFormat="1">
      <c r="A324" s="282"/>
    </row>
    <row r="325" spans="1:1" s="283" customFormat="1">
      <c r="A325" s="282"/>
    </row>
    <row r="326" spans="1:1" s="283" customFormat="1">
      <c r="A326" s="282"/>
    </row>
    <row r="327" spans="1:1" s="283" customFormat="1">
      <c r="A327" s="282"/>
    </row>
    <row r="328" spans="1:1" s="283" customFormat="1">
      <c r="A328" s="282"/>
    </row>
    <row r="329" spans="1:1" s="283" customFormat="1">
      <c r="A329" s="282"/>
    </row>
    <row r="330" spans="1:1" s="283" customFormat="1">
      <c r="A330" s="282"/>
    </row>
    <row r="331" spans="1:1" s="283" customFormat="1">
      <c r="A331" s="282"/>
    </row>
    <row r="332" spans="1:1" s="283" customFormat="1">
      <c r="A332" s="282"/>
    </row>
    <row r="333" spans="1:1" s="283" customFormat="1">
      <c r="A333" s="282"/>
    </row>
    <row r="334" spans="1:1" s="283" customFormat="1">
      <c r="A334" s="282"/>
    </row>
    <row r="335" spans="1:1" s="283" customFormat="1">
      <c r="A335" s="282"/>
    </row>
    <row r="336" spans="1:1" s="283" customFormat="1">
      <c r="A336" s="282"/>
    </row>
    <row r="337" spans="1:1" s="283" customFormat="1">
      <c r="A337" s="282"/>
    </row>
    <row r="338" spans="1:1" s="283" customFormat="1">
      <c r="A338" s="282"/>
    </row>
    <row r="339" spans="1:1" s="283" customFormat="1">
      <c r="A339" s="282"/>
    </row>
    <row r="340" spans="1:1" s="283" customFormat="1">
      <c r="A340" s="282"/>
    </row>
    <row r="341" spans="1:1" s="283" customFormat="1">
      <c r="A341" s="282"/>
    </row>
    <row r="342" spans="1:1" s="283" customFormat="1">
      <c r="A342" s="282"/>
    </row>
    <row r="343" spans="1:1" s="283" customFormat="1">
      <c r="A343" s="282"/>
    </row>
    <row r="344" spans="1:1" s="283" customFormat="1">
      <c r="A344" s="282"/>
    </row>
    <row r="345" spans="1:1" s="283" customFormat="1">
      <c r="A345" s="282"/>
    </row>
    <row r="346" spans="1:1" s="283" customFormat="1">
      <c r="A346" s="282"/>
    </row>
    <row r="347" spans="1:1" s="283" customFormat="1">
      <c r="A347" s="282"/>
    </row>
    <row r="348" spans="1:1" s="283" customFormat="1">
      <c r="A348" s="282"/>
    </row>
    <row r="349" spans="1:1" s="283" customFormat="1">
      <c r="A349" s="282"/>
    </row>
    <row r="350" spans="1:1" s="283" customFormat="1">
      <c r="A350" s="282"/>
    </row>
    <row r="351" spans="1:1" s="283" customFormat="1">
      <c r="A351" s="282"/>
    </row>
    <row r="352" spans="1:1" s="283" customFormat="1">
      <c r="A352" s="282"/>
    </row>
    <row r="353" spans="1:1" s="283" customFormat="1">
      <c r="A353" s="282"/>
    </row>
    <row r="354" spans="1:1" s="283" customFormat="1">
      <c r="A354" s="282"/>
    </row>
    <row r="355" spans="1:1" s="283" customFormat="1">
      <c r="A355" s="282"/>
    </row>
    <row r="356" spans="1:1" s="283" customFormat="1">
      <c r="A356" s="282"/>
    </row>
    <row r="357" spans="1:1" s="283" customFormat="1">
      <c r="A357" s="282"/>
    </row>
    <row r="358" spans="1:1" s="283" customFormat="1">
      <c r="A358" s="282"/>
    </row>
    <row r="359" spans="1:1" s="283" customFormat="1">
      <c r="A359" s="282"/>
    </row>
    <row r="360" spans="1:1" s="283" customFormat="1">
      <c r="A360" s="282"/>
    </row>
    <row r="361" spans="1:1" s="283" customFormat="1">
      <c r="A361" s="282"/>
    </row>
    <row r="362" spans="1:1" s="283" customFormat="1">
      <c r="A362" s="282"/>
    </row>
    <row r="363" spans="1:1" s="283" customFormat="1">
      <c r="A363" s="282"/>
    </row>
    <row r="364" spans="1:1" s="283" customFormat="1">
      <c r="A364" s="282"/>
    </row>
    <row r="365" spans="1:1" s="283" customFormat="1">
      <c r="A365" s="282"/>
    </row>
    <row r="366" spans="1:1" s="283" customFormat="1">
      <c r="A366" s="282"/>
    </row>
    <row r="367" spans="1:1" s="283" customFormat="1">
      <c r="A367" s="282"/>
    </row>
    <row r="368" spans="1:1" s="283" customFormat="1">
      <c r="A368" s="282"/>
    </row>
    <row r="369" spans="1:1" s="283" customFormat="1">
      <c r="A369" s="282"/>
    </row>
    <row r="370" spans="1:1" s="283" customFormat="1">
      <c r="A370" s="282"/>
    </row>
    <row r="371" spans="1:1" s="283" customFormat="1">
      <c r="A371" s="282"/>
    </row>
    <row r="372" spans="1:1" s="283" customFormat="1">
      <c r="A372" s="282"/>
    </row>
    <row r="373" spans="1:1" s="283" customFormat="1">
      <c r="A373" s="282"/>
    </row>
    <row r="374" spans="1:1" s="283" customFormat="1">
      <c r="A374" s="282"/>
    </row>
    <row r="375" spans="1:1" s="283" customFormat="1">
      <c r="A375" s="282"/>
    </row>
    <row r="376" spans="1:1" s="283" customFormat="1">
      <c r="A376" s="282"/>
    </row>
    <row r="377" spans="1:1" s="283" customFormat="1">
      <c r="A377" s="282"/>
    </row>
    <row r="378" spans="1:1" s="283" customFormat="1">
      <c r="A378" s="282"/>
    </row>
    <row r="379" spans="1:1" s="283" customFormat="1">
      <c r="A379" s="282"/>
    </row>
    <row r="380" spans="1:1" s="283" customFormat="1">
      <c r="A380" s="282"/>
    </row>
    <row r="381" spans="1:1" s="283" customFormat="1">
      <c r="A381" s="282"/>
    </row>
    <row r="382" spans="1:1" s="283" customFormat="1">
      <c r="A382" s="282"/>
    </row>
    <row r="383" spans="1:1" s="283" customFormat="1">
      <c r="A383" s="282"/>
    </row>
    <row r="384" spans="1:1" s="283" customFormat="1">
      <c r="A384" s="282"/>
    </row>
    <row r="385" spans="1:1" s="283" customFormat="1">
      <c r="A385" s="282"/>
    </row>
    <row r="386" spans="1:1" s="283" customFormat="1">
      <c r="A386" s="282"/>
    </row>
    <row r="387" spans="1:1" s="283" customFormat="1">
      <c r="A387" s="282"/>
    </row>
    <row r="388" spans="1:1" s="283" customFormat="1">
      <c r="A388" s="282"/>
    </row>
    <row r="389" spans="1:1" s="283" customFormat="1">
      <c r="A389" s="282"/>
    </row>
    <row r="390" spans="1:1" s="283" customFormat="1">
      <c r="A390" s="282"/>
    </row>
    <row r="391" spans="1:1" s="283" customFormat="1">
      <c r="A391" s="282"/>
    </row>
    <row r="392" spans="1:1" s="283" customFormat="1">
      <c r="A392" s="282"/>
    </row>
    <row r="393" spans="1:1" s="283" customFormat="1">
      <c r="A393" s="282"/>
    </row>
    <row r="394" spans="1:1" s="283" customFormat="1">
      <c r="A394" s="282"/>
    </row>
    <row r="395" spans="1:1" s="283" customFormat="1">
      <c r="A395" s="282"/>
    </row>
    <row r="396" spans="1:1" s="283" customFormat="1">
      <c r="A396" s="282"/>
    </row>
    <row r="397" spans="1:1" s="283" customFormat="1">
      <c r="A397" s="282"/>
    </row>
    <row r="398" spans="1:1" s="283" customFormat="1">
      <c r="A398" s="282"/>
    </row>
    <row r="399" spans="1:1" s="283" customFormat="1">
      <c r="A399" s="282"/>
    </row>
    <row r="400" spans="1:1" s="283" customFormat="1">
      <c r="A400" s="282"/>
    </row>
    <row r="401" spans="1:1" s="283" customFormat="1">
      <c r="A401" s="282"/>
    </row>
    <row r="402" spans="1:1" s="283" customFormat="1">
      <c r="A402" s="282"/>
    </row>
    <row r="403" spans="1:1" s="283" customFormat="1">
      <c r="A403" s="282"/>
    </row>
    <row r="404" spans="1:1" s="283" customFormat="1">
      <c r="A404" s="282"/>
    </row>
    <row r="405" spans="1:1" s="283" customFormat="1">
      <c r="A405" s="282"/>
    </row>
    <row r="406" spans="1:1" s="283" customFormat="1">
      <c r="A406" s="282"/>
    </row>
    <row r="407" spans="1:1" s="283" customFormat="1">
      <c r="A407" s="282"/>
    </row>
    <row r="408" spans="1:1" s="283" customFormat="1">
      <c r="A408" s="282"/>
    </row>
    <row r="409" spans="1:1" s="283" customFormat="1">
      <c r="A409" s="282"/>
    </row>
    <row r="410" spans="1:1" s="283" customFormat="1">
      <c r="A410" s="282"/>
    </row>
    <row r="411" spans="1:1" s="283" customFormat="1">
      <c r="A411" s="282"/>
    </row>
    <row r="412" spans="1:1" s="283" customFormat="1">
      <c r="A412" s="282"/>
    </row>
    <row r="413" spans="1:1" s="283" customFormat="1">
      <c r="A413" s="282"/>
    </row>
    <row r="414" spans="1:1" s="283" customFormat="1">
      <c r="A414" s="282"/>
    </row>
    <row r="415" spans="1:1" s="283" customFormat="1">
      <c r="A415" s="282"/>
    </row>
    <row r="416" spans="1:1" s="283" customFormat="1">
      <c r="A416" s="282"/>
    </row>
    <row r="417" spans="1:1" s="283" customFormat="1">
      <c r="A417" s="282"/>
    </row>
    <row r="418" spans="1:1" s="283" customFormat="1">
      <c r="A418" s="282"/>
    </row>
    <row r="419" spans="1:1" s="283" customFormat="1">
      <c r="A419" s="282"/>
    </row>
    <row r="420" spans="1:1" s="283" customFormat="1">
      <c r="A420" s="282"/>
    </row>
    <row r="421" spans="1:1" s="283" customFormat="1">
      <c r="A421" s="282"/>
    </row>
    <row r="422" spans="1:1" s="283" customFormat="1">
      <c r="A422" s="282"/>
    </row>
    <row r="423" spans="1:1" s="283" customFormat="1">
      <c r="A423" s="282"/>
    </row>
    <row r="424" spans="1:1" s="283" customFormat="1">
      <c r="A424" s="282"/>
    </row>
    <row r="425" spans="1:1" s="283" customFormat="1">
      <c r="A425" s="282"/>
    </row>
    <row r="426" spans="1:1" s="283" customFormat="1">
      <c r="A426" s="282"/>
    </row>
    <row r="427" spans="1:1" s="283" customFormat="1">
      <c r="A427" s="282"/>
    </row>
    <row r="428" spans="1:1" s="283" customFormat="1">
      <c r="A428" s="282"/>
    </row>
    <row r="429" spans="1:1" s="283" customFormat="1">
      <c r="A429" s="282"/>
    </row>
    <row r="430" spans="1:1" s="283" customFormat="1">
      <c r="A430" s="282"/>
    </row>
    <row r="431" spans="1:1" s="283" customFormat="1">
      <c r="A431" s="282"/>
    </row>
    <row r="432" spans="1:1" s="283" customFormat="1">
      <c r="A432" s="282"/>
    </row>
  </sheetData>
  <mergeCells count="52">
    <mergeCell ref="AQ1:AS1"/>
    <mergeCell ref="Y2:Z2"/>
    <mergeCell ref="AA2:AB2"/>
    <mergeCell ref="AC2:AD2"/>
    <mergeCell ref="AF2:AG2"/>
    <mergeCell ref="AH2:AI2"/>
    <mergeCell ref="AJ2:AK2"/>
    <mergeCell ref="AQ2:AQ3"/>
    <mergeCell ref="AR2:AR3"/>
    <mergeCell ref="AS2:AS3"/>
    <mergeCell ref="B4:F5"/>
    <mergeCell ref="G4:K4"/>
    <mergeCell ref="L4:N4"/>
    <mergeCell ref="O4:V4"/>
    <mergeCell ref="G5:K5"/>
    <mergeCell ref="L5:N5"/>
    <mergeCell ref="O5:V5"/>
    <mergeCell ref="G6:J6"/>
    <mergeCell ref="K6:N6"/>
    <mergeCell ref="O6:S6"/>
    <mergeCell ref="T6:V6"/>
    <mergeCell ref="K7:N8"/>
    <mergeCell ref="O7:S7"/>
    <mergeCell ref="T7:V7"/>
    <mergeCell ref="G8:J8"/>
    <mergeCell ref="O8:R8"/>
    <mergeCell ref="S8:U9"/>
    <mergeCell ref="J9:M9"/>
    <mergeCell ref="N9:R9"/>
    <mergeCell ref="J10:L10"/>
    <mergeCell ref="M10:Q12"/>
    <mergeCell ref="R10:T12"/>
    <mergeCell ref="R16:U16"/>
    <mergeCell ref="G24:G25"/>
    <mergeCell ref="K24:K25"/>
    <mergeCell ref="O24:O25"/>
    <mergeCell ref="Z24:Z25"/>
    <mergeCell ref="AD24:AD25"/>
    <mergeCell ref="AM1:AO1"/>
    <mergeCell ref="X13:X14"/>
    <mergeCell ref="V15:V16"/>
    <mergeCell ref="V13:V14"/>
    <mergeCell ref="V8:V9"/>
    <mergeCell ref="V10:V12"/>
    <mergeCell ref="A1:V1"/>
    <mergeCell ref="Y1:AD1"/>
    <mergeCell ref="AF1:AK1"/>
    <mergeCell ref="A13:A14"/>
    <mergeCell ref="B13:F16"/>
    <mergeCell ref="G13:L16"/>
    <mergeCell ref="M13:Q16"/>
    <mergeCell ref="R13:U15"/>
  </mergeCells>
  <printOptions horizontalCentered="1"/>
  <pageMargins left="0.56000000000000005" right="0.61" top="0.68" bottom="0.75" header="0.38" footer="0.5"/>
  <pageSetup scale="78" fitToWidth="2" orientation="landscape" r:id="rId1"/>
  <headerFooter alignWithMargins="0">
    <oddFooter>&amp;L&amp;F - &amp;A&amp;R&amp;D, Page &amp;P of &amp;N</oddFooter>
  </headerFooter>
  <colBreaks count="2" manualBreakCount="2">
    <brk id="23" max="24" man="1"/>
    <brk id="41" max="24" man="1"/>
  </colBreaks>
</worksheet>
</file>

<file path=xl/worksheets/sheet384.xml><?xml version="1.0" encoding="utf-8"?>
<worksheet xmlns="http://schemas.openxmlformats.org/spreadsheetml/2006/main" xmlns:r="http://schemas.openxmlformats.org/officeDocument/2006/relationships">
  <sheetPr>
    <tabColor rgb="FFFF0000"/>
  </sheetPr>
  <dimension ref="A1:D169"/>
  <sheetViews>
    <sheetView view="pageBreakPreview" zoomScaleSheetLayoutView="100" workbookViewId="0">
      <pane ySplit="5" topLeftCell="A9" activePane="bottomLeft" state="frozen"/>
      <selection activeCell="O8" sqref="O8:R8"/>
      <selection pane="bottomLeft" activeCell="O8" sqref="O8:R8"/>
    </sheetView>
  </sheetViews>
  <sheetFormatPr defaultColWidth="8.85546875" defaultRowHeight="12.75"/>
  <cols>
    <col min="1" max="1" width="23.28515625" style="383" customWidth="1"/>
    <col min="2" max="2" width="26.140625" style="383" customWidth="1"/>
    <col min="3" max="3" width="10" style="383" customWidth="1"/>
    <col min="4" max="16384" width="8.85546875" style="383"/>
  </cols>
  <sheetData>
    <row r="1" spans="1:4" ht="15">
      <c r="A1" s="382" t="s">
        <v>896</v>
      </c>
    </row>
    <row r="2" spans="1:4" ht="15">
      <c r="A2" s="384" t="s">
        <v>369</v>
      </c>
    </row>
    <row r="3" spans="1:4">
      <c r="A3" s="383" t="s">
        <v>370</v>
      </c>
    </row>
    <row r="4" spans="1:4" s="385" customFormat="1" thickBot="1"/>
    <row r="5" spans="1:4" s="385" customFormat="1" ht="13.5" thickBot="1">
      <c r="A5" s="387" t="s">
        <v>371</v>
      </c>
      <c r="B5" s="388" t="s">
        <v>372</v>
      </c>
      <c r="C5" s="389" t="s">
        <v>373</v>
      </c>
      <c r="D5" s="386"/>
    </row>
    <row r="6" spans="1:4" s="385" customFormat="1">
      <c r="A6" s="753" t="s">
        <v>374</v>
      </c>
      <c r="B6" s="24" t="s">
        <v>119</v>
      </c>
      <c r="C6" s="390">
        <v>0.48</v>
      </c>
    </row>
    <row r="7" spans="1:4" s="385" customFormat="1" ht="12" customHeight="1">
      <c r="A7" s="754"/>
      <c r="B7" s="100" t="s">
        <v>276</v>
      </c>
      <c r="C7" s="391">
        <v>0.74</v>
      </c>
    </row>
    <row r="8" spans="1:4" s="385" customFormat="1" ht="12" customHeight="1">
      <c r="A8" s="754"/>
      <c r="B8" s="395" t="s">
        <v>381</v>
      </c>
      <c r="C8" s="391">
        <v>0.3</v>
      </c>
    </row>
    <row r="9" spans="1:4" s="385" customFormat="1" ht="12" customHeight="1">
      <c r="A9" s="754"/>
      <c r="B9" s="395" t="s">
        <v>375</v>
      </c>
      <c r="C9" s="391">
        <v>0.74</v>
      </c>
    </row>
    <row r="10" spans="1:4" s="385" customFormat="1" ht="12" customHeight="1" thickBot="1">
      <c r="A10" s="756"/>
      <c r="B10" s="395" t="s">
        <v>376</v>
      </c>
      <c r="C10" s="391">
        <v>0.45</v>
      </c>
    </row>
    <row r="11" spans="1:4" s="385" customFormat="1" ht="12" customHeight="1" thickBot="1">
      <c r="A11" s="394"/>
      <c r="B11" s="24" t="s">
        <v>114</v>
      </c>
      <c r="C11" s="392">
        <v>0.46</v>
      </c>
    </row>
    <row r="12" spans="1:4" s="385" customFormat="1" ht="12">
      <c r="A12" s="753" t="s">
        <v>377</v>
      </c>
      <c r="B12" s="396" t="s">
        <v>111</v>
      </c>
      <c r="C12" s="390">
        <v>0.75</v>
      </c>
    </row>
    <row r="13" spans="1:4" s="385" customFormat="1">
      <c r="A13" s="754"/>
      <c r="B13" s="100" t="s">
        <v>300</v>
      </c>
      <c r="C13" s="391">
        <v>0.73</v>
      </c>
    </row>
    <row r="14" spans="1:4" s="385" customFormat="1">
      <c r="A14" s="754"/>
      <c r="B14" s="24" t="s">
        <v>129</v>
      </c>
      <c r="C14" s="391">
        <v>0.43</v>
      </c>
    </row>
    <row r="15" spans="1:4" s="385" customFormat="1" ht="12">
      <c r="A15" s="754"/>
      <c r="B15" s="395" t="s">
        <v>382</v>
      </c>
      <c r="C15" s="391">
        <v>0.64</v>
      </c>
    </row>
    <row r="16" spans="1:4" s="385" customFormat="1" ht="12">
      <c r="A16" s="754"/>
      <c r="B16" s="395" t="s">
        <v>378</v>
      </c>
      <c r="C16" s="391">
        <v>0.78</v>
      </c>
    </row>
    <row r="17" spans="1:3" s="385" customFormat="1">
      <c r="A17" s="754"/>
      <c r="B17" s="24" t="s">
        <v>128</v>
      </c>
      <c r="C17" s="391">
        <v>0.56999999999999995</v>
      </c>
    </row>
    <row r="18" spans="1:3" s="385" customFormat="1">
      <c r="A18" s="754"/>
      <c r="B18" s="24" t="s">
        <v>278</v>
      </c>
      <c r="C18" s="391">
        <v>0.56999999999999995</v>
      </c>
    </row>
    <row r="19" spans="1:3" s="385" customFormat="1">
      <c r="A19" s="754"/>
      <c r="B19" s="100" t="s">
        <v>293</v>
      </c>
      <c r="C19" s="391">
        <v>0.56999999999999995</v>
      </c>
    </row>
    <row r="20" spans="1:3" s="385" customFormat="1">
      <c r="A20" s="754"/>
      <c r="B20" s="24" t="s">
        <v>121</v>
      </c>
      <c r="C20" s="391">
        <v>0.61</v>
      </c>
    </row>
    <row r="21" spans="1:3" s="385" customFormat="1" ht="12">
      <c r="A21" s="754"/>
      <c r="B21" s="395" t="s">
        <v>383</v>
      </c>
      <c r="C21" s="391">
        <v>0.65</v>
      </c>
    </row>
    <row r="22" spans="1:3" s="385" customFormat="1">
      <c r="A22" s="754"/>
      <c r="B22" s="24" t="s">
        <v>127</v>
      </c>
      <c r="C22" s="391">
        <v>0.56999999999999995</v>
      </c>
    </row>
    <row r="23" spans="1:3" s="385" customFormat="1">
      <c r="A23" s="754"/>
      <c r="B23" s="109" t="s">
        <v>126</v>
      </c>
      <c r="C23" s="391">
        <v>0.56999999999999995</v>
      </c>
    </row>
    <row r="24" spans="1:3" s="385" customFormat="1" ht="12">
      <c r="A24" s="754"/>
      <c r="B24" s="395" t="s">
        <v>301</v>
      </c>
      <c r="C24" s="391">
        <v>0.62</v>
      </c>
    </row>
    <row r="25" spans="1:3" s="385" customFormat="1" ht="12">
      <c r="A25" s="754"/>
      <c r="B25" s="395" t="s">
        <v>384</v>
      </c>
      <c r="C25" s="391">
        <v>0.62</v>
      </c>
    </row>
    <row r="26" spans="1:3" s="385" customFormat="1" ht="12">
      <c r="A26" s="754"/>
      <c r="B26" s="395" t="s">
        <v>379</v>
      </c>
      <c r="C26" s="391">
        <v>0.53</v>
      </c>
    </row>
    <row r="27" spans="1:3" s="385" customFormat="1">
      <c r="A27" s="754"/>
      <c r="B27" s="100" t="s">
        <v>123</v>
      </c>
      <c r="C27" s="391">
        <v>0.56000000000000005</v>
      </c>
    </row>
    <row r="28" spans="1:3" s="385" customFormat="1">
      <c r="A28" s="754"/>
      <c r="B28" s="100" t="s">
        <v>290</v>
      </c>
      <c r="C28" s="391">
        <v>0.6</v>
      </c>
    </row>
    <row r="29" spans="1:3" s="385" customFormat="1">
      <c r="A29" s="754"/>
      <c r="B29" s="24" t="s">
        <v>120</v>
      </c>
      <c r="C29" s="391">
        <v>0.59</v>
      </c>
    </row>
    <row r="30" spans="1:3" s="385" customFormat="1">
      <c r="A30" s="754"/>
      <c r="B30" s="24" t="s">
        <v>280</v>
      </c>
      <c r="C30" s="391">
        <v>0.54</v>
      </c>
    </row>
    <row r="31" spans="1:3" s="385" customFormat="1">
      <c r="A31" s="754"/>
      <c r="B31" s="100" t="s">
        <v>122</v>
      </c>
      <c r="C31" s="391">
        <v>0.72</v>
      </c>
    </row>
    <row r="32" spans="1:3" s="385" customFormat="1" ht="12">
      <c r="A32" s="754"/>
      <c r="B32" s="395" t="s">
        <v>385</v>
      </c>
      <c r="C32" s="391">
        <v>0.78</v>
      </c>
    </row>
    <row r="33" spans="1:3" s="385" customFormat="1">
      <c r="A33" s="754"/>
      <c r="B33" s="100" t="s">
        <v>282</v>
      </c>
      <c r="C33" s="391">
        <v>0.55000000000000004</v>
      </c>
    </row>
    <row r="34" spans="1:3" s="385" customFormat="1">
      <c r="A34" s="754"/>
      <c r="B34" s="24" t="s">
        <v>279</v>
      </c>
      <c r="C34" s="391">
        <v>0.55000000000000004</v>
      </c>
    </row>
    <row r="35" spans="1:3" s="385" customFormat="1">
      <c r="A35" s="754"/>
      <c r="B35" s="100" t="s">
        <v>287</v>
      </c>
      <c r="C35" s="391">
        <v>0.55000000000000004</v>
      </c>
    </row>
    <row r="36" spans="1:3" s="385" customFormat="1" ht="12">
      <c r="A36" s="754"/>
      <c r="B36" s="395" t="s">
        <v>380</v>
      </c>
      <c r="C36" s="391">
        <v>0.45</v>
      </c>
    </row>
    <row r="37" spans="1:3" s="385" customFormat="1">
      <c r="A37" s="754"/>
      <c r="B37" s="100" t="s">
        <v>283</v>
      </c>
      <c r="C37" s="391"/>
    </row>
    <row r="38" spans="1:3" s="385" customFormat="1">
      <c r="A38" s="754"/>
      <c r="B38" s="24" t="s">
        <v>125</v>
      </c>
      <c r="C38" s="391">
        <v>0.55000000000000004</v>
      </c>
    </row>
    <row r="39" spans="1:3" s="385" customFormat="1">
      <c r="A39" s="754"/>
      <c r="B39" s="24" t="s">
        <v>124</v>
      </c>
      <c r="C39" s="391">
        <v>0.55000000000000004</v>
      </c>
    </row>
    <row r="40" spans="1:3" s="385" customFormat="1">
      <c r="A40" s="755"/>
      <c r="B40" s="100" t="s">
        <v>292</v>
      </c>
      <c r="C40" s="391">
        <v>0.75</v>
      </c>
    </row>
    <row r="41" spans="1:3">
      <c r="A41" s="24" t="s">
        <v>119</v>
      </c>
      <c r="B41" s="393"/>
      <c r="C41" s="393"/>
    </row>
    <row r="42" spans="1:3">
      <c r="A42" s="24" t="s">
        <v>305</v>
      </c>
    </row>
    <row r="43" spans="1:3">
      <c r="A43" s="17" t="s">
        <v>28</v>
      </c>
    </row>
    <row r="44" spans="1:3">
      <c r="A44" s="24"/>
    </row>
    <row r="45" spans="1:3">
      <c r="A45" s="17" t="s">
        <v>315</v>
      </c>
    </row>
    <row r="46" spans="1:3">
      <c r="A46" s="24" t="s">
        <v>119</v>
      </c>
    </row>
    <row r="47" spans="1:3">
      <c r="A47" s="24" t="s">
        <v>305</v>
      </c>
    </row>
    <row r="48" spans="1:3">
      <c r="A48" s="17" t="s">
        <v>28</v>
      </c>
    </row>
    <row r="49" spans="1:1">
      <c r="A49" s="17"/>
    </row>
    <row r="50" spans="1:1">
      <c r="A50" s="17" t="s">
        <v>367</v>
      </c>
    </row>
    <row r="51" spans="1:1">
      <c r="A51" s="100" t="s">
        <v>291</v>
      </c>
    </row>
    <row r="52" spans="1:1">
      <c r="A52" s="24" t="s">
        <v>127</v>
      </c>
    </row>
    <row r="53" spans="1:1">
      <c r="A53" s="24" t="s">
        <v>127</v>
      </c>
    </row>
    <row r="54" spans="1:1">
      <c r="A54" s="24" t="s">
        <v>120</v>
      </c>
    </row>
    <row r="55" spans="1:1">
      <c r="A55" s="24" t="s">
        <v>124</v>
      </c>
    </row>
    <row r="56" spans="1:1">
      <c r="A56" s="100" t="s">
        <v>300</v>
      </c>
    </row>
    <row r="57" spans="1:1">
      <c r="A57" s="24" t="s">
        <v>126</v>
      </c>
    </row>
    <row r="58" spans="1:1">
      <c r="A58" s="17" t="s">
        <v>28</v>
      </c>
    </row>
    <row r="59" spans="1:1">
      <c r="A59" s="17"/>
    </row>
    <row r="60" spans="1:1">
      <c r="A60" s="17" t="s">
        <v>277</v>
      </c>
    </row>
    <row r="61" spans="1:1">
      <c r="A61" s="24" t="s">
        <v>120</v>
      </c>
    </row>
    <row r="62" spans="1:1">
      <c r="A62" s="24" t="s">
        <v>121</v>
      </c>
    </row>
    <row r="63" spans="1:1">
      <c r="A63" s="24" t="s">
        <v>128</v>
      </c>
    </row>
    <row r="64" spans="1:1">
      <c r="A64" s="24" t="s">
        <v>278</v>
      </c>
    </row>
    <row r="65" spans="1:1">
      <c r="A65" s="24" t="s">
        <v>124</v>
      </c>
    </row>
    <row r="66" spans="1:1">
      <c r="A66" s="24" t="s">
        <v>279</v>
      </c>
    </row>
    <row r="67" spans="1:1">
      <c r="A67" s="24" t="s">
        <v>280</v>
      </c>
    </row>
    <row r="68" spans="1:1">
      <c r="A68" s="24" t="s">
        <v>126</v>
      </c>
    </row>
    <row r="69" spans="1:1">
      <c r="A69" s="24" t="s">
        <v>127</v>
      </c>
    </row>
    <row r="70" spans="1:1">
      <c r="A70" s="17" t="s">
        <v>28</v>
      </c>
    </row>
    <row r="71" spans="1:1">
      <c r="A71" s="17"/>
    </row>
    <row r="72" spans="1:1">
      <c r="A72" s="17" t="s">
        <v>281</v>
      </c>
    </row>
    <row r="73" spans="1:1">
      <c r="A73" s="381" t="s">
        <v>120</v>
      </c>
    </row>
    <row r="74" spans="1:1">
      <c r="A74" s="381" t="s">
        <v>121</v>
      </c>
    </row>
    <row r="75" spans="1:1">
      <c r="A75" s="381" t="s">
        <v>122</v>
      </c>
    </row>
    <row r="76" spans="1:1">
      <c r="A76" s="381" t="s">
        <v>123</v>
      </c>
    </row>
    <row r="77" spans="1:1">
      <c r="A77" s="381" t="s">
        <v>282</v>
      </c>
    </row>
    <row r="78" spans="1:1">
      <c r="A78" s="381" t="s">
        <v>126</v>
      </c>
    </row>
    <row r="79" spans="1:1">
      <c r="A79" s="100" t="s">
        <v>283</v>
      </c>
    </row>
    <row r="80" spans="1:1">
      <c r="A80" s="100" t="s">
        <v>127</v>
      </c>
    </row>
    <row r="81" spans="1:1">
      <c r="A81" s="381" t="s">
        <v>276</v>
      </c>
    </row>
    <row r="82" spans="1:1">
      <c r="A82" s="17" t="s">
        <v>28</v>
      </c>
    </row>
    <row r="83" spans="1:1">
      <c r="A83" s="17"/>
    </row>
    <row r="84" spans="1:1">
      <c r="A84" s="17" t="s">
        <v>275</v>
      </c>
    </row>
    <row r="85" spans="1:1">
      <c r="A85" s="381" t="s">
        <v>120</v>
      </c>
    </row>
    <row r="86" spans="1:1">
      <c r="A86" s="381" t="s">
        <v>121</v>
      </c>
    </row>
    <row r="87" spans="1:1">
      <c r="A87" s="100" t="s">
        <v>122</v>
      </c>
    </row>
    <row r="88" spans="1:1">
      <c r="A88" s="100" t="s">
        <v>123</v>
      </c>
    </row>
    <row r="89" spans="1:1">
      <c r="A89" s="381" t="s">
        <v>124</v>
      </c>
    </row>
    <row r="90" spans="1:1">
      <c r="A90" s="100" t="s">
        <v>125</v>
      </c>
    </row>
    <row r="91" spans="1:1">
      <c r="A91" s="381" t="s">
        <v>126</v>
      </c>
    </row>
    <row r="92" spans="1:1">
      <c r="A92" s="381" t="s">
        <v>127</v>
      </c>
    </row>
    <row r="93" spans="1:1">
      <c r="A93" s="381" t="s">
        <v>284</v>
      </c>
    </row>
    <row r="94" spans="1:1">
      <c r="A94" s="381" t="s">
        <v>276</v>
      </c>
    </row>
    <row r="95" spans="1:1">
      <c r="A95" s="17" t="s">
        <v>28</v>
      </c>
    </row>
    <row r="96" spans="1:1">
      <c r="A96" s="17" t="s">
        <v>365</v>
      </c>
    </row>
    <row r="97" spans="1:1">
      <c r="A97" s="17"/>
    </row>
    <row r="98" spans="1:1">
      <c r="A98" s="17" t="s">
        <v>285</v>
      </c>
    </row>
    <row r="99" spans="1:1">
      <c r="A99" s="113" t="s">
        <v>123</v>
      </c>
    </row>
    <row r="100" spans="1:1">
      <c r="A100" s="100" t="s">
        <v>124</v>
      </c>
    </row>
    <row r="101" spans="1:1">
      <c r="A101" s="100" t="s">
        <v>126</v>
      </c>
    </row>
    <row r="102" spans="1:1">
      <c r="A102" s="113" t="s">
        <v>127</v>
      </c>
    </row>
    <row r="103" spans="1:1">
      <c r="A103" s="100" t="s">
        <v>128</v>
      </c>
    </row>
    <row r="104" spans="1:1">
      <c r="A104" s="24" t="s">
        <v>276</v>
      </c>
    </row>
    <row r="105" spans="1:1">
      <c r="A105" s="17" t="s">
        <v>28</v>
      </c>
    </row>
    <row r="106" spans="1:1">
      <c r="A106" s="17"/>
    </row>
    <row r="107" spans="1:1">
      <c r="A107" s="17" t="s">
        <v>286</v>
      </c>
    </row>
    <row r="108" spans="1:1">
      <c r="A108" s="100" t="s">
        <v>287</v>
      </c>
    </row>
    <row r="109" spans="1:1">
      <c r="A109" s="100" t="s">
        <v>121</v>
      </c>
    </row>
    <row r="110" spans="1:1">
      <c r="A110" s="100" t="s">
        <v>288</v>
      </c>
    </row>
    <row r="111" spans="1:1">
      <c r="A111" s="100" t="s">
        <v>126</v>
      </c>
    </row>
    <row r="112" spans="1:1">
      <c r="A112" s="100" t="s">
        <v>127</v>
      </c>
    </row>
    <row r="113" spans="1:1">
      <c r="A113" s="24" t="s">
        <v>276</v>
      </c>
    </row>
    <row r="114" spans="1:1">
      <c r="A114" s="17" t="s">
        <v>28</v>
      </c>
    </row>
    <row r="115" spans="1:1">
      <c r="A115" s="17"/>
    </row>
    <row r="116" spans="1:1">
      <c r="A116" s="17" t="s">
        <v>289</v>
      </c>
    </row>
    <row r="117" spans="1:1">
      <c r="A117" s="100" t="s">
        <v>290</v>
      </c>
    </row>
    <row r="118" spans="1:1">
      <c r="A118" s="100" t="s">
        <v>291</v>
      </c>
    </row>
    <row r="119" spans="1:1">
      <c r="A119" s="100" t="s">
        <v>123</v>
      </c>
    </row>
    <row r="120" spans="1:1">
      <c r="A120" s="100" t="s">
        <v>292</v>
      </c>
    </row>
    <row r="121" spans="1:1">
      <c r="A121" s="100" t="s">
        <v>126</v>
      </c>
    </row>
    <row r="122" spans="1:1">
      <c r="A122" s="100" t="s">
        <v>127</v>
      </c>
    </row>
    <row r="123" spans="1:1">
      <c r="A123" s="100" t="s">
        <v>293</v>
      </c>
    </row>
    <row r="124" spans="1:1">
      <c r="A124" s="24" t="s">
        <v>276</v>
      </c>
    </row>
    <row r="125" spans="1:1">
      <c r="A125" s="17" t="s">
        <v>28</v>
      </c>
    </row>
    <row r="126" spans="1:1">
      <c r="A126" s="17"/>
    </row>
    <row r="127" spans="1:1">
      <c r="A127" s="17" t="s">
        <v>294</v>
      </c>
    </row>
    <row r="128" spans="1:1">
      <c r="A128" s="100" t="s">
        <v>291</v>
      </c>
    </row>
    <row r="129" spans="1:1">
      <c r="A129" s="100" t="s">
        <v>125</v>
      </c>
    </row>
    <row r="130" spans="1:1">
      <c r="A130" s="100" t="s">
        <v>295</v>
      </c>
    </row>
    <row r="131" spans="1:1">
      <c r="A131" s="100" t="s">
        <v>292</v>
      </c>
    </row>
    <row r="132" spans="1:1">
      <c r="A132" s="100" t="s">
        <v>124</v>
      </c>
    </row>
    <row r="133" spans="1:1">
      <c r="A133" s="100" t="s">
        <v>126</v>
      </c>
    </row>
    <row r="134" spans="1:1">
      <c r="A134" s="100" t="s">
        <v>113</v>
      </c>
    </row>
    <row r="135" spans="1:1">
      <c r="A135" s="100" t="s">
        <v>127</v>
      </c>
    </row>
    <row r="136" spans="1:1">
      <c r="A136" s="24" t="s">
        <v>276</v>
      </c>
    </row>
    <row r="137" spans="1:1">
      <c r="A137" s="17" t="s">
        <v>28</v>
      </c>
    </row>
    <row r="138" spans="1:1">
      <c r="A138" s="17"/>
    </row>
    <row r="139" spans="1:1">
      <c r="A139" s="17" t="s">
        <v>317</v>
      </c>
    </row>
    <row r="140" spans="1:1">
      <c r="A140" s="100" t="s">
        <v>311</v>
      </c>
    </row>
    <row r="141" spans="1:1">
      <c r="A141" s="17" t="s">
        <v>28</v>
      </c>
    </row>
    <row r="142" spans="1:1">
      <c r="A142" s="17"/>
    </row>
    <row r="143" spans="1:1">
      <c r="A143" s="17" t="s">
        <v>319</v>
      </c>
    </row>
    <row r="144" spans="1:1">
      <c r="A144" s="100" t="s">
        <v>320</v>
      </c>
    </row>
    <row r="145" spans="1:1">
      <c r="A145" s="17" t="s">
        <v>28</v>
      </c>
    </row>
    <row r="146" spans="1:1">
      <c r="A146" s="17"/>
    </row>
    <row r="147" spans="1:1">
      <c r="A147" s="17" t="s">
        <v>321</v>
      </c>
    </row>
    <row r="148" spans="1:1">
      <c r="A148" s="24" t="s">
        <v>114</v>
      </c>
    </row>
    <row r="149" spans="1:1">
      <c r="A149" s="24" t="s">
        <v>129</v>
      </c>
    </row>
    <row r="150" spans="1:1">
      <c r="A150" s="100" t="s">
        <v>297</v>
      </c>
    </row>
    <row r="151" spans="1:1">
      <c r="A151" s="100" t="s">
        <v>295</v>
      </c>
    </row>
    <row r="152" spans="1:1">
      <c r="A152" s="24" t="s">
        <v>301</v>
      </c>
    </row>
    <row r="153" spans="1:1">
      <c r="A153" s="100" t="s">
        <v>322</v>
      </c>
    </row>
    <row r="154" spans="1:1">
      <c r="A154" s="24" t="s">
        <v>130</v>
      </c>
    </row>
    <row r="155" spans="1:1">
      <c r="A155" s="100" t="s">
        <v>310</v>
      </c>
    </row>
    <row r="156" spans="1:1">
      <c r="A156" s="17" t="s">
        <v>28</v>
      </c>
    </row>
    <row r="157" spans="1:1">
      <c r="A157" s="17"/>
    </row>
    <row r="158" spans="1:1">
      <c r="A158" s="17" t="s">
        <v>323</v>
      </c>
    </row>
    <row r="159" spans="1:1">
      <c r="A159" s="100" t="s">
        <v>324</v>
      </c>
    </row>
    <row r="160" spans="1:1">
      <c r="A160" s="17" t="s">
        <v>28</v>
      </c>
    </row>
    <row r="161" spans="1:1">
      <c r="A161" s="17"/>
    </row>
    <row r="162" spans="1:1">
      <c r="A162" s="17" t="s">
        <v>325</v>
      </c>
    </row>
    <row r="163" spans="1:1">
      <c r="A163" s="100" t="s">
        <v>324</v>
      </c>
    </row>
    <row r="164" spans="1:1">
      <c r="A164" s="17" t="s">
        <v>28</v>
      </c>
    </row>
    <row r="165" spans="1:1">
      <c r="A165" s="17"/>
    </row>
    <row r="166" spans="1:1">
      <c r="A166" s="17" t="s">
        <v>313</v>
      </c>
    </row>
    <row r="167" spans="1:1">
      <c r="A167" s="100" t="s">
        <v>324</v>
      </c>
    </row>
    <row r="168" spans="1:1">
      <c r="A168" s="17" t="s">
        <v>28</v>
      </c>
    </row>
    <row r="169" spans="1:1">
      <c r="A169" s="122" t="s">
        <v>316</v>
      </c>
    </row>
  </sheetData>
  <mergeCells count="2">
    <mergeCell ref="A12:A40"/>
    <mergeCell ref="A6:A10"/>
  </mergeCells>
  <pageMargins left="0.7" right="0.7" top="0.75" bottom="0.75" header="0.3" footer="0.3"/>
  <pageSetup paperSize="9" scale="51" fitToHeight="9" orientation="portrait" r:id="rId1"/>
  <headerFooter>
    <oddFooter>&amp;L&amp;F - &amp;A&amp;R&amp;D, Page &amp;P of &amp;N</oddFooter>
  </headerFooter>
  <rowBreaks count="1" manualBreakCount="1">
    <brk id="11" max="10" man="1"/>
  </rowBreaks>
</worksheet>
</file>

<file path=xl/worksheets/sheet385.xml><?xml version="1.0" encoding="utf-8"?>
<worksheet xmlns="http://schemas.openxmlformats.org/spreadsheetml/2006/main" xmlns:r="http://schemas.openxmlformats.org/officeDocument/2006/relationships">
  <dimension ref="A1:BJ90"/>
  <sheetViews>
    <sheetView tabSelected="1" topLeftCell="A56" workbookViewId="0">
      <selection activeCell="G91" sqref="G91"/>
    </sheetView>
  </sheetViews>
  <sheetFormatPr defaultRowHeight="12.75"/>
  <cols>
    <col min="1" max="1" width="10.140625" bestFit="1" customWidth="1"/>
    <col min="2" max="4" width="14" customWidth="1"/>
    <col min="5" max="7" width="15.42578125" customWidth="1"/>
    <col min="8" max="11" width="12" customWidth="1"/>
    <col min="12" max="21" width="13.5703125" customWidth="1"/>
    <col min="22" max="61" width="14.85546875" customWidth="1"/>
    <col min="62" max="62" width="12.85546875" customWidth="1"/>
  </cols>
  <sheetData>
    <row r="1" spans="1:62">
      <c r="A1" s="17" t="s">
        <v>901</v>
      </c>
    </row>
    <row r="2" spans="1:62">
      <c r="B2" s="666" t="s">
        <v>273</v>
      </c>
      <c r="C2" s="667"/>
      <c r="D2" s="667"/>
      <c r="E2" s="600"/>
      <c r="F2" s="600"/>
      <c r="G2" s="600"/>
      <c r="H2" s="600"/>
      <c r="I2" s="600"/>
      <c r="J2" s="600"/>
      <c r="K2" s="590"/>
      <c r="L2" s="666" t="s">
        <v>395</v>
      </c>
      <c r="M2" s="667"/>
      <c r="N2" s="667"/>
      <c r="O2" s="667"/>
      <c r="P2" s="667"/>
      <c r="Q2" s="667"/>
      <c r="R2" s="667"/>
      <c r="S2" s="667"/>
      <c r="T2" s="667"/>
      <c r="U2" s="590"/>
      <c r="V2" s="666" t="s">
        <v>397</v>
      </c>
      <c r="W2" s="667"/>
      <c r="X2" s="667"/>
      <c r="Y2" s="667"/>
      <c r="Z2" s="667"/>
      <c r="AA2" s="667"/>
      <c r="AB2" s="667"/>
      <c r="AC2" s="667"/>
      <c r="AD2" s="667"/>
      <c r="AE2" s="590"/>
      <c r="AF2" s="666" t="s">
        <v>419</v>
      </c>
      <c r="AG2" s="667"/>
      <c r="AH2" s="667"/>
      <c r="AI2" s="667"/>
      <c r="AJ2" s="667"/>
      <c r="AK2" s="667"/>
      <c r="AL2" s="667"/>
      <c r="AM2" s="667"/>
      <c r="AN2" s="667"/>
      <c r="AO2" s="590"/>
      <c r="AP2" s="666" t="s">
        <v>345</v>
      </c>
      <c r="AQ2" s="667"/>
      <c r="AR2" s="667"/>
      <c r="AS2" s="667"/>
      <c r="AT2" s="667"/>
      <c r="AU2" s="667"/>
      <c r="AV2" s="667"/>
      <c r="AW2" s="667"/>
      <c r="AX2" s="667"/>
      <c r="AY2" s="590"/>
      <c r="AZ2" s="666" t="s">
        <v>490</v>
      </c>
      <c r="BA2" s="667"/>
      <c r="BB2" s="667"/>
      <c r="BC2" s="667"/>
      <c r="BD2" s="667"/>
      <c r="BE2" s="667"/>
      <c r="BF2" s="667"/>
      <c r="BG2" s="667"/>
      <c r="BH2" s="667"/>
      <c r="BI2" s="590"/>
      <c r="BJ2" s="123"/>
    </row>
    <row r="3" spans="1:62" ht="38.25">
      <c r="A3" s="18" t="s">
        <v>391</v>
      </c>
      <c r="B3" s="666" t="s">
        <v>392</v>
      </c>
      <c r="C3" s="667"/>
      <c r="D3" s="760"/>
      <c r="E3" s="666" t="s">
        <v>393</v>
      </c>
      <c r="F3" s="667"/>
      <c r="G3" s="760"/>
      <c r="H3" s="666" t="s">
        <v>394</v>
      </c>
      <c r="I3" s="667"/>
      <c r="J3" s="760"/>
      <c r="K3" s="18" t="s">
        <v>902</v>
      </c>
      <c r="L3" s="757" t="s">
        <v>392</v>
      </c>
      <c r="M3" s="758"/>
      <c r="N3" s="759"/>
      <c r="O3" s="757" t="s">
        <v>393</v>
      </c>
      <c r="P3" s="758"/>
      <c r="Q3" s="759"/>
      <c r="R3" s="757" t="s">
        <v>394</v>
      </c>
      <c r="S3" s="758"/>
      <c r="T3" s="759"/>
      <c r="U3" s="18" t="s">
        <v>903</v>
      </c>
      <c r="V3" s="757" t="s">
        <v>392</v>
      </c>
      <c r="W3" s="758"/>
      <c r="X3" s="759"/>
      <c r="Y3" s="757" t="s">
        <v>393</v>
      </c>
      <c r="Z3" s="758"/>
      <c r="AA3" s="759"/>
      <c r="AB3" s="757" t="s">
        <v>394</v>
      </c>
      <c r="AC3" s="758"/>
      <c r="AD3" s="759"/>
      <c r="AE3" s="18" t="s">
        <v>904</v>
      </c>
      <c r="AF3" s="757" t="s">
        <v>392</v>
      </c>
      <c r="AG3" s="758"/>
      <c r="AH3" s="759"/>
      <c r="AI3" s="757" t="s">
        <v>393</v>
      </c>
      <c r="AJ3" s="758"/>
      <c r="AK3" s="759"/>
      <c r="AL3" s="757" t="s">
        <v>394</v>
      </c>
      <c r="AM3" s="758"/>
      <c r="AN3" s="759"/>
      <c r="AO3" s="18" t="s">
        <v>905</v>
      </c>
      <c r="AP3" s="757" t="s">
        <v>392</v>
      </c>
      <c r="AQ3" s="758"/>
      <c r="AR3" s="759"/>
      <c r="AS3" s="757" t="s">
        <v>393</v>
      </c>
      <c r="AT3" s="758"/>
      <c r="AU3" s="759"/>
      <c r="AV3" s="757" t="s">
        <v>394</v>
      </c>
      <c r="AW3" s="758"/>
      <c r="AX3" s="759"/>
      <c r="AY3" s="18" t="s">
        <v>906</v>
      </c>
      <c r="AZ3" s="757" t="s">
        <v>392</v>
      </c>
      <c r="BA3" s="758"/>
      <c r="BB3" s="759"/>
      <c r="BC3" s="757" t="s">
        <v>393</v>
      </c>
      <c r="BD3" s="758"/>
      <c r="BE3" s="759"/>
      <c r="BF3" s="757" t="s">
        <v>394</v>
      </c>
      <c r="BG3" s="758"/>
      <c r="BH3" s="759"/>
      <c r="BI3" s="18" t="s">
        <v>907</v>
      </c>
      <c r="BJ3" s="18" t="s">
        <v>908</v>
      </c>
    </row>
    <row r="4" spans="1:62">
      <c r="A4" s="18"/>
      <c r="B4" s="18" t="s">
        <v>61</v>
      </c>
      <c r="C4" s="18" t="s">
        <v>62</v>
      </c>
      <c r="D4" s="18" t="s">
        <v>63</v>
      </c>
      <c r="E4" s="18" t="s">
        <v>61</v>
      </c>
      <c r="F4" s="18" t="s">
        <v>62</v>
      </c>
      <c r="G4" s="18" t="s">
        <v>63</v>
      </c>
      <c r="H4" s="18" t="s">
        <v>61</v>
      </c>
      <c r="I4" s="18" t="s">
        <v>62</v>
      </c>
      <c r="J4" s="18" t="s">
        <v>63</v>
      </c>
      <c r="K4" s="18"/>
      <c r="L4" s="18" t="s">
        <v>61</v>
      </c>
      <c r="M4" s="18" t="s">
        <v>62</v>
      </c>
      <c r="N4" s="18" t="s">
        <v>63</v>
      </c>
      <c r="O4" s="18" t="s">
        <v>61</v>
      </c>
      <c r="P4" s="18" t="s">
        <v>62</v>
      </c>
      <c r="Q4" s="18" t="s">
        <v>63</v>
      </c>
      <c r="R4" s="18" t="s">
        <v>61</v>
      </c>
      <c r="S4" s="18" t="s">
        <v>62</v>
      </c>
      <c r="T4" s="18" t="s">
        <v>63</v>
      </c>
      <c r="U4" s="18"/>
      <c r="V4" s="18" t="s">
        <v>61</v>
      </c>
      <c r="W4" s="18" t="s">
        <v>62</v>
      </c>
      <c r="X4" s="18" t="s">
        <v>63</v>
      </c>
      <c r="Y4" s="18" t="s">
        <v>61</v>
      </c>
      <c r="Z4" s="18" t="s">
        <v>62</v>
      </c>
      <c r="AA4" s="18" t="s">
        <v>63</v>
      </c>
      <c r="AB4" s="18" t="s">
        <v>61</v>
      </c>
      <c r="AC4" s="18" t="s">
        <v>62</v>
      </c>
      <c r="AD4" s="18" t="s">
        <v>63</v>
      </c>
      <c r="AE4" s="18"/>
      <c r="AF4" s="18" t="s">
        <v>61</v>
      </c>
      <c r="AG4" s="18" t="s">
        <v>62</v>
      </c>
      <c r="AH4" s="18" t="s">
        <v>63</v>
      </c>
      <c r="AI4" s="18" t="s">
        <v>61</v>
      </c>
      <c r="AJ4" s="18" t="s">
        <v>62</v>
      </c>
      <c r="AK4" s="18" t="s">
        <v>63</v>
      </c>
      <c r="AL4" s="18" t="s">
        <v>61</v>
      </c>
      <c r="AM4" s="18" t="s">
        <v>62</v>
      </c>
      <c r="AN4" s="18" t="s">
        <v>63</v>
      </c>
      <c r="AO4" s="18"/>
      <c r="AP4" s="18" t="s">
        <v>61</v>
      </c>
      <c r="AQ4" s="18" t="s">
        <v>62</v>
      </c>
      <c r="AR4" s="18" t="s">
        <v>63</v>
      </c>
      <c r="AS4" s="18" t="s">
        <v>61</v>
      </c>
      <c r="AT4" s="18" t="s">
        <v>62</v>
      </c>
      <c r="AU4" s="18" t="s">
        <v>63</v>
      </c>
      <c r="AV4" s="18" t="s">
        <v>61</v>
      </c>
      <c r="AW4" s="18" t="s">
        <v>62</v>
      </c>
      <c r="AX4" s="18" t="s">
        <v>63</v>
      </c>
      <c r="AY4" s="18"/>
      <c r="AZ4" s="18" t="s">
        <v>61</v>
      </c>
      <c r="BA4" s="18" t="s">
        <v>62</v>
      </c>
      <c r="BB4" s="18" t="s">
        <v>63</v>
      </c>
      <c r="BC4" s="18" t="s">
        <v>61</v>
      </c>
      <c r="BD4" s="18" t="s">
        <v>62</v>
      </c>
      <c r="BE4" s="18" t="s">
        <v>63</v>
      </c>
      <c r="BF4" s="18" t="s">
        <v>61</v>
      </c>
      <c r="BG4" s="18" t="s">
        <v>62</v>
      </c>
      <c r="BH4" s="18" t="s">
        <v>63</v>
      </c>
      <c r="BI4" s="18"/>
      <c r="BJ4" s="18"/>
    </row>
    <row r="5" spans="1:62">
      <c r="A5" s="582">
        <f t="shared" ref="A5:A12" si="0">A6-7</f>
        <v>42373</v>
      </c>
      <c r="B5" s="428">
        <f>'Equipment SCS 1-4-16'!W31</f>
        <v>17969.034443708937</v>
      </c>
      <c r="C5" s="428">
        <f>'Equipment SCS 1-4-16'!X31</f>
        <v>1.3819553033559813</v>
      </c>
      <c r="D5" s="428">
        <f>'Equipment SCS 1-4-16'!Y31</f>
        <v>7.909796834940666</v>
      </c>
      <c r="E5" s="428">
        <f>'Construction Trucks SCS 1-4-16'!AB21</f>
        <v>1076.2348544456186</v>
      </c>
      <c r="F5" s="428">
        <f>'Construction Trucks SCS 1-4-16'!AC21</f>
        <v>4.6945039013993342E-2</v>
      </c>
      <c r="G5" s="428">
        <f>'Construction Trucks SCS 1-4-16'!AD21</f>
        <v>2.756883203147896E-2</v>
      </c>
      <c r="H5" s="428">
        <f>'WorkerTrips SCS 1-4-16'!N93</f>
        <v>2161.5194923155168</v>
      </c>
      <c r="I5" s="428">
        <f>'WorkerTrips SCS 1-4-16'!O93</f>
        <v>0.12364854017217972</v>
      </c>
      <c r="J5" s="428">
        <f>'WorkerTrips SCS 1-4-16'!P93</f>
        <v>0.22507367663989103</v>
      </c>
      <c r="K5" s="428">
        <f>B5+28*C5+265*D5+E5+28*F5+265*G5+H5+28*I5+265*J5</f>
        <v>23413.306585238439</v>
      </c>
      <c r="L5" s="18"/>
      <c r="M5" s="18"/>
      <c r="N5" s="18"/>
      <c r="O5" s="18"/>
      <c r="P5" s="18"/>
      <c r="Q5" s="18"/>
      <c r="R5" s="18"/>
      <c r="S5" s="18"/>
      <c r="T5" s="18"/>
      <c r="U5" s="428">
        <f>L5+28*M5+265*N5+O5+28*P5+265*Q5+R5+28*S5+265*T5</f>
        <v>0</v>
      </c>
      <c r="V5" s="18"/>
      <c r="W5" s="18"/>
      <c r="X5" s="18"/>
      <c r="Y5" s="18"/>
      <c r="Z5" s="18"/>
      <c r="AA5" s="18"/>
      <c r="AB5" s="18"/>
      <c r="AC5" s="18"/>
      <c r="AD5" s="18"/>
      <c r="AE5" s="428">
        <f>V5+28*W5+265*X5+Y5+28*Z5+265*AA5+AB5+28*AC5+265*AD5</f>
        <v>0</v>
      </c>
      <c r="AF5" s="18"/>
      <c r="AG5" s="18"/>
      <c r="AH5" s="18"/>
      <c r="AI5" s="18"/>
      <c r="AJ5" s="18"/>
      <c r="AK5" s="18"/>
      <c r="AL5" s="18"/>
      <c r="AM5" s="18"/>
      <c r="AN5" s="18"/>
      <c r="AO5" s="428">
        <f>AF5+28*AG5+265*AH5+AI5+28*AJ5+265*AK5+AL5+28*AM5+265*AN5</f>
        <v>0</v>
      </c>
      <c r="AP5" s="18"/>
      <c r="AQ5" s="18"/>
      <c r="AR5" s="18"/>
      <c r="AS5" s="18"/>
      <c r="AT5" s="18"/>
      <c r="AU5" s="18"/>
      <c r="AV5" s="18"/>
      <c r="AW5" s="18"/>
      <c r="AX5" s="18"/>
      <c r="AY5" s="428">
        <f>AP5+28*AQ5+265*AR5+AS5+28*AT5+265*AU5+AV5+28*AW5+265*AX5</f>
        <v>0</v>
      </c>
      <c r="AZ5" s="428"/>
      <c r="BA5" s="428"/>
      <c r="BB5" s="428"/>
      <c r="BC5" s="428"/>
      <c r="BD5" s="428"/>
      <c r="BE5" s="428"/>
      <c r="BF5" s="428"/>
      <c r="BG5" s="428"/>
      <c r="BH5" s="428"/>
      <c r="BI5" s="428">
        <f>AZ5+28*BA5+265*BB5+BC5+28*BD5+265*BE5+BF5+28*BG5+265*BH5</f>
        <v>0</v>
      </c>
      <c r="BJ5" s="27">
        <f>5*(K5+U5+AE5+AO5+AY5+BI5)/(2000*1.1023)</f>
        <v>53.101030992557469</v>
      </c>
    </row>
    <row r="6" spans="1:62">
      <c r="A6" s="582">
        <f t="shared" si="0"/>
        <v>42380</v>
      </c>
      <c r="B6" s="428">
        <f>'Equipment SCS 1-11-16'!W39</f>
        <v>28439.737229808899</v>
      </c>
      <c r="C6" s="428">
        <f>'Equipment SCS 1-11-16'!X39</f>
        <v>2.290517886233316</v>
      </c>
      <c r="D6" s="428">
        <f>'Equipment SCS 1-11-16'!Y39</f>
        <v>12.817887184385361</v>
      </c>
      <c r="E6" s="428">
        <f>'Construction Trucks SCS 1-11-16'!AB25</f>
        <v>1937.8498221334335</v>
      </c>
      <c r="F6" s="428">
        <f>'Construction Trucks SCS 1-11-16'!AC25</f>
        <v>6.7071804565392926E-2</v>
      </c>
      <c r="G6" s="428">
        <f>'Construction Trucks SCS 1-11-16'!AD25</f>
        <v>4.9639961043770033E-2</v>
      </c>
      <c r="H6" s="428">
        <f>'WorkerTrips SCS 1-11-16'!N95</f>
        <v>2771.1788363019446</v>
      </c>
      <c r="I6" s="428">
        <f>'WorkerTrips SCS 1-11-16'!O95</f>
        <v>0.15852376945151245</v>
      </c>
      <c r="J6" s="428">
        <f>'WorkerTrips SCS 1-11-16'!P95</f>
        <v>0.288555995692168</v>
      </c>
      <c r="K6" s="428">
        <f t="shared" ref="K6:K69" si="1">B6+28*C6+265*D6+E6+28*F6+265*G6+H6+28*I6+265*J6</f>
        <v>36705.579097528425</v>
      </c>
      <c r="L6" s="18"/>
      <c r="M6" s="18"/>
      <c r="N6" s="18"/>
      <c r="O6" s="18"/>
      <c r="P6" s="18"/>
      <c r="Q6" s="18"/>
      <c r="R6" s="18"/>
      <c r="S6" s="18"/>
      <c r="T6" s="18"/>
      <c r="U6" s="428">
        <f t="shared" ref="U6:U69" si="2">L6+28*M6+265*N6+O6+28*P6+265*Q6+R6+28*S6+265*T6</f>
        <v>0</v>
      </c>
      <c r="V6" s="18"/>
      <c r="W6" s="18"/>
      <c r="X6" s="18"/>
      <c r="Y6" s="18"/>
      <c r="Z6" s="18"/>
      <c r="AA6" s="18"/>
      <c r="AB6" s="18"/>
      <c r="AC6" s="18"/>
      <c r="AD6" s="18"/>
      <c r="AE6" s="428">
        <f t="shared" ref="AE6:AE69" si="3">V6+28*W6+265*X6+Y6+28*Z6+265*AA6+AB6+28*AC6+265*AD6</f>
        <v>0</v>
      </c>
      <c r="AF6" s="18"/>
      <c r="AG6" s="18"/>
      <c r="AH6" s="18"/>
      <c r="AI6" s="18"/>
      <c r="AJ6" s="18"/>
      <c r="AK6" s="18"/>
      <c r="AL6" s="18"/>
      <c r="AM6" s="18"/>
      <c r="AN6" s="18"/>
      <c r="AO6" s="428">
        <f t="shared" ref="AO6:AO69" si="4">AF6+28*AG6+265*AH6+AI6+28*AJ6+265*AK6+AL6+28*AM6+265*AN6</f>
        <v>0</v>
      </c>
      <c r="AP6" s="18"/>
      <c r="AQ6" s="18"/>
      <c r="AR6" s="18"/>
      <c r="AS6" s="18"/>
      <c r="AT6" s="18"/>
      <c r="AU6" s="18"/>
      <c r="AV6" s="18"/>
      <c r="AW6" s="18"/>
      <c r="AX6" s="18"/>
      <c r="AY6" s="428">
        <f t="shared" ref="AY6:AY69" si="5">AP6+28*AQ6+265*AR6+AS6+28*AT6+265*AU6+AV6+28*AW6+265*AX6</f>
        <v>0</v>
      </c>
      <c r="AZ6" s="428"/>
      <c r="BA6" s="428"/>
      <c r="BB6" s="428"/>
      <c r="BC6" s="428"/>
      <c r="BD6" s="428"/>
      <c r="BE6" s="428"/>
      <c r="BF6" s="428"/>
      <c r="BG6" s="428"/>
      <c r="BH6" s="428"/>
      <c r="BI6" s="428">
        <f t="shared" ref="BI6:BI69" si="6">AZ6+28*BA6+265*BB6+BC6+28*BD6+265*BE6+BF6+28*BG6+265*BH6</f>
        <v>0</v>
      </c>
      <c r="BJ6" s="27">
        <f>5*(K6+U6+AE6+AO6+AY6+BI6)/(2000*1.1023)</f>
        <v>83.247707288234665</v>
      </c>
    </row>
    <row r="7" spans="1:62">
      <c r="A7" s="582">
        <f t="shared" si="0"/>
        <v>42387</v>
      </c>
      <c r="B7" s="428">
        <f>'Equipment SCS 1-18-16'!W41</f>
        <v>32384.407771965431</v>
      </c>
      <c r="C7" s="428">
        <f>'Equipment SCS 1-18-16'!X41</f>
        <v>2.5948813157252513</v>
      </c>
      <c r="D7" s="428">
        <f>'Equipment SCS 1-18-16'!Y41</f>
        <v>14.622364944085536</v>
      </c>
      <c r="E7" s="428">
        <f>'Construction Trucks SCS 1-18-16'!AB24</f>
        <v>1334.4058026863029</v>
      </c>
      <c r="F7" s="428">
        <f>'Construction Trucks SCS 1-18-16'!AC24</f>
        <v>6.1697701509310768E-2</v>
      </c>
      <c r="G7" s="428">
        <f>'Construction Trucks SCS 1-18-16'!AD24</f>
        <v>3.4182139041612332E-2</v>
      </c>
      <c r="H7" s="428">
        <f>'WorkerTrips SCS 1-18-16'!N95</f>
        <v>3214.5674501102558</v>
      </c>
      <c r="I7" s="428">
        <f>'WorkerTrips SCS 1-18-16'!O95</f>
        <v>0.18388757256375443</v>
      </c>
      <c r="J7" s="428">
        <f>'WorkerTrips SCS 1-18-16'!P95</f>
        <v>0.33472495500291488</v>
      </c>
      <c r="K7" s="428">
        <f t="shared" si="1"/>
        <v>40985.601179380814</v>
      </c>
      <c r="L7" s="18"/>
      <c r="M7" s="18"/>
      <c r="N7" s="18"/>
      <c r="O7" s="18"/>
      <c r="P7" s="18"/>
      <c r="Q7" s="18"/>
      <c r="R7" s="18"/>
      <c r="S7" s="18"/>
      <c r="T7" s="18"/>
      <c r="U7" s="428">
        <f t="shared" si="2"/>
        <v>0</v>
      </c>
      <c r="V7" s="18"/>
      <c r="W7" s="18"/>
      <c r="X7" s="18"/>
      <c r="Y7" s="18"/>
      <c r="Z7" s="18"/>
      <c r="AA7" s="18"/>
      <c r="AB7" s="18"/>
      <c r="AC7" s="18"/>
      <c r="AD7" s="18"/>
      <c r="AE7" s="428">
        <f t="shared" si="3"/>
        <v>0</v>
      </c>
      <c r="AF7" s="18"/>
      <c r="AG7" s="18"/>
      <c r="AH7" s="18"/>
      <c r="AI7" s="18"/>
      <c r="AJ7" s="18"/>
      <c r="AK7" s="18"/>
      <c r="AL7" s="18"/>
      <c r="AM7" s="18"/>
      <c r="AN7" s="18"/>
      <c r="AO7" s="428">
        <f t="shared" si="4"/>
        <v>0</v>
      </c>
      <c r="AP7" s="18"/>
      <c r="AQ7" s="18"/>
      <c r="AR7" s="18"/>
      <c r="AS7" s="18"/>
      <c r="AT7" s="18"/>
      <c r="AU7" s="18"/>
      <c r="AV7" s="18"/>
      <c r="AW7" s="18"/>
      <c r="AX7" s="18"/>
      <c r="AY7" s="428">
        <f t="shared" si="5"/>
        <v>0</v>
      </c>
      <c r="AZ7" s="428"/>
      <c r="BA7" s="428"/>
      <c r="BB7" s="428"/>
      <c r="BC7" s="428"/>
      <c r="BD7" s="428"/>
      <c r="BE7" s="428"/>
      <c r="BF7" s="428"/>
      <c r="BG7" s="428"/>
      <c r="BH7" s="428"/>
      <c r="BI7" s="428">
        <f t="shared" si="6"/>
        <v>0</v>
      </c>
      <c r="BJ7" s="27">
        <f t="shared" ref="BJ6:BJ69" si="7">5*(K7+U7+AE7+AO7+AY7+BI7)/(2000*1.1023)</f>
        <v>92.954733691782678</v>
      </c>
    </row>
    <row r="8" spans="1:62">
      <c r="A8" s="582">
        <f t="shared" si="0"/>
        <v>42394</v>
      </c>
      <c r="B8" s="428">
        <f>'Equipment SCS 1-25-16'!W31</f>
        <v>24476.805611026677</v>
      </c>
      <c r="C8" s="428">
        <f>'Equipment SCS 1-25-16'!X31</f>
        <v>2.1019713765179731</v>
      </c>
      <c r="D8" s="428">
        <f>'Equipment SCS 1-25-16'!Y31</f>
        <v>11.608712098370747</v>
      </c>
      <c r="E8" s="428">
        <f>'Construction Trucks SCS 1-25-16'!AB21</f>
        <v>2250.8515248097942</v>
      </c>
      <c r="F8" s="428">
        <f>'Construction Trucks SCS 1-25-16'!AC21</f>
        <v>5.584916231424298E-2</v>
      </c>
      <c r="G8" s="428">
        <f>'Construction Trucks SCS 1-25-16'!AD21</f>
        <v>5.7657812659527692E-2</v>
      </c>
      <c r="H8" s="428">
        <f>'WorkerTrips SCS 1-25-16'!N93</f>
        <v>2383.2137992196722</v>
      </c>
      <c r="I8" s="428">
        <f>'WorkerTrips SCS 1-25-16'!O93</f>
        <v>0.13633044172830072</v>
      </c>
      <c r="J8" s="428">
        <f>'WorkerTrips SCS 1-25-16'!P93</f>
        <v>0.24815815629526444</v>
      </c>
      <c r="K8" s="428">
        <f t="shared" si="1"/>
        <v>32332.457100353105</v>
      </c>
      <c r="L8" s="18"/>
      <c r="M8" s="18"/>
      <c r="N8" s="18"/>
      <c r="O8" s="18"/>
      <c r="P8" s="18"/>
      <c r="Q8" s="18"/>
      <c r="R8" s="18"/>
      <c r="S8" s="18"/>
      <c r="T8" s="18"/>
      <c r="U8" s="428">
        <f t="shared" si="2"/>
        <v>0</v>
      </c>
      <c r="V8" s="18"/>
      <c r="W8" s="18"/>
      <c r="X8" s="18"/>
      <c r="Y8" s="18"/>
      <c r="Z8" s="18"/>
      <c r="AA8" s="18"/>
      <c r="AB8" s="18"/>
      <c r="AC8" s="18"/>
      <c r="AD8" s="18"/>
      <c r="AE8" s="428">
        <f t="shared" si="3"/>
        <v>0</v>
      </c>
      <c r="AF8" s="18"/>
      <c r="AG8" s="18"/>
      <c r="AH8" s="18"/>
      <c r="AI8" s="18"/>
      <c r="AJ8" s="18"/>
      <c r="AK8" s="18"/>
      <c r="AL8" s="18"/>
      <c r="AM8" s="18"/>
      <c r="AN8" s="18"/>
      <c r="AO8" s="428">
        <f t="shared" si="4"/>
        <v>0</v>
      </c>
      <c r="AP8" s="18"/>
      <c r="AQ8" s="18"/>
      <c r="AR8" s="18"/>
      <c r="AS8" s="18"/>
      <c r="AT8" s="18"/>
      <c r="AU8" s="18"/>
      <c r="AV8" s="18"/>
      <c r="AW8" s="18"/>
      <c r="AX8" s="18"/>
      <c r="AY8" s="428">
        <f t="shared" si="5"/>
        <v>0</v>
      </c>
      <c r="AZ8" s="428"/>
      <c r="BA8" s="428"/>
      <c r="BB8" s="428"/>
      <c r="BC8" s="428"/>
      <c r="BD8" s="428"/>
      <c r="BE8" s="428"/>
      <c r="BF8" s="428"/>
      <c r="BG8" s="428"/>
      <c r="BH8" s="428"/>
      <c r="BI8" s="428">
        <f t="shared" si="6"/>
        <v>0</v>
      </c>
      <c r="BJ8" s="27">
        <f t="shared" si="7"/>
        <v>73.329531661873148</v>
      </c>
    </row>
    <row r="9" spans="1:62">
      <c r="A9" s="582">
        <f t="shared" si="0"/>
        <v>42401</v>
      </c>
      <c r="B9" s="428">
        <f>'Equipment SCS 2-1-16'!W29</f>
        <v>18862.040822762152</v>
      </c>
      <c r="C9" s="428">
        <f>'Equipment SCS 2-1-16'!X29</f>
        <v>1.6239550570867793</v>
      </c>
      <c r="D9" s="428">
        <f>'Equipment SCS 2-1-16'!Y29</f>
        <v>9.0388314105400589</v>
      </c>
      <c r="E9" s="428">
        <f>'Construction Trucks SCS 2-1-16'!AB20</f>
        <v>1043.9634859155328</v>
      </c>
      <c r="F9" s="428">
        <f>'Construction Trucks SCS 2-1-16'!AC20</f>
        <v>4.5100956202078671E-2</v>
      </c>
      <c r="G9" s="428">
        <f>'Construction Trucks SCS 2-1-16'!AD20</f>
        <v>2.6742168655212287E-2</v>
      </c>
      <c r="H9" s="428">
        <f>'WorkerTrips SCS 2-1-16'!N93</f>
        <v>1995.2487621374003</v>
      </c>
      <c r="I9" s="428">
        <f>'WorkerTrips SCS 2-1-16'!O93</f>
        <v>0.11413711400508897</v>
      </c>
      <c r="J9" s="428">
        <f>'WorkerTrips SCS 2-1-16'!P93</f>
        <v>0.20776031689836094</v>
      </c>
      <c r="K9" s="428">
        <f t="shared" si="1"/>
        <v>24408.615960844134</v>
      </c>
      <c r="L9" s="18"/>
      <c r="M9" s="18"/>
      <c r="N9" s="18"/>
      <c r="O9" s="18"/>
      <c r="P9" s="18"/>
      <c r="Q9" s="18"/>
      <c r="R9" s="18"/>
      <c r="S9" s="18"/>
      <c r="T9" s="18"/>
      <c r="U9" s="428">
        <f t="shared" si="2"/>
        <v>0</v>
      </c>
      <c r="V9" s="18"/>
      <c r="W9" s="18"/>
      <c r="X9" s="18"/>
      <c r="Y9" s="18"/>
      <c r="Z9" s="18"/>
      <c r="AA9" s="18"/>
      <c r="AB9" s="18"/>
      <c r="AC9" s="18"/>
      <c r="AD9" s="18"/>
      <c r="AE9" s="428">
        <f t="shared" si="3"/>
        <v>0</v>
      </c>
      <c r="AF9" s="18"/>
      <c r="AG9" s="18"/>
      <c r="AH9" s="18"/>
      <c r="AI9" s="18"/>
      <c r="AJ9" s="18"/>
      <c r="AK9" s="18"/>
      <c r="AL9" s="18"/>
      <c r="AM9" s="18"/>
      <c r="AN9" s="18"/>
      <c r="AO9" s="428">
        <f t="shared" si="4"/>
        <v>0</v>
      </c>
      <c r="AP9" s="18"/>
      <c r="AQ9" s="18"/>
      <c r="AR9" s="18"/>
      <c r="AS9" s="18"/>
      <c r="AT9" s="18"/>
      <c r="AU9" s="18"/>
      <c r="AV9" s="18"/>
      <c r="AW9" s="18"/>
      <c r="AX9" s="18"/>
      <c r="AY9" s="428">
        <f t="shared" si="5"/>
        <v>0</v>
      </c>
      <c r="AZ9" s="428"/>
      <c r="BA9" s="428"/>
      <c r="BB9" s="428"/>
      <c r="BC9" s="428"/>
      <c r="BD9" s="428"/>
      <c r="BE9" s="428"/>
      <c r="BF9" s="428"/>
      <c r="BG9" s="428"/>
      <c r="BH9" s="428"/>
      <c r="BI9" s="428">
        <f t="shared" si="6"/>
        <v>0</v>
      </c>
      <c r="BJ9" s="27">
        <f t="shared" si="7"/>
        <v>55.358377848235818</v>
      </c>
    </row>
    <row r="10" spans="1:62">
      <c r="A10" s="582">
        <f t="shared" si="0"/>
        <v>42408</v>
      </c>
      <c r="B10" s="428">
        <f>'Equipment SCS 2-8-16'!W28</f>
        <v>18413.154559493196</v>
      </c>
      <c r="C10" s="428">
        <f>'Equipment SCS 2-8-16'!X28</f>
        <v>1.5859987890785749</v>
      </c>
      <c r="D10" s="428">
        <f>'Equipment SCS 2-8-16'!Y28</f>
        <v>8.8332398413160735</v>
      </c>
      <c r="E10" s="428">
        <f>'Construction Trucks SCS 2-8-16'!AB20</f>
        <v>1043.9634859155328</v>
      </c>
      <c r="F10" s="428">
        <f>'Construction Trucks SCS 2-8-16'!AC20</f>
        <v>4.5100956202078671E-2</v>
      </c>
      <c r="G10" s="428">
        <f>'Construction Trucks SCS 2-8-16'!AD20</f>
        <v>2.6742168655212287E-2</v>
      </c>
      <c r="H10" s="428">
        <f>'WorkerTrips SCS 2-8-16'!N93</f>
        <v>1939.8251854113614</v>
      </c>
      <c r="I10" s="428">
        <f>'WorkerTrips SCS 2-8-16'!O93</f>
        <v>0.11096663861605872</v>
      </c>
      <c r="J10" s="428">
        <f>'WorkerTrips SCS 2-8-16'!P93</f>
        <v>0.20198919698451759</v>
      </c>
      <c r="K10" s="428">
        <f t="shared" si="1"/>
        <v>23847.143459412488</v>
      </c>
      <c r="L10" s="18"/>
      <c r="M10" s="18"/>
      <c r="N10" s="18"/>
      <c r="O10" s="18"/>
      <c r="P10" s="18"/>
      <c r="Q10" s="18"/>
      <c r="R10" s="18"/>
      <c r="S10" s="18"/>
      <c r="T10" s="18"/>
      <c r="U10" s="428">
        <f t="shared" si="2"/>
        <v>0</v>
      </c>
      <c r="V10" s="18"/>
      <c r="W10" s="18"/>
      <c r="X10" s="18"/>
      <c r="Y10" s="18"/>
      <c r="Z10" s="18"/>
      <c r="AA10" s="18"/>
      <c r="AB10" s="18"/>
      <c r="AC10" s="18"/>
      <c r="AD10" s="18"/>
      <c r="AE10" s="428">
        <f t="shared" si="3"/>
        <v>0</v>
      </c>
      <c r="AF10" s="18"/>
      <c r="AG10" s="18"/>
      <c r="AH10" s="18"/>
      <c r="AI10" s="18"/>
      <c r="AJ10" s="18"/>
      <c r="AK10" s="18"/>
      <c r="AL10" s="18"/>
      <c r="AM10" s="18"/>
      <c r="AN10" s="18"/>
      <c r="AO10" s="428">
        <f t="shared" si="4"/>
        <v>0</v>
      </c>
      <c r="AP10" s="18"/>
      <c r="AQ10" s="18"/>
      <c r="AR10" s="18"/>
      <c r="AS10" s="18"/>
      <c r="AT10" s="18"/>
      <c r="AU10" s="18"/>
      <c r="AV10" s="18"/>
      <c r="AW10" s="18"/>
      <c r="AX10" s="18"/>
      <c r="AY10" s="428">
        <f t="shared" si="5"/>
        <v>0</v>
      </c>
      <c r="AZ10" s="428"/>
      <c r="BA10" s="428"/>
      <c r="BB10" s="428"/>
      <c r="BC10" s="428"/>
      <c r="BD10" s="428"/>
      <c r="BE10" s="428"/>
      <c r="BF10" s="428"/>
      <c r="BG10" s="428"/>
      <c r="BH10" s="428"/>
      <c r="BI10" s="428">
        <f t="shared" si="6"/>
        <v>0</v>
      </c>
      <c r="BJ10" s="27">
        <f t="shared" si="7"/>
        <v>54.084966568566834</v>
      </c>
    </row>
    <row r="11" spans="1:62">
      <c r="A11" s="582">
        <f t="shared" si="0"/>
        <v>42415</v>
      </c>
      <c r="B11" s="428">
        <f>'Equipment SCS 2-15-16'!W28</f>
        <v>13870.620472416891</v>
      </c>
      <c r="C11" s="428">
        <f>'Equipment SCS 2-15-16'!X28</f>
        <v>1.2256657222185674</v>
      </c>
      <c r="D11" s="428">
        <f>'Equipment SCS 2-15-16'!Y28</f>
        <v>6.9204717133587392</v>
      </c>
      <c r="E11" s="428">
        <f>'Construction Trucks SCS 2-15-16'!AB21</f>
        <v>25181.724263800766</v>
      </c>
      <c r="F11" s="428">
        <f>'Construction Trucks SCS 2-15-16'!AC21</f>
        <v>0.26006507844536486</v>
      </c>
      <c r="G11" s="428">
        <f>'Construction Trucks SCS 2-15-16'!AD21</f>
        <v>0.64505504874152031</v>
      </c>
      <c r="H11" s="428">
        <f>'WorkerTrips SCS 2-15-16'!N93</f>
        <v>1939.8251854113614</v>
      </c>
      <c r="I11" s="428">
        <f>'WorkerTrips SCS 2-15-16'!O93</f>
        <v>0.11096663861605872</v>
      </c>
      <c r="J11" s="428">
        <f>'WorkerTrips SCS 2-15-16'!P93</f>
        <v>0.20198919698451759</v>
      </c>
      <c r="K11" s="428">
        <f t="shared" si="1"/>
        <v>43095.269179086325</v>
      </c>
      <c r="L11" s="18"/>
      <c r="M11" s="18"/>
      <c r="N11" s="18"/>
      <c r="O11" s="18"/>
      <c r="P11" s="18"/>
      <c r="Q11" s="18"/>
      <c r="R11" s="18"/>
      <c r="S11" s="18"/>
      <c r="T11" s="18"/>
      <c r="U11" s="428">
        <f t="shared" si="2"/>
        <v>0</v>
      </c>
      <c r="V11" s="18"/>
      <c r="W11" s="18"/>
      <c r="X11" s="18"/>
      <c r="Y11" s="18"/>
      <c r="Z11" s="18"/>
      <c r="AA11" s="18"/>
      <c r="AB11" s="18"/>
      <c r="AC11" s="18"/>
      <c r="AD11" s="18"/>
      <c r="AE11" s="428">
        <f t="shared" si="3"/>
        <v>0</v>
      </c>
      <c r="AF11" s="18"/>
      <c r="AG11" s="18"/>
      <c r="AH11" s="18"/>
      <c r="AI11" s="18"/>
      <c r="AJ11" s="18"/>
      <c r="AK11" s="18"/>
      <c r="AL11" s="18"/>
      <c r="AM11" s="18"/>
      <c r="AN11" s="18"/>
      <c r="AO11" s="428">
        <f t="shared" si="4"/>
        <v>0</v>
      </c>
      <c r="AP11" s="18"/>
      <c r="AQ11" s="18"/>
      <c r="AR11" s="18"/>
      <c r="AS11" s="18"/>
      <c r="AT11" s="18"/>
      <c r="AU11" s="18"/>
      <c r="AV11" s="18"/>
      <c r="AW11" s="18"/>
      <c r="AX11" s="18"/>
      <c r="AY11" s="428">
        <f t="shared" si="5"/>
        <v>0</v>
      </c>
      <c r="AZ11" s="428"/>
      <c r="BA11" s="428"/>
      <c r="BB11" s="428"/>
      <c r="BC11" s="428"/>
      <c r="BD11" s="428"/>
      <c r="BE11" s="428"/>
      <c r="BF11" s="428"/>
      <c r="BG11" s="428"/>
      <c r="BH11" s="428"/>
      <c r="BI11" s="428">
        <f t="shared" si="6"/>
        <v>0</v>
      </c>
      <c r="BJ11" s="27">
        <f t="shared" si="7"/>
        <v>97.739429327511402</v>
      </c>
    </row>
    <row r="12" spans="1:62">
      <c r="A12" s="582">
        <f t="shared" si="0"/>
        <v>42422</v>
      </c>
      <c r="B12" s="428">
        <f>'Equipment SCS 2-22-16'!W28</f>
        <v>11209.154266011938</v>
      </c>
      <c r="C12" s="428">
        <f>'Equipment SCS 2-22-16'!X28</f>
        <v>0.95825108520757551</v>
      </c>
      <c r="D12" s="428">
        <f>'Equipment SCS 2-22-16'!Y28</f>
        <v>5.6972949995139421</v>
      </c>
      <c r="E12" s="428">
        <f>'Construction Trucks SCS 2-22-16'!AB22</f>
        <v>25246.267000860938</v>
      </c>
      <c r="F12" s="428">
        <f>'Construction Trucks SCS 2-22-16'!AC22</f>
        <v>0.2637532440691942</v>
      </c>
      <c r="G12" s="428">
        <f>'Construction Trucks SCS 2-22-16'!AD22</f>
        <v>0.64670837549405358</v>
      </c>
      <c r="H12" s="428">
        <f>'WorkerTrips SCS 2-15-16'!N93</f>
        <v>1939.8251854113614</v>
      </c>
      <c r="I12" s="428">
        <f>'WorkerTrips SCS 2-15-16'!O93</f>
        <v>0.11096663861605872</v>
      </c>
      <c r="J12" s="428">
        <f>'WorkerTrips SCS 2-15-16'!P93</f>
        <v>0.20198919698451759</v>
      </c>
      <c r="K12" s="428">
        <f t="shared" si="1"/>
        <v>40167.257670963249</v>
      </c>
      <c r="L12" s="18"/>
      <c r="M12" s="18"/>
      <c r="N12" s="18"/>
      <c r="O12" s="18"/>
      <c r="P12" s="18"/>
      <c r="Q12" s="18"/>
      <c r="R12" s="18"/>
      <c r="S12" s="18"/>
      <c r="T12" s="18"/>
      <c r="U12" s="428">
        <f t="shared" si="2"/>
        <v>0</v>
      </c>
      <c r="V12" s="18"/>
      <c r="W12" s="18"/>
      <c r="X12" s="18"/>
      <c r="Y12" s="18"/>
      <c r="Z12" s="18"/>
      <c r="AA12" s="18"/>
      <c r="AB12" s="18"/>
      <c r="AC12" s="18"/>
      <c r="AD12" s="18"/>
      <c r="AE12" s="428">
        <f t="shared" si="3"/>
        <v>0</v>
      </c>
      <c r="AF12" s="18"/>
      <c r="AG12" s="18"/>
      <c r="AH12" s="18"/>
      <c r="AI12" s="18"/>
      <c r="AJ12" s="18"/>
      <c r="AK12" s="18"/>
      <c r="AL12" s="18"/>
      <c r="AM12" s="18"/>
      <c r="AN12" s="18"/>
      <c r="AO12" s="428">
        <f t="shared" si="4"/>
        <v>0</v>
      </c>
      <c r="AP12" s="18"/>
      <c r="AQ12" s="18"/>
      <c r="AR12" s="18"/>
      <c r="AS12" s="18"/>
      <c r="AT12" s="18"/>
      <c r="AU12" s="18"/>
      <c r="AV12" s="18"/>
      <c r="AW12" s="18"/>
      <c r="AX12" s="18"/>
      <c r="AY12" s="428">
        <f t="shared" si="5"/>
        <v>0</v>
      </c>
      <c r="AZ12" s="428"/>
      <c r="BA12" s="428"/>
      <c r="BB12" s="428"/>
      <c r="BC12" s="428"/>
      <c r="BD12" s="428"/>
      <c r="BE12" s="428"/>
      <c r="BF12" s="428"/>
      <c r="BG12" s="428"/>
      <c r="BH12" s="428"/>
      <c r="BI12" s="428">
        <f t="shared" si="6"/>
        <v>0</v>
      </c>
      <c r="BJ12" s="27">
        <f t="shared" si="7"/>
        <v>91.098742789991945</v>
      </c>
    </row>
    <row r="13" spans="1:62">
      <c r="A13" s="427">
        <v>42429</v>
      </c>
      <c r="B13" s="124">
        <f>'Equipment SCS 2-29-16'!W28</f>
        <v>11209.154266011938</v>
      </c>
      <c r="C13" s="124">
        <f>'Equipment SCS 2-29-16'!X28</f>
        <v>0.95825108520757551</v>
      </c>
      <c r="D13" s="124">
        <f>'Equipment SCS 2-29-16'!Y28</f>
        <v>5.6972949995139421</v>
      </c>
      <c r="E13" s="124">
        <f>'Construction Trucks SCS 2-29-16'!AB22</f>
        <v>25246.267000860938</v>
      </c>
      <c r="F13" s="124">
        <f>'Construction Trucks SCS 2-29-16'!AC22</f>
        <v>0.2637532440691942</v>
      </c>
      <c r="G13" s="124">
        <f>'Construction Trucks SCS 2-29-16'!AD22</f>
        <v>0.64670837549405358</v>
      </c>
      <c r="H13" s="124">
        <f>'WorkerTrips SCS 2-29-16'!N93</f>
        <v>1995.2487621374003</v>
      </c>
      <c r="I13" s="124">
        <f>'WorkerTrips SCS 2-29-16'!O93</f>
        <v>0.11413711400508897</v>
      </c>
      <c r="J13" s="124">
        <f>'WorkerTrips SCS 2-29-16'!P93</f>
        <v>0.20776031689836094</v>
      </c>
      <c r="K13" s="428">
        <f t="shared" si="1"/>
        <v>40224.299367777348</v>
      </c>
      <c r="L13" s="124"/>
      <c r="M13" s="124"/>
      <c r="N13" s="124"/>
      <c r="O13" s="124"/>
      <c r="P13" s="124"/>
      <c r="Q13" s="124"/>
      <c r="R13" s="124"/>
      <c r="S13" s="124"/>
      <c r="T13" s="124"/>
      <c r="U13" s="428">
        <f t="shared" si="2"/>
        <v>0</v>
      </c>
      <c r="V13" s="124"/>
      <c r="W13" s="124"/>
      <c r="X13" s="124"/>
      <c r="Y13" s="124"/>
      <c r="Z13" s="124"/>
      <c r="AA13" s="124"/>
      <c r="AB13" s="124"/>
      <c r="AC13" s="124"/>
      <c r="AD13" s="124"/>
      <c r="AE13" s="428">
        <f t="shared" si="3"/>
        <v>0</v>
      </c>
      <c r="AF13" s="124"/>
      <c r="AG13" s="124"/>
      <c r="AH13" s="124"/>
      <c r="AI13" s="124"/>
      <c r="AJ13" s="124"/>
      <c r="AK13" s="124"/>
      <c r="AL13" s="124"/>
      <c r="AM13" s="124"/>
      <c r="AN13" s="124"/>
      <c r="AO13" s="428">
        <f t="shared" si="4"/>
        <v>0</v>
      </c>
      <c r="AP13" s="124"/>
      <c r="AQ13" s="124"/>
      <c r="AR13" s="124"/>
      <c r="AS13" s="124"/>
      <c r="AT13" s="124"/>
      <c r="AU13" s="124"/>
      <c r="AV13" s="124"/>
      <c r="AW13" s="124"/>
      <c r="AX13" s="124"/>
      <c r="AY13" s="428">
        <f t="shared" si="5"/>
        <v>0</v>
      </c>
      <c r="AZ13" s="428"/>
      <c r="BA13" s="428"/>
      <c r="BB13" s="428"/>
      <c r="BC13" s="428"/>
      <c r="BD13" s="428"/>
      <c r="BE13" s="428"/>
      <c r="BF13" s="428"/>
      <c r="BG13" s="428"/>
      <c r="BH13" s="428"/>
      <c r="BI13" s="428">
        <f t="shared" si="6"/>
        <v>0</v>
      </c>
      <c r="BJ13" s="27">
        <f t="shared" si="7"/>
        <v>91.228112509700978</v>
      </c>
    </row>
    <row r="14" spans="1:62">
      <c r="A14" s="427">
        <f>7+A13</f>
        <v>42436</v>
      </c>
      <c r="B14" s="124">
        <f>'Equipment SCS 3-7-16'!W28</f>
        <v>11209.154266011938</v>
      </c>
      <c r="C14" s="124">
        <f>'Equipment SCS 3-7-16'!X28</f>
        <v>0.95825108520757551</v>
      </c>
      <c r="D14" s="124">
        <f>'Equipment SCS 3-7-16'!Y28</f>
        <v>5.6972949995139421</v>
      </c>
      <c r="E14" s="124">
        <f>'Construction Trucks SCS 3-7-16'!AB21</f>
        <v>25246.267000860938</v>
      </c>
      <c r="F14" s="124">
        <f>'Construction Trucks SCS 3-7-16'!AC21</f>
        <v>0.2637532440691942</v>
      </c>
      <c r="G14" s="124">
        <f>'Construction Trucks SCS 3-7-16'!AD21</f>
        <v>0.64670837549405358</v>
      </c>
      <c r="H14" s="124">
        <f>'WorkerTrips SCS 3-7-16'!N93</f>
        <v>1995.2487621374003</v>
      </c>
      <c r="I14" s="124">
        <f>'WorkerTrips SCS 3-7-16'!O93</f>
        <v>0.11413711400508897</v>
      </c>
      <c r="J14" s="124">
        <f>'WorkerTrips SCS 3-7-16'!P93</f>
        <v>0.20776031689836094</v>
      </c>
      <c r="K14" s="428">
        <f t="shared" si="1"/>
        <v>40224.299367777348</v>
      </c>
      <c r="L14" s="124"/>
      <c r="M14" s="124"/>
      <c r="N14" s="124"/>
      <c r="O14" s="124"/>
      <c r="P14" s="124"/>
      <c r="Q14" s="124"/>
      <c r="R14" s="124"/>
      <c r="S14" s="124"/>
      <c r="T14" s="124"/>
      <c r="U14" s="428">
        <f t="shared" si="2"/>
        <v>0</v>
      </c>
      <c r="V14" s="124"/>
      <c r="W14" s="124"/>
      <c r="X14" s="124"/>
      <c r="Y14" s="124"/>
      <c r="Z14" s="124"/>
      <c r="AA14" s="124"/>
      <c r="AB14" s="124"/>
      <c r="AC14" s="124"/>
      <c r="AD14" s="124"/>
      <c r="AE14" s="428">
        <f t="shared" si="3"/>
        <v>0</v>
      </c>
      <c r="AF14" s="124"/>
      <c r="AG14" s="124"/>
      <c r="AH14" s="124"/>
      <c r="AI14" s="124"/>
      <c r="AJ14" s="124"/>
      <c r="AK14" s="124"/>
      <c r="AL14" s="124"/>
      <c r="AM14" s="124"/>
      <c r="AN14" s="124"/>
      <c r="AO14" s="428">
        <f t="shared" si="4"/>
        <v>0</v>
      </c>
      <c r="AP14" s="124"/>
      <c r="AQ14" s="124"/>
      <c r="AR14" s="124"/>
      <c r="AS14" s="124"/>
      <c r="AT14" s="124"/>
      <c r="AU14" s="124"/>
      <c r="AV14" s="124"/>
      <c r="AW14" s="124"/>
      <c r="AX14" s="124"/>
      <c r="AY14" s="428">
        <f t="shared" si="5"/>
        <v>0</v>
      </c>
      <c r="AZ14" s="428"/>
      <c r="BA14" s="428"/>
      <c r="BB14" s="428"/>
      <c r="BC14" s="428"/>
      <c r="BD14" s="428"/>
      <c r="BE14" s="428"/>
      <c r="BF14" s="428"/>
      <c r="BG14" s="428"/>
      <c r="BH14" s="428"/>
      <c r="BI14" s="428">
        <f t="shared" si="6"/>
        <v>0</v>
      </c>
      <c r="BJ14" s="27">
        <f t="shared" si="7"/>
        <v>91.228112509700978</v>
      </c>
    </row>
    <row r="15" spans="1:62">
      <c r="A15" s="427">
        <f t="shared" ref="A15:A78" si="8">7+A14</f>
        <v>42443</v>
      </c>
      <c r="B15" s="124">
        <f>'Equipment SCS 3-14-16'!W28</f>
        <v>11209.154266011938</v>
      </c>
      <c r="C15" s="124">
        <f>'Equipment SCS 3-14-16'!X28</f>
        <v>0.95825108520757551</v>
      </c>
      <c r="D15" s="124">
        <f>'Equipment SCS 3-14-16'!Y28</f>
        <v>5.6972949995139421</v>
      </c>
      <c r="E15" s="124">
        <f>'Construction Trucks SCS 3-14-16'!AB21</f>
        <v>25246.267000860938</v>
      </c>
      <c r="F15" s="124">
        <f>'Construction Trucks SCS 3-14-16'!AC21</f>
        <v>0.2637532440691942</v>
      </c>
      <c r="G15" s="124">
        <f>'Construction Trucks SCS 3-14-16'!AD21</f>
        <v>0.64670837549405358</v>
      </c>
      <c r="H15" s="124">
        <f>'WorkerTrips SCS 3-14-16'!N93</f>
        <v>1995.2487621374003</v>
      </c>
      <c r="I15" s="124">
        <f>'WorkerTrips SCS 3-14-16'!O93</f>
        <v>0.11413711400508897</v>
      </c>
      <c r="J15" s="124">
        <f>'WorkerTrips SCS 3-14-16'!P93</f>
        <v>0.20776031689836094</v>
      </c>
      <c r="K15" s="428">
        <f t="shared" si="1"/>
        <v>40224.299367777348</v>
      </c>
      <c r="L15" s="124"/>
      <c r="M15" s="124"/>
      <c r="N15" s="124"/>
      <c r="O15" s="124"/>
      <c r="P15" s="124"/>
      <c r="Q15" s="124"/>
      <c r="R15" s="124"/>
      <c r="S15" s="124"/>
      <c r="T15" s="124"/>
      <c r="U15" s="428">
        <f t="shared" si="2"/>
        <v>0</v>
      </c>
      <c r="V15" s="124"/>
      <c r="W15" s="124"/>
      <c r="X15" s="124"/>
      <c r="Y15" s="124"/>
      <c r="Z15" s="124"/>
      <c r="AA15" s="124"/>
      <c r="AB15" s="124"/>
      <c r="AC15" s="124"/>
      <c r="AD15" s="124"/>
      <c r="AE15" s="428">
        <f t="shared" si="3"/>
        <v>0</v>
      </c>
      <c r="AF15" s="124"/>
      <c r="AG15" s="124"/>
      <c r="AH15" s="124"/>
      <c r="AI15" s="124"/>
      <c r="AJ15" s="124"/>
      <c r="AK15" s="124"/>
      <c r="AL15" s="124"/>
      <c r="AM15" s="124"/>
      <c r="AN15" s="124"/>
      <c r="AO15" s="428">
        <f t="shared" si="4"/>
        <v>0</v>
      </c>
      <c r="AP15" s="124"/>
      <c r="AQ15" s="124"/>
      <c r="AR15" s="124"/>
      <c r="AS15" s="124"/>
      <c r="AT15" s="124"/>
      <c r="AU15" s="124"/>
      <c r="AV15" s="124"/>
      <c r="AW15" s="124"/>
      <c r="AX15" s="124"/>
      <c r="AY15" s="428">
        <f t="shared" si="5"/>
        <v>0</v>
      </c>
      <c r="AZ15" s="428"/>
      <c r="BA15" s="428"/>
      <c r="BB15" s="428"/>
      <c r="BC15" s="428"/>
      <c r="BD15" s="428"/>
      <c r="BE15" s="428"/>
      <c r="BF15" s="428"/>
      <c r="BG15" s="428"/>
      <c r="BH15" s="428"/>
      <c r="BI15" s="428">
        <f t="shared" si="6"/>
        <v>0</v>
      </c>
      <c r="BJ15" s="27">
        <f t="shared" si="7"/>
        <v>91.228112509700978</v>
      </c>
    </row>
    <row r="16" spans="1:62">
      <c r="A16" s="427">
        <f t="shared" si="8"/>
        <v>42450</v>
      </c>
      <c r="B16" s="124">
        <f>'Equipment SCS 3-21-16'!W35</f>
        <v>12377.517731619328</v>
      </c>
      <c r="C16" s="124">
        <f>'Equipment SCS 3-21-16'!X35</f>
        <v>1.0926404751260699</v>
      </c>
      <c r="D16" s="124">
        <f>'Equipment SCS 3-21-16'!Y35</f>
        <v>6.3698081767119774</v>
      </c>
      <c r="E16" s="124">
        <f>'Construction Trucks SCS 3-21-16'!AB21</f>
        <v>24525.01720024626</v>
      </c>
      <c r="F16" s="124">
        <f>'Construction Trucks SCS 3-21-16'!AC21</f>
        <v>0.23709311598626231</v>
      </c>
      <c r="G16" s="124">
        <f>'Construction Trucks SCS 3-21-16'!AD21</f>
        <v>0.62823284060150808</v>
      </c>
      <c r="H16" s="124">
        <f>'WorkerTrips SCS 3-21-16'!N95</f>
        <v>2216.9430690415556</v>
      </c>
      <c r="I16" s="124">
        <f>'WorkerTrips SCS 3-21-16'!O95</f>
        <v>0.12681901556120997</v>
      </c>
      <c r="J16" s="124">
        <f>'WorkerTrips SCS 3-21-16'!P95</f>
        <v>0.23084479655373441</v>
      </c>
      <c r="K16" s="428">
        <f t="shared" si="1"/>
        <v>41075.916214568817</v>
      </c>
      <c r="L16" s="124"/>
      <c r="M16" s="124"/>
      <c r="N16" s="124"/>
      <c r="O16" s="124"/>
      <c r="P16" s="124"/>
      <c r="Q16" s="124"/>
      <c r="R16" s="124"/>
      <c r="S16" s="124"/>
      <c r="T16" s="124"/>
      <c r="U16" s="428">
        <f t="shared" si="2"/>
        <v>0</v>
      </c>
      <c r="V16" s="123"/>
      <c r="W16" s="123"/>
      <c r="X16" s="123"/>
      <c r="Y16" s="123"/>
      <c r="Z16" s="123"/>
      <c r="AA16" s="123"/>
      <c r="AB16" s="123"/>
      <c r="AC16" s="123"/>
      <c r="AD16" s="123"/>
      <c r="AE16" s="428">
        <f t="shared" si="3"/>
        <v>0</v>
      </c>
      <c r="AF16" s="124"/>
      <c r="AG16" s="124"/>
      <c r="AH16" s="124"/>
      <c r="AI16" s="124"/>
      <c r="AJ16" s="124"/>
      <c r="AK16" s="124"/>
      <c r="AL16" s="124"/>
      <c r="AM16" s="124"/>
      <c r="AN16" s="124"/>
      <c r="AO16" s="428">
        <f t="shared" si="4"/>
        <v>0</v>
      </c>
      <c r="AP16" s="123"/>
      <c r="AQ16" s="123"/>
      <c r="AR16" s="123"/>
      <c r="AS16" s="123"/>
      <c r="AT16" s="123"/>
      <c r="AU16" s="123"/>
      <c r="AV16" s="123"/>
      <c r="AW16" s="123"/>
      <c r="AX16" s="123"/>
      <c r="AY16" s="428">
        <f t="shared" si="5"/>
        <v>0</v>
      </c>
      <c r="AZ16" s="428"/>
      <c r="BA16" s="428"/>
      <c r="BB16" s="428"/>
      <c r="BC16" s="428"/>
      <c r="BD16" s="428"/>
      <c r="BE16" s="428"/>
      <c r="BF16" s="428"/>
      <c r="BG16" s="428"/>
      <c r="BH16" s="428"/>
      <c r="BI16" s="428">
        <f t="shared" si="6"/>
        <v>0</v>
      </c>
      <c r="BJ16" s="27">
        <f t="shared" si="7"/>
        <v>93.159566847883568</v>
      </c>
    </row>
    <row r="17" spans="1:62">
      <c r="A17" s="427">
        <f t="shared" si="8"/>
        <v>42457</v>
      </c>
      <c r="B17" s="124">
        <f>'Equipment SCS 3-28-16'!W34</f>
        <v>11777.197003553474</v>
      </c>
      <c r="C17" s="124">
        <f>'Equipment SCS 3-28-16'!X34</f>
        <v>1.0368068062828084</v>
      </c>
      <c r="D17" s="124">
        <f>'Equipment SCS 3-28-16'!Y34</f>
        <v>5.9652084316534388</v>
      </c>
      <c r="E17" s="124">
        <f>'Construction Trucks SCS 3-28-16'!AB25</f>
        <v>1507.0423382895258</v>
      </c>
      <c r="F17" s="124">
        <f>'Construction Trucks SCS 3-28-16'!AC25</f>
        <v>5.7008421789693134E-2</v>
      </c>
      <c r="G17" s="124">
        <f>'Construction Trucks SCS 3-28-16'!AD25</f>
        <v>3.8604396537624493E-2</v>
      </c>
      <c r="H17" s="124">
        <f>'WorkerTrips SCS 3-28-16'!N95</f>
        <v>2161.5194923155168</v>
      </c>
      <c r="I17" s="124">
        <f>'WorkerTrips SCS 3-28-16'!O95</f>
        <v>0.12364854017217972</v>
      </c>
      <c r="J17" s="124">
        <f>'WorkerTrips SCS 3-28-16'!P95</f>
        <v>0.22507367663989103</v>
      </c>
      <c r="K17" s="428">
        <f t="shared" si="1"/>
        <v>17130.502743449568</v>
      </c>
      <c r="L17" s="124"/>
      <c r="M17" s="124"/>
      <c r="N17" s="124"/>
      <c r="O17" s="124"/>
      <c r="P17" s="124"/>
      <c r="Q17" s="124"/>
      <c r="R17" s="124"/>
      <c r="S17" s="124"/>
      <c r="T17" s="124"/>
      <c r="U17" s="428">
        <f t="shared" si="2"/>
        <v>0</v>
      </c>
      <c r="V17" s="123"/>
      <c r="W17" s="123"/>
      <c r="X17" s="123"/>
      <c r="Y17" s="123"/>
      <c r="Z17" s="123"/>
      <c r="AA17" s="123"/>
      <c r="AB17" s="123"/>
      <c r="AC17" s="123"/>
      <c r="AD17" s="123"/>
      <c r="AE17" s="428">
        <f t="shared" si="3"/>
        <v>0</v>
      </c>
      <c r="AF17" s="124"/>
      <c r="AG17" s="124"/>
      <c r="AH17" s="124"/>
      <c r="AI17" s="124"/>
      <c r="AJ17" s="124"/>
      <c r="AK17" s="124"/>
      <c r="AL17" s="124"/>
      <c r="AM17" s="124"/>
      <c r="AN17" s="124"/>
      <c r="AO17" s="428">
        <f t="shared" si="4"/>
        <v>0</v>
      </c>
      <c r="AP17" s="123"/>
      <c r="AQ17" s="123"/>
      <c r="AR17" s="123"/>
      <c r="AS17" s="123"/>
      <c r="AT17" s="123"/>
      <c r="AU17" s="123"/>
      <c r="AV17" s="123"/>
      <c r="AW17" s="123"/>
      <c r="AX17" s="123"/>
      <c r="AY17" s="428">
        <f t="shared" si="5"/>
        <v>0</v>
      </c>
      <c r="AZ17" s="428"/>
      <c r="BA17" s="428"/>
      <c r="BB17" s="428"/>
      <c r="BC17" s="428"/>
      <c r="BD17" s="428"/>
      <c r="BE17" s="428"/>
      <c r="BF17" s="428"/>
      <c r="BG17" s="428"/>
      <c r="BH17" s="428"/>
      <c r="BI17" s="428">
        <f t="shared" si="6"/>
        <v>0</v>
      </c>
      <c r="BJ17" s="27">
        <f t="shared" si="7"/>
        <v>38.851725354825298</v>
      </c>
    </row>
    <row r="18" spans="1:62">
      <c r="A18" s="427">
        <f t="shared" si="8"/>
        <v>42464</v>
      </c>
      <c r="B18" s="124">
        <f>'Equipment SCS 4-4-16'!W34</f>
        <v>11777.197003553474</v>
      </c>
      <c r="C18" s="124">
        <f>'Equipment SCS 4-4-16'!X34</f>
        <v>1.0368068062828084</v>
      </c>
      <c r="D18" s="124">
        <f>'Equipment SCS 4-4-16'!Y34</f>
        <v>5.9652084316534388</v>
      </c>
      <c r="E18" s="124">
        <f>'Construction Trucks SCS 4-4-16'!AB25</f>
        <v>1507.0423382895258</v>
      </c>
      <c r="F18" s="124">
        <f>'Construction Trucks SCS 4-4-16'!AC25</f>
        <v>5.7008421789693134E-2</v>
      </c>
      <c r="G18" s="124">
        <f>'Construction Trucks SCS 4-4-16'!AD25</f>
        <v>3.8604396537624493E-2</v>
      </c>
      <c r="H18" s="124">
        <f>'WorkerTrips SCS 4-4-16'!N95</f>
        <v>2161.5194923155168</v>
      </c>
      <c r="I18" s="124">
        <f>'WorkerTrips SCS 4-4-16'!O95</f>
        <v>0.12364854017217972</v>
      </c>
      <c r="J18" s="124">
        <f>'WorkerTrips SCS 4-4-16'!P95</f>
        <v>0.22507367663989103</v>
      </c>
      <c r="K18" s="428">
        <f t="shared" si="1"/>
        <v>17130.502743449568</v>
      </c>
      <c r="L18" s="124"/>
      <c r="M18" s="124"/>
      <c r="N18" s="124"/>
      <c r="O18" s="124"/>
      <c r="P18" s="124"/>
      <c r="Q18" s="124"/>
      <c r="R18" s="124"/>
      <c r="S18" s="124"/>
      <c r="T18" s="124"/>
      <c r="U18" s="428">
        <f t="shared" si="2"/>
        <v>0</v>
      </c>
      <c r="V18" s="123"/>
      <c r="W18" s="123"/>
      <c r="X18" s="123"/>
      <c r="Y18" s="123"/>
      <c r="Z18" s="123"/>
      <c r="AA18" s="123"/>
      <c r="AB18" s="123"/>
      <c r="AC18" s="123"/>
      <c r="AD18" s="123"/>
      <c r="AE18" s="428">
        <f t="shared" si="3"/>
        <v>0</v>
      </c>
      <c r="AF18" s="124"/>
      <c r="AG18" s="124"/>
      <c r="AH18" s="124"/>
      <c r="AI18" s="124"/>
      <c r="AJ18" s="124"/>
      <c r="AK18" s="124"/>
      <c r="AL18" s="124"/>
      <c r="AM18" s="124"/>
      <c r="AN18" s="124"/>
      <c r="AO18" s="428">
        <f t="shared" si="4"/>
        <v>0</v>
      </c>
      <c r="AP18" s="123"/>
      <c r="AQ18" s="123"/>
      <c r="AR18" s="123"/>
      <c r="AS18" s="123"/>
      <c r="AT18" s="123"/>
      <c r="AU18" s="123"/>
      <c r="AV18" s="123"/>
      <c r="AW18" s="123"/>
      <c r="AX18" s="123"/>
      <c r="AY18" s="428">
        <f t="shared" si="5"/>
        <v>0</v>
      </c>
      <c r="AZ18" s="428"/>
      <c r="BA18" s="428"/>
      <c r="BB18" s="428"/>
      <c r="BC18" s="428"/>
      <c r="BD18" s="428"/>
      <c r="BE18" s="428"/>
      <c r="BF18" s="428"/>
      <c r="BG18" s="428"/>
      <c r="BH18" s="428"/>
      <c r="BI18" s="428">
        <f t="shared" si="6"/>
        <v>0</v>
      </c>
      <c r="BJ18" s="27">
        <f t="shared" si="7"/>
        <v>38.851725354825298</v>
      </c>
    </row>
    <row r="19" spans="1:62">
      <c r="A19" s="427">
        <f t="shared" si="8"/>
        <v>42471</v>
      </c>
      <c r="B19" s="124">
        <f>'Equipment SCS 4-11-16'!W34</f>
        <v>11777.197003553474</v>
      </c>
      <c r="C19" s="124">
        <f>'Equipment SCS 4-11-16'!X34</f>
        <v>1.0368068062828084</v>
      </c>
      <c r="D19" s="124">
        <f>'Equipment SCS 4-11-16'!Y34</f>
        <v>5.9652084316534388</v>
      </c>
      <c r="E19" s="124">
        <f>'Construction Trucks SCS 4-11-16'!AB25</f>
        <v>1507.0423382895258</v>
      </c>
      <c r="F19" s="124">
        <f>'Construction Trucks SCS 4-11-16'!AC25</f>
        <v>5.7008421789693134E-2</v>
      </c>
      <c r="G19" s="124">
        <f>'Construction Trucks SCS 4-11-16'!AD25</f>
        <v>3.8604396537624493E-2</v>
      </c>
      <c r="H19" s="124">
        <f>'WorkerTrips SCS 4-11-16'!N95</f>
        <v>2161.5194923155168</v>
      </c>
      <c r="I19" s="124">
        <f>'WorkerTrips SCS 4-11-16'!O95</f>
        <v>0.12364854017217972</v>
      </c>
      <c r="J19" s="124">
        <f>'WorkerTrips SCS 4-11-16'!P95</f>
        <v>0.22507367663989103</v>
      </c>
      <c r="K19" s="428">
        <f t="shared" si="1"/>
        <v>17130.502743449568</v>
      </c>
      <c r="L19" s="124">
        <f>'Equipment 69kV 415-513'!W20</f>
        <v>10243.675293149578</v>
      </c>
      <c r="M19" s="124"/>
      <c r="N19" s="124"/>
      <c r="O19" s="124">
        <f>'Trucks 69kV 415-513'!AB13</f>
        <v>1508.6100486178268</v>
      </c>
      <c r="P19" s="124"/>
      <c r="Q19" s="124"/>
      <c r="R19" s="124">
        <f>'WorkerTrips 69kV 415-513'!N89</f>
        <v>1053.047957794739</v>
      </c>
      <c r="S19" s="124"/>
      <c r="T19" s="124"/>
      <c r="U19" s="428">
        <f t="shared" si="2"/>
        <v>12805.333299562144</v>
      </c>
      <c r="V19" s="123"/>
      <c r="W19" s="123"/>
      <c r="X19" s="123"/>
      <c r="Y19" s="123"/>
      <c r="Z19" s="123"/>
      <c r="AA19" s="123"/>
      <c r="AB19" s="123"/>
      <c r="AC19" s="123"/>
      <c r="AD19" s="123"/>
      <c r="AE19" s="428">
        <f t="shared" si="3"/>
        <v>0</v>
      </c>
      <c r="AF19" s="124"/>
      <c r="AG19" s="124"/>
      <c r="AH19" s="124"/>
      <c r="AI19" s="124"/>
      <c r="AJ19" s="124"/>
      <c r="AK19" s="124"/>
      <c r="AL19" s="124"/>
      <c r="AM19" s="124"/>
      <c r="AN19" s="124"/>
      <c r="AO19" s="428">
        <f t="shared" si="4"/>
        <v>0</v>
      </c>
      <c r="AP19" s="123"/>
      <c r="AQ19" s="123"/>
      <c r="AR19" s="123"/>
      <c r="AS19" s="123"/>
      <c r="AT19" s="123"/>
      <c r="AU19" s="123"/>
      <c r="AV19" s="123"/>
      <c r="AW19" s="123"/>
      <c r="AX19" s="123"/>
      <c r="AY19" s="428">
        <f t="shared" si="5"/>
        <v>0</v>
      </c>
      <c r="AZ19" s="428"/>
      <c r="BA19" s="428"/>
      <c r="BB19" s="428"/>
      <c r="BC19" s="428"/>
      <c r="BD19" s="428"/>
      <c r="BE19" s="428"/>
      <c r="BF19" s="428"/>
      <c r="BG19" s="428"/>
      <c r="BH19" s="428"/>
      <c r="BI19" s="428">
        <f t="shared" si="6"/>
        <v>0</v>
      </c>
      <c r="BJ19" s="27">
        <f t="shared" si="7"/>
        <v>67.894030760708773</v>
      </c>
    </row>
    <row r="20" spans="1:62">
      <c r="A20" s="427">
        <f t="shared" si="8"/>
        <v>42478</v>
      </c>
      <c r="B20" s="124">
        <f>'Equipment SCS 4-18-16'!W31</f>
        <v>8245.5210679025349</v>
      </c>
      <c r="C20" s="124">
        <f>'Equipment SCS 4-18-16'!X31</f>
        <v>0.68020735872505256</v>
      </c>
      <c r="D20" s="124">
        <f>'Equipment SCS 4-18-16'!Y31</f>
        <v>4.2223850164361307</v>
      </c>
      <c r="E20" s="124">
        <f>'Construction Trucks SCS 4-18-16'!AB26</f>
        <v>1981.4008836163143</v>
      </c>
      <c r="F20" s="124">
        <f>'Construction Trucks SCS 4-18-16'!AC26</f>
        <v>5.5006193598116572E-2</v>
      </c>
      <c r="G20" s="124">
        <f>'Construction Trucks SCS 4-18-16'!AD26</f>
        <v>5.0755565034715511E-2</v>
      </c>
      <c r="H20" s="124">
        <f>'WorkerTrips SCS 4-18-16'!N95</f>
        <v>2050.6723388634391</v>
      </c>
      <c r="I20" s="124">
        <f>'WorkerTrips SCS 4-18-16'!O95</f>
        <v>0.11730758939411923</v>
      </c>
      <c r="J20" s="124">
        <f>'WorkerTrips SCS 4-18-16'!P95</f>
        <v>0.21353143681220432</v>
      </c>
      <c r="K20" s="428">
        <f t="shared" si="1"/>
        <v>13490.43296719538</v>
      </c>
      <c r="L20" s="124">
        <f t="shared" ref="L20:R23" si="9">L19</f>
        <v>10243.675293149578</v>
      </c>
      <c r="M20" s="124"/>
      <c r="N20" s="124"/>
      <c r="O20" s="124">
        <f t="shared" si="9"/>
        <v>1508.6100486178268</v>
      </c>
      <c r="P20" s="124"/>
      <c r="Q20" s="124"/>
      <c r="R20" s="124">
        <f t="shared" si="9"/>
        <v>1053.047957794739</v>
      </c>
      <c r="S20" s="124"/>
      <c r="T20" s="124"/>
      <c r="U20" s="428">
        <f t="shared" si="2"/>
        <v>12805.333299562144</v>
      </c>
      <c r="V20" s="123"/>
      <c r="W20" s="123"/>
      <c r="X20" s="123"/>
      <c r="Y20" s="123"/>
      <c r="Z20" s="123"/>
      <c r="AA20" s="123"/>
      <c r="AB20" s="123"/>
      <c r="AC20" s="123"/>
      <c r="AD20" s="123"/>
      <c r="AE20" s="428">
        <f t="shared" si="3"/>
        <v>0</v>
      </c>
      <c r="AF20" s="124"/>
      <c r="AG20" s="124"/>
      <c r="AH20" s="124"/>
      <c r="AI20" s="124"/>
      <c r="AJ20" s="124"/>
      <c r="AK20" s="124"/>
      <c r="AL20" s="124"/>
      <c r="AM20" s="124"/>
      <c r="AN20" s="124"/>
      <c r="AO20" s="428">
        <f t="shared" si="4"/>
        <v>0</v>
      </c>
      <c r="AP20" s="123"/>
      <c r="AQ20" s="123"/>
      <c r="AR20" s="123"/>
      <c r="AS20" s="123"/>
      <c r="AT20" s="123"/>
      <c r="AU20" s="123"/>
      <c r="AV20" s="123"/>
      <c r="AW20" s="123"/>
      <c r="AX20" s="123"/>
      <c r="AY20" s="428">
        <f t="shared" si="5"/>
        <v>0</v>
      </c>
      <c r="AZ20" s="428"/>
      <c r="BA20" s="428"/>
      <c r="BB20" s="428"/>
      <c r="BC20" s="428"/>
      <c r="BD20" s="428"/>
      <c r="BE20" s="428"/>
      <c r="BF20" s="428"/>
      <c r="BG20" s="428"/>
      <c r="BH20" s="428"/>
      <c r="BI20" s="428">
        <f t="shared" si="6"/>
        <v>0</v>
      </c>
      <c r="BJ20" s="27">
        <f t="shared" si="7"/>
        <v>59.638406665058341</v>
      </c>
    </row>
    <row r="21" spans="1:62">
      <c r="A21" s="427">
        <f t="shared" si="8"/>
        <v>42485</v>
      </c>
      <c r="B21" s="124">
        <f>'Equipment SCS 4-25-16'!W31</f>
        <v>8245.5210679025349</v>
      </c>
      <c r="C21" s="124">
        <f>'Equipment SCS 4-25-16'!X31</f>
        <v>0.68020735872505256</v>
      </c>
      <c r="D21" s="124">
        <f>'Equipment SCS 4-25-16'!Y31</f>
        <v>4.2223850164361307</v>
      </c>
      <c r="E21" s="124">
        <f>'Construction Trucks SCS 4-25-16'!AB26</f>
        <v>1981.4008836163143</v>
      </c>
      <c r="F21" s="124">
        <f>'Construction Trucks SCS 4-25-16'!AC26</f>
        <v>5.5006193598116572E-2</v>
      </c>
      <c r="G21" s="124">
        <f>'Construction Trucks SCS 4-25-16'!AD26</f>
        <v>5.0755565034715511E-2</v>
      </c>
      <c r="H21" s="124">
        <f>'WorkerTrips SCS 4-25-16'!N95</f>
        <v>2050.6723388634391</v>
      </c>
      <c r="I21" s="124">
        <f>'WorkerTrips SCS 4-25-16'!O95</f>
        <v>0.11730758939411923</v>
      </c>
      <c r="J21" s="124">
        <f>'WorkerTrips SCS 4-25-16'!P95</f>
        <v>0.21353143681220432</v>
      </c>
      <c r="K21" s="428">
        <f t="shared" si="1"/>
        <v>13490.43296719538</v>
      </c>
      <c r="L21" s="124">
        <f t="shared" si="9"/>
        <v>10243.675293149578</v>
      </c>
      <c r="M21" s="124"/>
      <c r="N21" s="124"/>
      <c r="O21" s="124">
        <f t="shared" si="9"/>
        <v>1508.6100486178268</v>
      </c>
      <c r="P21" s="124"/>
      <c r="Q21" s="124"/>
      <c r="R21" s="124">
        <f t="shared" si="9"/>
        <v>1053.047957794739</v>
      </c>
      <c r="S21" s="124"/>
      <c r="T21" s="124"/>
      <c r="U21" s="428">
        <f t="shared" si="2"/>
        <v>12805.333299562144</v>
      </c>
      <c r="V21" s="123"/>
      <c r="W21" s="123"/>
      <c r="X21" s="123"/>
      <c r="Y21" s="123"/>
      <c r="Z21" s="123"/>
      <c r="AA21" s="123"/>
      <c r="AB21" s="123"/>
      <c r="AC21" s="123"/>
      <c r="AD21" s="123"/>
      <c r="AE21" s="428">
        <f t="shared" si="3"/>
        <v>0</v>
      </c>
      <c r="AF21" s="124"/>
      <c r="AG21" s="124"/>
      <c r="AH21" s="124"/>
      <c r="AI21" s="124"/>
      <c r="AJ21" s="124"/>
      <c r="AK21" s="124"/>
      <c r="AL21" s="124"/>
      <c r="AM21" s="124"/>
      <c r="AN21" s="124"/>
      <c r="AO21" s="428">
        <f t="shared" si="4"/>
        <v>0</v>
      </c>
      <c r="AP21" s="123"/>
      <c r="AQ21" s="123"/>
      <c r="AR21" s="123"/>
      <c r="AS21" s="123"/>
      <c r="AT21" s="123"/>
      <c r="AU21" s="123"/>
      <c r="AV21" s="123"/>
      <c r="AW21" s="123"/>
      <c r="AX21" s="123"/>
      <c r="AY21" s="428">
        <f t="shared" si="5"/>
        <v>0</v>
      </c>
      <c r="AZ21" s="428"/>
      <c r="BA21" s="428"/>
      <c r="BB21" s="428"/>
      <c r="BC21" s="428"/>
      <c r="BD21" s="428"/>
      <c r="BE21" s="428"/>
      <c r="BF21" s="428"/>
      <c r="BG21" s="428"/>
      <c r="BH21" s="428"/>
      <c r="BI21" s="428">
        <f t="shared" si="6"/>
        <v>0</v>
      </c>
      <c r="BJ21" s="27">
        <f t="shared" si="7"/>
        <v>59.638406665058341</v>
      </c>
    </row>
    <row r="22" spans="1:62">
      <c r="A22" s="427">
        <f t="shared" si="8"/>
        <v>42492</v>
      </c>
      <c r="B22" s="124">
        <f>'Equipment SCS 5-2-16'!W31</f>
        <v>8245.5210679025349</v>
      </c>
      <c r="C22" s="124">
        <f>'Equipment SCS 5-2-16'!X31</f>
        <v>0.68020735872505256</v>
      </c>
      <c r="D22" s="124">
        <f>'Equipment SCS 5-2-16'!Y31</f>
        <v>4.2223850164361307</v>
      </c>
      <c r="E22" s="124">
        <f>'Construction Trucks SCS 5-2-16'!AB26</f>
        <v>1981.4008836163143</v>
      </c>
      <c r="F22" s="124">
        <f>'Construction Trucks SCS 5-2-16'!AC26</f>
        <v>5.5006193598116572E-2</v>
      </c>
      <c r="G22" s="124">
        <f>'Construction Trucks SCS 5-2-16'!AD26</f>
        <v>5.0755565034715511E-2</v>
      </c>
      <c r="H22" s="124">
        <f>'WorkerTrips SCS 5-2-16'!N95</f>
        <v>2050.6723388634391</v>
      </c>
      <c r="I22" s="124">
        <f>'WorkerTrips SCS 5-2-16'!O95</f>
        <v>0.11730758939411923</v>
      </c>
      <c r="J22" s="124">
        <f>'WorkerTrips SCS 5-2-16'!P95</f>
        <v>0.21353143681220432</v>
      </c>
      <c r="K22" s="428">
        <f t="shared" si="1"/>
        <v>13490.43296719538</v>
      </c>
      <c r="L22" s="124">
        <f t="shared" si="9"/>
        <v>10243.675293149578</v>
      </c>
      <c r="M22" s="124"/>
      <c r="N22" s="124"/>
      <c r="O22" s="124">
        <f t="shared" si="9"/>
        <v>1508.6100486178268</v>
      </c>
      <c r="P22" s="124"/>
      <c r="Q22" s="124"/>
      <c r="R22" s="124">
        <f t="shared" si="9"/>
        <v>1053.047957794739</v>
      </c>
      <c r="S22" s="124"/>
      <c r="T22" s="124"/>
      <c r="U22" s="428">
        <f t="shared" si="2"/>
        <v>12805.333299562144</v>
      </c>
      <c r="V22" s="123"/>
      <c r="W22" s="123"/>
      <c r="X22" s="123"/>
      <c r="Y22" s="123"/>
      <c r="Z22" s="123"/>
      <c r="AA22" s="123"/>
      <c r="AB22" s="123"/>
      <c r="AC22" s="123"/>
      <c r="AD22" s="123"/>
      <c r="AE22" s="428">
        <f t="shared" si="3"/>
        <v>0</v>
      </c>
      <c r="AF22" s="124"/>
      <c r="AG22" s="124"/>
      <c r="AH22" s="124"/>
      <c r="AI22" s="124"/>
      <c r="AJ22" s="124"/>
      <c r="AK22" s="124"/>
      <c r="AL22" s="124"/>
      <c r="AM22" s="124"/>
      <c r="AN22" s="124"/>
      <c r="AO22" s="428">
        <f t="shared" si="4"/>
        <v>0</v>
      </c>
      <c r="AP22" s="123"/>
      <c r="AQ22" s="123"/>
      <c r="AR22" s="123"/>
      <c r="AS22" s="123"/>
      <c r="AT22" s="123"/>
      <c r="AU22" s="123"/>
      <c r="AV22" s="123"/>
      <c r="AW22" s="123"/>
      <c r="AX22" s="123"/>
      <c r="AY22" s="428">
        <f t="shared" si="5"/>
        <v>0</v>
      </c>
      <c r="AZ22" s="428"/>
      <c r="BA22" s="428"/>
      <c r="BB22" s="428"/>
      <c r="BC22" s="428"/>
      <c r="BD22" s="428"/>
      <c r="BE22" s="428"/>
      <c r="BF22" s="428"/>
      <c r="BG22" s="428"/>
      <c r="BH22" s="428"/>
      <c r="BI22" s="428">
        <f t="shared" si="6"/>
        <v>0</v>
      </c>
      <c r="BJ22" s="27">
        <f t="shared" si="7"/>
        <v>59.638406665058341</v>
      </c>
    </row>
    <row r="23" spans="1:62">
      <c r="A23" s="427">
        <f t="shared" si="8"/>
        <v>42499</v>
      </c>
      <c r="B23" s="124">
        <f>'Equipment SCS 5-9-16'!W25</f>
        <v>3598.0504973162078</v>
      </c>
      <c r="C23" s="124">
        <f>'Equipment SCS 5-9-16'!X25</f>
        <v>0.322444936938444</v>
      </c>
      <c r="D23" s="124">
        <f>'Equipment SCS 5-9-16'!Y25</f>
        <v>1.9877591879171077</v>
      </c>
      <c r="E23" s="124">
        <f>'Construction Trucks SCS 5-9-16'!AB21</f>
        <v>990.70044180815728</v>
      </c>
      <c r="F23" s="124">
        <f>'Construction Trucks SCS 5-9-16'!AC21</f>
        <v>2.7503096799058289E-2</v>
      </c>
      <c r="G23" s="124">
        <f>'Construction Trucks SCS 5-9-16'!AD21</f>
        <v>2.5377782517357755E-2</v>
      </c>
      <c r="H23" s="124">
        <f>'WorkerTrips SCS 5-9-16'!N93</f>
        <v>831.35365089058348</v>
      </c>
      <c r="I23" s="124">
        <f>'WorkerTrips SCS 5-9-16'!O93</f>
        <v>4.7557130835453737E-2</v>
      </c>
      <c r="J23" s="124">
        <f>'WorkerTrips SCS 5-9-16'!P93</f>
        <v>8.6566798707650397E-2</v>
      </c>
      <c r="K23" s="428">
        <f t="shared" si="1"/>
        <v>5987.6562334456521</v>
      </c>
      <c r="L23" s="124">
        <f t="shared" si="9"/>
        <v>10243.675293149578</v>
      </c>
      <c r="M23" s="124"/>
      <c r="N23" s="124"/>
      <c r="O23" s="124">
        <f t="shared" si="9"/>
        <v>1508.6100486178268</v>
      </c>
      <c r="P23" s="124"/>
      <c r="Q23" s="124"/>
      <c r="R23" s="124">
        <f t="shared" si="9"/>
        <v>1053.047957794739</v>
      </c>
      <c r="S23" s="124"/>
      <c r="T23" s="124"/>
      <c r="U23" s="428">
        <f t="shared" si="2"/>
        <v>12805.333299562144</v>
      </c>
      <c r="V23" s="123"/>
      <c r="W23" s="123"/>
      <c r="X23" s="123"/>
      <c r="Y23" s="123"/>
      <c r="Z23" s="123"/>
      <c r="AA23" s="123"/>
      <c r="AB23" s="123"/>
      <c r="AC23" s="123"/>
      <c r="AD23" s="123"/>
      <c r="AE23" s="428">
        <f t="shared" si="3"/>
        <v>0</v>
      </c>
      <c r="AF23" s="124"/>
      <c r="AG23" s="124"/>
      <c r="AH23" s="124"/>
      <c r="AI23" s="124"/>
      <c r="AJ23" s="124"/>
      <c r="AK23" s="124"/>
      <c r="AL23" s="124"/>
      <c r="AM23" s="124"/>
      <c r="AN23" s="124"/>
      <c r="AO23" s="428">
        <f t="shared" si="4"/>
        <v>0</v>
      </c>
      <c r="AP23" s="123"/>
      <c r="AQ23" s="123"/>
      <c r="AR23" s="123"/>
      <c r="AS23" s="123"/>
      <c r="AT23" s="123"/>
      <c r="AU23" s="123"/>
      <c r="AV23" s="123"/>
      <c r="AW23" s="123"/>
      <c r="AX23" s="123"/>
      <c r="AY23" s="428">
        <f t="shared" si="5"/>
        <v>0</v>
      </c>
      <c r="AZ23" s="428"/>
      <c r="BA23" s="428"/>
      <c r="BB23" s="428"/>
      <c r="BC23" s="428"/>
      <c r="BD23" s="428"/>
      <c r="BE23" s="428"/>
      <c r="BF23" s="428"/>
      <c r="BG23" s="428"/>
      <c r="BH23" s="428"/>
      <c r="BI23" s="428">
        <f t="shared" si="6"/>
        <v>0</v>
      </c>
      <c r="BJ23" s="27">
        <f t="shared" si="7"/>
        <v>42.622220659094161</v>
      </c>
    </row>
    <row r="24" spans="1:62">
      <c r="A24" s="427">
        <f t="shared" si="8"/>
        <v>42506</v>
      </c>
      <c r="B24" s="124">
        <f>'Equipment SCS 5-16-16'!W25</f>
        <v>3598.0504973162078</v>
      </c>
      <c r="C24" s="124">
        <f>'Equipment SCS 5-16-16'!X25</f>
        <v>0.322444936938444</v>
      </c>
      <c r="D24" s="124">
        <f>'Equipment SCS 5-16-16'!Y25</f>
        <v>1.9877591879171077</v>
      </c>
      <c r="E24" s="124">
        <f>'Construction Trucks SCS 5-16-16'!AB21</f>
        <v>990.70044180815728</v>
      </c>
      <c r="F24" s="124">
        <f>'Construction Trucks SCS 5-16-16'!AC21</f>
        <v>2.7503096799058289E-2</v>
      </c>
      <c r="G24" s="124">
        <f>'Construction Trucks SCS 5-16-16'!AD21</f>
        <v>2.5377782517357755E-2</v>
      </c>
      <c r="H24" s="124">
        <f>'WorkerTrips SCS 5-16-16'!N93</f>
        <v>831.35365089058348</v>
      </c>
      <c r="I24" s="124">
        <f>'WorkerTrips SCS 5-16-16'!O93</f>
        <v>4.7557130835453737E-2</v>
      </c>
      <c r="J24" s="124">
        <f>'WorkerTrips SCS 5-16-16'!P93</f>
        <v>8.6566798707650397E-2</v>
      </c>
      <c r="K24" s="428">
        <f t="shared" si="1"/>
        <v>5987.6562334456521</v>
      </c>
      <c r="L24" s="124">
        <f>'Equipment 69kV 514-716'!W18</f>
        <v>8249.2439090004646</v>
      </c>
      <c r="M24" s="124"/>
      <c r="N24" s="124"/>
      <c r="O24" s="124">
        <f>'Trucks 69kV 514-716'!AB13</f>
        <v>1508.6100486178268</v>
      </c>
      <c r="P24" s="124"/>
      <c r="Q24" s="124"/>
      <c r="R24" s="124">
        <f>'WorkerTrips 69kV 514-716'!N89</f>
        <v>942.20080434266129</v>
      </c>
      <c r="S24" s="124"/>
      <c r="T24" s="124"/>
      <c r="U24" s="428">
        <f t="shared" si="2"/>
        <v>10700.054761960953</v>
      </c>
      <c r="V24" s="123"/>
      <c r="W24" s="123"/>
      <c r="X24" s="123"/>
      <c r="Y24" s="123"/>
      <c r="Z24" s="123"/>
      <c r="AA24" s="123"/>
      <c r="AB24" s="123"/>
      <c r="AC24" s="123"/>
      <c r="AD24" s="123"/>
      <c r="AE24" s="428">
        <f t="shared" si="3"/>
        <v>0</v>
      </c>
      <c r="AF24" s="124"/>
      <c r="AG24" s="124"/>
      <c r="AH24" s="124"/>
      <c r="AI24" s="124"/>
      <c r="AJ24" s="124"/>
      <c r="AK24" s="124"/>
      <c r="AL24" s="124"/>
      <c r="AM24" s="124"/>
      <c r="AN24" s="124"/>
      <c r="AO24" s="428">
        <f t="shared" si="4"/>
        <v>0</v>
      </c>
      <c r="AP24" s="123"/>
      <c r="AQ24" s="123"/>
      <c r="AR24" s="123"/>
      <c r="AS24" s="123"/>
      <c r="AT24" s="123"/>
      <c r="AU24" s="123"/>
      <c r="AV24" s="123"/>
      <c r="AW24" s="123"/>
      <c r="AX24" s="123"/>
      <c r="AY24" s="428">
        <f t="shared" si="5"/>
        <v>0</v>
      </c>
      <c r="AZ24" s="428"/>
      <c r="BA24" s="428"/>
      <c r="BB24" s="428"/>
      <c r="BC24" s="428"/>
      <c r="BD24" s="428"/>
      <c r="BE24" s="428"/>
      <c r="BF24" s="428"/>
      <c r="BG24" s="428"/>
      <c r="BH24" s="428"/>
      <c r="BI24" s="428">
        <f t="shared" si="6"/>
        <v>0</v>
      </c>
      <c r="BJ24" s="27">
        <f t="shared" si="7"/>
        <v>37.847480258111688</v>
      </c>
    </row>
    <row r="25" spans="1:62">
      <c r="A25" s="427">
        <f t="shared" si="8"/>
        <v>42513</v>
      </c>
      <c r="B25" s="124">
        <f>'Equipment SCS 5-23-16'!W26</f>
        <v>4413.7228474935819</v>
      </c>
      <c r="C25" s="124">
        <f>'Equipment SCS 5-23-16'!X26</f>
        <v>0.40653916643996468</v>
      </c>
      <c r="D25" s="124">
        <f>'Equipment SCS 5-23-16'!Y26</f>
        <v>2.3882026559506175</v>
      </c>
      <c r="E25" s="124">
        <f>'Construction Trucks SCS 5-23-16'!AB22</f>
        <v>990.70044180815728</v>
      </c>
      <c r="F25" s="124">
        <f>'Construction Trucks SCS 5-23-16'!AC22</f>
        <v>2.7503096799058289E-2</v>
      </c>
      <c r="G25" s="124">
        <f>'Construction Trucks SCS 5-23-16'!AD22</f>
        <v>2.5377782517357755E-2</v>
      </c>
      <c r="H25" s="124">
        <f>'WorkerTrips SCS 5-23-16'!N93</f>
        <v>886.77722761662233</v>
      </c>
      <c r="I25" s="124">
        <f>'WorkerTrips SCS 5-23-16'!O93</f>
        <v>5.0727606224483988E-2</v>
      </c>
      <c r="J25" s="124">
        <f>'WorkerTrips SCS 5-23-16'!P93</f>
        <v>9.2337918621493764E-2</v>
      </c>
      <c r="K25" s="428">
        <f t="shared" si="1"/>
        <v>6968.842437892049</v>
      </c>
      <c r="L25" s="124">
        <f t="shared" ref="L25:R32" si="10">L24</f>
        <v>8249.2439090004646</v>
      </c>
      <c r="M25" s="124"/>
      <c r="N25" s="124"/>
      <c r="O25" s="124">
        <f t="shared" si="10"/>
        <v>1508.6100486178268</v>
      </c>
      <c r="P25" s="124"/>
      <c r="Q25" s="124"/>
      <c r="R25" s="124">
        <f t="shared" si="10"/>
        <v>942.20080434266129</v>
      </c>
      <c r="S25" s="124"/>
      <c r="T25" s="124"/>
      <c r="U25" s="428">
        <f t="shared" si="2"/>
        <v>10700.054761960953</v>
      </c>
      <c r="V25" s="123"/>
      <c r="W25" s="123"/>
      <c r="X25" s="123"/>
      <c r="Y25" s="123"/>
      <c r="Z25" s="123"/>
      <c r="AA25" s="123"/>
      <c r="AB25" s="123"/>
      <c r="AC25" s="123"/>
      <c r="AD25" s="123"/>
      <c r="AE25" s="428">
        <f t="shared" si="3"/>
        <v>0</v>
      </c>
      <c r="AF25" s="124"/>
      <c r="AG25" s="124"/>
      <c r="AH25" s="124"/>
      <c r="AI25" s="124"/>
      <c r="AJ25" s="124"/>
      <c r="AK25" s="124"/>
      <c r="AL25" s="124"/>
      <c r="AM25" s="124"/>
      <c r="AN25" s="124"/>
      <c r="AO25" s="428">
        <f t="shared" si="4"/>
        <v>0</v>
      </c>
      <c r="AP25" s="123"/>
      <c r="AQ25" s="123"/>
      <c r="AR25" s="123"/>
      <c r="AS25" s="123"/>
      <c r="AT25" s="123"/>
      <c r="AU25" s="123"/>
      <c r="AV25" s="123"/>
      <c r="AW25" s="123"/>
      <c r="AX25" s="123"/>
      <c r="AY25" s="428">
        <f t="shared" si="5"/>
        <v>0</v>
      </c>
      <c r="AZ25" s="428"/>
      <c r="BA25" s="428"/>
      <c r="BB25" s="428"/>
      <c r="BC25" s="428"/>
      <c r="BD25" s="428"/>
      <c r="BE25" s="428"/>
      <c r="BF25" s="428"/>
      <c r="BG25" s="428"/>
      <c r="BH25" s="428"/>
      <c r="BI25" s="428">
        <f t="shared" si="6"/>
        <v>0</v>
      </c>
      <c r="BJ25" s="27">
        <f t="shared" si="7"/>
        <v>40.072795971725036</v>
      </c>
    </row>
    <row r="26" spans="1:62">
      <c r="A26" s="427">
        <f t="shared" si="8"/>
        <v>42520</v>
      </c>
      <c r="B26" s="124">
        <f>'Equipment SCS 5-30-16'!W33</f>
        <v>5638.6172226031813</v>
      </c>
      <c r="C26" s="124">
        <f>'Equipment SCS 5-30-16'!X33</f>
        <v>0.53504352416969658</v>
      </c>
      <c r="D26" s="124">
        <f>'Equipment SCS 5-30-16'!Y33</f>
        <v>3.0724086308526077</v>
      </c>
      <c r="E26" s="124">
        <f>'Construction Trucks SCS 5-30-16'!AB28</f>
        <v>11442.876983589893</v>
      </c>
      <c r="F26" s="124">
        <f>'Construction Trucks SCS 5-30-16'!AC28</f>
        <v>0.12992734562394298</v>
      </c>
      <c r="G26" s="124">
        <f>'Construction Trucks SCS 5-30-16'!AD28</f>
        <v>0.29312073681163875</v>
      </c>
      <c r="H26" s="124">
        <f>'WorkerTrips SCS 5-30-16'!N95</f>
        <v>1551.860148329089</v>
      </c>
      <c r="I26" s="124">
        <f>'WorkerTrips SCS 5-30-16'!O95</f>
        <v>8.8773310892846985E-2</v>
      </c>
      <c r="J26" s="124">
        <f>'WorkerTrips SCS 5-30-16'!P95</f>
        <v>0.16159135758761409</v>
      </c>
      <c r="K26" s="428">
        <f t="shared" si="1"/>
        <v>19589.146183773129</v>
      </c>
      <c r="L26" s="124">
        <f t="shared" si="10"/>
        <v>8249.2439090004646</v>
      </c>
      <c r="M26" s="124"/>
      <c r="N26" s="124"/>
      <c r="O26" s="124">
        <f t="shared" si="10"/>
        <v>1508.6100486178268</v>
      </c>
      <c r="P26" s="124"/>
      <c r="Q26" s="124"/>
      <c r="R26" s="124">
        <f t="shared" si="10"/>
        <v>942.20080434266129</v>
      </c>
      <c r="S26" s="124"/>
      <c r="T26" s="124"/>
      <c r="U26" s="428">
        <f t="shared" si="2"/>
        <v>10700.054761960953</v>
      </c>
      <c r="V26" s="123"/>
      <c r="W26" s="123"/>
      <c r="X26" s="123"/>
      <c r="Y26" s="123"/>
      <c r="Z26" s="123"/>
      <c r="AA26" s="123"/>
      <c r="AB26" s="123"/>
      <c r="AC26" s="123"/>
      <c r="AD26" s="123"/>
      <c r="AE26" s="428">
        <f t="shared" si="3"/>
        <v>0</v>
      </c>
      <c r="AF26" s="124"/>
      <c r="AG26" s="124"/>
      <c r="AH26" s="124"/>
      <c r="AI26" s="124"/>
      <c r="AJ26" s="124"/>
      <c r="AK26" s="124"/>
      <c r="AL26" s="124"/>
      <c r="AM26" s="124"/>
      <c r="AN26" s="124"/>
      <c r="AO26" s="428">
        <f t="shared" si="4"/>
        <v>0</v>
      </c>
      <c r="AP26" s="123"/>
      <c r="AQ26" s="123"/>
      <c r="AR26" s="123"/>
      <c r="AS26" s="123"/>
      <c r="AT26" s="123"/>
      <c r="AU26" s="123"/>
      <c r="AV26" s="123"/>
      <c r="AW26" s="123"/>
      <c r="AX26" s="123"/>
      <c r="AY26" s="428">
        <f t="shared" si="5"/>
        <v>0</v>
      </c>
      <c r="AZ26" s="428">
        <f>'Equipment AC Mitigation'!W13</f>
        <v>6513.3410633871972</v>
      </c>
      <c r="BA26" s="428">
        <f>'Equipment AC Mitigation'!X13</f>
        <v>0.41913978970504545</v>
      </c>
      <c r="BB26" s="428">
        <f>'Equipment AC Mitigation'!Y13</f>
        <v>2.631001404916856</v>
      </c>
      <c r="BC26" s="428">
        <f>'Construction AC Mitigation'!AB13</f>
        <v>366.26474678373643</v>
      </c>
      <c r="BD26" s="428">
        <f>'Construction AC Mitigation'!AC13</f>
        <v>6.3752171518704336E-3</v>
      </c>
      <c r="BE26" s="428">
        <f>'Construction AC Mitigation'!AD13</f>
        <v>9.3822377536121934E-3</v>
      </c>
      <c r="BF26" s="428">
        <f>'WorkerTrips AC Mitigation'!N89</f>
        <v>720.50649743850568</v>
      </c>
      <c r="BG26" s="428">
        <f>'WorkerTrips AC Mitigation'!O89</f>
        <v>4.1216180057393241E-2</v>
      </c>
      <c r="BH26" s="428">
        <f>'WorkerTrips AC Mitigation'!P89</f>
        <v>7.5024558879963676E-2</v>
      </c>
      <c r="BI26" s="428">
        <f t="shared" si="6"/>
        <v>8332.7639542539055</v>
      </c>
      <c r="BJ26" s="27">
        <f t="shared" si="7"/>
        <v>87.594041776258692</v>
      </c>
    </row>
    <row r="27" spans="1:62">
      <c r="A27" s="427">
        <f t="shared" si="8"/>
        <v>42527</v>
      </c>
      <c r="B27" s="124">
        <f>'Equipment SCS 6-6-16'!W33</f>
        <v>5860.7279122671025</v>
      </c>
      <c r="C27" s="124">
        <f>'Equipment SCS 6-6-16'!X33</f>
        <v>0.56799208398297552</v>
      </c>
      <c r="D27" s="124">
        <f>'Equipment SCS 6-6-16'!Y33</f>
        <v>3.1936021246797681</v>
      </c>
      <c r="E27" s="124">
        <f>'Construction Trucks SCS 6-6-16'!AB30</f>
        <v>18684.205216955459</v>
      </c>
      <c r="F27" s="124">
        <f>'Construction Trucks SCS 6-6-16'!AC30</f>
        <v>0.19441658229692882</v>
      </c>
      <c r="G27" s="124">
        <f>'Construction Trucks SCS 6-6-16'!AD30</f>
        <v>0.47861460083753116</v>
      </c>
      <c r="H27" s="124">
        <f>'WorkerTrips SCS 6-6-16'!N95</f>
        <v>1551.860148329089</v>
      </c>
      <c r="I27" s="124">
        <f>'WorkerTrips SCS 6-6-16'!O95</f>
        <v>8.8773310892846985E-2</v>
      </c>
      <c r="J27" s="124">
        <f>'WorkerTrips SCS 6-6-16'!P95</f>
        <v>0.16159135758761409</v>
      </c>
      <c r="K27" s="428">
        <f t="shared" si="1"/>
        <v>27136.585514935294</v>
      </c>
      <c r="L27" s="124">
        <f t="shared" si="10"/>
        <v>8249.2439090004646</v>
      </c>
      <c r="M27" s="124"/>
      <c r="N27" s="124"/>
      <c r="O27" s="124">
        <f t="shared" si="10"/>
        <v>1508.6100486178268</v>
      </c>
      <c r="P27" s="124"/>
      <c r="Q27" s="124"/>
      <c r="R27" s="124">
        <f t="shared" si="10"/>
        <v>942.20080434266129</v>
      </c>
      <c r="S27" s="124"/>
      <c r="T27" s="124"/>
      <c r="U27" s="428">
        <f t="shared" si="2"/>
        <v>10700.054761960953</v>
      </c>
      <c r="V27" s="124">
        <f>'Equipment TL6910 6-6-16'!W13</f>
        <v>9745.4798255085007</v>
      </c>
      <c r="W27" s="124">
        <f>'Equipment TL6910 6-6-16'!X13</f>
        <v>0.61096390986016935</v>
      </c>
      <c r="X27" s="124">
        <f>'Equipment TL6910 6-6-16'!Y13</f>
        <v>4.427395201678995</v>
      </c>
      <c r="Y27" s="124">
        <f>'Trucks TL6910 6-6-16'!AB13</f>
        <v>2715.4980875120882</v>
      </c>
      <c r="Z27" s="124">
        <f>'Trucks TL6910 6-6-16'!AC13</f>
        <v>2.4183463752369693E-2</v>
      </c>
      <c r="AA27" s="124">
        <f>'Trucks TL6910 6-6-16'!AD13</f>
        <v>6.9560199009709653E-2</v>
      </c>
      <c r="AB27" s="124">
        <f>'WorkerTrips TL6910 6-6-16'!N89</f>
        <v>609.65934398642787</v>
      </c>
      <c r="AC27" s="124">
        <f>'WorkerTrips TL6910 6-6-16'!O89</f>
        <v>3.4875229279332738E-2</v>
      </c>
      <c r="AD27" s="124">
        <f>'WorkerTrips TL6910 6-6-16'!P89</f>
        <v>6.3482319052276956E-2</v>
      </c>
      <c r="AE27" s="428">
        <f t="shared" si="3"/>
        <v>14297.913885619349</v>
      </c>
      <c r="AF27" s="124"/>
      <c r="AG27" s="124"/>
      <c r="AH27" s="124"/>
      <c r="AI27" s="124"/>
      <c r="AJ27" s="124"/>
      <c r="AK27" s="124"/>
      <c r="AL27" s="124"/>
      <c r="AM27" s="124"/>
      <c r="AN27" s="124"/>
      <c r="AO27" s="428">
        <f t="shared" si="4"/>
        <v>0</v>
      </c>
      <c r="AP27" s="123"/>
      <c r="AQ27" s="123"/>
      <c r="AR27" s="123"/>
      <c r="AS27" s="123"/>
      <c r="AT27" s="123"/>
      <c r="AU27" s="123"/>
      <c r="AV27" s="123"/>
      <c r="AW27" s="123"/>
      <c r="AX27" s="123"/>
      <c r="AY27" s="428">
        <f t="shared" si="5"/>
        <v>0</v>
      </c>
      <c r="AZ27" s="428">
        <f t="shared" ref="AZ27:BH28" si="11">AZ26</f>
        <v>6513.3410633871972</v>
      </c>
      <c r="BA27" s="428">
        <f t="shared" si="11"/>
        <v>0.41913978970504545</v>
      </c>
      <c r="BB27" s="428">
        <f t="shared" si="11"/>
        <v>2.631001404916856</v>
      </c>
      <c r="BC27" s="428">
        <f t="shared" si="11"/>
        <v>366.26474678373643</v>
      </c>
      <c r="BD27" s="428">
        <f t="shared" si="11"/>
        <v>6.3752171518704336E-3</v>
      </c>
      <c r="BE27" s="428">
        <f t="shared" si="11"/>
        <v>9.3822377536121934E-3</v>
      </c>
      <c r="BF27" s="428">
        <f t="shared" si="11"/>
        <v>720.50649743850568</v>
      </c>
      <c r="BG27" s="428">
        <f t="shared" si="11"/>
        <v>4.1216180057393241E-2</v>
      </c>
      <c r="BH27" s="428">
        <f t="shared" si="11"/>
        <v>7.5024558879963676E-2</v>
      </c>
      <c r="BI27" s="428">
        <f t="shared" si="6"/>
        <v>8332.7639542539055</v>
      </c>
      <c r="BJ27" s="27">
        <f t="shared" si="7"/>
        <v>137.13897785713849</v>
      </c>
    </row>
    <row r="28" spans="1:62">
      <c r="A28" s="427">
        <f t="shared" si="8"/>
        <v>42534</v>
      </c>
      <c r="B28" s="124">
        <f>'Equipment SCS 6-13-16'!W29</f>
        <v>4326.1176745414405</v>
      </c>
      <c r="C28" s="124">
        <f>'Equipment SCS 6-13-16'!X29</f>
        <v>0.38725964510926592</v>
      </c>
      <c r="D28" s="124">
        <f>'Equipment SCS 6-13-16'!Y29</f>
        <v>2.4020630671400856</v>
      </c>
      <c r="E28" s="124">
        <f>'Construction Trucks SCS 6-13-16'!AB28</f>
        <v>14460.097080825546</v>
      </c>
      <c r="F28" s="124">
        <f>'Construction Trucks SCS 6-13-16'!AC28</f>
        <v>0.15679786090435374</v>
      </c>
      <c r="G28" s="124">
        <f>'Construction Trucks SCS 6-13-16'!AD28</f>
        <v>0.37040984682242722</v>
      </c>
      <c r="H28" s="124">
        <f>'WorkerTrips SCS 6-13-16'!N95</f>
        <v>1274.7422646988946</v>
      </c>
      <c r="I28" s="124">
        <f>'WorkerTrips SCS 6-13-16'!O95</f>
        <v>7.2920933947695721E-2</v>
      </c>
      <c r="J28" s="124">
        <f>'WorkerTrips SCS 6-13-16'!P95</f>
        <v>0.13273575801839727</v>
      </c>
      <c r="K28" s="428">
        <f t="shared" si="1"/>
        <v>20848.112714459738</v>
      </c>
      <c r="L28" s="124">
        <f t="shared" si="10"/>
        <v>8249.2439090004646</v>
      </c>
      <c r="M28" s="124"/>
      <c r="N28" s="124"/>
      <c r="O28" s="124">
        <f t="shared" si="10"/>
        <v>1508.6100486178268</v>
      </c>
      <c r="P28" s="124"/>
      <c r="Q28" s="124"/>
      <c r="R28" s="124">
        <f t="shared" si="10"/>
        <v>942.20080434266129</v>
      </c>
      <c r="S28" s="124"/>
      <c r="T28" s="124"/>
      <c r="U28" s="428">
        <f t="shared" si="2"/>
        <v>10700.054761960953</v>
      </c>
      <c r="V28" s="124">
        <f>'Equipment TL6910 6-13-16'!W13</f>
        <v>9776.1028063675931</v>
      </c>
      <c r="W28" s="124">
        <f>'Equipment TL6910 6-13-16'!X13</f>
        <v>0.61480272349984977</v>
      </c>
      <c r="X28" s="124">
        <f>'Equipment TL6910 6-13-16'!Y13</f>
        <v>4.439762794271588</v>
      </c>
      <c r="Y28" s="124">
        <f>'Trucks TL6910 6-13-16'!AB13</f>
        <v>2715.4980875120882</v>
      </c>
      <c r="Z28" s="124">
        <f>'Trucks TL6910 6-13-16'!AC13</f>
        <v>2.4183463752369693E-2</v>
      </c>
      <c r="AA28" s="124">
        <f>'Trucks TL6910 6-13-16'!AD13</f>
        <v>6.9560199009709653E-2</v>
      </c>
      <c r="AB28" s="124">
        <f>'WorkerTrips TL6910 6-13-16'!N89</f>
        <v>609.65934398642787</v>
      </c>
      <c r="AC28" s="124">
        <f>'WorkerTrips TL6910 6-13-16'!O89</f>
        <v>3.4875229279332738E-2</v>
      </c>
      <c r="AD28" s="124">
        <f>'WorkerTrips TL6910 6-13-16'!P89</f>
        <v>6.3482319052276956E-2</v>
      </c>
      <c r="AE28" s="428">
        <f t="shared" si="3"/>
        <v>14331.921765297389</v>
      </c>
      <c r="AF28" s="124"/>
      <c r="AG28" s="124"/>
      <c r="AH28" s="124"/>
      <c r="AI28" s="124"/>
      <c r="AJ28" s="124"/>
      <c r="AK28" s="124"/>
      <c r="AL28" s="124"/>
      <c r="AM28" s="124"/>
      <c r="AN28" s="124"/>
      <c r="AO28" s="428">
        <f t="shared" si="4"/>
        <v>0</v>
      </c>
      <c r="AP28" s="124"/>
      <c r="AQ28" s="124"/>
      <c r="AR28" s="124"/>
      <c r="AS28" s="124"/>
      <c r="AT28" s="124"/>
      <c r="AU28" s="124"/>
      <c r="AV28" s="124"/>
      <c r="AW28" s="124"/>
      <c r="AX28" s="124"/>
      <c r="AY28" s="428">
        <f t="shared" si="5"/>
        <v>0</v>
      </c>
      <c r="AZ28" s="428">
        <f t="shared" si="11"/>
        <v>6513.3410633871972</v>
      </c>
      <c r="BA28" s="428">
        <f t="shared" si="11"/>
        <v>0.41913978970504545</v>
      </c>
      <c r="BB28" s="428">
        <f t="shared" si="11"/>
        <v>2.631001404916856</v>
      </c>
      <c r="BC28" s="428">
        <f t="shared" si="11"/>
        <v>366.26474678373643</v>
      </c>
      <c r="BD28" s="428">
        <f t="shared" si="11"/>
        <v>6.3752171518704336E-3</v>
      </c>
      <c r="BE28" s="428">
        <f t="shared" si="11"/>
        <v>9.3822377536121934E-3</v>
      </c>
      <c r="BF28" s="428">
        <f t="shared" si="11"/>
        <v>720.50649743850568</v>
      </c>
      <c r="BG28" s="428">
        <f t="shared" si="11"/>
        <v>4.1216180057393241E-2</v>
      </c>
      <c r="BH28" s="428">
        <f t="shared" si="11"/>
        <v>7.5024558879963676E-2</v>
      </c>
      <c r="BI28" s="428">
        <f t="shared" si="6"/>
        <v>8332.7639542539055</v>
      </c>
      <c r="BJ28" s="27">
        <f t="shared" si="7"/>
        <v>122.95394447058874</v>
      </c>
    </row>
    <row r="29" spans="1:62">
      <c r="A29" s="427">
        <f t="shared" si="8"/>
        <v>42541</v>
      </c>
      <c r="B29" s="124">
        <f>'Equipment SCS 6-20-16'!W29</f>
        <v>4326.1176745414405</v>
      </c>
      <c r="C29" s="124">
        <f>'Equipment SCS 6-20-16'!X29</f>
        <v>0.38725964510926592</v>
      </c>
      <c r="D29" s="124">
        <f>'Equipment SCS 6-20-16'!Y29</f>
        <v>2.4020630671400856</v>
      </c>
      <c r="E29" s="124">
        <f>'Construction Trucks SCS 6-20-16'!AB26</f>
        <v>1486.0506627122359</v>
      </c>
      <c r="F29" s="124">
        <f>'Construction Trucks SCS 6-20-16'!AC26</f>
        <v>4.1254645198587431E-2</v>
      </c>
      <c r="G29" s="124">
        <f>'Construction Trucks SCS 6-20-16'!AD26</f>
        <v>3.8066673776036633E-2</v>
      </c>
      <c r="H29" s="124">
        <f>'WorkerTrips SCS 6-20-16'!N95</f>
        <v>1274.7422646988946</v>
      </c>
      <c r="I29" s="124">
        <f>'WorkerTrips SCS 6-20-16'!O95</f>
        <v>7.2920933947695721E-2</v>
      </c>
      <c r="J29" s="124">
        <f>'WorkerTrips SCS 6-20-16'!P95</f>
        <v>0.13273575801839727</v>
      </c>
      <c r="K29" s="428">
        <f t="shared" si="1"/>
        <v>7782.7601454493742</v>
      </c>
      <c r="L29" s="124">
        <f t="shared" si="10"/>
        <v>8249.2439090004646</v>
      </c>
      <c r="M29" s="124"/>
      <c r="N29" s="124"/>
      <c r="O29" s="124">
        <f t="shared" si="10"/>
        <v>1508.6100486178268</v>
      </c>
      <c r="P29" s="124"/>
      <c r="Q29" s="124"/>
      <c r="R29" s="124">
        <f t="shared" si="10"/>
        <v>942.20080434266129</v>
      </c>
      <c r="S29" s="124"/>
      <c r="T29" s="124"/>
      <c r="U29" s="428">
        <f t="shared" si="2"/>
        <v>10700.054761960953</v>
      </c>
      <c r="V29" s="124">
        <f>'Equipment TL6910 6-20-16'!W10</f>
        <v>30.622980859093083</v>
      </c>
      <c r="W29" s="124">
        <f>'Equipment TL6910 6-20-16'!X10</f>
        <v>3.8388136396804665E-3</v>
      </c>
      <c r="X29" s="124">
        <f>'Equipment TL6910 6-20-16'!Y10</f>
        <v>1.236759259259259E-2</v>
      </c>
      <c r="Y29" s="124">
        <f>'Trucks TL6910 6-20-16'!AB10</f>
        <v>0</v>
      </c>
      <c r="Z29" s="124">
        <f>'Trucks TL6910 6-20-16'!AC10</f>
        <v>0</v>
      </c>
      <c r="AA29" s="124">
        <f>'Trucks TL6910 6-20-16'!AD10</f>
        <v>0</v>
      </c>
      <c r="AB29" s="124">
        <f>'WorkerTrips TL6910 6-20-16'!N89</f>
        <v>55.423576726038895</v>
      </c>
      <c r="AC29" s="124">
        <f>'WorkerTrips TL6910 6-20-16'!O89</f>
        <v>3.1704753890302493E-3</v>
      </c>
      <c r="AD29" s="124">
        <f>'WorkerTrips TL6910 6-20-16'!P89</f>
        <v>5.7711199138433603E-3</v>
      </c>
      <c r="AE29" s="428">
        <f t="shared" si="3"/>
        <v>91.049576492141398</v>
      </c>
      <c r="AF29" s="124"/>
      <c r="AG29" s="124"/>
      <c r="AH29" s="124"/>
      <c r="AI29" s="124"/>
      <c r="AJ29" s="124"/>
      <c r="AK29" s="124"/>
      <c r="AL29" s="124"/>
      <c r="AM29" s="124"/>
      <c r="AN29" s="124"/>
      <c r="AO29" s="428">
        <f t="shared" si="4"/>
        <v>0</v>
      </c>
      <c r="AP29" s="124"/>
      <c r="AQ29" s="124"/>
      <c r="AR29" s="124"/>
      <c r="AS29" s="124"/>
      <c r="AT29" s="124"/>
      <c r="AU29" s="124"/>
      <c r="AV29" s="124"/>
      <c r="AW29" s="124"/>
      <c r="AX29" s="124"/>
      <c r="AY29" s="428">
        <f t="shared" si="5"/>
        <v>0</v>
      </c>
      <c r="AZ29" s="428"/>
      <c r="BA29" s="428"/>
      <c r="BB29" s="428"/>
      <c r="BC29" s="428"/>
      <c r="BD29" s="428"/>
      <c r="BE29" s="428"/>
      <c r="BF29" s="428"/>
      <c r="BG29" s="428"/>
      <c r="BH29" s="428"/>
      <c r="BI29" s="428">
        <f t="shared" si="6"/>
        <v>0</v>
      </c>
      <c r="BJ29" s="27">
        <f t="shared" si="7"/>
        <v>42.125248307861895</v>
      </c>
    </row>
    <row r="30" spans="1:62">
      <c r="A30" s="427">
        <f t="shared" si="8"/>
        <v>42548</v>
      </c>
      <c r="B30" s="124">
        <f>'Equipment SCS 6-27-16'!W20</f>
        <v>1947.2306892973854</v>
      </c>
      <c r="C30" s="124">
        <f>'Equipment SCS 6-27-16'!X20</f>
        <v>0.20376265223717605</v>
      </c>
      <c r="D30" s="124">
        <f>'Equipment SCS 6-27-16'!Y20</f>
        <v>1.122130849042591</v>
      </c>
      <c r="E30" s="124">
        <f>'Construction Trucks SCS 6-27-16'!AB17</f>
        <v>5419.7164820713806</v>
      </c>
      <c r="F30" s="124">
        <f>'Construction Trucks SCS 6-27-16'!AC17</f>
        <v>6.2276621283930411E-2</v>
      </c>
      <c r="G30" s="124">
        <f>'Construction Trucks SCS 6-27-16'!AD17</f>
        <v>0.13883145740474051</v>
      </c>
      <c r="H30" s="124">
        <f>'WorkerTrips SCS 6-20-16'!N95</f>
        <v>1274.7422646988946</v>
      </c>
      <c r="I30" s="124">
        <f>'WorkerTrips SCS 6-20-16'!O95</f>
        <v>7.2920933947695721E-2</v>
      </c>
      <c r="J30" s="124">
        <f>'WorkerTrips SCS 6-20-16'!P95</f>
        <v>0.13273575801839727</v>
      </c>
      <c r="K30" s="428">
        <f t="shared" si="1"/>
        <v>9020.5103089602053</v>
      </c>
      <c r="L30" s="124">
        <f t="shared" si="10"/>
        <v>8249.2439090004646</v>
      </c>
      <c r="M30" s="124"/>
      <c r="N30" s="124"/>
      <c r="O30" s="124">
        <f t="shared" si="10"/>
        <v>1508.6100486178268</v>
      </c>
      <c r="P30" s="124"/>
      <c r="Q30" s="124"/>
      <c r="R30" s="124">
        <f t="shared" si="10"/>
        <v>942.20080434266129</v>
      </c>
      <c r="S30" s="124"/>
      <c r="T30" s="124"/>
      <c r="U30" s="428">
        <f t="shared" si="2"/>
        <v>10700.054761960953</v>
      </c>
      <c r="V30" s="123"/>
      <c r="W30" s="123"/>
      <c r="X30" s="123"/>
      <c r="Y30" s="123"/>
      <c r="Z30" s="123"/>
      <c r="AA30" s="123"/>
      <c r="AB30" s="123"/>
      <c r="AC30" s="123"/>
      <c r="AD30" s="123"/>
      <c r="AE30" s="428">
        <f t="shared" si="3"/>
        <v>0</v>
      </c>
      <c r="AF30" s="124"/>
      <c r="AG30" s="124"/>
      <c r="AH30" s="124"/>
      <c r="AI30" s="124"/>
      <c r="AJ30" s="124"/>
      <c r="AK30" s="124"/>
      <c r="AL30" s="124"/>
      <c r="AM30" s="124"/>
      <c r="AN30" s="124"/>
      <c r="AO30" s="428">
        <f t="shared" si="4"/>
        <v>0</v>
      </c>
      <c r="AP30" s="124"/>
      <c r="AQ30" s="124"/>
      <c r="AR30" s="124"/>
      <c r="AS30" s="124"/>
      <c r="AT30" s="124"/>
      <c r="AU30" s="124"/>
      <c r="AV30" s="124"/>
      <c r="AW30" s="124"/>
      <c r="AX30" s="124"/>
      <c r="AY30" s="428">
        <f t="shared" si="5"/>
        <v>0</v>
      </c>
      <c r="AZ30" s="428"/>
      <c r="BA30" s="428"/>
      <c r="BB30" s="428"/>
      <c r="BC30" s="428"/>
      <c r="BD30" s="428"/>
      <c r="BE30" s="428"/>
      <c r="BF30" s="428"/>
      <c r="BG30" s="428"/>
      <c r="BH30" s="428"/>
      <c r="BI30" s="428">
        <f t="shared" si="6"/>
        <v>0</v>
      </c>
      <c r="BJ30" s="27">
        <f t="shared" si="7"/>
        <v>44.725948178629139</v>
      </c>
    </row>
    <row r="31" spans="1:62">
      <c r="A31" s="427">
        <f t="shared" si="8"/>
        <v>42555</v>
      </c>
      <c r="B31" s="124">
        <f>'Equipment SCS 7-4-16'!W20</f>
        <v>1947.2306892973854</v>
      </c>
      <c r="C31" s="124">
        <f>'Equipment SCS 7-4-16'!X20</f>
        <v>0.20376265223717605</v>
      </c>
      <c r="D31" s="124">
        <f>'Equipment SCS 7-4-16'!Y20</f>
        <v>1.122130849042591</v>
      </c>
      <c r="E31" s="124">
        <f>'Construction Trucks SCS 7-4-16'!AB17</f>
        <v>5419.7164820713806</v>
      </c>
      <c r="F31" s="124">
        <f>'Construction Trucks SCS 7-4-16'!AC17</f>
        <v>6.2276621283930411E-2</v>
      </c>
      <c r="G31" s="124">
        <f>'Construction Trucks SCS 7-4-16'!AD17</f>
        <v>0.13883145740474051</v>
      </c>
      <c r="H31" s="124">
        <f>'WorkerTrips SCS 6-27-16'!N92</f>
        <v>831.35365089058359</v>
      </c>
      <c r="I31" s="124">
        <f>'WorkerTrips SCS 6-27-16'!O92</f>
        <v>4.7557130835453737E-2</v>
      </c>
      <c r="J31" s="124">
        <f>'WorkerTrips SCS 6-27-16'!P92</f>
        <v>8.6566798707650411E-2</v>
      </c>
      <c r="K31" s="428">
        <f t="shared" si="1"/>
        <v>8564.1767344474029</v>
      </c>
      <c r="L31" s="124">
        <f t="shared" si="10"/>
        <v>8249.2439090004646</v>
      </c>
      <c r="M31" s="124"/>
      <c r="N31" s="124"/>
      <c r="O31" s="124">
        <f t="shared" si="10"/>
        <v>1508.6100486178268</v>
      </c>
      <c r="P31" s="124"/>
      <c r="Q31" s="124"/>
      <c r="R31" s="124">
        <f t="shared" si="10"/>
        <v>942.20080434266129</v>
      </c>
      <c r="S31" s="124"/>
      <c r="T31" s="124"/>
      <c r="U31" s="428">
        <f t="shared" si="2"/>
        <v>10700.054761960953</v>
      </c>
      <c r="V31" s="123"/>
      <c r="W31" s="123"/>
      <c r="X31" s="123"/>
      <c r="Y31" s="123"/>
      <c r="Z31" s="123"/>
      <c r="AA31" s="123"/>
      <c r="AB31" s="123"/>
      <c r="AC31" s="123"/>
      <c r="AD31" s="123"/>
      <c r="AE31" s="428">
        <f t="shared" si="3"/>
        <v>0</v>
      </c>
      <c r="AF31" s="124"/>
      <c r="AG31" s="124"/>
      <c r="AH31" s="124"/>
      <c r="AI31" s="124"/>
      <c r="AJ31" s="124"/>
      <c r="AK31" s="124"/>
      <c r="AL31" s="124"/>
      <c r="AM31" s="124"/>
      <c r="AN31" s="124"/>
      <c r="AO31" s="428">
        <f t="shared" si="4"/>
        <v>0</v>
      </c>
      <c r="AP31" s="124"/>
      <c r="AQ31" s="124"/>
      <c r="AR31" s="124"/>
      <c r="AS31" s="124"/>
      <c r="AT31" s="124"/>
      <c r="AU31" s="124"/>
      <c r="AV31" s="124"/>
      <c r="AW31" s="124"/>
      <c r="AX31" s="124"/>
      <c r="AY31" s="428">
        <f t="shared" si="5"/>
        <v>0</v>
      </c>
      <c r="AZ31" s="428"/>
      <c r="BA31" s="428"/>
      <c r="BB31" s="428"/>
      <c r="BC31" s="428"/>
      <c r="BD31" s="428"/>
      <c r="BE31" s="428"/>
      <c r="BF31" s="428"/>
      <c r="BG31" s="428"/>
      <c r="BH31" s="428"/>
      <c r="BI31" s="428">
        <f t="shared" si="6"/>
        <v>0</v>
      </c>
      <c r="BJ31" s="27">
        <f t="shared" si="7"/>
        <v>43.690990420956986</v>
      </c>
    </row>
    <row r="32" spans="1:62">
      <c r="A32" s="427">
        <f t="shared" si="8"/>
        <v>42562</v>
      </c>
      <c r="B32" s="124">
        <f>'Equipment SCS 7-11-16'!W20</f>
        <v>1947.2306892973854</v>
      </c>
      <c r="C32" s="124">
        <f>'Equipment SCS 7-11-16'!X20</f>
        <v>0.20376265223717605</v>
      </c>
      <c r="D32" s="124">
        <f>'Equipment SCS 7-11-16'!Y20</f>
        <v>1.122130849042591</v>
      </c>
      <c r="E32" s="124">
        <f>'Construction Trucks SCS 7-11-16'!AB17</f>
        <v>5419.7164820713806</v>
      </c>
      <c r="F32" s="124">
        <f>'Construction Trucks SCS 7-11-16'!AC17</f>
        <v>6.2276621283930411E-2</v>
      </c>
      <c r="G32" s="124">
        <f>'Construction Trucks SCS 7-11-16'!AD17</f>
        <v>0.13883145740474051</v>
      </c>
      <c r="H32" s="124">
        <f>'WorkerTrips SCS 7-11-16'!N91</f>
        <v>831.35365089058359</v>
      </c>
      <c r="I32" s="124">
        <f>'WorkerTrips SCS 7-11-16'!O91</f>
        <v>4.7557130835453737E-2</v>
      </c>
      <c r="J32" s="124">
        <f>'WorkerTrips SCS 7-11-16'!P91</f>
        <v>8.6566798707650411E-2</v>
      </c>
      <c r="K32" s="428">
        <f t="shared" si="1"/>
        <v>8564.1767344474029</v>
      </c>
      <c r="L32" s="124">
        <f t="shared" si="10"/>
        <v>8249.2439090004646</v>
      </c>
      <c r="M32" s="124"/>
      <c r="N32" s="124"/>
      <c r="O32" s="124">
        <f t="shared" si="10"/>
        <v>1508.6100486178268</v>
      </c>
      <c r="P32" s="124"/>
      <c r="Q32" s="124"/>
      <c r="R32" s="124">
        <f t="shared" si="10"/>
        <v>942.20080434266129</v>
      </c>
      <c r="S32" s="124"/>
      <c r="T32" s="124"/>
      <c r="U32" s="428">
        <f t="shared" si="2"/>
        <v>10700.054761960953</v>
      </c>
      <c r="V32" s="123"/>
      <c r="W32" s="123"/>
      <c r="X32" s="123"/>
      <c r="Y32" s="123"/>
      <c r="Z32" s="123"/>
      <c r="AA32" s="123"/>
      <c r="AB32" s="123"/>
      <c r="AC32" s="123"/>
      <c r="AD32" s="123"/>
      <c r="AE32" s="428">
        <f t="shared" si="3"/>
        <v>0</v>
      </c>
      <c r="AF32" s="124"/>
      <c r="AG32" s="124"/>
      <c r="AH32" s="124"/>
      <c r="AI32" s="124"/>
      <c r="AJ32" s="124"/>
      <c r="AK32" s="124"/>
      <c r="AL32" s="124"/>
      <c r="AM32" s="124"/>
      <c r="AN32" s="124"/>
      <c r="AO32" s="428">
        <f t="shared" si="4"/>
        <v>0</v>
      </c>
      <c r="AP32" s="124"/>
      <c r="AQ32" s="124"/>
      <c r="AR32" s="124"/>
      <c r="AS32" s="124"/>
      <c r="AT32" s="124"/>
      <c r="AU32" s="124"/>
      <c r="AV32" s="124"/>
      <c r="AW32" s="124"/>
      <c r="AX32" s="124"/>
      <c r="AY32" s="428">
        <f t="shared" si="5"/>
        <v>0</v>
      </c>
      <c r="AZ32" s="428"/>
      <c r="BA32" s="428"/>
      <c r="BB32" s="428"/>
      <c r="BC32" s="428"/>
      <c r="BD32" s="428"/>
      <c r="BE32" s="428"/>
      <c r="BF32" s="428"/>
      <c r="BG32" s="428"/>
      <c r="BH32" s="428"/>
      <c r="BI32" s="428">
        <f t="shared" si="6"/>
        <v>0</v>
      </c>
      <c r="BJ32" s="27">
        <f t="shared" si="7"/>
        <v>43.690990420956986</v>
      </c>
    </row>
    <row r="33" spans="1:62">
      <c r="A33" s="427">
        <f t="shared" si="8"/>
        <v>42569</v>
      </c>
      <c r="B33" s="124">
        <f>'Equipment SCS 7-18-16'!W20</f>
        <v>1947.2306892973854</v>
      </c>
      <c r="C33" s="124">
        <f>'Equipment SCS 7-18-16'!X20</f>
        <v>0.20376265223717605</v>
      </c>
      <c r="D33" s="124">
        <f>'Equipment SCS 7-18-16'!Y20</f>
        <v>1.122130849042591</v>
      </c>
      <c r="E33" s="124">
        <f>'Construction Trucks SCS 7-18-16'!AB16</f>
        <v>592.16432649433523</v>
      </c>
      <c r="F33" s="124">
        <f>'Construction Trucks SCS 7-18-16'!AC16</f>
        <v>1.9283796835273176E-2</v>
      </c>
      <c r="G33" s="124">
        <f>'Construction Trucks SCS 7-18-16'!AD16</f>
        <v>1.5168881387478891E-2</v>
      </c>
      <c r="H33" s="124">
        <f>'WorkerTrips SCS 7-18-16'!N91</f>
        <v>831.35365089058359</v>
      </c>
      <c r="I33" s="124">
        <f>'WorkerTrips SCS 7-18-16'!O91</f>
        <v>4.7557130835453737E-2</v>
      </c>
      <c r="J33" s="124">
        <f>'WorkerTrips SCS 7-18-16'!P91</f>
        <v>8.6566798707650411E-2</v>
      </c>
      <c r="K33" s="428">
        <f t="shared" si="1"/>
        <v>3702.6501971412213</v>
      </c>
      <c r="L33" s="124">
        <f>'Equipment 69kV 7-16-16'!W13</f>
        <v>3240.091545986927</v>
      </c>
      <c r="M33" s="124"/>
      <c r="N33" s="124"/>
      <c r="O33" s="124">
        <f>'Trucks 69kV 7-16-16'!AB12</f>
        <v>301.72200972356535</v>
      </c>
      <c r="P33" s="124"/>
      <c r="Q33" s="124"/>
      <c r="R33" s="124">
        <f>'WorkerTrips 69kV 7-16-16'!N89</f>
        <v>332.54146035623342</v>
      </c>
      <c r="S33" s="124"/>
      <c r="T33" s="124"/>
      <c r="U33" s="428">
        <f t="shared" si="2"/>
        <v>3874.355016066726</v>
      </c>
      <c r="V33" s="123"/>
      <c r="W33" s="123"/>
      <c r="X33" s="123"/>
      <c r="Y33" s="123"/>
      <c r="Z33" s="123"/>
      <c r="AA33" s="123"/>
      <c r="AB33" s="123"/>
      <c r="AC33" s="123"/>
      <c r="AD33" s="123"/>
      <c r="AE33" s="428">
        <f t="shared" si="3"/>
        <v>0</v>
      </c>
      <c r="AF33" s="124"/>
      <c r="AG33" s="124"/>
      <c r="AH33" s="124"/>
      <c r="AI33" s="124"/>
      <c r="AJ33" s="124"/>
      <c r="AK33" s="124"/>
      <c r="AL33" s="124"/>
      <c r="AM33" s="124"/>
      <c r="AN33" s="124"/>
      <c r="AO33" s="428">
        <f t="shared" si="4"/>
        <v>0</v>
      </c>
      <c r="AP33" s="124"/>
      <c r="AQ33" s="124"/>
      <c r="AR33" s="124"/>
      <c r="AS33" s="124"/>
      <c r="AT33" s="124"/>
      <c r="AU33" s="124"/>
      <c r="AV33" s="124"/>
      <c r="AW33" s="124"/>
      <c r="AX33" s="124"/>
      <c r="AY33" s="428">
        <f t="shared" si="5"/>
        <v>0</v>
      </c>
      <c r="AZ33" s="428"/>
      <c r="BA33" s="428"/>
      <c r="BB33" s="428"/>
      <c r="BC33" s="428"/>
      <c r="BD33" s="428"/>
      <c r="BE33" s="428"/>
      <c r="BF33" s="428"/>
      <c r="BG33" s="428"/>
      <c r="BH33" s="428"/>
      <c r="BI33" s="428">
        <f t="shared" si="6"/>
        <v>0</v>
      </c>
      <c r="BJ33" s="27">
        <f t="shared" si="7"/>
        <v>17.184535093005412</v>
      </c>
    </row>
    <row r="34" spans="1:62">
      <c r="A34" s="427">
        <f t="shared" si="8"/>
        <v>42576</v>
      </c>
      <c r="B34" s="124">
        <f>'Equipment SCS 7-25-16'!W19</f>
        <v>1921.3478675946278</v>
      </c>
      <c r="C34" s="124">
        <f>'Equipment SCS 7-25-16'!X19</f>
        <v>0.20104416392030167</v>
      </c>
      <c r="D34" s="124">
        <f>'Equipment SCS 7-25-16'!Y19</f>
        <v>1.1042063372852104</v>
      </c>
      <c r="E34" s="124">
        <f>'Construction Trucks SCS 7-25-16'!AB16</f>
        <v>592.16432649433523</v>
      </c>
      <c r="F34" s="124">
        <f>'Construction Trucks SCS 7-25-16'!AC16</f>
        <v>1.9283796835273176E-2</v>
      </c>
      <c r="G34" s="124">
        <f>'Construction Trucks SCS 7-25-16'!AD16</f>
        <v>1.5168881387478891E-2</v>
      </c>
      <c r="H34" s="124">
        <f>'WorkerTrips SCS 7-25-16'!N91</f>
        <v>831.35365089058359</v>
      </c>
      <c r="I34" s="124">
        <f>'WorkerTrips SCS 7-25-16'!O91</f>
        <v>4.7557130835453737E-2</v>
      </c>
      <c r="J34" s="124">
        <f>'WorkerTrips SCS 7-25-16'!P91</f>
        <v>8.6566798707650411E-2</v>
      </c>
      <c r="K34" s="428">
        <f t="shared" si="1"/>
        <v>3671.9412621498855</v>
      </c>
      <c r="L34" s="124">
        <f>'Equipment 69kV 723-827'!W14</f>
        <v>4739.0002866076547</v>
      </c>
      <c r="M34" s="124"/>
      <c r="N34" s="124"/>
      <c r="O34" s="124">
        <f>'Trucks 69kV 723-827'!AB12</f>
        <v>905.16602917069611</v>
      </c>
      <c r="P34" s="124"/>
      <c r="Q34" s="124"/>
      <c r="R34" s="124">
        <f>'WorkerTrips 69kV 723-827'!N89</f>
        <v>332.54146035623342</v>
      </c>
      <c r="S34" s="124"/>
      <c r="T34" s="124"/>
      <c r="U34" s="428">
        <f t="shared" si="2"/>
        <v>5976.7077761345836</v>
      </c>
      <c r="V34" s="123"/>
      <c r="W34" s="123"/>
      <c r="X34" s="123"/>
      <c r="Y34" s="123"/>
      <c r="Z34" s="123"/>
      <c r="AA34" s="123"/>
      <c r="AB34" s="123"/>
      <c r="AC34" s="123"/>
      <c r="AD34" s="123"/>
      <c r="AE34" s="428">
        <f t="shared" si="3"/>
        <v>0</v>
      </c>
      <c r="AF34" s="124"/>
      <c r="AG34" s="124"/>
      <c r="AH34" s="124"/>
      <c r="AI34" s="124"/>
      <c r="AJ34" s="124"/>
      <c r="AK34" s="124"/>
      <c r="AL34" s="124"/>
      <c r="AM34" s="124"/>
      <c r="AN34" s="124"/>
      <c r="AO34" s="428">
        <f t="shared" si="4"/>
        <v>0</v>
      </c>
      <c r="AP34" s="124"/>
      <c r="AQ34" s="124"/>
      <c r="AR34" s="124"/>
      <c r="AS34" s="124"/>
      <c r="AT34" s="124"/>
      <c r="AU34" s="124"/>
      <c r="AV34" s="124"/>
      <c r="AW34" s="124"/>
      <c r="AX34" s="124"/>
      <c r="AY34" s="428">
        <f t="shared" si="5"/>
        <v>0</v>
      </c>
      <c r="AZ34" s="428"/>
      <c r="BA34" s="428"/>
      <c r="BB34" s="428"/>
      <c r="BC34" s="428"/>
      <c r="BD34" s="428"/>
      <c r="BE34" s="428"/>
      <c r="BF34" s="428"/>
      <c r="BG34" s="428"/>
      <c r="BH34" s="428"/>
      <c r="BI34" s="428">
        <f t="shared" si="6"/>
        <v>0</v>
      </c>
      <c r="BJ34" s="27">
        <f t="shared" si="7"/>
        <v>21.882992466398598</v>
      </c>
    </row>
    <row r="35" spans="1:62">
      <c r="A35" s="427">
        <f t="shared" si="8"/>
        <v>42583</v>
      </c>
      <c r="B35" s="124">
        <f>'Equipment SCS 8-1-16'!W19</f>
        <v>1921.3478675946278</v>
      </c>
      <c r="C35" s="124">
        <f>'Equipment SCS 8-1-16'!X19</f>
        <v>0.20104416392030167</v>
      </c>
      <c r="D35" s="124">
        <f>'Equipment SCS 8-1-16'!Y19</f>
        <v>1.1042063372852104</v>
      </c>
      <c r="E35" s="124">
        <f>'Construction Trucks SCS 8-1-16'!AB16</f>
        <v>592.16432649433523</v>
      </c>
      <c r="F35" s="124">
        <f>'Construction Trucks SCS 8-1-16'!AC16</f>
        <v>1.9283796835273176E-2</v>
      </c>
      <c r="G35" s="124">
        <f>'Construction Trucks SCS 8-1-16'!AD16</f>
        <v>1.5168881387478891E-2</v>
      </c>
      <c r="H35" s="124">
        <f>'WorkerTrips SCS 8-1-16'!N91</f>
        <v>831.35365089058359</v>
      </c>
      <c r="I35" s="124">
        <f>'WorkerTrips SCS 8-1-16'!O91</f>
        <v>4.7557130835453737E-2</v>
      </c>
      <c r="J35" s="124">
        <f>'WorkerTrips SCS 8-1-16'!P91</f>
        <v>8.6566798707650411E-2</v>
      </c>
      <c r="K35" s="428">
        <f t="shared" si="1"/>
        <v>3671.9412621498855</v>
      </c>
      <c r="L35" s="124">
        <f>L34</f>
        <v>4739.0002866076547</v>
      </c>
      <c r="M35" s="124"/>
      <c r="N35" s="124"/>
      <c r="O35" s="124">
        <f t="shared" ref="O35:R38" si="12">O34</f>
        <v>905.16602917069611</v>
      </c>
      <c r="P35" s="124"/>
      <c r="Q35" s="124"/>
      <c r="R35" s="124">
        <f t="shared" si="12"/>
        <v>332.54146035623342</v>
      </c>
      <c r="S35" s="124"/>
      <c r="T35" s="124"/>
      <c r="U35" s="428">
        <f t="shared" si="2"/>
        <v>5976.7077761345836</v>
      </c>
      <c r="V35" s="123"/>
      <c r="W35" s="123"/>
      <c r="X35" s="123"/>
      <c r="Y35" s="123"/>
      <c r="Z35" s="123"/>
      <c r="AA35" s="123"/>
      <c r="AB35" s="123"/>
      <c r="AC35" s="123"/>
      <c r="AD35" s="123"/>
      <c r="AE35" s="428">
        <f t="shared" si="3"/>
        <v>0</v>
      </c>
      <c r="AF35" s="124"/>
      <c r="AG35" s="124"/>
      <c r="AH35" s="124"/>
      <c r="AI35" s="124"/>
      <c r="AJ35" s="124"/>
      <c r="AK35" s="124"/>
      <c r="AL35" s="124"/>
      <c r="AM35" s="124"/>
      <c r="AN35" s="124"/>
      <c r="AO35" s="428">
        <f t="shared" si="4"/>
        <v>0</v>
      </c>
      <c r="AP35" s="124">
        <f>'Equipment Miguel Sub 8-1-16'!W22</f>
        <v>10188.424445717108</v>
      </c>
      <c r="AQ35" s="124">
        <f>'Equipment Miguel Sub 8-1-16'!X22</f>
        <v>0.69270050379207559</v>
      </c>
      <c r="AR35" s="124">
        <f>'Equipment Miguel Sub 8-1-16'!Y22</f>
        <v>4.9943912223449285</v>
      </c>
      <c r="AS35" s="124">
        <f>'Trucks Miguel Sub 8-1-16'!AB19</f>
        <v>2402.4963848357274</v>
      </c>
      <c r="AT35" s="124">
        <f>'Trucks Miguel Sub 8-1-16'!AC19</f>
        <v>3.5406106003519636E-2</v>
      </c>
      <c r="AU35" s="124">
        <f>'Trucks Miguel Sub 8-1-16'!AD19</f>
        <v>6.1542347393951993E-2</v>
      </c>
      <c r="AV35" s="124">
        <f>'WorkerTrips Miguel Sub 8-1-16'!N91</f>
        <v>997.62438106870013</v>
      </c>
      <c r="AW35" s="124">
        <f>'WorkerTrips Miguel Sub 8-1-16'!O91</f>
        <v>5.7068557002544484E-2</v>
      </c>
      <c r="AX35" s="124">
        <f>'WorkerTrips Miguel Sub 8-1-16'!P91</f>
        <v>0.10388015844918047</v>
      </c>
      <c r="AY35" s="428">
        <f t="shared" si="5"/>
        <v>14977.880754261723</v>
      </c>
      <c r="AZ35" s="428"/>
      <c r="BA35" s="428"/>
      <c r="BB35" s="428"/>
      <c r="BC35" s="428"/>
      <c r="BD35" s="428"/>
      <c r="BE35" s="428"/>
      <c r="BF35" s="428"/>
      <c r="BG35" s="428"/>
      <c r="BH35" s="428"/>
      <c r="BI35" s="428">
        <f t="shared" si="6"/>
        <v>0</v>
      </c>
      <c r="BJ35" s="27">
        <f t="shared" si="7"/>
        <v>55.852603176417929</v>
      </c>
    </row>
    <row r="36" spans="1:62">
      <c r="A36" s="427">
        <f t="shared" si="8"/>
        <v>42590</v>
      </c>
      <c r="B36" s="124">
        <f>'Equipment SCS 8-8-16'!W19</f>
        <v>1921.3478675946278</v>
      </c>
      <c r="C36" s="124">
        <f>'Equipment SCS 8-8-16'!X19</f>
        <v>0.20104416392030167</v>
      </c>
      <c r="D36" s="124">
        <f>'Equipment SCS 8-8-16'!Y19</f>
        <v>1.1042063372852104</v>
      </c>
      <c r="E36" s="124">
        <f>'Construction Trucks SCS 8-8-16'!AB16</f>
        <v>592.16432649433523</v>
      </c>
      <c r="F36" s="124">
        <f>'Construction Trucks SCS 8-8-16'!AC16</f>
        <v>1.9283796835273176E-2</v>
      </c>
      <c r="G36" s="124">
        <f>'Construction Trucks SCS 8-8-16'!AD16</f>
        <v>1.5168881387478891E-2</v>
      </c>
      <c r="H36" s="124">
        <f>'WorkerTrips SCS 8-8-16'!N91</f>
        <v>831.35365089058359</v>
      </c>
      <c r="I36" s="124">
        <f>'WorkerTrips SCS 8-8-16'!O91</f>
        <v>4.7557130835453737E-2</v>
      </c>
      <c r="J36" s="124">
        <f>'WorkerTrips SCS 8-8-16'!P91</f>
        <v>8.6566798707650411E-2</v>
      </c>
      <c r="K36" s="428">
        <f t="shared" si="1"/>
        <v>3671.9412621498855</v>
      </c>
      <c r="L36" s="124">
        <f>L35</f>
        <v>4739.0002866076547</v>
      </c>
      <c r="M36" s="124"/>
      <c r="N36" s="124"/>
      <c r="O36" s="124">
        <f t="shared" si="12"/>
        <v>905.16602917069611</v>
      </c>
      <c r="P36" s="124"/>
      <c r="Q36" s="124"/>
      <c r="R36" s="124">
        <f t="shared" si="12"/>
        <v>332.54146035623342</v>
      </c>
      <c r="S36" s="124"/>
      <c r="T36" s="124"/>
      <c r="U36" s="428">
        <f t="shared" si="2"/>
        <v>5976.7077761345836</v>
      </c>
      <c r="V36" s="124">
        <f>'Equipment TL6910 8-8-16'!W13</f>
        <v>5654.5941322960734</v>
      </c>
      <c r="W36" s="124">
        <f>'Equipment TL6910 8-8-16'!X13</f>
        <v>0.53813655542214367</v>
      </c>
      <c r="X36" s="124">
        <f>'Equipment TL6910 8-8-16'!Y13</f>
        <v>3.5040765112612742</v>
      </c>
      <c r="Y36" s="124">
        <f>'Trucks TL6910 8-8-16'!AB12</f>
        <v>366.26474678373648</v>
      </c>
      <c r="Z36" s="124">
        <f>'Trucks TL6910 8-8-16'!AC12</f>
        <v>6.3752171518704336E-3</v>
      </c>
      <c r="AA36" s="124">
        <f>'Trucks TL6910 8-8-16'!AD12</f>
        <v>9.3822377536121916E-3</v>
      </c>
      <c r="AB36" s="124">
        <f>'WorkerTrips TL6910 8-8-16'!N89</f>
        <v>665.08292071246683</v>
      </c>
      <c r="AC36" s="124">
        <f>'WorkerTrips TL6910 8-8-16'!O89</f>
        <v>3.804570466836299E-2</v>
      </c>
      <c r="AD36" s="124">
        <f>'WorkerTrips TL6910 8-8-16'!P89</f>
        <v>6.9253438966120323E-2</v>
      </c>
      <c r="AE36" s="428">
        <f t="shared" si="3"/>
        <v>7651.6721389700306</v>
      </c>
      <c r="AF36" s="124"/>
      <c r="AG36" s="124"/>
      <c r="AH36" s="124"/>
      <c r="AI36" s="124"/>
      <c r="AJ36" s="124"/>
      <c r="AK36" s="124"/>
      <c r="AL36" s="124"/>
      <c r="AM36" s="124"/>
      <c r="AN36" s="124"/>
      <c r="AO36" s="428">
        <f t="shared" si="4"/>
        <v>0</v>
      </c>
      <c r="AP36" s="124">
        <f>'Equipment Miguel Sub 8-8-16'!W17</f>
        <v>2034.1713912210444</v>
      </c>
      <c r="AQ36" s="124">
        <f>'Equipment Miguel Sub 8-8-16'!X17</f>
        <v>0.16114757430539986</v>
      </c>
      <c r="AR36" s="124">
        <f>'Equipment Miguel Sub 8-8-16'!Y17</f>
        <v>1.0851375411722206</v>
      </c>
      <c r="AS36" s="124">
        <f>'Trucks Miguel Sub 8-8-16'!AB16</f>
        <v>592.16432649433523</v>
      </c>
      <c r="AT36" s="124">
        <f>'Trucks Miguel Sub 8-8-16'!AC16</f>
        <v>1.9283796835273176E-2</v>
      </c>
      <c r="AU36" s="124">
        <f>'Trucks Miguel Sub 8-8-16'!AD16</f>
        <v>1.5168881387478891E-2</v>
      </c>
      <c r="AV36" s="124">
        <f>'WorkerTrips Miguel Sub 8-8-16'!N91</f>
        <v>665.08292071246683</v>
      </c>
      <c r="AW36" s="124">
        <f>'WorkerTrips Miguel Sub 8-8-16'!O91</f>
        <v>3.804570466836299E-2</v>
      </c>
      <c r="AX36" s="124">
        <f>'WorkerTrips Miguel Sub 8-8-16'!P91</f>
        <v>6.9253438966120323E-2</v>
      </c>
      <c r="AY36" s="428">
        <f t="shared" si="5"/>
        <v>3607.4693598548424</v>
      </c>
      <c r="AZ36" s="428"/>
      <c r="BA36" s="428"/>
      <c r="BB36" s="428"/>
      <c r="BC36" s="428"/>
      <c r="BD36" s="428"/>
      <c r="BE36" s="428"/>
      <c r="BF36" s="428"/>
      <c r="BG36" s="428"/>
      <c r="BH36" s="428"/>
      <c r="BI36" s="428">
        <f t="shared" si="6"/>
        <v>0</v>
      </c>
      <c r="BJ36" s="27">
        <f t="shared" si="7"/>
        <v>47.418557872424344</v>
      </c>
    </row>
    <row r="37" spans="1:62">
      <c r="A37" s="427">
        <f t="shared" si="8"/>
        <v>42597</v>
      </c>
      <c r="B37" s="124">
        <f>'Equipment SCS 8-15-16'!W19</f>
        <v>1921.3478675946278</v>
      </c>
      <c r="C37" s="124">
        <f>'Equipment SCS 8-15-16'!X19</f>
        <v>0.20104416392030167</v>
      </c>
      <c r="D37" s="124">
        <f>'Equipment SCS 8-15-16'!Y19</f>
        <v>1.1042063372852104</v>
      </c>
      <c r="E37" s="124">
        <f>'Construction Trucks SCS 8-15-16'!AB16</f>
        <v>592.16432649433523</v>
      </c>
      <c r="F37" s="124">
        <f>'Construction Trucks SCS 8-15-16'!AC16</f>
        <v>1.9283796835273176E-2</v>
      </c>
      <c r="G37" s="124">
        <f>'Construction Trucks SCS 8-15-16'!AD16</f>
        <v>1.5168881387478891E-2</v>
      </c>
      <c r="H37" s="124">
        <f>'WorkerTrips SCS 8-15-16'!N91</f>
        <v>831.35365089058359</v>
      </c>
      <c r="I37" s="124">
        <f>'WorkerTrips SCS 8-15-16'!O91</f>
        <v>4.7557130835453737E-2</v>
      </c>
      <c r="J37" s="124">
        <f>'WorkerTrips SCS 8-15-16'!P91</f>
        <v>8.6566798707650411E-2</v>
      </c>
      <c r="K37" s="428">
        <f t="shared" si="1"/>
        <v>3671.9412621498855</v>
      </c>
      <c r="L37" s="124">
        <f>L36</f>
        <v>4739.0002866076547</v>
      </c>
      <c r="M37" s="124"/>
      <c r="N37" s="124"/>
      <c r="O37" s="124">
        <f t="shared" si="12"/>
        <v>905.16602917069611</v>
      </c>
      <c r="P37" s="124"/>
      <c r="Q37" s="124"/>
      <c r="R37" s="124">
        <f t="shared" si="12"/>
        <v>332.54146035623342</v>
      </c>
      <c r="S37" s="124"/>
      <c r="T37" s="124"/>
      <c r="U37" s="428">
        <f t="shared" si="2"/>
        <v>5976.7077761345836</v>
      </c>
      <c r="V37" s="123"/>
      <c r="W37" s="123"/>
      <c r="X37" s="123"/>
      <c r="Y37" s="123"/>
      <c r="Z37" s="123"/>
      <c r="AA37" s="123"/>
      <c r="AB37" s="123"/>
      <c r="AC37" s="123"/>
      <c r="AD37" s="123"/>
      <c r="AE37" s="428">
        <f t="shared" si="3"/>
        <v>0</v>
      </c>
      <c r="AF37" s="124"/>
      <c r="AG37" s="124"/>
      <c r="AH37" s="124"/>
      <c r="AI37" s="124"/>
      <c r="AJ37" s="124"/>
      <c r="AK37" s="124"/>
      <c r="AL37" s="124"/>
      <c r="AM37" s="124"/>
      <c r="AN37" s="124"/>
      <c r="AO37" s="428">
        <f t="shared" si="4"/>
        <v>0</v>
      </c>
      <c r="AP37" s="124">
        <f>'Equipment Miguel Sub 8-15-16'!W16</f>
        <v>1140.3112787704465</v>
      </c>
      <c r="AQ37" s="124">
        <f>'Equipment Miguel Sub 8-15-16'!X16</f>
        <v>9.69412570680519E-2</v>
      </c>
      <c r="AR37" s="124">
        <f>'Equipment Miguel Sub 8-15-16'!Y16</f>
        <v>0.65227180043147992</v>
      </c>
      <c r="AS37" s="124">
        <f>'Trucks Miguel Sub 8-15-16'!AB16</f>
        <v>592.16432649433523</v>
      </c>
      <c r="AT37" s="124">
        <f>'Trucks Miguel Sub 8-15-16'!AC16</f>
        <v>1.9283796835273176E-2</v>
      </c>
      <c r="AU37" s="124">
        <f>'Trucks Miguel Sub 8-15-16'!AD16</f>
        <v>1.5168881387478891E-2</v>
      </c>
      <c r="AV37" s="124">
        <f>'WorkerTrips Miguel Sub 8-15-16'!N91</f>
        <v>609.65934398642787</v>
      </c>
      <c r="AW37" s="124">
        <f>'WorkerTrips Miguel Sub 8-15-16'!O91</f>
        <v>3.4875229279332745E-2</v>
      </c>
      <c r="AX37" s="124">
        <f>'WorkerTrips Miguel Sub 8-15-16'!P91</f>
        <v>6.348231905227697E-2</v>
      </c>
      <c r="AY37" s="428">
        <f t="shared" si="5"/>
        <v>2540.0603524112016</v>
      </c>
      <c r="AZ37" s="428"/>
      <c r="BA37" s="428"/>
      <c r="BB37" s="428"/>
      <c r="BC37" s="428"/>
      <c r="BD37" s="428"/>
      <c r="BE37" s="428"/>
      <c r="BF37" s="428"/>
      <c r="BG37" s="428"/>
      <c r="BH37" s="428"/>
      <c r="BI37" s="428">
        <f t="shared" si="6"/>
        <v>0</v>
      </c>
      <c r="BJ37" s="27">
        <f t="shared" si="7"/>
        <v>27.643811554693983</v>
      </c>
    </row>
    <row r="38" spans="1:62">
      <c r="A38" s="427">
        <f t="shared" si="8"/>
        <v>42604</v>
      </c>
      <c r="B38" s="124">
        <f>'Equipment SCS 8-22-16'!W18</f>
        <v>1610.9797660491349</v>
      </c>
      <c r="C38" s="124">
        <f>'Equipment SCS 8-22-16'!X18</f>
        <v>0.16982190630420735</v>
      </c>
      <c r="D38" s="124">
        <f>'Equipment SCS 8-22-16'!Y18</f>
        <v>0.91321978867409925</v>
      </c>
      <c r="E38" s="124">
        <f>'Construction Trucks SCS 8-22-16'!AB16</f>
        <v>592.16432649433523</v>
      </c>
      <c r="F38" s="124">
        <f>'Construction Trucks SCS 8-22-16'!AC16</f>
        <v>1.9283796835273176E-2</v>
      </c>
      <c r="G38" s="124">
        <f>'Construction Trucks SCS 8-22-16'!AD16</f>
        <v>1.5168881387478891E-2</v>
      </c>
      <c r="H38" s="124">
        <f>'WorkerTrips SCS 8-22-16'!N91</f>
        <v>775.93007416454452</v>
      </c>
      <c r="I38" s="124">
        <f>'WorkerTrips SCS 8-22-16'!O91</f>
        <v>4.4386655446423486E-2</v>
      </c>
      <c r="J38" s="124">
        <f>'WorkerTrips SCS 8-22-16'!P91</f>
        <v>8.079567879380703E-2</v>
      </c>
      <c r="K38" s="428">
        <f t="shared" si="1"/>
        <v>3253.0458051950973</v>
      </c>
      <c r="L38" s="124">
        <f>L37</f>
        <v>4739.0002866076547</v>
      </c>
      <c r="M38" s="124"/>
      <c r="N38" s="124"/>
      <c r="O38" s="124">
        <f t="shared" si="12"/>
        <v>905.16602917069611</v>
      </c>
      <c r="P38" s="124"/>
      <c r="Q38" s="124"/>
      <c r="R38" s="124">
        <f t="shared" si="12"/>
        <v>332.54146035623342</v>
      </c>
      <c r="S38" s="124"/>
      <c r="T38" s="124"/>
      <c r="U38" s="428">
        <f t="shared" si="2"/>
        <v>5976.7077761345836</v>
      </c>
      <c r="V38" s="123"/>
      <c r="W38" s="123"/>
      <c r="X38" s="123"/>
      <c r="Y38" s="123"/>
      <c r="Z38" s="123"/>
      <c r="AA38" s="123"/>
      <c r="AB38" s="123"/>
      <c r="AC38" s="123"/>
      <c r="AD38" s="123"/>
      <c r="AE38" s="428">
        <f t="shared" si="3"/>
        <v>0</v>
      </c>
      <c r="AF38" s="124"/>
      <c r="AG38" s="124"/>
      <c r="AH38" s="124"/>
      <c r="AI38" s="124"/>
      <c r="AJ38" s="124"/>
      <c r="AK38" s="124"/>
      <c r="AL38" s="124"/>
      <c r="AM38" s="124"/>
      <c r="AN38" s="124"/>
      <c r="AO38" s="428">
        <f t="shared" si="4"/>
        <v>0</v>
      </c>
      <c r="AP38" s="124">
        <f>'Equipment Miguel Sub 8-23-16'!W16</f>
        <v>1140.3112787704465</v>
      </c>
      <c r="AQ38" s="124">
        <f>'Equipment Miguel Sub 8-23-16'!X16</f>
        <v>9.69412570680519E-2</v>
      </c>
      <c r="AR38" s="124">
        <f>'Equipment Miguel Sub 8-23-16'!Y16</f>
        <v>0.65227180043147992</v>
      </c>
      <c r="AS38" s="124">
        <f>'Trucks Miguel Sub 8-23-16'!AB16</f>
        <v>592.16432649433523</v>
      </c>
      <c r="AT38" s="124">
        <f>'Trucks Miguel Sub 8-23-16'!AC16</f>
        <v>1.9283796835273176E-2</v>
      </c>
      <c r="AU38" s="124">
        <f>'Trucks Miguel Sub 8-23-16'!AD16</f>
        <v>1.5168881387478891E-2</v>
      </c>
      <c r="AV38" s="124">
        <f>'WorkerTrips Miguel Sub 8-23-16'!N91</f>
        <v>609.65934398642787</v>
      </c>
      <c r="AW38" s="124">
        <f>'WorkerTrips Miguel Sub 8-23-16'!O91</f>
        <v>3.4875229279332745E-2</v>
      </c>
      <c r="AX38" s="124">
        <f>'WorkerTrips Miguel Sub 8-23-16'!P91</f>
        <v>6.348231905227697E-2</v>
      </c>
      <c r="AY38" s="428">
        <f t="shared" si="5"/>
        <v>2540.0603524112016</v>
      </c>
      <c r="AZ38" s="428"/>
      <c r="BA38" s="428"/>
      <c r="BB38" s="428"/>
      <c r="BC38" s="428"/>
      <c r="BD38" s="428"/>
      <c r="BE38" s="428"/>
      <c r="BF38" s="428"/>
      <c r="BG38" s="428"/>
      <c r="BH38" s="428"/>
      <c r="BI38" s="428">
        <f t="shared" si="6"/>
        <v>0</v>
      </c>
      <c r="BJ38" s="27">
        <f t="shared" si="7"/>
        <v>26.693762890639761</v>
      </c>
    </row>
    <row r="39" spans="1:62">
      <c r="A39" s="427">
        <f t="shared" si="8"/>
        <v>42611</v>
      </c>
      <c r="B39" s="124">
        <f>'Equipment SCS 8-29-16'!W18</f>
        <v>1610.9797660491349</v>
      </c>
      <c r="C39" s="124">
        <f>'Equipment SCS 8-29-16'!X18</f>
        <v>0.16982190630420735</v>
      </c>
      <c r="D39" s="124">
        <f>'Equipment SCS 8-29-16'!Y18</f>
        <v>0.91321978867409925</v>
      </c>
      <c r="E39" s="124">
        <f>'Construction Trucks SCS 8-29-16'!AB16</f>
        <v>592.16432649433523</v>
      </c>
      <c r="F39" s="124">
        <f>'Construction Trucks SCS 8-29-16'!AC16</f>
        <v>1.9283796835273176E-2</v>
      </c>
      <c r="G39" s="124">
        <f>'Construction Trucks SCS 8-29-16'!AD16</f>
        <v>1.5168881387478891E-2</v>
      </c>
      <c r="H39" s="124">
        <f>'WorkerTrips SCS 8-29-16'!N91</f>
        <v>720.50649743850568</v>
      </c>
      <c r="I39" s="124">
        <f>'WorkerTrips SCS 8-29-16'!O91</f>
        <v>4.1216180057393241E-2</v>
      </c>
      <c r="J39" s="124">
        <f>'WorkerTrips SCS 8-29-16'!P91</f>
        <v>7.5024558879963676E-2</v>
      </c>
      <c r="K39" s="428">
        <f t="shared" si="1"/>
        <v>3196.004108380997</v>
      </c>
      <c r="L39" s="124">
        <f>'Equipment 69kV 827-1119'!W13</f>
        <v>7614.7667005856747</v>
      </c>
      <c r="M39" s="124"/>
      <c r="N39" s="124"/>
      <c r="O39" s="124">
        <f>'Trucks 69kV 827-1119'!AB13</f>
        <v>129.08547412034218</v>
      </c>
      <c r="P39" s="124"/>
      <c r="Q39" s="124"/>
      <c r="R39" s="124">
        <f>'WorkerTrips 69kV 827-1119'!N88</f>
        <v>997.62438106870013</v>
      </c>
      <c r="S39" s="124"/>
      <c r="T39" s="124"/>
      <c r="U39" s="428">
        <f t="shared" si="2"/>
        <v>8741.476555774716</v>
      </c>
      <c r="V39" s="123"/>
      <c r="W39" s="123"/>
      <c r="X39" s="123"/>
      <c r="Y39" s="123"/>
      <c r="Z39" s="123"/>
      <c r="AA39" s="123"/>
      <c r="AB39" s="123"/>
      <c r="AC39" s="123"/>
      <c r="AD39" s="123"/>
      <c r="AE39" s="428">
        <f t="shared" si="3"/>
        <v>0</v>
      </c>
      <c r="AF39" s="124"/>
      <c r="AG39" s="124"/>
      <c r="AH39" s="124"/>
      <c r="AI39" s="124"/>
      <c r="AJ39" s="124"/>
      <c r="AK39" s="124"/>
      <c r="AL39" s="124"/>
      <c r="AM39" s="124"/>
      <c r="AN39" s="124"/>
      <c r="AO39" s="428">
        <f t="shared" si="4"/>
        <v>0</v>
      </c>
      <c r="AP39" s="124">
        <f>'Equipment Miguel Sub 8-30-16'!W20</f>
        <v>1981.540572385087</v>
      </c>
      <c r="AQ39" s="124">
        <f>'Equipment Miguel Sub 8-30-16'!X20</f>
        <v>0.18667368824897465</v>
      </c>
      <c r="AR39" s="124">
        <f>'Equipment Miguel Sub 8-30-16'!Y20</f>
        <v>1.0834556347180651</v>
      </c>
      <c r="AS39" s="124">
        <f>'Trucks Miguel Sub 8-30-16'!AB16</f>
        <v>495.35022090407864</v>
      </c>
      <c r="AT39" s="124">
        <f>'Trucks Miguel Sub 8-30-16'!AC16</f>
        <v>1.3751548399529145E-2</v>
      </c>
      <c r="AU39" s="124">
        <f>'Trucks Miguel Sub 8-30-16'!AD16</f>
        <v>1.2688891258678878E-2</v>
      </c>
      <c r="AV39" s="124">
        <f>'WorkerTrips Miguel Sub 8-30-16'!N91</f>
        <v>609.65934398642787</v>
      </c>
      <c r="AW39" s="124">
        <f>'WorkerTrips Miguel Sub 8-30-16'!O91</f>
        <v>3.4875229279332745E-2</v>
      </c>
      <c r="AX39" s="124">
        <f>'WorkerTrips Miguel Sub 8-30-16'!P91</f>
        <v>6.348231905227697E-2</v>
      </c>
      <c r="AY39" s="428">
        <f t="shared" si="5"/>
        <v>3400.4396642542633</v>
      </c>
      <c r="AZ39" s="428"/>
      <c r="BA39" s="428"/>
      <c r="BB39" s="428"/>
      <c r="BC39" s="428"/>
      <c r="BD39" s="428"/>
      <c r="BE39" s="428"/>
      <c r="BF39" s="428"/>
      <c r="BG39" s="428"/>
      <c r="BH39" s="428"/>
      <c r="BI39" s="428">
        <f t="shared" si="6"/>
        <v>0</v>
      </c>
      <c r="BJ39" s="27">
        <f t="shared" si="7"/>
        <v>34.786175107525118</v>
      </c>
    </row>
    <row r="40" spans="1:62">
      <c r="A40" s="427">
        <f t="shared" si="8"/>
        <v>42618</v>
      </c>
      <c r="B40" s="124">
        <f>'Equipment SCS 9-5-16'!W19</f>
        <v>2082.2878069428371</v>
      </c>
      <c r="C40" s="124">
        <f>'Equipment SCS 9-5-16'!X19</f>
        <v>0.23009770781604716</v>
      </c>
      <c r="D40" s="124">
        <f>'Equipment SCS 9-5-16'!Y19</f>
        <v>1.1678685201555807</v>
      </c>
      <c r="E40" s="124">
        <f>'Construction Trucks SCS 9-5-16'!AB16</f>
        <v>592.16432649433523</v>
      </c>
      <c r="F40" s="124">
        <f>'Construction Trucks SCS 9-5-16'!AC16</f>
        <v>1.9283796835273176E-2</v>
      </c>
      <c r="G40" s="124">
        <f>'Construction Trucks SCS 9-5-16'!AD16</f>
        <v>1.5168881387478891E-2</v>
      </c>
      <c r="H40" s="124">
        <f>'WorkerTrips SCS 9-5-16'!N91</f>
        <v>720.50649743850568</v>
      </c>
      <c r="I40" s="124">
        <f>'WorkerTrips SCS 9-5-16'!O91</f>
        <v>4.1216180057393241E-2</v>
      </c>
      <c r="J40" s="124">
        <f>'WorkerTrips SCS 9-5-16'!P91</f>
        <v>7.5024558879963676E-2</v>
      </c>
      <c r="K40" s="428">
        <f t="shared" si="1"/>
        <v>3736.4817855596234</v>
      </c>
      <c r="L40" s="124">
        <f t="shared" ref="L40:R50" si="13">L39</f>
        <v>7614.7667005856747</v>
      </c>
      <c r="M40" s="124"/>
      <c r="N40" s="124"/>
      <c r="O40" s="124">
        <f t="shared" si="13"/>
        <v>129.08547412034218</v>
      </c>
      <c r="P40" s="124"/>
      <c r="Q40" s="124"/>
      <c r="R40" s="124">
        <f t="shared" si="13"/>
        <v>997.62438106870013</v>
      </c>
      <c r="S40" s="124"/>
      <c r="T40" s="124"/>
      <c r="U40" s="428">
        <f t="shared" si="2"/>
        <v>8741.476555774716</v>
      </c>
      <c r="V40" s="123"/>
      <c r="W40" s="123"/>
      <c r="X40" s="123"/>
      <c r="Y40" s="123"/>
      <c r="Z40" s="123"/>
      <c r="AA40" s="123"/>
      <c r="AB40" s="123"/>
      <c r="AC40" s="123"/>
      <c r="AD40" s="123"/>
      <c r="AE40" s="428">
        <f t="shared" si="3"/>
        <v>0</v>
      </c>
      <c r="AF40" s="124"/>
      <c r="AG40" s="124"/>
      <c r="AH40" s="124"/>
      <c r="AI40" s="124"/>
      <c r="AJ40" s="124"/>
      <c r="AK40" s="124"/>
      <c r="AL40" s="124"/>
      <c r="AM40" s="124"/>
      <c r="AN40" s="124"/>
      <c r="AO40" s="428">
        <f t="shared" si="4"/>
        <v>0</v>
      </c>
      <c r="AP40" s="124">
        <f>'Equipment Miguel Sub 9-5-16'!W18</f>
        <v>1648.4497411360364</v>
      </c>
      <c r="AQ40" s="124">
        <f>'Equipment Miguel Sub 9-5-16'!X18</f>
        <v>0.16539382229358196</v>
      </c>
      <c r="AR40" s="124">
        <f>'Equipment Miguel Sub 9-5-16'!Y18</f>
        <v>0.91857085258175863</v>
      </c>
      <c r="AS40" s="124">
        <f>'Trucks Miguel Sub 9-5-16'!AB16</f>
        <v>495.35022090407864</v>
      </c>
      <c r="AT40" s="124">
        <f>'Trucks Miguel Sub 9-5-16'!AC16</f>
        <v>1.3751548399529145E-2</v>
      </c>
      <c r="AU40" s="124">
        <f>'Trucks Miguel Sub 9-5-16'!AD16</f>
        <v>1.2688891258678878E-2</v>
      </c>
      <c r="AV40" s="124">
        <f>'WorkerTrips Miguel Sub 9-5-16'!N91</f>
        <v>554.23576726038891</v>
      </c>
      <c r="AW40" s="124">
        <f>'WorkerTrips Miguel Sub 9-5-16'!O91</f>
        <v>3.1704753890302487E-2</v>
      </c>
      <c r="AX40" s="124">
        <f>'WorkerTrips Miguel Sub 9-5-16'!P91</f>
        <v>5.7711199138433603E-2</v>
      </c>
      <c r="AY40" s="428">
        <f t="shared" si="5"/>
        <v>2966.01683267824</v>
      </c>
      <c r="AZ40" s="428"/>
      <c r="BA40" s="428"/>
      <c r="BB40" s="428"/>
      <c r="BC40" s="428"/>
      <c r="BD40" s="428"/>
      <c r="BE40" s="428"/>
      <c r="BF40" s="428"/>
      <c r="BG40" s="428"/>
      <c r="BH40" s="428"/>
      <c r="BI40" s="428">
        <f t="shared" si="6"/>
        <v>0</v>
      </c>
      <c r="BJ40" s="27">
        <f t="shared" si="7"/>
        <v>35.026705919469698</v>
      </c>
    </row>
    <row r="41" spans="1:62">
      <c r="A41" s="427">
        <f t="shared" si="8"/>
        <v>42625</v>
      </c>
      <c r="B41" s="124">
        <f>'Equipment SCS 9-12-16'!W24</f>
        <v>4747.0144569352406</v>
      </c>
      <c r="C41" s="124">
        <f>'Equipment SCS 9-12-16'!X24</f>
        <v>0.40033663545918863</v>
      </c>
      <c r="D41" s="124">
        <f>'Equipment SCS 9-12-16'!Y24</f>
        <v>2.4869467772460321</v>
      </c>
      <c r="E41" s="124">
        <f>'Construction Trucks SCS 9-12-16'!AB20</f>
        <v>688.97843208459187</v>
      </c>
      <c r="F41" s="124">
        <f>'Construction Trucks SCS 9-12-16'!AC20</f>
        <v>2.4816045271017211E-2</v>
      </c>
      <c r="G41" s="124">
        <f>'Construction Trucks SCS 9-12-16'!AD20</f>
        <v>1.7648871516278905E-2</v>
      </c>
      <c r="H41" s="124">
        <f>'WorkerTrips SCS 9-12-16'!N93</f>
        <v>997.62438106870013</v>
      </c>
      <c r="I41" s="124">
        <f>'WorkerTrips SCS 9-12-16'!O93</f>
        <v>5.7068557002544484E-2</v>
      </c>
      <c r="J41" s="124">
        <f>'WorkerTrips SCS 9-12-16'!P93</f>
        <v>0.10388015844918047</v>
      </c>
      <c r="K41" s="428">
        <f t="shared" si="1"/>
        <v>7138.3655536560937</v>
      </c>
      <c r="L41" s="124">
        <f t="shared" si="13"/>
        <v>7614.7667005856747</v>
      </c>
      <c r="M41" s="124"/>
      <c r="N41" s="124"/>
      <c r="O41" s="124">
        <f t="shared" si="13"/>
        <v>129.08547412034218</v>
      </c>
      <c r="P41" s="124"/>
      <c r="Q41" s="124"/>
      <c r="R41" s="124">
        <f t="shared" si="13"/>
        <v>997.62438106870013</v>
      </c>
      <c r="S41" s="124"/>
      <c r="T41" s="124"/>
      <c r="U41" s="428">
        <f t="shared" si="2"/>
        <v>8741.476555774716</v>
      </c>
      <c r="V41" s="123"/>
      <c r="W41" s="123"/>
      <c r="X41" s="123"/>
      <c r="Y41" s="123"/>
      <c r="Z41" s="123"/>
      <c r="AA41" s="123"/>
      <c r="AB41" s="123"/>
      <c r="AC41" s="123"/>
      <c r="AD41" s="123"/>
      <c r="AE41" s="428">
        <f t="shared" si="3"/>
        <v>0</v>
      </c>
      <c r="AF41" s="124"/>
      <c r="AG41" s="124"/>
      <c r="AH41" s="124"/>
      <c r="AI41" s="124"/>
      <c r="AJ41" s="124"/>
      <c r="AK41" s="124"/>
      <c r="AL41" s="124"/>
      <c r="AM41" s="124"/>
      <c r="AN41" s="124"/>
      <c r="AO41" s="428">
        <f t="shared" si="4"/>
        <v>0</v>
      </c>
      <c r="AP41" s="124">
        <f>'Equipment Miguel Sub 9-12-16'!W16</f>
        <v>1065.5596264285457</v>
      </c>
      <c r="AQ41" s="124">
        <f>'Equipment Miguel Sub 9-12-16'!X16</f>
        <v>0.11246790518263719</v>
      </c>
      <c r="AR41" s="124">
        <f>'Equipment Miguel Sub 9-12-16'!Y16</f>
        <v>0.62236674945779791</v>
      </c>
      <c r="AS41" s="124">
        <f>'Trucks Miguel Sub 9-12-16'!AB16</f>
        <v>495.35022090407864</v>
      </c>
      <c r="AT41" s="124">
        <f>'Trucks Miguel Sub 9-12-16'!AC16</f>
        <v>1.3751548399529145E-2</v>
      </c>
      <c r="AU41" s="124">
        <f>'Trucks Miguel Sub 9-12-16'!AD16</f>
        <v>1.2688891258678878E-2</v>
      </c>
      <c r="AV41" s="124">
        <f>'WorkerTrips Miguel Sub 9-12-16'!N91</f>
        <v>498.81219053435012</v>
      </c>
      <c r="AW41" s="124">
        <f>'WorkerTrips Miguel Sub 9-12-16'!O91</f>
        <v>2.8534278501272242E-2</v>
      </c>
      <c r="AX41" s="124">
        <f>'WorkerTrips Miguel Sub 9-12-16'!P91</f>
        <v>5.1940079224590242E-2</v>
      </c>
      <c r="AY41" s="428">
        <f t="shared" si="5"/>
        <v>2246.1090081496932</v>
      </c>
      <c r="AZ41" s="428"/>
      <c r="BA41" s="428"/>
      <c r="BB41" s="428"/>
      <c r="BC41" s="428"/>
      <c r="BD41" s="428"/>
      <c r="BE41" s="428"/>
      <c r="BF41" s="428"/>
      <c r="BG41" s="428"/>
      <c r="BH41" s="428"/>
      <c r="BI41" s="428">
        <f t="shared" si="6"/>
        <v>0</v>
      </c>
      <c r="BJ41" s="27">
        <f t="shared" si="7"/>
        <v>41.109387457090861</v>
      </c>
    </row>
    <row r="42" spans="1:62">
      <c r="A42" s="427">
        <f t="shared" si="8"/>
        <v>42632</v>
      </c>
      <c r="B42" s="124">
        <f>'Equipment SCS 9-19-16'!W24</f>
        <v>4747.0144569352406</v>
      </c>
      <c r="C42" s="124">
        <f>'Equipment SCS 9-19-16'!X24</f>
        <v>0.40033663545918863</v>
      </c>
      <c r="D42" s="124">
        <f>'Equipment SCS 9-19-16'!Y24</f>
        <v>2.4869467772460321</v>
      </c>
      <c r="E42" s="124">
        <f>'Construction Trucks SCS 9-19-16'!AB20</f>
        <v>688.97843208459187</v>
      </c>
      <c r="F42" s="124">
        <f>'Construction Trucks SCS 9-19-16'!AC20</f>
        <v>2.4816045271017211E-2</v>
      </c>
      <c r="G42" s="124">
        <f>'Construction Trucks SCS 9-19-16'!AD20</f>
        <v>1.7648871516278905E-2</v>
      </c>
      <c r="H42" s="124">
        <f>'WorkerTrips SCS 9-19-16'!N93</f>
        <v>997.62438106870013</v>
      </c>
      <c r="I42" s="124">
        <f>'WorkerTrips SCS 9-19-16'!O93</f>
        <v>5.7068557002544484E-2</v>
      </c>
      <c r="J42" s="124">
        <f>'WorkerTrips SCS 9-19-16'!P93</f>
        <v>0.10388015844918047</v>
      </c>
      <c r="K42" s="428">
        <f t="shared" si="1"/>
        <v>7138.3655536560937</v>
      </c>
      <c r="L42" s="124">
        <f t="shared" si="13"/>
        <v>7614.7667005856747</v>
      </c>
      <c r="M42" s="124"/>
      <c r="N42" s="124"/>
      <c r="O42" s="124">
        <f t="shared" si="13"/>
        <v>129.08547412034218</v>
      </c>
      <c r="P42" s="124"/>
      <c r="Q42" s="124"/>
      <c r="R42" s="124">
        <f t="shared" si="13"/>
        <v>997.62438106870013</v>
      </c>
      <c r="S42" s="124"/>
      <c r="T42" s="124"/>
      <c r="U42" s="428">
        <f t="shared" si="2"/>
        <v>8741.476555774716</v>
      </c>
      <c r="V42" s="123"/>
      <c r="W42" s="123"/>
      <c r="X42" s="123"/>
      <c r="Y42" s="123"/>
      <c r="Z42" s="123"/>
      <c r="AA42" s="123"/>
      <c r="AB42" s="123"/>
      <c r="AC42" s="123"/>
      <c r="AD42" s="123"/>
      <c r="AE42" s="428">
        <f t="shared" si="3"/>
        <v>0</v>
      </c>
      <c r="AF42" s="124">
        <f>'Equipment 12kV Dist 920-129'!W21</f>
        <v>11856.737278705898</v>
      </c>
      <c r="AG42" s="124">
        <f>'Equipment 12kV Dist 920-129'!X21</f>
        <v>0.92600991877070216</v>
      </c>
      <c r="AH42" s="124">
        <f>'Equipment 12kV Dist 920-129'!Y21</f>
        <v>5.8841934101943396</v>
      </c>
      <c r="AI42" s="124">
        <f>'Trucks 12kV Dist 920-129'!AB12</f>
        <v>1573.1527856779981</v>
      </c>
      <c r="AJ42" s="124">
        <f>'Trucks 12kV Dist 920-129'!AC12</f>
        <v>1.7123423264034744E-2</v>
      </c>
      <c r="AK42" s="124">
        <f>'Trucks 12kV Dist 920-129'!AD12</f>
        <v>4.0297881757927589E-2</v>
      </c>
      <c r="AL42" s="124">
        <f>'WorkerTrips 12kV Dist 920-129'!N89</f>
        <v>1884.4016086853226</v>
      </c>
      <c r="AM42" s="124">
        <f>'WorkerTrips 12kV Dist 920-129'!O89</f>
        <v>0.10779616322702847</v>
      </c>
      <c r="AN42" s="124">
        <f>'WorkerTrips 12kV Dist 920-129'!P89</f>
        <v>0.19621807707067426</v>
      </c>
      <c r="AO42" s="428">
        <f t="shared" si="4"/>
        <v>16965.705682007625</v>
      </c>
      <c r="AP42" s="124">
        <f>'Equipment Miguel Sub 9-19-16'!W16</f>
        <v>1065.5596264285457</v>
      </c>
      <c r="AQ42" s="124">
        <f>'Equipment Miguel Sub 9-19-16'!X16</f>
        <v>0.11246790518263719</v>
      </c>
      <c r="AR42" s="124">
        <f>'Equipment Miguel Sub 9-19-16'!Y16</f>
        <v>0.62236674945779791</v>
      </c>
      <c r="AS42" s="124">
        <f>'Trucks Miguel Sub 9-19-16'!AB16</f>
        <v>495.35022090407864</v>
      </c>
      <c r="AT42" s="124">
        <f>'Trucks Miguel Sub 9-19-16'!AC16</f>
        <v>1.3751548399529145E-2</v>
      </c>
      <c r="AU42" s="124">
        <f>'Trucks Miguel Sub 9-19-16'!AD16</f>
        <v>1.2688891258678878E-2</v>
      </c>
      <c r="AV42" s="124">
        <f>'WorkerTrips Miguel Sub 9-19-16'!N91</f>
        <v>498.81219053435012</v>
      </c>
      <c r="AW42" s="124">
        <f>'WorkerTrips Miguel Sub 9-19-16'!O91</f>
        <v>2.8534278501272242E-2</v>
      </c>
      <c r="AX42" s="124">
        <f>'WorkerTrips Miguel Sub 9-19-16'!P91</f>
        <v>5.1940079224590242E-2</v>
      </c>
      <c r="AY42" s="428">
        <f t="shared" si="5"/>
        <v>2246.1090081496932</v>
      </c>
      <c r="AZ42" s="428"/>
      <c r="BA42" s="428"/>
      <c r="BB42" s="428"/>
      <c r="BC42" s="428"/>
      <c r="BD42" s="428"/>
      <c r="BE42" s="428"/>
      <c r="BF42" s="428"/>
      <c r="BG42" s="428"/>
      <c r="BH42" s="428"/>
      <c r="BI42" s="428">
        <f t="shared" si="6"/>
        <v>0</v>
      </c>
      <c r="BJ42" s="27">
        <f t="shared" si="7"/>
        <v>79.587355528413624</v>
      </c>
    </row>
    <row r="43" spans="1:62">
      <c r="A43" s="427">
        <f t="shared" si="8"/>
        <v>42639</v>
      </c>
      <c r="B43" s="124">
        <f>'Equipment SCS 9-26-16'!W24</f>
        <v>4747.0144569352406</v>
      </c>
      <c r="C43" s="124">
        <f>'Equipment SCS 9-26-16'!X24</f>
        <v>0.40033663545918863</v>
      </c>
      <c r="D43" s="124">
        <f>'Equipment SCS 9-26-16'!Y24</f>
        <v>2.4869467772460321</v>
      </c>
      <c r="E43" s="124">
        <f>'Construction Trucks SCS 9-26-16'!AB20</f>
        <v>688.97843208459187</v>
      </c>
      <c r="F43" s="124">
        <f>'Construction Trucks SCS 9-26-16'!AC20</f>
        <v>2.4816045271017211E-2</v>
      </c>
      <c r="G43" s="124">
        <f>'Construction Trucks SCS 9-26-16'!AD20</f>
        <v>1.7648871516278905E-2</v>
      </c>
      <c r="H43" s="124">
        <f>'WorkerTrips SCS 9-26-16'!N93</f>
        <v>997.62438106870013</v>
      </c>
      <c r="I43" s="124">
        <f>'WorkerTrips SCS 9-26-16'!O93</f>
        <v>5.7068557002544484E-2</v>
      </c>
      <c r="J43" s="124">
        <f>'WorkerTrips SCS 9-26-16'!P93</f>
        <v>0.10388015844918047</v>
      </c>
      <c r="K43" s="428">
        <f t="shared" si="1"/>
        <v>7138.3655536560937</v>
      </c>
      <c r="L43" s="124">
        <f t="shared" si="13"/>
        <v>7614.7667005856747</v>
      </c>
      <c r="M43" s="124"/>
      <c r="N43" s="124"/>
      <c r="O43" s="124">
        <f t="shared" si="13"/>
        <v>129.08547412034218</v>
      </c>
      <c r="P43" s="124"/>
      <c r="Q43" s="124"/>
      <c r="R43" s="124">
        <f t="shared" si="13"/>
        <v>997.62438106870013</v>
      </c>
      <c r="S43" s="124"/>
      <c r="T43" s="124"/>
      <c r="U43" s="428">
        <f t="shared" si="2"/>
        <v>8741.476555774716</v>
      </c>
      <c r="V43" s="123"/>
      <c r="W43" s="123"/>
      <c r="X43" s="123"/>
      <c r="Y43" s="123"/>
      <c r="Z43" s="123"/>
      <c r="AA43" s="123"/>
      <c r="AB43" s="123"/>
      <c r="AC43" s="123"/>
      <c r="AD43" s="123"/>
      <c r="AE43" s="428">
        <f t="shared" si="3"/>
        <v>0</v>
      </c>
      <c r="AF43" s="124">
        <f>AF42</f>
        <v>11856.737278705898</v>
      </c>
      <c r="AG43" s="124">
        <f>AG42</f>
        <v>0.92600991877070216</v>
      </c>
      <c r="AH43" s="124">
        <f>AH42</f>
        <v>5.8841934101943396</v>
      </c>
      <c r="AI43" s="124">
        <f>AI42</f>
        <v>1573.1527856779981</v>
      </c>
      <c r="AJ43" s="124">
        <f>AJ42</f>
        <v>1.7123423264034744E-2</v>
      </c>
      <c r="AK43" s="124">
        <f>AK42</f>
        <v>4.0297881757927589E-2</v>
      </c>
      <c r="AL43" s="124">
        <f>AL42</f>
        <v>1884.4016086853226</v>
      </c>
      <c r="AM43" s="124">
        <f>AM42</f>
        <v>0.10779616322702847</v>
      </c>
      <c r="AN43" s="124">
        <f>AN42</f>
        <v>0.19621807707067426</v>
      </c>
      <c r="AO43" s="428">
        <f t="shared" si="4"/>
        <v>16965.705682007625</v>
      </c>
      <c r="AP43" s="124">
        <f>'Equipment Miguel Sub 9-26-16'!W20</f>
        <v>1398.650457677596</v>
      </c>
      <c r="AQ43" s="124">
        <f>'Equipment Miguel Sub 9-26-16'!X20</f>
        <v>0.13374777113802988</v>
      </c>
      <c r="AR43" s="124">
        <f>'Equipment Miguel Sub 9-26-16'!Y20</f>
        <v>0.78725153159410433</v>
      </c>
      <c r="AS43" s="124">
        <f>'Trucks Miguel Sub 9-26-16'!AB20</f>
        <v>797.07223062764399</v>
      </c>
      <c r="AT43" s="124">
        <f>'Trucks Miguel Sub 9-26-16'!AC20</f>
        <v>1.643859992757022E-2</v>
      </c>
      <c r="AU43" s="124">
        <f>'Trucks Miguel Sub 9-26-16'!AD20</f>
        <v>2.0417802259757728E-2</v>
      </c>
      <c r="AV43" s="124">
        <f>'WorkerTrips Miguel Sub 9-26-16'!N93</f>
        <v>498.81219053435012</v>
      </c>
      <c r="AW43" s="124">
        <f>'WorkerTrips Miguel Sub 9-26-16'!O93</f>
        <v>2.8534278501272242E-2</v>
      </c>
      <c r="AX43" s="124">
        <f>'WorkerTrips Miguel Sub 9-26-16'!P93</f>
        <v>5.1940079224590242E-2</v>
      </c>
      <c r="AY43" s="428">
        <f t="shared" si="5"/>
        <v>2927.3355514932518</v>
      </c>
      <c r="AZ43" s="428"/>
      <c r="BA43" s="428"/>
      <c r="BB43" s="428"/>
      <c r="BC43" s="428"/>
      <c r="BD43" s="428"/>
      <c r="BE43" s="428"/>
      <c r="BF43" s="428"/>
      <c r="BG43" s="428"/>
      <c r="BH43" s="428"/>
      <c r="BI43" s="428">
        <f t="shared" si="6"/>
        <v>0</v>
      </c>
      <c r="BJ43" s="27">
        <f t="shared" si="7"/>
        <v>81.132367193440288</v>
      </c>
    </row>
    <row r="44" spans="1:62">
      <c r="A44" s="427">
        <f t="shared" si="8"/>
        <v>42646</v>
      </c>
      <c r="B44" s="124">
        <f>'Equipment SCS 10-3-16'!W23</f>
        <v>4275.7064160415384</v>
      </c>
      <c r="C44" s="124">
        <f>'Equipment SCS 10-3-16'!X23</f>
        <v>0.34006083394734876</v>
      </c>
      <c r="D44" s="124">
        <f>'Equipment SCS 10-3-16'!Y23</f>
        <v>2.2322980457645505</v>
      </c>
      <c r="E44" s="124">
        <f>'Construction Trucks SCS 10-3-16'!AB20</f>
        <v>688.97843208459187</v>
      </c>
      <c r="F44" s="124">
        <f>'Construction Trucks SCS 10-3-16'!AC20</f>
        <v>2.4816045271017211E-2</v>
      </c>
      <c r="G44" s="124">
        <f>'Construction Trucks SCS 10-3-16'!AD20</f>
        <v>1.7648871516278905E-2</v>
      </c>
      <c r="H44" s="124">
        <f>'WorkerTrips SCS 10-3-16'!N93</f>
        <v>997.62438106870013</v>
      </c>
      <c r="I44" s="124">
        <f>'WorkerTrips SCS 10-3-16'!O93</f>
        <v>5.7068557002544484E-2</v>
      </c>
      <c r="J44" s="124">
        <f>'WorkerTrips SCS 10-3-16'!P93</f>
        <v>0.10388015844918047</v>
      </c>
      <c r="K44" s="428">
        <f t="shared" si="1"/>
        <v>6597.8878764774681</v>
      </c>
      <c r="L44" s="124">
        <f t="shared" si="13"/>
        <v>7614.7667005856747</v>
      </c>
      <c r="M44" s="124"/>
      <c r="N44" s="124"/>
      <c r="O44" s="124">
        <f t="shared" si="13"/>
        <v>129.08547412034218</v>
      </c>
      <c r="P44" s="124"/>
      <c r="Q44" s="124"/>
      <c r="R44" s="124">
        <f t="shared" si="13"/>
        <v>997.62438106870013</v>
      </c>
      <c r="S44" s="124"/>
      <c r="T44" s="124"/>
      <c r="U44" s="428">
        <f t="shared" si="2"/>
        <v>8741.476555774716</v>
      </c>
      <c r="V44" s="123"/>
      <c r="W44" s="123"/>
      <c r="X44" s="123"/>
      <c r="Y44" s="123"/>
      <c r="Z44" s="123"/>
      <c r="AA44" s="123"/>
      <c r="AB44" s="123"/>
      <c r="AC44" s="123"/>
      <c r="AD44" s="123"/>
      <c r="AE44" s="428">
        <f t="shared" si="3"/>
        <v>0</v>
      </c>
      <c r="AF44" s="124">
        <f t="shared" ref="AF44:AL59" si="14">AF43</f>
        <v>11856.737278705898</v>
      </c>
      <c r="AG44" s="124">
        <f t="shared" ref="AG44:AH44" si="15">AG43</f>
        <v>0.92600991877070216</v>
      </c>
      <c r="AH44" s="124">
        <f t="shared" si="15"/>
        <v>5.8841934101943396</v>
      </c>
      <c r="AI44" s="124">
        <f t="shared" si="14"/>
        <v>1573.1527856779981</v>
      </c>
      <c r="AJ44" s="124">
        <f t="shared" ref="AJ44:AK44" si="16">AJ43</f>
        <v>1.7123423264034744E-2</v>
      </c>
      <c r="AK44" s="124">
        <f t="shared" si="16"/>
        <v>4.0297881757927589E-2</v>
      </c>
      <c r="AL44" s="124">
        <f t="shared" si="14"/>
        <v>1884.4016086853226</v>
      </c>
      <c r="AM44" s="124">
        <f t="shared" ref="AM44:AN44" si="17">AM43</f>
        <v>0.10779616322702847</v>
      </c>
      <c r="AN44" s="124">
        <f t="shared" si="17"/>
        <v>0.19621807707067426</v>
      </c>
      <c r="AO44" s="428">
        <f t="shared" si="4"/>
        <v>16965.705682007625</v>
      </c>
      <c r="AP44" s="124">
        <f>'Equipment Miguel Sub 10-3-16'!W12</f>
        <v>333.09083124905044</v>
      </c>
      <c r="AQ44" s="124">
        <f>'Equipment Miguel Sub 10-3-16'!X12</f>
        <v>2.127986595539268E-2</v>
      </c>
      <c r="AR44" s="124">
        <f>'Equipment Miguel Sub 10-3-16'!Y12</f>
        <v>0.16488478213630642</v>
      </c>
      <c r="AS44" s="124">
        <f>'Trucks Miguel Sub 10-3-16'!AB16</f>
        <v>495.35022090407864</v>
      </c>
      <c r="AT44" s="124">
        <f>'Trucks Miguel Sub 10-3-16'!AC16</f>
        <v>1.3751548399529145E-2</v>
      </c>
      <c r="AU44" s="124">
        <f>'Trucks Miguel Sub 10-3-16'!AD16</f>
        <v>1.2688891258678878E-2</v>
      </c>
      <c r="AV44" s="124">
        <f>'WorkerTrips Miguel Sub 10-3-16'!N91</f>
        <v>332.54146035623342</v>
      </c>
      <c r="AW44" s="124">
        <f>'WorkerTrips Miguel Sub 10-3-16'!O91</f>
        <v>1.9022852334181495E-2</v>
      </c>
      <c r="AX44" s="124">
        <f>'WorkerTrips Miguel Sub 10-3-16'!P91</f>
        <v>3.4626719483060162E-2</v>
      </c>
      <c r="AY44" s="428">
        <f t="shared" si="5"/>
        <v>1218.7291360893394</v>
      </c>
      <c r="AZ44" s="428"/>
      <c r="BA44" s="428"/>
      <c r="BB44" s="428"/>
      <c r="BC44" s="428"/>
      <c r="BD44" s="428"/>
      <c r="BE44" s="428"/>
      <c r="BF44" s="428"/>
      <c r="BG44" s="428"/>
      <c r="BH44" s="428"/>
      <c r="BI44" s="428">
        <f t="shared" si="6"/>
        <v>0</v>
      </c>
      <c r="BJ44" s="27">
        <f t="shared" si="7"/>
        <v>76.031477933296628</v>
      </c>
    </row>
    <row r="45" spans="1:62">
      <c r="A45" s="427">
        <f t="shared" si="8"/>
        <v>42653</v>
      </c>
      <c r="B45" s="124">
        <f>'Equipment SCS 10-10-16'!W23</f>
        <v>4275.7064160415384</v>
      </c>
      <c r="C45" s="124">
        <f>'Equipment SCS 10-10-16'!X23</f>
        <v>0.34006083394734876</v>
      </c>
      <c r="D45" s="124">
        <f>'Equipment SCS 10-10-16'!Y23</f>
        <v>2.2322980457645505</v>
      </c>
      <c r="E45" s="124">
        <f>'Construction Truck SCS 10-10-16'!AB20</f>
        <v>688.97843208459187</v>
      </c>
      <c r="F45" s="124">
        <f>'Construction Truck SCS 10-10-16'!AC20</f>
        <v>2.4816045271017211E-2</v>
      </c>
      <c r="G45" s="124">
        <f>'Construction Truck SCS 10-10-16'!AD20</f>
        <v>1.7648871516278905E-2</v>
      </c>
      <c r="H45" s="124">
        <f>'WorkerTrips SCS 10-10-16'!N93</f>
        <v>997.62438106870013</v>
      </c>
      <c r="I45" s="124">
        <f>'WorkerTrips SCS 10-10-16'!O93</f>
        <v>5.7068557002544484E-2</v>
      </c>
      <c r="J45" s="124">
        <f>'WorkerTrips SCS 10-10-16'!P93</f>
        <v>0.10388015844918047</v>
      </c>
      <c r="K45" s="428">
        <f t="shared" si="1"/>
        <v>6597.8878764774681</v>
      </c>
      <c r="L45" s="124">
        <f t="shared" si="13"/>
        <v>7614.7667005856747</v>
      </c>
      <c r="M45" s="124"/>
      <c r="N45" s="124"/>
      <c r="O45" s="124">
        <f t="shared" si="13"/>
        <v>129.08547412034218</v>
      </c>
      <c r="P45" s="124"/>
      <c r="Q45" s="124"/>
      <c r="R45" s="124">
        <f t="shared" si="13"/>
        <v>997.62438106870013</v>
      </c>
      <c r="S45" s="124"/>
      <c r="T45" s="124"/>
      <c r="U45" s="428">
        <f t="shared" si="2"/>
        <v>8741.476555774716</v>
      </c>
      <c r="V45" s="123"/>
      <c r="W45" s="123"/>
      <c r="X45" s="123"/>
      <c r="Y45" s="123"/>
      <c r="Z45" s="123"/>
      <c r="AA45" s="123"/>
      <c r="AB45" s="123"/>
      <c r="AC45" s="123"/>
      <c r="AD45" s="123"/>
      <c r="AE45" s="428">
        <f t="shared" si="3"/>
        <v>0</v>
      </c>
      <c r="AF45" s="124">
        <f t="shared" si="14"/>
        <v>11856.737278705898</v>
      </c>
      <c r="AG45" s="124">
        <f t="shared" ref="AG45:AH45" si="18">AG44</f>
        <v>0.92600991877070216</v>
      </c>
      <c r="AH45" s="124">
        <f t="shared" si="18"/>
        <v>5.8841934101943396</v>
      </c>
      <c r="AI45" s="124">
        <f t="shared" si="14"/>
        <v>1573.1527856779981</v>
      </c>
      <c r="AJ45" s="124">
        <f t="shared" ref="AJ45:AK45" si="19">AJ44</f>
        <v>1.7123423264034744E-2</v>
      </c>
      <c r="AK45" s="124">
        <f t="shared" si="19"/>
        <v>4.0297881757927589E-2</v>
      </c>
      <c r="AL45" s="124">
        <f t="shared" si="14"/>
        <v>1884.4016086853226</v>
      </c>
      <c r="AM45" s="124">
        <f t="shared" ref="AM45:AN45" si="20">AM44</f>
        <v>0.10779616322702847</v>
      </c>
      <c r="AN45" s="124">
        <f t="shared" si="20"/>
        <v>0.19621807707067426</v>
      </c>
      <c r="AO45" s="428">
        <f t="shared" si="4"/>
        <v>16965.705682007625</v>
      </c>
      <c r="AP45" s="124">
        <f>'Equipment Miguel Sub 10-10-16'!W12</f>
        <v>333.09083124905044</v>
      </c>
      <c r="AQ45" s="124">
        <f>'Equipment Miguel Sub 10-10-16'!X12</f>
        <v>2.127986595539268E-2</v>
      </c>
      <c r="AR45" s="124">
        <f>'Equipment Miguel Sub 10-10-16'!Y12</f>
        <v>0.16488478213630642</v>
      </c>
      <c r="AS45" s="124">
        <f>'Trucks Miguel Sub 10-10-16'!AB16</f>
        <v>495.35022090407864</v>
      </c>
      <c r="AT45" s="124">
        <f>'Trucks Miguel Sub 10-10-16'!AC16</f>
        <v>1.3751548399529145E-2</v>
      </c>
      <c r="AU45" s="124">
        <f>'Trucks Miguel Sub 10-10-16'!AD16</f>
        <v>1.2688891258678878E-2</v>
      </c>
      <c r="AV45" s="124">
        <f>'WorkerTrips Miguel Sub 10-10-16'!N91</f>
        <v>332.54146035623342</v>
      </c>
      <c r="AW45" s="124">
        <f>'WorkerTrips Miguel Sub 10-10-16'!O91</f>
        <v>1.9022852334181495E-2</v>
      </c>
      <c r="AX45" s="124">
        <f>'WorkerTrips Miguel Sub 10-10-16'!P91</f>
        <v>3.4626719483060162E-2</v>
      </c>
      <c r="AY45" s="428">
        <f t="shared" si="5"/>
        <v>1218.7291360893394</v>
      </c>
      <c r="AZ45" s="428"/>
      <c r="BA45" s="428"/>
      <c r="BB45" s="428"/>
      <c r="BC45" s="428"/>
      <c r="BD45" s="428"/>
      <c r="BE45" s="428"/>
      <c r="BF45" s="428"/>
      <c r="BG45" s="428"/>
      <c r="BH45" s="428"/>
      <c r="BI45" s="428">
        <f t="shared" si="6"/>
        <v>0</v>
      </c>
      <c r="BJ45" s="27">
        <f t="shared" si="7"/>
        <v>76.031477933296628</v>
      </c>
    </row>
    <row r="46" spans="1:62">
      <c r="A46" s="427">
        <f t="shared" si="8"/>
        <v>42660</v>
      </c>
      <c r="B46" s="124">
        <f>'Equipment SCS 10-17-16'!W24</f>
        <v>5710.1463690003975</v>
      </c>
      <c r="C46" s="124">
        <f>'Equipment SCS 10-17-16'!X24</f>
        <v>0.43883568995720029</v>
      </c>
      <c r="D46" s="124">
        <f>'Equipment SCS 10-17-16'!Y24</f>
        <v>2.9528506310998996</v>
      </c>
      <c r="E46" s="124">
        <f>'Construction Truck SCS 10-17-16'!AB21</f>
        <v>990.70044180815717</v>
      </c>
      <c r="F46" s="124">
        <f>'Construction Truck SCS 10-17-16'!AC21</f>
        <v>2.7503096799058286E-2</v>
      </c>
      <c r="G46" s="124">
        <f>'Construction Truck SCS 10-17-16'!AD21</f>
        <v>2.5377782517357755E-2</v>
      </c>
      <c r="H46" s="124">
        <f>'WorkerTrips SCS 10-17-16'!N93</f>
        <v>1163.8951112468169</v>
      </c>
      <c r="I46" s="124">
        <f>'WorkerTrips SCS 10-17-16'!O93</f>
        <v>6.6579983169635232E-2</v>
      </c>
      <c r="J46" s="124">
        <f>'WorkerTrips SCS 10-17-16'!P93</f>
        <v>0.12119351819071056</v>
      </c>
      <c r="K46" s="428">
        <f t="shared" si="1"/>
        <v>8701.0104595424073</v>
      </c>
      <c r="L46" s="124">
        <f t="shared" si="13"/>
        <v>7614.7667005856747</v>
      </c>
      <c r="M46" s="124"/>
      <c r="N46" s="124"/>
      <c r="O46" s="124">
        <f t="shared" si="13"/>
        <v>129.08547412034218</v>
      </c>
      <c r="P46" s="124"/>
      <c r="Q46" s="124"/>
      <c r="R46" s="124">
        <f t="shared" si="13"/>
        <v>997.62438106870013</v>
      </c>
      <c r="S46" s="124"/>
      <c r="T46" s="124"/>
      <c r="U46" s="428">
        <f t="shared" si="2"/>
        <v>8741.476555774716</v>
      </c>
      <c r="V46" s="123"/>
      <c r="W46" s="123"/>
      <c r="X46" s="123"/>
      <c r="Y46" s="123"/>
      <c r="Z46" s="123"/>
      <c r="AA46" s="123"/>
      <c r="AB46" s="123"/>
      <c r="AC46" s="123"/>
      <c r="AD46" s="123"/>
      <c r="AE46" s="428">
        <f t="shared" si="3"/>
        <v>0</v>
      </c>
      <c r="AF46" s="124">
        <f t="shared" si="14"/>
        <v>11856.737278705898</v>
      </c>
      <c r="AG46" s="124">
        <f t="shared" ref="AG46:AH46" si="21">AG45</f>
        <v>0.92600991877070216</v>
      </c>
      <c r="AH46" s="124">
        <f t="shared" si="21"/>
        <v>5.8841934101943396</v>
      </c>
      <c r="AI46" s="124">
        <f t="shared" si="14"/>
        <v>1573.1527856779981</v>
      </c>
      <c r="AJ46" s="124">
        <f t="shared" ref="AJ46:AK46" si="22">AJ45</f>
        <v>1.7123423264034744E-2</v>
      </c>
      <c r="AK46" s="124">
        <f t="shared" si="22"/>
        <v>4.0297881757927589E-2</v>
      </c>
      <c r="AL46" s="124">
        <f t="shared" si="14"/>
        <v>1884.4016086853226</v>
      </c>
      <c r="AM46" s="124">
        <f t="shared" ref="AM46:AN46" si="23">AM45</f>
        <v>0.10779616322702847</v>
      </c>
      <c r="AN46" s="124">
        <f t="shared" si="23"/>
        <v>0.19621807707067426</v>
      </c>
      <c r="AO46" s="428">
        <f t="shared" si="4"/>
        <v>16965.705682007625</v>
      </c>
      <c r="AP46" s="124">
        <f>'Equipment Miguel Sub 10-17-16'!W12</f>
        <v>333.09083124905044</v>
      </c>
      <c r="AQ46" s="124">
        <f>'Equipment Miguel Sub 10-17-16'!X12</f>
        <v>2.127986595539268E-2</v>
      </c>
      <c r="AR46" s="124">
        <f>'Equipment Miguel Sub 10-17-16'!Y12</f>
        <v>0.16488478213630642</v>
      </c>
      <c r="AS46" s="124">
        <f>'Trucks Miguel Sub 10-17-16'!AB16</f>
        <v>495.35022090407864</v>
      </c>
      <c r="AT46" s="124">
        <f>'Trucks Miguel Sub 10-17-16'!AC16</f>
        <v>1.3751548399529145E-2</v>
      </c>
      <c r="AU46" s="124">
        <f>'Trucks Miguel Sub 10-17-16'!AD16</f>
        <v>1.2688891258678878E-2</v>
      </c>
      <c r="AV46" s="124">
        <f>'WorkerTrips Miguel Sub 10-17-16'!N91</f>
        <v>332.54146035623342</v>
      </c>
      <c r="AW46" s="124">
        <f>'WorkerTrips Miguel Sub 10-17-16'!O91</f>
        <v>1.9022852334181495E-2</v>
      </c>
      <c r="AX46" s="124">
        <f>'WorkerTrips Miguel Sub 10-17-16'!P91</f>
        <v>3.4626719483060162E-2</v>
      </c>
      <c r="AY46" s="428">
        <f t="shared" si="5"/>
        <v>1218.7291360893394</v>
      </c>
      <c r="AZ46" s="428"/>
      <c r="BA46" s="428"/>
      <c r="BB46" s="428"/>
      <c r="BC46" s="428"/>
      <c r="BD46" s="428"/>
      <c r="BE46" s="428"/>
      <c r="BF46" s="428"/>
      <c r="BG46" s="428"/>
      <c r="BH46" s="428"/>
      <c r="BI46" s="428">
        <f t="shared" si="6"/>
        <v>0</v>
      </c>
      <c r="BJ46" s="27">
        <f t="shared" si="7"/>
        <v>80.801328661467124</v>
      </c>
    </row>
    <row r="47" spans="1:62">
      <c r="A47" s="427">
        <f t="shared" si="8"/>
        <v>42667</v>
      </c>
      <c r="B47" s="124">
        <f>'Equipment SCS 10-24-16'!W24</f>
        <v>5710.1463690003975</v>
      </c>
      <c r="C47" s="124">
        <f>'Equipment SCS 10-24-16'!X24</f>
        <v>0.43883568995720029</v>
      </c>
      <c r="D47" s="124">
        <f>'Equipment SCS 10-24-16'!Y24</f>
        <v>2.9528506310998996</v>
      </c>
      <c r="E47" s="124">
        <f>'Construction Truck SCS 10-24-16'!AB20</f>
        <v>688.97843208459187</v>
      </c>
      <c r="F47" s="124">
        <f>'Construction Truck SCS 10-24-16'!AC20</f>
        <v>2.4816045271017211E-2</v>
      </c>
      <c r="G47" s="124">
        <f>'Construction Truck SCS 10-24-16'!AD20</f>
        <v>1.7648871516278905E-2</v>
      </c>
      <c r="H47" s="124">
        <f>'WorkerTrips SCS 10-24-16'!N93</f>
        <v>1219.3186879728557</v>
      </c>
      <c r="I47" s="124">
        <f>'WorkerTrips SCS 10-24-16'!O93</f>
        <v>6.975045855866549E-2</v>
      </c>
      <c r="J47" s="124">
        <f>'WorkerTrips SCS 10-24-16'!P93</f>
        <v>0.12696463810455391</v>
      </c>
      <c r="K47" s="428">
        <f t="shared" si="1"/>
        <v>8454.2067477748715</v>
      </c>
      <c r="L47" s="124">
        <f t="shared" si="13"/>
        <v>7614.7667005856747</v>
      </c>
      <c r="M47" s="124"/>
      <c r="N47" s="124"/>
      <c r="O47" s="124">
        <f t="shared" si="13"/>
        <v>129.08547412034218</v>
      </c>
      <c r="P47" s="124"/>
      <c r="Q47" s="124"/>
      <c r="R47" s="124">
        <f t="shared" si="13"/>
        <v>997.62438106870013</v>
      </c>
      <c r="S47" s="124"/>
      <c r="T47" s="124"/>
      <c r="U47" s="428">
        <f t="shared" si="2"/>
        <v>8741.476555774716</v>
      </c>
      <c r="V47" s="123"/>
      <c r="W47" s="123"/>
      <c r="X47" s="123"/>
      <c r="Y47" s="123"/>
      <c r="Z47" s="123"/>
      <c r="AA47" s="123"/>
      <c r="AB47" s="123"/>
      <c r="AC47" s="123"/>
      <c r="AD47" s="123"/>
      <c r="AE47" s="428">
        <f t="shared" si="3"/>
        <v>0</v>
      </c>
      <c r="AF47" s="124">
        <f t="shared" si="14"/>
        <v>11856.737278705898</v>
      </c>
      <c r="AG47" s="124">
        <f t="shared" ref="AG47:AH47" si="24">AG46</f>
        <v>0.92600991877070216</v>
      </c>
      <c r="AH47" s="124">
        <f t="shared" si="24"/>
        <v>5.8841934101943396</v>
      </c>
      <c r="AI47" s="124">
        <f t="shared" si="14"/>
        <v>1573.1527856779981</v>
      </c>
      <c r="AJ47" s="124">
        <f t="shared" ref="AJ47:AK47" si="25">AJ46</f>
        <v>1.7123423264034744E-2</v>
      </c>
      <c r="AK47" s="124">
        <f t="shared" si="25"/>
        <v>4.0297881757927589E-2</v>
      </c>
      <c r="AL47" s="124">
        <f t="shared" si="14"/>
        <v>1884.4016086853226</v>
      </c>
      <c r="AM47" s="124">
        <f t="shared" ref="AM47:AN47" si="26">AM46</f>
        <v>0.10779616322702847</v>
      </c>
      <c r="AN47" s="124">
        <f t="shared" si="26"/>
        <v>0.19621807707067426</v>
      </c>
      <c r="AO47" s="428">
        <f t="shared" si="4"/>
        <v>16965.705682007625</v>
      </c>
      <c r="AP47" s="124">
        <f>'Equipment Miguel Sub 10-24-16'!W9</f>
        <v>0</v>
      </c>
      <c r="AQ47" s="124">
        <f>'Equipment Miguel Sub 10-24-16'!X9</f>
        <v>0</v>
      </c>
      <c r="AR47" s="124">
        <f>'Equipment Miguel Sub 10-24-16'!Y9</f>
        <v>0</v>
      </c>
      <c r="AS47" s="124">
        <f>'Trucks Miguel Sub 10-24-16'!AB13</f>
        <v>398.53611531382199</v>
      </c>
      <c r="AT47" s="124">
        <f>'Trucks Miguel Sub 10-24-16'!AC13</f>
        <v>8.2192999637851101E-3</v>
      </c>
      <c r="AU47" s="124">
        <f>'Trucks Miguel Sub 10-24-16'!AD13</f>
        <v>1.0208901129878864E-2</v>
      </c>
      <c r="AV47" s="124">
        <f>'WorkerTrips Miguel Sub 10-24-16'!N89</f>
        <v>166.27073017811671</v>
      </c>
      <c r="AW47" s="124">
        <f>'WorkerTrips Miguel Sub 10-24-16'!O89</f>
        <v>9.5114261670907474E-3</v>
      </c>
      <c r="AX47" s="124">
        <f>'WorkerTrips Miguel Sub 10-24-16'!P89</f>
        <v>1.7313359741530081E-2</v>
      </c>
      <c r="AY47" s="428">
        <f t="shared" si="5"/>
        <v>572.59670495452667</v>
      </c>
      <c r="AZ47" s="428"/>
      <c r="BA47" s="428"/>
      <c r="BB47" s="428"/>
      <c r="BC47" s="428"/>
      <c r="BD47" s="428"/>
      <c r="BE47" s="428"/>
      <c r="BF47" s="428"/>
      <c r="BG47" s="428"/>
      <c r="BH47" s="428"/>
      <c r="BI47" s="428">
        <f t="shared" si="6"/>
        <v>0</v>
      </c>
      <c r="BJ47" s="27">
        <f t="shared" si="7"/>
        <v>78.776162774452828</v>
      </c>
    </row>
    <row r="48" spans="1:62">
      <c r="A48" s="427">
        <f t="shared" si="8"/>
        <v>42674</v>
      </c>
      <c r="B48" s="124">
        <f>'Equipment SCS 10-31-16'!W24</f>
        <v>4377.7830440041953</v>
      </c>
      <c r="C48" s="124">
        <f>'Equipment SCS 10-31-16'!X24</f>
        <v>0.35371622613562959</v>
      </c>
      <c r="D48" s="124">
        <f>'Equipment SCS 10-31-16'!Y24</f>
        <v>2.293311502554674</v>
      </c>
      <c r="E48" s="124">
        <f>'Construction Truck SCS 10-31-16'!AB20</f>
        <v>688.97843208459187</v>
      </c>
      <c r="F48" s="124">
        <f>'Construction Truck SCS 10-31-16'!AC20</f>
        <v>2.4816045271017211E-2</v>
      </c>
      <c r="G48" s="124">
        <f>'Construction Truck SCS 10-31-16'!AD20</f>
        <v>1.7648871516278905E-2</v>
      </c>
      <c r="H48" s="124">
        <f>'WorkerTrips SCS 10-31-16'!N93</f>
        <v>1163.8951112468169</v>
      </c>
      <c r="I48" s="124">
        <f>'WorkerTrips SCS 10-31-16'!O93</f>
        <v>6.6579983169635232E-2</v>
      </c>
      <c r="J48" s="124">
        <f>'WorkerTrips SCS 10-31-16'!P93</f>
        <v>0.12119351819071056</v>
      </c>
      <c r="K48" s="428">
        <f t="shared" si="1"/>
        <v>6887.6405119130804</v>
      </c>
      <c r="L48" s="124">
        <f t="shared" si="13"/>
        <v>7614.7667005856747</v>
      </c>
      <c r="M48" s="124"/>
      <c r="N48" s="124"/>
      <c r="O48" s="124">
        <f t="shared" si="13"/>
        <v>129.08547412034218</v>
      </c>
      <c r="P48" s="124"/>
      <c r="Q48" s="124"/>
      <c r="R48" s="124">
        <f t="shared" si="13"/>
        <v>997.62438106870013</v>
      </c>
      <c r="S48" s="124"/>
      <c r="T48" s="124"/>
      <c r="U48" s="428">
        <f t="shared" si="2"/>
        <v>8741.476555774716</v>
      </c>
      <c r="V48" s="123"/>
      <c r="W48" s="123"/>
      <c r="X48" s="123"/>
      <c r="Y48" s="123"/>
      <c r="Z48" s="123"/>
      <c r="AA48" s="123"/>
      <c r="AB48" s="123"/>
      <c r="AC48" s="123"/>
      <c r="AD48" s="123"/>
      <c r="AE48" s="428">
        <f t="shared" si="3"/>
        <v>0</v>
      </c>
      <c r="AF48" s="124">
        <f t="shared" si="14"/>
        <v>11856.737278705898</v>
      </c>
      <c r="AG48" s="124">
        <f t="shared" ref="AG48:AH48" si="27">AG47</f>
        <v>0.92600991877070216</v>
      </c>
      <c r="AH48" s="124">
        <f t="shared" si="27"/>
        <v>5.8841934101943396</v>
      </c>
      <c r="AI48" s="124">
        <f t="shared" si="14"/>
        <v>1573.1527856779981</v>
      </c>
      <c r="AJ48" s="124">
        <f t="shared" ref="AJ48:AK48" si="28">AJ47</f>
        <v>1.7123423264034744E-2</v>
      </c>
      <c r="AK48" s="124">
        <f t="shared" si="28"/>
        <v>4.0297881757927589E-2</v>
      </c>
      <c r="AL48" s="124">
        <f t="shared" si="14"/>
        <v>1884.4016086853226</v>
      </c>
      <c r="AM48" s="124">
        <f t="shared" ref="AM48:AN48" si="29">AM47</f>
        <v>0.10779616322702847</v>
      </c>
      <c r="AN48" s="124">
        <f t="shared" si="29"/>
        <v>0.19621807707067426</v>
      </c>
      <c r="AO48" s="428">
        <f t="shared" si="4"/>
        <v>16965.705682007625</v>
      </c>
      <c r="AP48" s="124">
        <f>'Equipment Miguel Sub 10-31-16'!W9</f>
        <v>0</v>
      </c>
      <c r="AQ48" s="124">
        <f>'Equipment Miguel Sub 10-31-16'!X9</f>
        <v>0</v>
      </c>
      <c r="AR48" s="124">
        <f>'Equipment Miguel Sub 10-31-16'!Y9</f>
        <v>0</v>
      </c>
      <c r="AS48" s="124">
        <f>'Trucks Miguel Sub 10-31-16'!AB13</f>
        <v>398.53611531382199</v>
      </c>
      <c r="AT48" s="124">
        <f>'Trucks Miguel Sub 10-31-16'!AC13</f>
        <v>8.2192999637851101E-3</v>
      </c>
      <c r="AU48" s="124">
        <f>'Trucks Miguel Sub 10-31-16'!AD13</f>
        <v>1.0208901129878864E-2</v>
      </c>
      <c r="AV48" s="124">
        <f>'WorkerTrips Miguel Sub 10-31-16'!N89</f>
        <v>166.27073017811671</v>
      </c>
      <c r="AW48" s="124">
        <f>'WorkerTrips Miguel Sub 10-31-16'!O89</f>
        <v>9.5114261670907474E-3</v>
      </c>
      <c r="AX48" s="124">
        <f>'WorkerTrips Miguel Sub 10-31-16'!P89</f>
        <v>1.7313359741530081E-2</v>
      </c>
      <c r="AY48" s="428">
        <f t="shared" si="5"/>
        <v>572.59670495452667</v>
      </c>
      <c r="AZ48" s="428"/>
      <c r="BA48" s="428"/>
      <c r="BB48" s="428"/>
      <c r="BC48" s="428"/>
      <c r="BD48" s="428"/>
      <c r="BE48" s="428"/>
      <c r="BF48" s="428"/>
      <c r="BG48" s="428"/>
      <c r="BH48" s="428"/>
      <c r="BI48" s="428">
        <f t="shared" si="6"/>
        <v>0</v>
      </c>
      <c r="BJ48" s="27">
        <f t="shared" si="7"/>
        <v>75.223213858863176</v>
      </c>
    </row>
    <row r="49" spans="1:62">
      <c r="A49" s="427">
        <f t="shared" si="8"/>
        <v>42681</v>
      </c>
      <c r="B49" s="124">
        <f>'Equipment SCS 11-7-16'!W24</f>
        <v>4377.7830440041953</v>
      </c>
      <c r="C49" s="124">
        <f>'Equipment SCS 11-7-16'!X24</f>
        <v>0.35371622613562959</v>
      </c>
      <c r="D49" s="124">
        <f>'Equipment SCS 11-7-16'!Y24</f>
        <v>2.293311502554674</v>
      </c>
      <c r="E49" s="124">
        <f>'Construction Truck SCS 11-7-16'!AB20</f>
        <v>688.97843208459187</v>
      </c>
      <c r="F49" s="124">
        <f>'Construction Truck SCS 11-7-16'!AC20</f>
        <v>2.4816045271017211E-2</v>
      </c>
      <c r="G49" s="124">
        <f>'Construction Truck SCS 11-7-16'!AD20</f>
        <v>1.7648871516278905E-2</v>
      </c>
      <c r="H49" s="124">
        <f>'WorkerTrips SCS 11-7-16'!N93</f>
        <v>1163.8951112468169</v>
      </c>
      <c r="I49" s="124">
        <f>'WorkerTrips SCS 11-7-16'!O93</f>
        <v>6.6579983169635232E-2</v>
      </c>
      <c r="J49" s="124">
        <f>'WorkerTrips SCS 11-7-16'!P93</f>
        <v>0.12119351819071056</v>
      </c>
      <c r="K49" s="428">
        <f t="shared" si="1"/>
        <v>6887.6405119130804</v>
      </c>
      <c r="L49" s="124">
        <f t="shared" si="13"/>
        <v>7614.7667005856747</v>
      </c>
      <c r="M49" s="124"/>
      <c r="N49" s="124"/>
      <c r="O49" s="124">
        <f t="shared" si="13"/>
        <v>129.08547412034218</v>
      </c>
      <c r="P49" s="124"/>
      <c r="Q49" s="124"/>
      <c r="R49" s="124">
        <f t="shared" si="13"/>
        <v>997.62438106870013</v>
      </c>
      <c r="S49" s="124"/>
      <c r="T49" s="124"/>
      <c r="U49" s="428">
        <f t="shared" si="2"/>
        <v>8741.476555774716</v>
      </c>
      <c r="V49" s="123"/>
      <c r="W49" s="123"/>
      <c r="X49" s="123"/>
      <c r="Y49" s="123"/>
      <c r="Z49" s="123"/>
      <c r="AA49" s="123"/>
      <c r="AB49" s="123"/>
      <c r="AC49" s="123"/>
      <c r="AD49" s="123"/>
      <c r="AE49" s="428">
        <f t="shared" si="3"/>
        <v>0</v>
      </c>
      <c r="AF49" s="124">
        <f t="shared" si="14"/>
        <v>11856.737278705898</v>
      </c>
      <c r="AG49" s="124">
        <f t="shared" ref="AG49:AH49" si="30">AG48</f>
        <v>0.92600991877070216</v>
      </c>
      <c r="AH49" s="124">
        <f t="shared" si="30"/>
        <v>5.8841934101943396</v>
      </c>
      <c r="AI49" s="124">
        <f t="shared" si="14"/>
        <v>1573.1527856779981</v>
      </c>
      <c r="AJ49" s="124">
        <f t="shared" ref="AJ49:AK49" si="31">AJ48</f>
        <v>1.7123423264034744E-2</v>
      </c>
      <c r="AK49" s="124">
        <f t="shared" si="31"/>
        <v>4.0297881757927589E-2</v>
      </c>
      <c r="AL49" s="124">
        <f t="shared" si="14"/>
        <v>1884.4016086853226</v>
      </c>
      <c r="AM49" s="124">
        <f t="shared" ref="AM49:AN49" si="32">AM48</f>
        <v>0.10779616322702847</v>
      </c>
      <c r="AN49" s="124">
        <f t="shared" si="32"/>
        <v>0.19621807707067426</v>
      </c>
      <c r="AO49" s="428">
        <f t="shared" si="4"/>
        <v>16965.705682007625</v>
      </c>
      <c r="AP49" s="124">
        <f>'Equipment Miguel Sub 11-7-16'!W9</f>
        <v>0</v>
      </c>
      <c r="AQ49" s="124">
        <f>'Equipment Miguel Sub 11-7-16'!X9</f>
        <v>0</v>
      </c>
      <c r="AR49" s="124">
        <f>'Equipment Miguel Sub 11-7-16'!Y9</f>
        <v>0</v>
      </c>
      <c r="AS49" s="124">
        <f>'Trucks Miguel Sub 11-7-16'!AB13</f>
        <v>398.53611531382199</v>
      </c>
      <c r="AT49" s="124">
        <f>'Trucks Miguel Sub 11-7-16'!AC13</f>
        <v>8.2192999637851101E-3</v>
      </c>
      <c r="AU49" s="124">
        <f>'Trucks Miguel Sub 11-7-16'!AD13</f>
        <v>1.0208901129878864E-2</v>
      </c>
      <c r="AV49" s="124">
        <f>'WorkerTrips Miguel Sub 11-7-16'!N89</f>
        <v>166.27073017811671</v>
      </c>
      <c r="AW49" s="124">
        <f>'WorkerTrips Miguel Sub 11-7-16'!O89</f>
        <v>9.5114261670907474E-3</v>
      </c>
      <c r="AX49" s="124">
        <f>'WorkerTrips Miguel Sub 11-7-16'!P89</f>
        <v>1.7313359741530081E-2</v>
      </c>
      <c r="AY49" s="428">
        <f t="shared" si="5"/>
        <v>572.59670495452667</v>
      </c>
      <c r="AZ49" s="428"/>
      <c r="BA49" s="428"/>
      <c r="BB49" s="428"/>
      <c r="BC49" s="428"/>
      <c r="BD49" s="428"/>
      <c r="BE49" s="428"/>
      <c r="BF49" s="428"/>
      <c r="BG49" s="428"/>
      <c r="BH49" s="428"/>
      <c r="BI49" s="428">
        <f t="shared" si="6"/>
        <v>0</v>
      </c>
      <c r="BJ49" s="27">
        <f t="shared" si="7"/>
        <v>75.223213858863176</v>
      </c>
    </row>
    <row r="50" spans="1:62">
      <c r="A50" s="427">
        <f t="shared" si="8"/>
        <v>42688</v>
      </c>
      <c r="B50" s="124">
        <f>'Equipment SCS 11-14-16'!W21</f>
        <v>3694.2709737264822</v>
      </c>
      <c r="C50" s="124">
        <f>'Equipment SCS 11-14-16'!X21</f>
        <v>0.26405859978910384</v>
      </c>
      <c r="D50" s="124">
        <f>'Equipment SCS 11-14-16'!Y21</f>
        <v>1.9039634016099776</v>
      </c>
      <c r="E50" s="124">
        <f>'Construction Truck SCS 11-14-16'!AB21</f>
        <v>1195.6083459414658</v>
      </c>
      <c r="F50" s="124">
        <f>'Construction Truck SCS 11-14-16'!AC21</f>
        <v>2.465789989135533E-2</v>
      </c>
      <c r="G50" s="124">
        <f>'Construction Truck SCS 11-14-16'!AD21</f>
        <v>3.0626703389636592E-2</v>
      </c>
      <c r="H50" s="124">
        <f>'WorkerTrips SCS 11-14-16'!N93</f>
        <v>665.08292071246672</v>
      </c>
      <c r="I50" s="124">
        <f>'WorkerTrips SCS 11-14-16'!O93</f>
        <v>3.8045704668362983E-2</v>
      </c>
      <c r="J50" s="124">
        <f>'WorkerTrips SCS 11-14-16'!P93</f>
        <v>6.9253438966120323E-2</v>
      </c>
      <c r="K50" s="428">
        <f t="shared" si="1"/>
        <v>6095.1301212531007</v>
      </c>
      <c r="L50" s="124">
        <f t="shared" si="13"/>
        <v>7614.7667005856747</v>
      </c>
      <c r="M50" s="124"/>
      <c r="N50" s="124"/>
      <c r="O50" s="124">
        <f t="shared" si="13"/>
        <v>129.08547412034218</v>
      </c>
      <c r="P50" s="124"/>
      <c r="Q50" s="124"/>
      <c r="R50" s="124">
        <f t="shared" si="13"/>
        <v>997.62438106870013</v>
      </c>
      <c r="S50" s="124"/>
      <c r="T50" s="124"/>
      <c r="U50" s="428">
        <f t="shared" si="2"/>
        <v>8741.476555774716</v>
      </c>
      <c r="V50" s="123"/>
      <c r="W50" s="123"/>
      <c r="X50" s="123"/>
      <c r="Y50" s="123"/>
      <c r="Z50" s="123"/>
      <c r="AA50" s="123"/>
      <c r="AB50" s="123"/>
      <c r="AC50" s="123"/>
      <c r="AD50" s="123"/>
      <c r="AE50" s="428">
        <f t="shared" si="3"/>
        <v>0</v>
      </c>
      <c r="AF50" s="124">
        <f t="shared" si="14"/>
        <v>11856.737278705898</v>
      </c>
      <c r="AG50" s="124">
        <f t="shared" ref="AG50:AH50" si="33">AG49</f>
        <v>0.92600991877070216</v>
      </c>
      <c r="AH50" s="124">
        <f t="shared" si="33"/>
        <v>5.8841934101943396</v>
      </c>
      <c r="AI50" s="124">
        <f t="shared" si="14"/>
        <v>1573.1527856779981</v>
      </c>
      <c r="AJ50" s="124">
        <f t="shared" ref="AJ50:AK50" si="34">AJ49</f>
        <v>1.7123423264034744E-2</v>
      </c>
      <c r="AK50" s="124">
        <f t="shared" si="34"/>
        <v>4.0297881757927589E-2</v>
      </c>
      <c r="AL50" s="124">
        <f t="shared" si="14"/>
        <v>1884.4016086853226</v>
      </c>
      <c r="AM50" s="124">
        <f t="shared" ref="AM50:AN50" si="35">AM49</f>
        <v>0.10779616322702847</v>
      </c>
      <c r="AN50" s="124">
        <f t="shared" si="35"/>
        <v>0.19621807707067426</v>
      </c>
      <c r="AO50" s="428">
        <f t="shared" si="4"/>
        <v>16965.705682007625</v>
      </c>
      <c r="AP50" s="124">
        <f>'Equipment Miguel Sub 11-14-16'!W9</f>
        <v>0</v>
      </c>
      <c r="AQ50" s="124">
        <f>'Equipment Miguel Sub 11-14-16'!X9</f>
        <v>0</v>
      </c>
      <c r="AR50" s="124">
        <f>'Equipment Miguel Sub 11-14-16'!Y9</f>
        <v>0</v>
      </c>
      <c r="AS50" s="124">
        <f>'Trucks Miguel Sub 11-14-16'!AB13</f>
        <v>398.53611531382199</v>
      </c>
      <c r="AT50" s="124">
        <f>'Trucks Miguel Sub 11-14-16'!AC13</f>
        <v>8.2192999637851101E-3</v>
      </c>
      <c r="AU50" s="124">
        <f>'Trucks Miguel Sub 11-14-16'!AD13</f>
        <v>1.0208901129878864E-2</v>
      </c>
      <c r="AV50" s="124">
        <f>'WorkerTrips Miguel Sub 11-14-16'!N89</f>
        <v>166.27073017811671</v>
      </c>
      <c r="AW50" s="124">
        <f>'WorkerTrips Miguel Sub 11-14-16'!O89</f>
        <v>9.5114261670907474E-3</v>
      </c>
      <c r="AX50" s="124">
        <f>'WorkerTrips Miguel Sub 11-14-16'!P89</f>
        <v>1.7313359741530081E-2</v>
      </c>
      <c r="AY50" s="428">
        <f t="shared" si="5"/>
        <v>572.59670495452667</v>
      </c>
      <c r="AZ50" s="428"/>
      <c r="BA50" s="428"/>
      <c r="BB50" s="428"/>
      <c r="BC50" s="428"/>
      <c r="BD50" s="428"/>
      <c r="BE50" s="428"/>
      <c r="BF50" s="428"/>
      <c r="BG50" s="428"/>
      <c r="BH50" s="428"/>
      <c r="BI50" s="428">
        <f t="shared" si="6"/>
        <v>0</v>
      </c>
      <c r="BJ50" s="27">
        <f t="shared" si="7"/>
        <v>73.425812083801972</v>
      </c>
    </row>
    <row r="51" spans="1:62">
      <c r="A51" s="427">
        <f t="shared" si="8"/>
        <v>42695</v>
      </c>
      <c r="B51" s="124">
        <f>'Equipment SCS 11-21-16'!W23</f>
        <v>7168.9895322782722</v>
      </c>
      <c r="C51" s="124">
        <f>'Equipment SCS 11-21-16'!X23</f>
        <v>0.46954544561721656</v>
      </c>
      <c r="D51" s="124">
        <f>'Equipment SCS 11-21-16'!Y23</f>
        <v>3.8107366825894156</v>
      </c>
      <c r="E51" s="124">
        <f>'Construction Truck SCS 11-21-16'!AB21</f>
        <v>1195.6083459414658</v>
      </c>
      <c r="F51" s="124">
        <f>'Construction Truck SCS 11-21-16'!AC21</f>
        <v>2.465789989135533E-2</v>
      </c>
      <c r="G51" s="124">
        <f>'Construction Truck SCS 11-21-16'!AD21</f>
        <v>3.0626703389636592E-2</v>
      </c>
      <c r="H51" s="124">
        <f>'WorkerTrips SCS 11-21-16'!N93</f>
        <v>665.08292071246672</v>
      </c>
      <c r="I51" s="124">
        <f>'WorkerTrips SCS 11-21-16'!O93</f>
        <v>3.8045704668362983E-2</v>
      </c>
      <c r="J51" s="124">
        <f>'WorkerTrips SCS 11-21-16'!P93</f>
        <v>6.9253438966120323E-2</v>
      </c>
      <c r="K51" s="428">
        <f t="shared" si="1"/>
        <v>10080.897230947628</v>
      </c>
      <c r="L51" s="124">
        <f>'Equipment 69kV 11-19-16'!W15+'Equipment 69kV 11-19-16'!E36</f>
        <v>10498.126773207574</v>
      </c>
      <c r="M51" s="124"/>
      <c r="N51" s="124"/>
      <c r="O51" s="124">
        <f>'Trucks 69kV 11-19-16'!AB12</f>
        <v>905.16602917069611</v>
      </c>
      <c r="P51" s="124"/>
      <c r="Q51" s="124"/>
      <c r="R51" s="124">
        <f>'WorkerTrips 69kV 11-19-16'!N89</f>
        <v>1330.1658414249337</v>
      </c>
      <c r="S51" s="124"/>
      <c r="T51" s="124"/>
      <c r="U51" s="428">
        <f t="shared" si="2"/>
        <v>12733.458643803204</v>
      </c>
      <c r="V51" s="123"/>
      <c r="W51" s="123"/>
      <c r="X51" s="123"/>
      <c r="Y51" s="123"/>
      <c r="Z51" s="123"/>
      <c r="AA51" s="123"/>
      <c r="AB51" s="123"/>
      <c r="AC51" s="123"/>
      <c r="AD51" s="123"/>
      <c r="AE51" s="428">
        <f t="shared" si="3"/>
        <v>0</v>
      </c>
      <c r="AF51" s="124">
        <f t="shared" si="14"/>
        <v>11856.737278705898</v>
      </c>
      <c r="AG51" s="124">
        <f t="shared" ref="AG51:AH51" si="36">AG50</f>
        <v>0.92600991877070216</v>
      </c>
      <c r="AH51" s="124">
        <f t="shared" si="36"/>
        <v>5.8841934101943396</v>
      </c>
      <c r="AI51" s="124">
        <f t="shared" si="14"/>
        <v>1573.1527856779981</v>
      </c>
      <c r="AJ51" s="124">
        <f t="shared" ref="AJ51:AK51" si="37">AJ50</f>
        <v>1.7123423264034744E-2</v>
      </c>
      <c r="AK51" s="124">
        <f t="shared" si="37"/>
        <v>4.0297881757927589E-2</v>
      </c>
      <c r="AL51" s="124">
        <f t="shared" si="14"/>
        <v>1884.4016086853226</v>
      </c>
      <c r="AM51" s="124">
        <f t="shared" ref="AM51:AN51" si="38">AM50</f>
        <v>0.10779616322702847</v>
      </c>
      <c r="AN51" s="124">
        <f t="shared" si="38"/>
        <v>0.19621807707067426</v>
      </c>
      <c r="AO51" s="428">
        <f t="shared" si="4"/>
        <v>16965.705682007625</v>
      </c>
      <c r="AP51" s="124">
        <f>'Equipment Miguel Sub 11-21-16'!W9</f>
        <v>0</v>
      </c>
      <c r="AQ51" s="124">
        <f>'Equipment Miguel Sub 11-21-16'!X9</f>
        <v>0</v>
      </c>
      <c r="AR51" s="124">
        <f>'Equipment Miguel Sub 11-21-16'!Y9</f>
        <v>0</v>
      </c>
      <c r="AS51" s="124">
        <f>'Trucks Miguel Sub 11-21-16'!AB13</f>
        <v>398.53611531382199</v>
      </c>
      <c r="AT51" s="124">
        <f>'Trucks Miguel Sub 11-21-16'!AC13</f>
        <v>8.2192999637851101E-3</v>
      </c>
      <c r="AU51" s="124">
        <f>'Trucks Miguel Sub 11-21-16'!AD13</f>
        <v>1.0208901129878864E-2</v>
      </c>
      <c r="AV51" s="124">
        <f>'WorkerTrips Miguel Sub 11-21-16'!N89</f>
        <v>166.27073017811671</v>
      </c>
      <c r="AW51" s="124">
        <f>'WorkerTrips Miguel Sub 11-21-16'!O89</f>
        <v>9.5114261670907474E-3</v>
      </c>
      <c r="AX51" s="124">
        <f>'WorkerTrips Miguel Sub 11-21-16'!P89</f>
        <v>1.7313359741530081E-2</v>
      </c>
      <c r="AY51" s="428">
        <f t="shared" si="5"/>
        <v>572.59670495452667</v>
      </c>
      <c r="AZ51" s="428"/>
      <c r="BA51" s="428"/>
      <c r="BB51" s="428"/>
      <c r="BC51" s="428"/>
      <c r="BD51" s="428"/>
      <c r="BE51" s="428"/>
      <c r="BF51" s="428"/>
      <c r="BG51" s="428"/>
      <c r="BH51" s="428"/>
      <c r="BI51" s="428">
        <f t="shared" si="6"/>
        <v>0</v>
      </c>
      <c r="BJ51" s="27">
        <f t="shared" si="7"/>
        <v>91.519228571425643</v>
      </c>
    </row>
    <row r="52" spans="1:62">
      <c r="A52" s="427">
        <f t="shared" si="8"/>
        <v>42702</v>
      </c>
      <c r="B52" s="124">
        <f>'Equipment SCS 11-28-16'!W21</f>
        <v>3694.2709737264822</v>
      </c>
      <c r="C52" s="124">
        <f>'Equipment SCS 11-28-16'!X21</f>
        <v>0.26405859978910384</v>
      </c>
      <c r="D52" s="124">
        <f>'Equipment SCS 11-28-16'!Y21</f>
        <v>1.9039634016099776</v>
      </c>
      <c r="E52" s="124">
        <f>'Construction Truck SCS 11-28-16'!AB20</f>
        <v>893.88633621790063</v>
      </c>
      <c r="F52" s="124">
        <f>'Construction Truck SCS 11-28-16'!AC20</f>
        <v>2.1970848363314255E-2</v>
      </c>
      <c r="G52" s="124">
        <f>'Construction Truck SCS 11-28-16'!AD20</f>
        <v>2.2897792388557742E-2</v>
      </c>
      <c r="H52" s="124">
        <f>'WorkerTrips SCS 11-28-16'!N93</f>
        <v>498.81219053435007</v>
      </c>
      <c r="I52" s="124">
        <f>'WorkerTrips SCS 11-28-16'!O93</f>
        <v>2.8534278501272242E-2</v>
      </c>
      <c r="J52" s="124">
        <f>'WorkerTrips SCS 11-28-16'!P93</f>
        <v>5.1940079224590242E-2</v>
      </c>
      <c r="K52" s="428">
        <f t="shared" si="1"/>
        <v>5620.1596222291655</v>
      </c>
      <c r="L52" s="124">
        <f>'Equipment 69kV 11-26-16'!W14</f>
        <v>9188.7023665925735</v>
      </c>
      <c r="M52" s="124"/>
      <c r="N52" s="124"/>
      <c r="O52" s="124">
        <f>'Trucks 69kV 11-26-16'!AB12</f>
        <v>905.16602917069611</v>
      </c>
      <c r="P52" s="124"/>
      <c r="Q52" s="124"/>
      <c r="R52" s="124">
        <f>'WorkerTrips 69kV 11-26-16'!N89</f>
        <v>1330.1658414249337</v>
      </c>
      <c r="S52" s="124"/>
      <c r="T52" s="124"/>
      <c r="U52" s="428">
        <f t="shared" si="2"/>
        <v>11424.034237188203</v>
      </c>
      <c r="V52" s="123"/>
      <c r="W52" s="123"/>
      <c r="X52" s="123"/>
      <c r="Y52" s="123"/>
      <c r="Z52" s="123"/>
      <c r="AA52" s="123"/>
      <c r="AB52" s="123"/>
      <c r="AC52" s="123"/>
      <c r="AD52" s="123"/>
      <c r="AE52" s="428">
        <f t="shared" si="3"/>
        <v>0</v>
      </c>
      <c r="AF52" s="124">
        <f t="shared" si="14"/>
        <v>11856.737278705898</v>
      </c>
      <c r="AG52" s="124">
        <f t="shared" ref="AG52:AH52" si="39">AG51</f>
        <v>0.92600991877070216</v>
      </c>
      <c r="AH52" s="124">
        <f t="shared" si="39"/>
        <v>5.8841934101943396</v>
      </c>
      <c r="AI52" s="124">
        <f t="shared" si="14"/>
        <v>1573.1527856779981</v>
      </c>
      <c r="AJ52" s="124">
        <f t="shared" ref="AJ52:AK52" si="40">AJ51</f>
        <v>1.7123423264034744E-2</v>
      </c>
      <c r="AK52" s="124">
        <f t="shared" si="40"/>
        <v>4.0297881757927589E-2</v>
      </c>
      <c r="AL52" s="124">
        <f t="shared" si="14"/>
        <v>1884.4016086853226</v>
      </c>
      <c r="AM52" s="124">
        <f t="shared" ref="AM52:AN52" si="41">AM51</f>
        <v>0.10779616322702847</v>
      </c>
      <c r="AN52" s="124">
        <f t="shared" si="41"/>
        <v>0.19621807707067426</v>
      </c>
      <c r="AO52" s="428">
        <f t="shared" si="4"/>
        <v>16965.705682007625</v>
      </c>
      <c r="AP52" s="124"/>
      <c r="AQ52" s="124"/>
      <c r="AR52" s="124"/>
      <c r="AS52" s="124"/>
      <c r="AT52" s="124"/>
      <c r="AU52" s="124"/>
      <c r="AV52" s="124"/>
      <c r="AW52" s="124"/>
      <c r="AX52" s="124"/>
      <c r="AY52" s="428">
        <f t="shared" si="5"/>
        <v>0</v>
      </c>
      <c r="AZ52" s="428"/>
      <c r="BA52" s="428"/>
      <c r="BB52" s="428"/>
      <c r="BC52" s="428"/>
      <c r="BD52" s="428"/>
      <c r="BE52" s="428"/>
      <c r="BF52" s="428"/>
      <c r="BG52" s="428"/>
      <c r="BH52" s="428"/>
      <c r="BI52" s="428">
        <f t="shared" si="6"/>
        <v>0</v>
      </c>
      <c r="BJ52" s="27">
        <f t="shared" si="7"/>
        <v>77.133946161265072</v>
      </c>
    </row>
    <row r="53" spans="1:62">
      <c r="A53" s="427">
        <f t="shared" si="8"/>
        <v>42709</v>
      </c>
      <c r="B53" s="124">
        <f>'Equipment SCS 12-5-16'!W21</f>
        <v>3694.2709737264822</v>
      </c>
      <c r="C53" s="124">
        <f>'Equipment SCS 12-5-16'!X21</f>
        <v>0.26405859978910384</v>
      </c>
      <c r="D53" s="124">
        <f>'Equipment SCS 12-5-16'!Y21</f>
        <v>1.9039634016099776</v>
      </c>
      <c r="E53" s="124">
        <f>'Construction Truck SCS 12-5-16'!AB20</f>
        <v>893.88633621790063</v>
      </c>
      <c r="F53" s="124">
        <f>'Construction Truck SCS 12-5-16'!AC20</f>
        <v>2.1970848363314255E-2</v>
      </c>
      <c r="G53" s="124">
        <f>'Construction Truck SCS 12-5-16'!AD20</f>
        <v>2.2897792388557742E-2</v>
      </c>
      <c r="H53" s="124">
        <f>'WorkerTrips SCS 12-5-16'!N93</f>
        <v>498.81219053435007</v>
      </c>
      <c r="I53" s="124">
        <f>'WorkerTrips SCS 12-5-16'!O93</f>
        <v>2.8534278501272242E-2</v>
      </c>
      <c r="J53" s="124">
        <f>'WorkerTrips SCS 12-5-16'!P93</f>
        <v>5.1940079224590242E-2</v>
      </c>
      <c r="K53" s="428">
        <f t="shared" si="1"/>
        <v>5620.1596222291655</v>
      </c>
      <c r="L53" s="124">
        <f>'Equipment 69kV 12-3-16'!W14</f>
        <v>9188.7023665925735</v>
      </c>
      <c r="M53" s="124"/>
      <c r="N53" s="124"/>
      <c r="O53" s="124">
        <f>'Trucks 69kV 12-3-16'!AB12</f>
        <v>905.16602917069611</v>
      </c>
      <c r="P53" s="124"/>
      <c r="Q53" s="124"/>
      <c r="R53" s="124">
        <f>'WorkerTrips 69kV 12-3-16'!N89</f>
        <v>1330.1658414249337</v>
      </c>
      <c r="S53" s="124"/>
      <c r="T53" s="124"/>
      <c r="U53" s="428">
        <f t="shared" si="2"/>
        <v>11424.034237188203</v>
      </c>
      <c r="V53" s="124">
        <f>'Equipment TL6910 12-5-16'!W11</f>
        <v>4876.2016625845472</v>
      </c>
      <c r="W53" s="124">
        <f>'Equipment TL6910 12-5-16'!X11</f>
        <v>0.3450566757435406</v>
      </c>
      <c r="X53" s="124">
        <f>'Equipment TL6910 12-5-16'!Y11</f>
        <v>1.8723030214294489</v>
      </c>
      <c r="Y53" s="124">
        <f>'Trucks TL6910 12-5-16'!AB11</f>
        <v>1508.6100486178268</v>
      </c>
      <c r="Z53" s="124">
        <f>'Trucks TL6910 12-5-16'!AC11</f>
        <v>1.3435257640205386E-2</v>
      </c>
      <c r="AA53" s="124">
        <f>'Trucks TL6910 12-5-16'!AD11</f>
        <v>3.8644555005394252E-2</v>
      </c>
      <c r="AB53" s="124">
        <f>'WorkerTrips TL6910 12-5-16'!N89</f>
        <v>443.38861380831116</v>
      </c>
      <c r="AC53" s="124">
        <f>'WorkerTrips TL6910 12-5-16'!O89</f>
        <v>2.5363803112241994E-2</v>
      </c>
      <c r="AD53" s="124">
        <f>'WorkerTrips TL6910 12-5-16'!P89</f>
        <v>4.6168959310746882E-2</v>
      </c>
      <c r="AE53" s="428">
        <f t="shared" si="3"/>
        <v>7357.5841676051532</v>
      </c>
      <c r="AF53" s="124">
        <f t="shared" si="14"/>
        <v>11856.737278705898</v>
      </c>
      <c r="AG53" s="124">
        <f t="shared" ref="AG53:AH53" si="42">AG52</f>
        <v>0.92600991877070216</v>
      </c>
      <c r="AH53" s="124">
        <f t="shared" si="42"/>
        <v>5.8841934101943396</v>
      </c>
      <c r="AI53" s="124">
        <f t="shared" si="14"/>
        <v>1573.1527856779981</v>
      </c>
      <c r="AJ53" s="124">
        <f t="shared" ref="AJ53:AK53" si="43">AJ52</f>
        <v>1.7123423264034744E-2</v>
      </c>
      <c r="AK53" s="124">
        <f t="shared" si="43"/>
        <v>4.0297881757927589E-2</v>
      </c>
      <c r="AL53" s="124">
        <f t="shared" si="14"/>
        <v>1884.4016086853226</v>
      </c>
      <c r="AM53" s="124">
        <f t="shared" ref="AM53:AN53" si="44">AM52</f>
        <v>0.10779616322702847</v>
      </c>
      <c r="AN53" s="124">
        <f t="shared" si="44"/>
        <v>0.19621807707067426</v>
      </c>
      <c r="AO53" s="428">
        <f t="shared" si="4"/>
        <v>16965.705682007625</v>
      </c>
      <c r="AP53" s="124"/>
      <c r="AQ53" s="124"/>
      <c r="AR53" s="124"/>
      <c r="AS53" s="124"/>
      <c r="AT53" s="124"/>
      <c r="AU53" s="124"/>
      <c r="AV53" s="124"/>
      <c r="AW53" s="124"/>
      <c r="AX53" s="124"/>
      <c r="AY53" s="428">
        <f t="shared" si="5"/>
        <v>0</v>
      </c>
      <c r="AZ53" s="428"/>
      <c r="BA53" s="428"/>
      <c r="BB53" s="428"/>
      <c r="BC53" s="428"/>
      <c r="BD53" s="428"/>
      <c r="BE53" s="428"/>
      <c r="BF53" s="428"/>
      <c r="BG53" s="428"/>
      <c r="BH53" s="428"/>
      <c r="BI53" s="428">
        <f t="shared" si="6"/>
        <v>0</v>
      </c>
      <c r="BJ53" s="27">
        <f t="shared" si="7"/>
        <v>93.820837587385796</v>
      </c>
    </row>
    <row r="54" spans="1:62">
      <c r="A54" s="427">
        <f t="shared" si="8"/>
        <v>42716</v>
      </c>
      <c r="B54" s="124">
        <f>'Equipment SCS 12-12-16'!W16</f>
        <v>1029.5443237340787</v>
      </c>
      <c r="C54" s="124">
        <f>'Equipment SCS 12-12-16'!X16</f>
        <v>9.3819672145962416E-2</v>
      </c>
      <c r="D54" s="124">
        <f>'Equipment SCS 12-12-16'!Y16</f>
        <v>0.58488514451952633</v>
      </c>
      <c r="E54" s="124">
        <f>'Construction Truck SCS 12-12-16'!AB16</f>
        <v>700.25812503738734</v>
      </c>
      <c r="F54" s="124">
        <f>'Construction Truck SCS 12-12-16'!AC16</f>
        <v>1.0906351491826187E-2</v>
      </c>
      <c r="G54" s="124">
        <f>'Construction Truck SCS 12-12-16'!AD16</f>
        <v>1.7937812130957714E-2</v>
      </c>
      <c r="H54" s="124">
        <f>'WorkerTrips SCS 12-12-16'!N91</f>
        <v>221.69430690415561</v>
      </c>
      <c r="I54" s="124">
        <f>'WorkerTrips SCS 12-12-16'!O91</f>
        <v>1.2681901556120997E-2</v>
      </c>
      <c r="J54" s="124">
        <f>'WorkerTrips SCS 12-12-16'!P91</f>
        <v>2.3084479655373441E-2</v>
      </c>
      <c r="K54" s="428">
        <f t="shared" si="1"/>
        <v>2120.6496482021034</v>
      </c>
      <c r="L54" s="124">
        <f>'Equipment 69kV 12-10-16'!W14</f>
        <v>9188.7023665925735</v>
      </c>
      <c r="M54" s="124"/>
      <c r="N54" s="124"/>
      <c r="O54" s="124">
        <f>'Trucks 69kV 12-10-16'!AB12</f>
        <v>905.16602917069611</v>
      </c>
      <c r="P54" s="124"/>
      <c r="Q54" s="124"/>
      <c r="R54" s="124">
        <f>'WorkerTrips 69kV 12-10-16'!N89</f>
        <v>1330.1658414249337</v>
      </c>
      <c r="S54" s="124"/>
      <c r="T54" s="124"/>
      <c r="U54" s="428">
        <f t="shared" si="2"/>
        <v>11424.034237188203</v>
      </c>
      <c r="V54" s="124">
        <f>'Equipment TL6910 12-12-16'!W11</f>
        <v>11412.212922965213</v>
      </c>
      <c r="W54" s="124">
        <f>'Equipment TL6910 12-12-16'!X11</f>
        <v>0.74682859996736506</v>
      </c>
      <c r="X54" s="124">
        <f>'Equipment TL6910 12-12-16'!Y11</f>
        <v>4.7277702814849913</v>
      </c>
      <c r="Y54" s="124">
        <f>'Trucks TL6910 12-12-16'!AB11</f>
        <v>1810.332058341392</v>
      </c>
      <c r="Z54" s="124">
        <f>'Trucks TL6910 12-12-16'!AC11</f>
        <v>1.6122309168246463E-2</v>
      </c>
      <c r="AA54" s="124">
        <f>'Trucks TL6910 12-12-16'!AD11</f>
        <v>4.6373466006473102E-2</v>
      </c>
      <c r="AB54" s="124">
        <f>'WorkerTrips TL6910 12-12-16'!N89</f>
        <v>277.11788363019446</v>
      </c>
      <c r="AC54" s="124">
        <f>'WorkerTrips TL6910 12-12-16'!O89</f>
        <v>1.5852376945151247E-2</v>
      </c>
      <c r="AD54" s="124">
        <f>'WorkerTrips TL6910 12-12-16'!P89</f>
        <v>2.8855599569216798E-2</v>
      </c>
      <c r="AE54" s="428">
        <f t="shared" si="3"/>
        <v>14794.26418391814</v>
      </c>
      <c r="AF54" s="124">
        <f t="shared" si="14"/>
        <v>11856.737278705898</v>
      </c>
      <c r="AG54" s="124">
        <f t="shared" ref="AG54:AH54" si="45">AG53</f>
        <v>0.92600991877070216</v>
      </c>
      <c r="AH54" s="124">
        <f t="shared" si="45"/>
        <v>5.8841934101943396</v>
      </c>
      <c r="AI54" s="124">
        <f t="shared" si="14"/>
        <v>1573.1527856779981</v>
      </c>
      <c r="AJ54" s="124">
        <f t="shared" ref="AJ54:AK54" si="46">AJ53</f>
        <v>1.7123423264034744E-2</v>
      </c>
      <c r="AK54" s="124">
        <f t="shared" si="46"/>
        <v>4.0297881757927589E-2</v>
      </c>
      <c r="AL54" s="124">
        <f t="shared" si="14"/>
        <v>1884.4016086853226</v>
      </c>
      <c r="AM54" s="124">
        <f t="shared" ref="AM54:AN54" si="47">AM53</f>
        <v>0.10779616322702847</v>
      </c>
      <c r="AN54" s="124">
        <f t="shared" si="47"/>
        <v>0.19621807707067426</v>
      </c>
      <c r="AO54" s="428">
        <f t="shared" si="4"/>
        <v>16965.705682007625</v>
      </c>
      <c r="AP54" s="124"/>
      <c r="AQ54" s="124"/>
      <c r="AR54" s="124"/>
      <c r="AS54" s="124"/>
      <c r="AT54" s="124"/>
      <c r="AU54" s="124"/>
      <c r="AV54" s="124"/>
      <c r="AW54" s="124"/>
      <c r="AX54" s="124"/>
      <c r="AY54" s="428">
        <f t="shared" si="5"/>
        <v>0</v>
      </c>
      <c r="AZ54" s="428"/>
      <c r="BA54" s="428"/>
      <c r="BB54" s="428"/>
      <c r="BC54" s="428"/>
      <c r="BD54" s="428"/>
      <c r="BE54" s="428"/>
      <c r="BF54" s="428"/>
      <c r="BG54" s="428"/>
      <c r="BH54" s="428"/>
      <c r="BI54" s="428">
        <f t="shared" si="6"/>
        <v>0</v>
      </c>
      <c r="BJ54" s="27">
        <f t="shared" si="7"/>
        <v>102.75028066614368</v>
      </c>
    </row>
    <row r="55" spans="1:62">
      <c r="A55" s="427">
        <f t="shared" si="8"/>
        <v>42723</v>
      </c>
      <c r="B55" s="124">
        <f>'Equipment SCS 12-19-16'!W16</f>
        <v>1029.5443237340787</v>
      </c>
      <c r="C55" s="124">
        <f>'Equipment SCS 12-19-16'!X16</f>
        <v>9.3819672145962416E-2</v>
      </c>
      <c r="D55" s="124">
        <f>'Equipment SCS 12-19-16'!Y16</f>
        <v>0.58488514451952633</v>
      </c>
      <c r="E55" s="124">
        <f>'Construction Truck SCS 12-19-16'!AB16</f>
        <v>700.25812503738734</v>
      </c>
      <c r="F55" s="124">
        <f>'Construction Truck SCS 12-19-16'!AC16</f>
        <v>1.0906351491826187E-2</v>
      </c>
      <c r="G55" s="124">
        <f>'Construction Truck SCS 12-19-16'!AD16</f>
        <v>1.7937812130957714E-2</v>
      </c>
      <c r="H55" s="124">
        <f>'WorkerTrips SCS 12-19-16'!N91</f>
        <v>221.69430690415561</v>
      </c>
      <c r="I55" s="124">
        <f>'WorkerTrips SCS 12-19-16'!O91</f>
        <v>1.2681901556120997E-2</v>
      </c>
      <c r="J55" s="124">
        <f>'WorkerTrips SCS 12-19-16'!P91</f>
        <v>2.3084479655373441E-2</v>
      </c>
      <c r="K55" s="428">
        <f t="shared" si="1"/>
        <v>2120.6496482021034</v>
      </c>
      <c r="L55" s="124">
        <f>'Equipment 69kV 12-17-16'!W12</f>
        <v>9233.5425028383252</v>
      </c>
      <c r="M55" s="124"/>
      <c r="N55" s="124"/>
      <c r="O55" s="124">
        <f>'Trucks 69kV 12-17-16'!AB12</f>
        <v>603.4440194471307</v>
      </c>
      <c r="P55" s="124"/>
      <c r="Q55" s="124"/>
      <c r="R55" s="124">
        <f>'WorkerTrips 69kV 12-17-16'!N89</f>
        <v>720.50649743850568</v>
      </c>
      <c r="S55" s="124"/>
      <c r="T55" s="124"/>
      <c r="U55" s="428">
        <f t="shared" si="2"/>
        <v>10557.493019723961</v>
      </c>
      <c r="V55" s="124">
        <f>'Equipment TL6910 12-19-16'!W12</f>
        <v>14076.939572957617</v>
      </c>
      <c r="W55" s="124">
        <f>'Equipment TL6910 12-19-16'!X12</f>
        <v>0.91706752761050647</v>
      </c>
      <c r="X55" s="124">
        <f>'Equipment TL6910 12-19-16'!Y12</f>
        <v>6.0468485385754427</v>
      </c>
      <c r="Y55" s="124">
        <f>'Trucks TL6910 12-19-16'!AB10</f>
        <v>301.72200972356535</v>
      </c>
      <c r="Z55" s="124">
        <f>'Trucks TL6910 12-19-16'!AC10</f>
        <v>2.6870515280410772E-3</v>
      </c>
      <c r="AA55" s="124">
        <f>'Trucks TL6910 12-19-16'!AD10</f>
        <v>7.7289110010788503E-3</v>
      </c>
      <c r="AB55" s="124">
        <f>'WorkerTrips TL6910 12-19-16'!N89</f>
        <v>665.08292071246683</v>
      </c>
      <c r="AC55" s="124">
        <f>'WorkerTrips TL6910 12-19-16'!O89</f>
        <v>3.804570466836299E-2</v>
      </c>
      <c r="AD55" s="124">
        <f>'WorkerTrips TL6910 12-19-16'!P89</f>
        <v>6.9253438966120323E-2</v>
      </c>
      <c r="AE55" s="428">
        <f t="shared" si="3"/>
        <v>16693.378096804048</v>
      </c>
      <c r="AF55" s="124">
        <f t="shared" si="14"/>
        <v>11856.737278705898</v>
      </c>
      <c r="AG55" s="124">
        <f t="shared" ref="AG55:AH55" si="48">AG54</f>
        <v>0.92600991877070216</v>
      </c>
      <c r="AH55" s="124">
        <f t="shared" si="48"/>
        <v>5.8841934101943396</v>
      </c>
      <c r="AI55" s="124">
        <f t="shared" si="14"/>
        <v>1573.1527856779981</v>
      </c>
      <c r="AJ55" s="124">
        <f t="shared" ref="AJ55:AK55" si="49">AJ54</f>
        <v>1.7123423264034744E-2</v>
      </c>
      <c r="AK55" s="124">
        <f t="shared" si="49"/>
        <v>4.0297881757927589E-2</v>
      </c>
      <c r="AL55" s="124">
        <f t="shared" si="14"/>
        <v>1884.4016086853226</v>
      </c>
      <c r="AM55" s="124">
        <f t="shared" ref="AM55:AN55" si="50">AM54</f>
        <v>0.10779616322702847</v>
      </c>
      <c r="AN55" s="124">
        <f t="shared" si="50"/>
        <v>0.19621807707067426</v>
      </c>
      <c r="AO55" s="428">
        <f t="shared" si="4"/>
        <v>16965.705682007625</v>
      </c>
      <c r="AP55" s="124"/>
      <c r="AQ55" s="124"/>
      <c r="AR55" s="124"/>
      <c r="AS55" s="124"/>
      <c r="AT55" s="124"/>
      <c r="AU55" s="124"/>
      <c r="AV55" s="124"/>
      <c r="AW55" s="124"/>
      <c r="AX55" s="124"/>
      <c r="AY55" s="428">
        <f t="shared" si="5"/>
        <v>0</v>
      </c>
      <c r="AZ55" s="428"/>
      <c r="BA55" s="428"/>
      <c r="BB55" s="428"/>
      <c r="BC55" s="428"/>
      <c r="BD55" s="428"/>
      <c r="BE55" s="428"/>
      <c r="BF55" s="428"/>
      <c r="BG55" s="428"/>
      <c r="BH55" s="428"/>
      <c r="BI55" s="428">
        <f t="shared" si="6"/>
        <v>0</v>
      </c>
      <c r="BJ55" s="27">
        <f t="shared" si="7"/>
        <v>105.09214017676163</v>
      </c>
    </row>
    <row r="56" spans="1:62">
      <c r="A56" s="427">
        <f t="shared" si="8"/>
        <v>42730</v>
      </c>
      <c r="B56" s="124">
        <f>'Equipment SCS 12-26-16'!W16</f>
        <v>1029.5443237340787</v>
      </c>
      <c r="C56" s="124">
        <f>'Equipment SCS 12-26-16'!X16</f>
        <v>9.3819672145962416E-2</v>
      </c>
      <c r="D56" s="124">
        <f>'Equipment SCS 12-26-16'!Y16</f>
        <v>0.58488514451952633</v>
      </c>
      <c r="E56" s="124">
        <f>'Construction Truck SCS 12-26-16'!AB16</f>
        <v>700.25812503738734</v>
      </c>
      <c r="F56" s="124">
        <f>'Construction Truck SCS 12-26-16'!AC16</f>
        <v>1.0906351491826187E-2</v>
      </c>
      <c r="G56" s="124">
        <f>'Construction Truck SCS 12-26-16'!AD16</f>
        <v>1.7937812130957714E-2</v>
      </c>
      <c r="H56" s="124">
        <f>'WorkerTrips SCS 12-26-16'!N91</f>
        <v>221.69430690415561</v>
      </c>
      <c r="I56" s="124">
        <f>'WorkerTrips SCS 12-26-16'!O91</f>
        <v>1.2681901556120997E-2</v>
      </c>
      <c r="J56" s="124">
        <f>'WorkerTrips SCS 12-26-16'!P91</f>
        <v>2.3084479655373441E-2</v>
      </c>
      <c r="K56" s="428">
        <f t="shared" si="1"/>
        <v>2120.6496482021034</v>
      </c>
      <c r="L56" s="124">
        <f>'Equipment 69kV 12-24-16'!W12</f>
        <v>9233.5425028383252</v>
      </c>
      <c r="M56" s="124"/>
      <c r="N56" s="124"/>
      <c r="O56" s="124">
        <f>'Trucks 69kV 12-24-16'!AB12</f>
        <v>603.4440194471307</v>
      </c>
      <c r="P56" s="124"/>
      <c r="Q56" s="124"/>
      <c r="R56" s="124">
        <f>'WorkerTrips 69kV 12-24-16'!N89</f>
        <v>720.50649743850568</v>
      </c>
      <c r="S56" s="124"/>
      <c r="T56" s="124"/>
      <c r="U56" s="428">
        <f t="shared" si="2"/>
        <v>10557.493019723961</v>
      </c>
      <c r="V56" s="124">
        <f>'Equipment TL6910 12-26-16'!W11</f>
        <v>12207.056601287939</v>
      </c>
      <c r="W56" s="124">
        <f>'Equipment TL6910 12-26-16'!X11</f>
        <v>0.79749165539089473</v>
      </c>
      <c r="X56" s="124">
        <f>'Equipment TL6910 12-26-16'!Y11</f>
        <v>5.6356654001274711</v>
      </c>
      <c r="Y56" s="124">
        <f>'Trucks TL6910 12-26-16'!AB11</f>
        <v>1508.6100486178268</v>
      </c>
      <c r="Z56" s="124">
        <f>'Trucks TL6910 12-26-16'!AC11</f>
        <v>1.3435257640205386E-2</v>
      </c>
      <c r="AA56" s="124">
        <f>'Trucks TL6910 12-26-16'!AD11</f>
        <v>3.8644555005394252E-2</v>
      </c>
      <c r="AB56" s="124">
        <f>'WorkerTrips TL6910 12-26-16'!N89</f>
        <v>609.65934398642787</v>
      </c>
      <c r="AC56" s="124">
        <f>'WorkerTrips TL6910 12-26-16'!O89</f>
        <v>3.4875229279332738E-2</v>
      </c>
      <c r="AD56" s="124">
        <f>'WorkerTrips TL6910 12-26-16'!P89</f>
        <v>6.3482319052276956E-2</v>
      </c>
      <c r="AE56" s="428">
        <f t="shared" si="3"/>
        <v>15869.523406535951</v>
      </c>
      <c r="AF56" s="124">
        <f t="shared" si="14"/>
        <v>11856.737278705898</v>
      </c>
      <c r="AG56" s="124">
        <f t="shared" ref="AG56:AH56" si="51">AG55</f>
        <v>0.92600991877070216</v>
      </c>
      <c r="AH56" s="124">
        <f t="shared" si="51"/>
        <v>5.8841934101943396</v>
      </c>
      <c r="AI56" s="124">
        <f t="shared" si="14"/>
        <v>1573.1527856779981</v>
      </c>
      <c r="AJ56" s="124">
        <f t="shared" ref="AJ56:AK56" si="52">AJ55</f>
        <v>1.7123423264034744E-2</v>
      </c>
      <c r="AK56" s="124">
        <f t="shared" si="52"/>
        <v>4.0297881757927589E-2</v>
      </c>
      <c r="AL56" s="124">
        <f t="shared" si="14"/>
        <v>1884.4016086853226</v>
      </c>
      <c r="AM56" s="124">
        <f t="shared" ref="AM56:AN56" si="53">AM55</f>
        <v>0.10779616322702847</v>
      </c>
      <c r="AN56" s="124">
        <f t="shared" si="53"/>
        <v>0.19621807707067426</v>
      </c>
      <c r="AO56" s="428">
        <f t="shared" si="4"/>
        <v>16965.705682007625</v>
      </c>
      <c r="AP56" s="123"/>
      <c r="AQ56" s="123"/>
      <c r="AR56" s="123"/>
      <c r="AS56" s="123"/>
      <c r="AT56" s="123"/>
      <c r="AU56" s="123"/>
      <c r="AV56" s="123"/>
      <c r="AW56" s="123"/>
      <c r="AX56" s="123"/>
      <c r="AY56" s="428">
        <f t="shared" si="5"/>
        <v>0</v>
      </c>
      <c r="AZ56" s="428"/>
      <c r="BA56" s="428"/>
      <c r="BB56" s="428"/>
      <c r="BC56" s="428"/>
      <c r="BD56" s="428"/>
      <c r="BE56" s="428"/>
      <c r="BF56" s="428"/>
      <c r="BG56" s="428"/>
      <c r="BH56" s="428"/>
      <c r="BI56" s="428">
        <f t="shared" si="6"/>
        <v>0</v>
      </c>
      <c r="BJ56" s="27">
        <f t="shared" si="7"/>
        <v>103.22364999652918</v>
      </c>
    </row>
    <row r="57" spans="1:62">
      <c r="A57" s="427">
        <f t="shared" si="8"/>
        <v>42737</v>
      </c>
      <c r="B57" s="124">
        <f>'Equipment SCS 1-2-17'!W16</f>
        <v>1029.5443237340787</v>
      </c>
      <c r="C57" s="124">
        <f>'Equipment SCS 1-2-17'!X16</f>
        <v>9.3819672145962416E-2</v>
      </c>
      <c r="D57" s="124">
        <f>'Equipment SCS 1-2-17'!Y16</f>
        <v>0.58488514451952633</v>
      </c>
      <c r="E57" s="124">
        <f>'Construction Trucks SCS 1-2-17'!AB16</f>
        <v>700.25812503738734</v>
      </c>
      <c r="F57" s="124">
        <f>'Construction Trucks SCS 1-2-17'!AC16</f>
        <v>1.0906351491826187E-2</v>
      </c>
      <c r="G57" s="124">
        <f>'Construction Trucks SCS 1-2-17'!AD16</f>
        <v>1.7937812130957714E-2</v>
      </c>
      <c r="H57" s="124">
        <f>'WorkerTrips SCS 1-2-17'!N91</f>
        <v>221.69430690415561</v>
      </c>
      <c r="I57" s="124">
        <f>'WorkerTrips SCS 1-2-17'!O91</f>
        <v>1.2681901556120997E-2</v>
      </c>
      <c r="J57" s="124">
        <f>'WorkerTrips SCS 1-2-17'!P91</f>
        <v>2.3084479655373441E-2</v>
      </c>
      <c r="K57" s="428">
        <f t="shared" si="1"/>
        <v>2120.6496482021034</v>
      </c>
      <c r="L57" s="124">
        <f>'Equipment 69kV 1-2-17'!W10</f>
        <v>7363.659531168646</v>
      </c>
      <c r="M57" s="124"/>
      <c r="N57" s="124"/>
      <c r="O57" s="124">
        <f>'Trucks 69kV 1-2-17'!AB9</f>
        <v>603.4440194471307</v>
      </c>
      <c r="P57" s="124"/>
      <c r="Q57" s="124"/>
      <c r="R57" s="124">
        <f>'WorkerTrips 69kV 1-2-17'!N89</f>
        <v>720.50649743850568</v>
      </c>
      <c r="S57" s="124"/>
      <c r="T57" s="124"/>
      <c r="U57" s="428">
        <f t="shared" si="2"/>
        <v>8687.6100480542827</v>
      </c>
      <c r="V57" s="124">
        <f>'Equipment TL6910 1-2-17'!W9</f>
        <v>2664.7266499924035</v>
      </c>
      <c r="W57" s="124">
        <f>'Equipment TL6910 1-2-17'!X9</f>
        <v>0.17023892764314144</v>
      </c>
      <c r="X57" s="124">
        <f>'Equipment TL6910 1-2-17'!Y9</f>
        <v>1.3190782570904513</v>
      </c>
      <c r="Y57" s="124">
        <f>'Trucks TL6910 1-2-17'!AB10</f>
        <v>1206.8880388942614</v>
      </c>
      <c r="Z57" s="124">
        <f>'Trucks TL6910 1-2-17'!AC10</f>
        <v>1.0748206112164309E-2</v>
      </c>
      <c r="AA57" s="124">
        <f>'Trucks TL6910 1-2-17'!AD10</f>
        <v>3.0915644004315401E-2</v>
      </c>
      <c r="AB57" s="124">
        <f>'WorkerTrips TL6910 1-2-17'!N89</f>
        <v>221.69430690415558</v>
      </c>
      <c r="AC57" s="124">
        <f>'WorkerTrips TL6910 1-2-17'!O89</f>
        <v>1.2681901556120997E-2</v>
      </c>
      <c r="AD57" s="124">
        <f>'WorkerTrips TL6910 1-2-17'!P89</f>
        <v>2.3084479655373441E-2</v>
      </c>
      <c r="AE57" s="428">
        <f t="shared" si="3"/>
        <v>4462.597499678327</v>
      </c>
      <c r="AF57" s="124">
        <f t="shared" si="14"/>
        <v>11856.737278705898</v>
      </c>
      <c r="AG57" s="124">
        <f t="shared" ref="AG57:AH57" si="54">AG56</f>
        <v>0.92600991877070216</v>
      </c>
      <c r="AH57" s="124">
        <f t="shared" si="54"/>
        <v>5.8841934101943396</v>
      </c>
      <c r="AI57" s="124">
        <f t="shared" si="14"/>
        <v>1573.1527856779981</v>
      </c>
      <c r="AJ57" s="124">
        <f t="shared" ref="AJ57:AK57" si="55">AJ56</f>
        <v>1.7123423264034744E-2</v>
      </c>
      <c r="AK57" s="124">
        <f t="shared" si="55"/>
        <v>4.0297881757927589E-2</v>
      </c>
      <c r="AL57" s="124">
        <f t="shared" si="14"/>
        <v>1884.4016086853226</v>
      </c>
      <c r="AM57" s="124">
        <f t="shared" ref="AM57:AN57" si="56">AM56</f>
        <v>0.10779616322702847</v>
      </c>
      <c r="AN57" s="124">
        <f t="shared" si="56"/>
        <v>0.19621807707067426</v>
      </c>
      <c r="AO57" s="428">
        <f t="shared" si="4"/>
        <v>16965.705682007625</v>
      </c>
      <c r="AP57" s="123"/>
      <c r="AQ57" s="123"/>
      <c r="AR57" s="123"/>
      <c r="AS57" s="123"/>
      <c r="AT57" s="123"/>
      <c r="AU57" s="123"/>
      <c r="AV57" s="123"/>
      <c r="AW57" s="123"/>
      <c r="AX57" s="123"/>
      <c r="AY57" s="428">
        <f t="shared" si="5"/>
        <v>0</v>
      </c>
      <c r="AZ57" s="428"/>
      <c r="BA57" s="428"/>
      <c r="BB57" s="428"/>
      <c r="BC57" s="428"/>
      <c r="BD57" s="428"/>
      <c r="BE57" s="428"/>
      <c r="BF57" s="428"/>
      <c r="BG57" s="428"/>
      <c r="BH57" s="428"/>
      <c r="BI57" s="428">
        <f t="shared" si="6"/>
        <v>0</v>
      </c>
      <c r="BJ57" s="27">
        <f t="shared" si="7"/>
        <v>73.112044992158076</v>
      </c>
    </row>
    <row r="58" spans="1:62">
      <c r="A58" s="427">
        <f t="shared" si="8"/>
        <v>42744</v>
      </c>
      <c r="B58" s="124">
        <f>'Equipment SCS 1-9-17'!W16</f>
        <v>1029.5443237340787</v>
      </c>
      <c r="C58" s="124">
        <f>'Equipment SCS 1-9-17'!X16</f>
        <v>9.3819672145962416E-2</v>
      </c>
      <c r="D58" s="124">
        <f>'Equipment SCS 1-9-17'!Y16</f>
        <v>0.58488514451952633</v>
      </c>
      <c r="E58" s="124">
        <f>'Construction Trucks SCS 1-9-17'!AB16</f>
        <v>700.25812503738734</v>
      </c>
      <c r="F58" s="124">
        <f>'Construction Trucks SCS 1-9-17'!AC16</f>
        <v>1.0906351491826187E-2</v>
      </c>
      <c r="G58" s="124">
        <f>'Construction Trucks SCS 1-9-17'!AD16</f>
        <v>1.7937812130957714E-2</v>
      </c>
      <c r="H58" s="124">
        <f>'WorkerTrips SCS 1-9-17'!N91</f>
        <v>221.69430690415561</v>
      </c>
      <c r="I58" s="124">
        <f>'WorkerTrips SCS 1-9-17'!O91</f>
        <v>1.2681901556120997E-2</v>
      </c>
      <c r="J58" s="124">
        <f>'WorkerTrips SCS 1-9-17'!P91</f>
        <v>2.3084479655373441E-2</v>
      </c>
      <c r="K58" s="428">
        <f t="shared" si="1"/>
        <v>2120.6496482021034</v>
      </c>
      <c r="L58" s="124">
        <f>'Equipment 69kV 1-9-17'!W9</f>
        <v>3330.9083124905046</v>
      </c>
      <c r="M58" s="124"/>
      <c r="N58" s="124"/>
      <c r="O58" s="124">
        <f>'Trucks 69kV 1-9-17'!AB10</f>
        <v>1508.610048617827</v>
      </c>
      <c r="P58" s="124"/>
      <c r="Q58" s="124"/>
      <c r="R58" s="124">
        <f>'WorkerTrips 69kV 1-9-17'!N89</f>
        <v>277.11788363019446</v>
      </c>
      <c r="S58" s="124"/>
      <c r="T58" s="124"/>
      <c r="U58" s="428">
        <f t="shared" si="2"/>
        <v>5116.6362447385263</v>
      </c>
      <c r="V58" s="124">
        <f>V57</f>
        <v>2664.7266499924035</v>
      </c>
      <c r="W58" s="124">
        <f>W57</f>
        <v>0.17023892764314144</v>
      </c>
      <c r="X58" s="124">
        <f>X57</f>
        <v>1.3190782570904513</v>
      </c>
      <c r="Y58" s="124">
        <f>Y57</f>
        <v>1206.8880388942614</v>
      </c>
      <c r="Z58" s="124">
        <f>Z57</f>
        <v>1.0748206112164309E-2</v>
      </c>
      <c r="AA58" s="124">
        <f>AA57</f>
        <v>3.0915644004315401E-2</v>
      </c>
      <c r="AB58" s="124">
        <f>AB57</f>
        <v>221.69430690415558</v>
      </c>
      <c r="AC58" s="124">
        <f>AC57</f>
        <v>1.2681901556120997E-2</v>
      </c>
      <c r="AD58" s="124">
        <f>AD57</f>
        <v>2.3084479655373441E-2</v>
      </c>
      <c r="AE58" s="428">
        <f t="shared" si="3"/>
        <v>4462.597499678327</v>
      </c>
      <c r="AF58" s="124">
        <f t="shared" si="14"/>
        <v>11856.737278705898</v>
      </c>
      <c r="AG58" s="124">
        <f t="shared" ref="AG58:AH58" si="57">AG57</f>
        <v>0.92600991877070216</v>
      </c>
      <c r="AH58" s="124">
        <f t="shared" si="57"/>
        <v>5.8841934101943396</v>
      </c>
      <c r="AI58" s="124">
        <f t="shared" si="14"/>
        <v>1573.1527856779981</v>
      </c>
      <c r="AJ58" s="124">
        <f t="shared" ref="AJ58:AK58" si="58">AJ57</f>
        <v>1.7123423264034744E-2</v>
      </c>
      <c r="AK58" s="124">
        <f t="shared" si="58"/>
        <v>4.0297881757927589E-2</v>
      </c>
      <c r="AL58" s="124">
        <f t="shared" si="14"/>
        <v>1884.4016086853226</v>
      </c>
      <c r="AM58" s="124">
        <f t="shared" ref="AM58:AN58" si="59">AM57</f>
        <v>0.10779616322702847</v>
      </c>
      <c r="AN58" s="124">
        <f t="shared" si="59"/>
        <v>0.19621807707067426</v>
      </c>
      <c r="AO58" s="428">
        <f t="shared" si="4"/>
        <v>16965.705682007625</v>
      </c>
      <c r="AP58" s="123"/>
      <c r="AQ58" s="123"/>
      <c r="AR58" s="123"/>
      <c r="AS58" s="123"/>
      <c r="AT58" s="123"/>
      <c r="AU58" s="123"/>
      <c r="AV58" s="123"/>
      <c r="AW58" s="123"/>
      <c r="AX58" s="123"/>
      <c r="AY58" s="428">
        <f t="shared" si="5"/>
        <v>0</v>
      </c>
      <c r="AZ58" s="428"/>
      <c r="BA58" s="428"/>
      <c r="BB58" s="428"/>
      <c r="BC58" s="428"/>
      <c r="BD58" s="428"/>
      <c r="BE58" s="428"/>
      <c r="BF58" s="428"/>
      <c r="BG58" s="428"/>
      <c r="BH58" s="428"/>
      <c r="BI58" s="428">
        <f t="shared" si="6"/>
        <v>0</v>
      </c>
      <c r="BJ58" s="27">
        <f t="shared" si="7"/>
        <v>65.01312953512334</v>
      </c>
    </row>
    <row r="59" spans="1:62">
      <c r="A59" s="427">
        <f t="shared" si="8"/>
        <v>42751</v>
      </c>
      <c r="B59" s="124">
        <f>'Equipment SCS 1-16-17'!W16</f>
        <v>1029.5443237340787</v>
      </c>
      <c r="C59" s="124">
        <f>'Equipment SCS 1-16-17'!X16</f>
        <v>9.3819672145962416E-2</v>
      </c>
      <c r="D59" s="124">
        <f>'Equipment SCS 1-16-17'!Y16</f>
        <v>0.58488514451952633</v>
      </c>
      <c r="E59" s="124">
        <f>'Construction Trucks SCS 1-16-17'!AB16</f>
        <v>700.25812503738734</v>
      </c>
      <c r="F59" s="124">
        <f>'Construction Trucks SCS 1-16-17'!AC16</f>
        <v>1.0906351491826187E-2</v>
      </c>
      <c r="G59" s="124">
        <f>'Construction Trucks SCS 1-16-17'!AD16</f>
        <v>1.7937812130957714E-2</v>
      </c>
      <c r="H59" s="124">
        <f>'WorkerTrips SCS 1-16-17'!N91</f>
        <v>221.69430690415561</v>
      </c>
      <c r="I59" s="124">
        <f>'WorkerTrips SCS 1-16-17'!O91</f>
        <v>1.2681901556120997E-2</v>
      </c>
      <c r="J59" s="124">
        <f>'WorkerTrips SCS 1-16-17'!P91</f>
        <v>2.3084479655373441E-2</v>
      </c>
      <c r="K59" s="428">
        <f t="shared" si="1"/>
        <v>2120.6496482021034</v>
      </c>
      <c r="L59" s="124"/>
      <c r="M59" s="124"/>
      <c r="N59" s="124"/>
      <c r="O59" s="124"/>
      <c r="P59" s="124"/>
      <c r="Q59" s="124"/>
      <c r="R59" s="124"/>
      <c r="S59" s="124"/>
      <c r="T59" s="124"/>
      <c r="U59" s="428">
        <f t="shared" si="2"/>
        <v>0</v>
      </c>
      <c r="V59" s="124">
        <f>'Equipment TL6910 1-16-17'!W14</f>
        <v>9188.7023665925735</v>
      </c>
      <c r="W59" s="124">
        <f>'Equipment TL6910 1-16-17'!X14</f>
        <v>0.53730267667290377</v>
      </c>
      <c r="X59" s="124">
        <f>'Equipment TL6910 1-16-17'!Y14</f>
        <v>4.1061551079991556</v>
      </c>
      <c r="Y59" s="124">
        <f>'Trucks TL6910 1-16-17'!AB12</f>
        <v>366.26474678373648</v>
      </c>
      <c r="Z59" s="124">
        <f>'Trucks TL6910 1-16-17'!AC12</f>
        <v>6.3752171518704336E-3</v>
      </c>
      <c r="AA59" s="124">
        <f>'Trucks TL6910 1-16-17'!AD12</f>
        <v>9.3822377536121916E-3</v>
      </c>
      <c r="AB59" s="124">
        <f>'WorkerTrips TL6910 1-16-17'!N89</f>
        <v>775.93007416454452</v>
      </c>
      <c r="AC59" s="124">
        <f>'WorkerTrips TL6910 1-16-17'!O89</f>
        <v>4.4386655446423486E-2</v>
      </c>
      <c r="AD59" s="124">
        <f>'WorkerTrips TL6910 1-16-17'!P89</f>
        <v>8.0795678793807044E-2</v>
      </c>
      <c r="AE59" s="428">
        <f t="shared" si="3"/>
        <v>11459.39124642529</v>
      </c>
      <c r="AF59" s="124">
        <f t="shared" si="14"/>
        <v>11856.737278705898</v>
      </c>
      <c r="AG59" s="124">
        <f t="shared" ref="AG59:AH59" si="60">AG58</f>
        <v>0.92600991877070216</v>
      </c>
      <c r="AH59" s="124">
        <f t="shared" si="60"/>
        <v>5.8841934101943396</v>
      </c>
      <c r="AI59" s="124">
        <f t="shared" si="14"/>
        <v>1573.1527856779981</v>
      </c>
      <c r="AJ59" s="124">
        <f t="shared" ref="AJ59:AK59" si="61">AJ58</f>
        <v>1.7123423264034744E-2</v>
      </c>
      <c r="AK59" s="124">
        <f t="shared" si="61"/>
        <v>4.0297881757927589E-2</v>
      </c>
      <c r="AL59" s="124">
        <f t="shared" si="14"/>
        <v>1884.4016086853226</v>
      </c>
      <c r="AM59" s="124">
        <f t="shared" ref="AM59:AN59" si="62">AM58</f>
        <v>0.10779616322702847</v>
      </c>
      <c r="AN59" s="124">
        <f t="shared" si="62"/>
        <v>0.19621807707067426</v>
      </c>
      <c r="AO59" s="428">
        <f t="shared" si="4"/>
        <v>16965.705682007625</v>
      </c>
      <c r="AP59" s="123"/>
      <c r="AQ59" s="123"/>
      <c r="AR59" s="123"/>
      <c r="AS59" s="123"/>
      <c r="AT59" s="123"/>
      <c r="AU59" s="123"/>
      <c r="AV59" s="123"/>
      <c r="AW59" s="123"/>
      <c r="AX59" s="123"/>
      <c r="AY59" s="428">
        <f t="shared" si="5"/>
        <v>0</v>
      </c>
      <c r="AZ59" s="428"/>
      <c r="BA59" s="428"/>
      <c r="BB59" s="428"/>
      <c r="BC59" s="428"/>
      <c r="BD59" s="428"/>
      <c r="BE59" s="428"/>
      <c r="BF59" s="428"/>
      <c r="BG59" s="428"/>
      <c r="BH59" s="428"/>
      <c r="BI59" s="428">
        <f t="shared" si="6"/>
        <v>0</v>
      </c>
      <c r="BJ59" s="27">
        <f t="shared" si="7"/>
        <v>69.277298776728244</v>
      </c>
    </row>
    <row r="60" spans="1:62">
      <c r="A60" s="427">
        <f t="shared" si="8"/>
        <v>42758</v>
      </c>
      <c r="B60" s="124">
        <f>'Equipment SCS 1-23-17'!W16</f>
        <v>1029.5443237340787</v>
      </c>
      <c r="C60" s="124">
        <f>'Equipment SCS 1-23-17'!X16</f>
        <v>9.3819672145962416E-2</v>
      </c>
      <c r="D60" s="124">
        <f>'Equipment SCS 1-23-17'!Y16</f>
        <v>0.58488514451952633</v>
      </c>
      <c r="E60" s="124">
        <f>'Construction Trucks SCS 1-23-17'!AB16</f>
        <v>700.25812503738734</v>
      </c>
      <c r="F60" s="124">
        <f>'Construction Trucks SCS 1-23-17'!AC16</f>
        <v>1.0906351491826187E-2</v>
      </c>
      <c r="G60" s="124">
        <f>'Construction Trucks SCS 1-23-17'!AD16</f>
        <v>1.7937812130957714E-2</v>
      </c>
      <c r="H60" s="124">
        <f>'WorkerTrips SCS 1-23-17'!N91</f>
        <v>221.69430690415561</v>
      </c>
      <c r="I60" s="124">
        <f>'WorkerTrips SCS 1-23-17'!O91</f>
        <v>1.2681901556120997E-2</v>
      </c>
      <c r="J60" s="124">
        <f>'WorkerTrips SCS 1-23-17'!P91</f>
        <v>2.3084479655373441E-2</v>
      </c>
      <c r="K60" s="428">
        <f t="shared" si="1"/>
        <v>2120.6496482021034</v>
      </c>
      <c r="L60" s="124"/>
      <c r="M60" s="124"/>
      <c r="N60" s="124"/>
      <c r="O60" s="124"/>
      <c r="P60" s="124"/>
      <c r="Q60" s="124"/>
      <c r="R60" s="124"/>
      <c r="S60" s="124"/>
      <c r="T60" s="124"/>
      <c r="U60" s="428">
        <f t="shared" si="2"/>
        <v>0</v>
      </c>
      <c r="V60" s="124">
        <f>'Equipment TL6910 1-23-17'!W12</f>
        <v>5120.8861782440945</v>
      </c>
      <c r="W60" s="124">
        <f>'Equipment TL6910 1-23-17'!X12</f>
        <v>0.35783104407452815</v>
      </c>
      <c r="X60" s="124">
        <f>'Equipment TL6910 1-23-17'!Y12</f>
        <v>2.5230425620257533</v>
      </c>
      <c r="Y60" s="124">
        <f>'Trucks TL6910 1-23-17'!AB11</f>
        <v>64.542737060171092</v>
      </c>
      <c r="Z60" s="124">
        <f>'Trucks TL6910 1-23-17'!AC11</f>
        <v>3.688165623829356E-3</v>
      </c>
      <c r="AA60" s="124">
        <f>'Trucks TL6910 1-23-17'!AD11</f>
        <v>1.6533267525333424E-3</v>
      </c>
      <c r="AB60" s="124">
        <f>'WorkerTrips TL6910 1-23-17'!N89</f>
        <v>554.23576726038891</v>
      </c>
      <c r="AC60" s="124">
        <f>'WorkerTrips TL6910 1-23-17'!O89</f>
        <v>3.1704753890302494E-2</v>
      </c>
      <c r="AD60" s="124">
        <f>'WorkerTrips TL6910 1-23-17'!P89</f>
        <v>5.7711199138433596E-2</v>
      </c>
      <c r="AE60" s="428">
        <f t="shared" si="3"/>
        <v>6435.0128318430689</v>
      </c>
      <c r="AF60" s="124">
        <f t="shared" ref="AF60:AL61" si="63">AF59</f>
        <v>11856.737278705898</v>
      </c>
      <c r="AG60" s="124">
        <f t="shared" ref="AG60:AH60" si="64">AG59</f>
        <v>0.92600991877070216</v>
      </c>
      <c r="AH60" s="124">
        <f t="shared" si="64"/>
        <v>5.8841934101943396</v>
      </c>
      <c r="AI60" s="124">
        <f t="shared" si="63"/>
        <v>1573.1527856779981</v>
      </c>
      <c r="AJ60" s="124">
        <f t="shared" ref="AJ60:AK60" si="65">AJ59</f>
        <v>1.7123423264034744E-2</v>
      </c>
      <c r="AK60" s="124">
        <f t="shared" si="65"/>
        <v>4.0297881757927589E-2</v>
      </c>
      <c r="AL60" s="124">
        <f t="shared" si="63"/>
        <v>1884.4016086853226</v>
      </c>
      <c r="AM60" s="124">
        <f t="shared" ref="AM60:AN60" si="66">AM59</f>
        <v>0.10779616322702847</v>
      </c>
      <c r="AN60" s="124">
        <f t="shared" si="66"/>
        <v>0.19621807707067426</v>
      </c>
      <c r="AO60" s="428">
        <f t="shared" si="4"/>
        <v>16965.705682007625</v>
      </c>
      <c r="AP60" s="123"/>
      <c r="AQ60" s="123"/>
      <c r="AR60" s="123"/>
      <c r="AS60" s="123"/>
      <c r="AT60" s="123"/>
      <c r="AU60" s="123"/>
      <c r="AV60" s="123"/>
      <c r="AW60" s="123"/>
      <c r="AX60" s="123"/>
      <c r="AY60" s="428">
        <f t="shared" si="5"/>
        <v>0</v>
      </c>
      <c r="AZ60" s="428"/>
      <c r="BA60" s="428"/>
      <c r="BB60" s="428"/>
      <c r="BC60" s="428"/>
      <c r="BD60" s="428"/>
      <c r="BE60" s="428"/>
      <c r="BF60" s="428"/>
      <c r="BG60" s="428"/>
      <c r="BH60" s="428"/>
      <c r="BI60" s="428">
        <f t="shared" si="6"/>
        <v>0</v>
      </c>
      <c r="BJ60" s="27">
        <f t="shared" si="7"/>
        <v>57.882083285069392</v>
      </c>
    </row>
    <row r="61" spans="1:62">
      <c r="A61" s="427">
        <f t="shared" si="8"/>
        <v>42765</v>
      </c>
      <c r="B61" s="124">
        <f>'Equipment SCS 1-30-17'!W16</f>
        <v>1029.5443237340787</v>
      </c>
      <c r="C61" s="124">
        <f>'Equipment SCS 1-30-17'!X16</f>
        <v>9.3819672145962416E-2</v>
      </c>
      <c r="D61" s="124">
        <f>'Equipment SCS 1-30-17'!Y16</f>
        <v>0.58488514451952633</v>
      </c>
      <c r="E61" s="124">
        <f>'Construction Trucks SCS 1-30-17'!AB16</f>
        <v>700.25812503738734</v>
      </c>
      <c r="F61" s="124">
        <f>'Construction Trucks SCS 1-30-17'!AC16</f>
        <v>1.0906351491826187E-2</v>
      </c>
      <c r="G61" s="124">
        <f>'Construction Trucks SCS 1-30-17'!AD16</f>
        <v>1.7937812130957714E-2</v>
      </c>
      <c r="H61" s="124">
        <f>'WorkerTrips SCS 1-30-17'!N91</f>
        <v>221.69430690415561</v>
      </c>
      <c r="I61" s="124">
        <f>'WorkerTrips SCS 1-30-17'!O91</f>
        <v>1.2681901556120997E-2</v>
      </c>
      <c r="J61" s="124">
        <f>'WorkerTrips SCS 1-30-17'!P91</f>
        <v>2.3084479655373441E-2</v>
      </c>
      <c r="K61" s="428">
        <f t="shared" si="1"/>
        <v>2120.6496482021034</v>
      </c>
      <c r="L61" s="124">
        <f>'Equipment 69kV 1-30-17'!W14</f>
        <v>9188.7023665925735</v>
      </c>
      <c r="M61" s="124"/>
      <c r="N61" s="124"/>
      <c r="O61" s="124">
        <f>'Trucks 69kV 1-30-17'!AB12</f>
        <v>64.542737060171092</v>
      </c>
      <c r="P61" s="124"/>
      <c r="Q61" s="124"/>
      <c r="R61" s="124">
        <f>'WorkerTrips 69kV 1-30-17'!N89</f>
        <v>609.65934398642787</v>
      </c>
      <c r="S61" s="124"/>
      <c r="T61" s="124"/>
      <c r="U61" s="428">
        <f t="shared" si="2"/>
        <v>9862.9044476391737</v>
      </c>
      <c r="V61" s="124">
        <f>V60</f>
        <v>5120.8861782440945</v>
      </c>
      <c r="W61" s="124">
        <f>W60</f>
        <v>0.35783104407452815</v>
      </c>
      <c r="X61" s="124">
        <f>X60</f>
        <v>2.5230425620257533</v>
      </c>
      <c r="Y61" s="124">
        <f>Y60</f>
        <v>64.542737060171092</v>
      </c>
      <c r="Z61" s="124">
        <f>Z60</f>
        <v>3.688165623829356E-3</v>
      </c>
      <c r="AA61" s="124">
        <f>AA60</f>
        <v>1.6533267525333424E-3</v>
      </c>
      <c r="AB61" s="124">
        <f>AB60</f>
        <v>554.23576726038891</v>
      </c>
      <c r="AC61" s="124">
        <f>AC60</f>
        <v>3.1704753890302494E-2</v>
      </c>
      <c r="AD61" s="124">
        <f>AD60</f>
        <v>5.7711199138433596E-2</v>
      </c>
      <c r="AE61" s="428">
        <f t="shared" si="3"/>
        <v>6435.0128318430689</v>
      </c>
      <c r="AF61" s="124">
        <f t="shared" si="63"/>
        <v>11856.737278705898</v>
      </c>
      <c r="AG61" s="124">
        <f t="shared" ref="AG61:AH61" si="67">AG60</f>
        <v>0.92600991877070216</v>
      </c>
      <c r="AH61" s="124">
        <f t="shared" si="67"/>
        <v>5.8841934101943396</v>
      </c>
      <c r="AI61" s="124">
        <f t="shared" si="63"/>
        <v>1573.1527856779981</v>
      </c>
      <c r="AJ61" s="124">
        <f t="shared" ref="AJ61:AK61" si="68">AJ60</f>
        <v>1.7123423264034744E-2</v>
      </c>
      <c r="AK61" s="124">
        <f t="shared" si="68"/>
        <v>4.0297881757927589E-2</v>
      </c>
      <c r="AL61" s="124">
        <f t="shared" si="63"/>
        <v>1884.4016086853226</v>
      </c>
      <c r="AM61" s="124">
        <f t="shared" ref="AM61:AN61" si="69">AM60</f>
        <v>0.10779616322702847</v>
      </c>
      <c r="AN61" s="124">
        <f t="shared" si="69"/>
        <v>0.19621807707067426</v>
      </c>
      <c r="AO61" s="428">
        <f t="shared" si="4"/>
        <v>16965.705682007625</v>
      </c>
      <c r="AP61" s="123"/>
      <c r="AQ61" s="123"/>
      <c r="AR61" s="123"/>
      <c r="AS61" s="123"/>
      <c r="AT61" s="123"/>
      <c r="AU61" s="123"/>
      <c r="AV61" s="123"/>
      <c r="AW61" s="123"/>
      <c r="AX61" s="123"/>
      <c r="AY61" s="428">
        <f t="shared" si="5"/>
        <v>0</v>
      </c>
      <c r="AZ61" s="428"/>
      <c r="BA61" s="428"/>
      <c r="BB61" s="428"/>
      <c r="BC61" s="428"/>
      <c r="BD61" s="428"/>
      <c r="BE61" s="428"/>
      <c r="BF61" s="428"/>
      <c r="BG61" s="428"/>
      <c r="BH61" s="428"/>
      <c r="BI61" s="428">
        <f t="shared" si="6"/>
        <v>0</v>
      </c>
      <c r="BJ61" s="27">
        <f t="shared" si="7"/>
        <v>80.251003832196261</v>
      </c>
    </row>
    <row r="62" spans="1:62">
      <c r="A62" s="427">
        <f t="shared" si="8"/>
        <v>42772</v>
      </c>
      <c r="B62" s="124">
        <f>'Equipment SCS 2-6-17'!W16</f>
        <v>1029.5443237340787</v>
      </c>
      <c r="C62" s="124">
        <f>'Equipment SCS 2-6-17'!X16</f>
        <v>9.3819672145962416E-2</v>
      </c>
      <c r="D62" s="124">
        <f>'Equipment SCS 2-6-17'!Y16</f>
        <v>0.58488514451952633</v>
      </c>
      <c r="E62" s="124">
        <f>'Construction Trucks SCS 2-6-17'!AB16</f>
        <v>700.25812503738734</v>
      </c>
      <c r="F62" s="124">
        <f>'Construction Trucks SCS 2-6-17'!AC16</f>
        <v>1.0906351491826187E-2</v>
      </c>
      <c r="G62" s="124">
        <f>'Construction Trucks SCS 2-6-17'!AD16</f>
        <v>1.7937812130957714E-2</v>
      </c>
      <c r="H62" s="124">
        <f>'WorkerTrips SCS 2-6-17'!N91</f>
        <v>221.69430690415561</v>
      </c>
      <c r="I62" s="124">
        <f>'WorkerTrips SCS 2-6-17'!O91</f>
        <v>1.2681901556120997E-2</v>
      </c>
      <c r="J62" s="124">
        <f>'WorkerTrips SCS 2-6-17'!P91</f>
        <v>2.3084479655373441E-2</v>
      </c>
      <c r="K62" s="428">
        <f t="shared" si="1"/>
        <v>2120.6496482021034</v>
      </c>
      <c r="L62" s="124">
        <f>'Equipment 69kV 2-6-17'!W13</f>
        <v>7154.794272418334</v>
      </c>
      <c r="M62" s="124"/>
      <c r="N62" s="124"/>
      <c r="O62" s="124">
        <f>'Trucks 69kV 2-6-17'!AB12</f>
        <v>64.542737060171092</v>
      </c>
      <c r="P62" s="124"/>
      <c r="Q62" s="124"/>
      <c r="R62" s="124">
        <f>'WorkerTrips 69kV 2-6-17'!N89</f>
        <v>609.65934398642787</v>
      </c>
      <c r="S62" s="124"/>
      <c r="T62" s="124"/>
      <c r="U62" s="428">
        <f t="shared" si="2"/>
        <v>7828.9963534649332</v>
      </c>
      <c r="V62" s="124"/>
      <c r="W62" s="124"/>
      <c r="X62" s="124"/>
      <c r="Y62" s="124"/>
      <c r="Z62" s="124"/>
      <c r="AA62" s="124"/>
      <c r="AB62" s="124"/>
      <c r="AC62" s="124"/>
      <c r="AD62" s="124"/>
      <c r="AE62" s="428">
        <f t="shared" si="3"/>
        <v>0</v>
      </c>
      <c r="AF62" s="124"/>
      <c r="AG62" s="124"/>
      <c r="AH62" s="124"/>
      <c r="AI62" s="124"/>
      <c r="AJ62" s="124"/>
      <c r="AK62" s="124"/>
      <c r="AL62" s="124"/>
      <c r="AM62" s="124"/>
      <c r="AN62" s="124"/>
      <c r="AO62" s="428">
        <f t="shared" si="4"/>
        <v>0</v>
      </c>
      <c r="AP62" s="123"/>
      <c r="AQ62" s="123"/>
      <c r="AR62" s="123"/>
      <c r="AS62" s="123"/>
      <c r="AT62" s="123"/>
      <c r="AU62" s="123"/>
      <c r="AV62" s="123"/>
      <c r="AW62" s="123"/>
      <c r="AX62" s="123"/>
      <c r="AY62" s="428">
        <f t="shared" si="5"/>
        <v>0</v>
      </c>
      <c r="AZ62" s="428"/>
      <c r="BA62" s="428"/>
      <c r="BB62" s="428"/>
      <c r="BC62" s="428"/>
      <c r="BD62" s="428"/>
      <c r="BE62" s="428"/>
      <c r="BF62" s="428"/>
      <c r="BG62" s="428"/>
      <c r="BH62" s="428"/>
      <c r="BI62" s="428">
        <f t="shared" si="6"/>
        <v>0</v>
      </c>
      <c r="BJ62" s="27">
        <f t="shared" si="7"/>
        <v>22.565649101122737</v>
      </c>
    </row>
    <row r="63" spans="1:62">
      <c r="A63" s="427">
        <f t="shared" si="8"/>
        <v>42779</v>
      </c>
      <c r="B63" s="124">
        <f>'Equipment SCS 2-13-17'!W20</f>
        <v>1029.5443237340787</v>
      </c>
      <c r="C63" s="124">
        <f>'Equipment SCS 2-13-17'!X20</f>
        <v>9.3819672145962416E-2</v>
      </c>
      <c r="D63" s="124">
        <f>'Equipment SCS 2-13-17'!Y20</f>
        <v>0.58488514451952633</v>
      </c>
      <c r="E63" s="124">
        <f>'Construction Trucks SCS 2-13-17'!AB20</f>
        <v>527.62158943416421</v>
      </c>
      <c r="F63" s="124">
        <f>'Construction Trucks SCS 2-13-17'!AC20</f>
        <v>1.5595631211443823E-2</v>
      </c>
      <c r="G63" s="124">
        <f>'Construction Trucks SCS 2-13-17'!AD20</f>
        <v>1.3515554634945548E-2</v>
      </c>
      <c r="H63" s="124">
        <f>'WorkerTrips SCS 2-13-17'!N93</f>
        <v>332.54146035623342</v>
      </c>
      <c r="I63" s="124">
        <f>'WorkerTrips SCS 2-13-17'!O93</f>
        <v>1.9022852334181495E-2</v>
      </c>
      <c r="J63" s="124">
        <f>'WorkerTrips SCS 2-13-17'!P93</f>
        <v>3.4626719483060162E-2</v>
      </c>
      <c r="K63" s="428">
        <f t="shared" si="1"/>
        <v>2061.0559078227866</v>
      </c>
      <c r="L63" s="124">
        <f>'Equipment 69kV 2-13-17'!W9</f>
        <v>2033.9080941742402</v>
      </c>
      <c r="M63" s="124"/>
      <c r="N63" s="124"/>
      <c r="O63" s="124">
        <f>'Trucks 69kV 2-13-17'!AB12</f>
        <v>64.542737060171092</v>
      </c>
      <c r="P63" s="124"/>
      <c r="Q63" s="124"/>
      <c r="R63" s="124">
        <f>'WorkerTrips 69kV 2-13-17'!N89</f>
        <v>720.50649743850568</v>
      </c>
      <c r="S63" s="124"/>
      <c r="T63" s="124"/>
      <c r="U63" s="428">
        <f t="shared" si="2"/>
        <v>2818.9573286729174</v>
      </c>
      <c r="V63" s="123"/>
      <c r="W63" s="123"/>
      <c r="X63" s="123"/>
      <c r="Y63" s="123"/>
      <c r="Z63" s="123"/>
      <c r="AA63" s="123"/>
      <c r="AB63" s="123"/>
      <c r="AC63" s="123"/>
      <c r="AD63" s="123"/>
      <c r="AE63" s="428">
        <f t="shared" si="3"/>
        <v>0</v>
      </c>
      <c r="AF63" s="124"/>
      <c r="AG63" s="124"/>
      <c r="AH63" s="124"/>
      <c r="AI63" s="124"/>
      <c r="AJ63" s="124"/>
      <c r="AK63" s="124"/>
      <c r="AL63" s="124"/>
      <c r="AM63" s="124"/>
      <c r="AN63" s="124"/>
      <c r="AO63" s="428">
        <f t="shared" si="4"/>
        <v>0</v>
      </c>
      <c r="AP63" s="123"/>
      <c r="AQ63" s="123"/>
      <c r="AR63" s="123"/>
      <c r="AS63" s="123"/>
      <c r="AT63" s="123"/>
      <c r="AU63" s="123"/>
      <c r="AV63" s="123"/>
      <c r="AW63" s="123"/>
      <c r="AX63" s="123"/>
      <c r="AY63" s="428">
        <f t="shared" si="5"/>
        <v>0</v>
      </c>
      <c r="AZ63" s="428"/>
      <c r="BA63" s="428"/>
      <c r="BB63" s="428"/>
      <c r="BC63" s="428"/>
      <c r="BD63" s="428"/>
      <c r="BE63" s="428"/>
      <c r="BF63" s="428"/>
      <c r="BG63" s="428"/>
      <c r="BH63" s="428"/>
      <c r="BI63" s="428">
        <f t="shared" si="6"/>
        <v>0</v>
      </c>
      <c r="BJ63" s="27">
        <f t="shared" si="7"/>
        <v>11.067797415621211</v>
      </c>
    </row>
    <row r="64" spans="1:62">
      <c r="A64" s="427">
        <f t="shared" si="8"/>
        <v>42786</v>
      </c>
      <c r="B64" s="124">
        <f>'Equipment SCS 2-20-17'!W20</f>
        <v>1029.5443237340787</v>
      </c>
      <c r="C64" s="124">
        <f>'Equipment SCS 2-20-17'!X20</f>
        <v>9.3819672145962416E-2</v>
      </c>
      <c r="D64" s="124">
        <f>'Equipment SCS 2-20-17'!Y20</f>
        <v>0.58488514451952633</v>
      </c>
      <c r="E64" s="124">
        <f>'Construction Trucks SCS 2-20-17'!AB19</f>
        <v>225.8995797105988</v>
      </c>
      <c r="F64" s="124">
        <f>'Construction Trucks SCS 2-20-17'!AC19</f>
        <v>1.2908579683402746E-2</v>
      </c>
      <c r="G64" s="124">
        <f>'Construction Trucks SCS 2-20-17'!AD19</f>
        <v>5.7866436338666989E-3</v>
      </c>
      <c r="H64" s="124">
        <f>'WorkerTrips SCS 2-20-17'!N93</f>
        <v>332.54146035623342</v>
      </c>
      <c r="I64" s="124">
        <f>'WorkerTrips SCS 2-20-17'!O93</f>
        <v>1.9022852334181495E-2</v>
      </c>
      <c r="J64" s="124">
        <f>'WorkerTrips SCS 2-20-17'!P93</f>
        <v>3.4626719483060162E-2</v>
      </c>
      <c r="K64" s="428">
        <f t="shared" si="1"/>
        <v>1757.2104992411503</v>
      </c>
      <c r="L64" s="124">
        <f t="shared" ref="L64:R67" si="70">L63</f>
        <v>2033.9080941742402</v>
      </c>
      <c r="M64" s="124"/>
      <c r="N64" s="124"/>
      <c r="O64" s="124">
        <f t="shared" si="70"/>
        <v>64.542737060171092</v>
      </c>
      <c r="P64" s="124"/>
      <c r="Q64" s="124"/>
      <c r="R64" s="124">
        <f t="shared" si="70"/>
        <v>720.50649743850568</v>
      </c>
      <c r="S64" s="124"/>
      <c r="T64" s="124"/>
      <c r="U64" s="428">
        <f t="shared" si="2"/>
        <v>2818.9573286729174</v>
      </c>
      <c r="V64" s="123"/>
      <c r="W64" s="123"/>
      <c r="X64" s="123"/>
      <c r="Y64" s="123"/>
      <c r="Z64" s="123"/>
      <c r="AA64" s="123"/>
      <c r="AB64" s="123"/>
      <c r="AC64" s="123"/>
      <c r="AD64" s="123"/>
      <c r="AE64" s="428">
        <f t="shared" si="3"/>
        <v>0</v>
      </c>
      <c r="AF64" s="124"/>
      <c r="AG64" s="124"/>
      <c r="AH64" s="124"/>
      <c r="AI64" s="124"/>
      <c r="AJ64" s="124"/>
      <c r="AK64" s="124"/>
      <c r="AL64" s="124"/>
      <c r="AM64" s="124"/>
      <c r="AN64" s="124"/>
      <c r="AO64" s="428">
        <f t="shared" si="4"/>
        <v>0</v>
      </c>
      <c r="AP64" s="123"/>
      <c r="AQ64" s="123"/>
      <c r="AR64" s="123"/>
      <c r="AS64" s="123"/>
      <c r="AT64" s="123"/>
      <c r="AU64" s="123"/>
      <c r="AV64" s="123"/>
      <c r="AW64" s="123"/>
      <c r="AX64" s="123"/>
      <c r="AY64" s="428">
        <f t="shared" si="5"/>
        <v>0</v>
      </c>
      <c r="AZ64" s="428"/>
      <c r="BA64" s="428"/>
      <c r="BB64" s="428"/>
      <c r="BC64" s="428"/>
      <c r="BD64" s="428"/>
      <c r="BE64" s="428"/>
      <c r="BF64" s="428"/>
      <c r="BG64" s="428"/>
      <c r="BH64" s="428"/>
      <c r="BI64" s="428">
        <f t="shared" si="6"/>
        <v>0</v>
      </c>
      <c r="BJ64" s="27">
        <f t="shared" si="7"/>
        <v>10.378680549564702</v>
      </c>
    </row>
    <row r="65" spans="1:62">
      <c r="A65" s="427">
        <f t="shared" si="8"/>
        <v>42793</v>
      </c>
      <c r="B65" s="124">
        <f>'Equipment SCS 2-27-17'!W20</f>
        <v>1029.5443237340787</v>
      </c>
      <c r="C65" s="124">
        <f>'Equipment SCS 2-27-17'!X20</f>
        <v>9.3819672145962416E-2</v>
      </c>
      <c r="D65" s="124">
        <f>'Equipment SCS 2-27-17'!Y20</f>
        <v>0.58488514451952633</v>
      </c>
      <c r="E65" s="124">
        <f>'Construction Trucks SCS 2-27-17'!AB19</f>
        <v>225.8995797105988</v>
      </c>
      <c r="F65" s="124">
        <f>'Construction Trucks SCS 2-27-17'!AC19</f>
        <v>1.2908579683402746E-2</v>
      </c>
      <c r="G65" s="124">
        <f>'Construction Trucks SCS 2-27-17'!AD19</f>
        <v>5.7866436338666989E-3</v>
      </c>
      <c r="H65" s="124">
        <f>'WorkerTrips SCS 2-27-17'!N93</f>
        <v>332.54146035623342</v>
      </c>
      <c r="I65" s="124">
        <f>'WorkerTrips SCS 2-27-17'!O93</f>
        <v>1.9022852334181495E-2</v>
      </c>
      <c r="J65" s="124">
        <f>'WorkerTrips SCS 2-27-17'!P93</f>
        <v>3.4626719483060162E-2</v>
      </c>
      <c r="K65" s="428">
        <f t="shared" si="1"/>
        <v>1757.2104992411503</v>
      </c>
      <c r="L65" s="124">
        <f t="shared" si="70"/>
        <v>2033.9080941742402</v>
      </c>
      <c r="M65" s="124"/>
      <c r="N65" s="124"/>
      <c r="O65" s="124">
        <f t="shared" si="70"/>
        <v>64.542737060171092</v>
      </c>
      <c r="P65" s="124"/>
      <c r="Q65" s="124"/>
      <c r="R65" s="124">
        <f t="shared" si="70"/>
        <v>720.50649743850568</v>
      </c>
      <c r="S65" s="124"/>
      <c r="T65" s="124"/>
      <c r="U65" s="428">
        <f t="shared" si="2"/>
        <v>2818.9573286729174</v>
      </c>
      <c r="V65" s="123"/>
      <c r="W65" s="123"/>
      <c r="X65" s="123"/>
      <c r="Y65" s="123"/>
      <c r="Z65" s="123"/>
      <c r="AA65" s="123"/>
      <c r="AB65" s="123"/>
      <c r="AC65" s="123"/>
      <c r="AD65" s="123"/>
      <c r="AE65" s="428">
        <f t="shared" si="3"/>
        <v>0</v>
      </c>
      <c r="AF65" s="124"/>
      <c r="AG65" s="124"/>
      <c r="AH65" s="124"/>
      <c r="AI65" s="124"/>
      <c r="AJ65" s="124"/>
      <c r="AK65" s="124"/>
      <c r="AL65" s="124"/>
      <c r="AM65" s="124"/>
      <c r="AN65" s="124"/>
      <c r="AO65" s="428">
        <f t="shared" si="4"/>
        <v>0</v>
      </c>
      <c r="AP65" s="123"/>
      <c r="AQ65" s="123"/>
      <c r="AR65" s="123"/>
      <c r="AS65" s="123"/>
      <c r="AT65" s="123"/>
      <c r="AU65" s="123"/>
      <c r="AV65" s="123"/>
      <c r="AW65" s="123"/>
      <c r="AX65" s="123"/>
      <c r="AY65" s="428">
        <f t="shared" si="5"/>
        <v>0</v>
      </c>
      <c r="AZ65" s="428"/>
      <c r="BA65" s="428"/>
      <c r="BB65" s="428"/>
      <c r="BC65" s="428"/>
      <c r="BD65" s="428"/>
      <c r="BE65" s="428"/>
      <c r="BF65" s="428"/>
      <c r="BG65" s="428"/>
      <c r="BH65" s="428"/>
      <c r="BI65" s="428">
        <f t="shared" si="6"/>
        <v>0</v>
      </c>
      <c r="BJ65" s="27">
        <f t="shared" si="7"/>
        <v>10.378680549564702</v>
      </c>
    </row>
    <row r="66" spans="1:62">
      <c r="A66" s="427">
        <f t="shared" si="8"/>
        <v>42800</v>
      </c>
      <c r="B66" s="124">
        <f>'Equipment SCS 3-6-17'!W19</f>
        <v>1029.5443237340787</v>
      </c>
      <c r="C66" s="124">
        <f>'Equipment SCS 3-6-17'!X19</f>
        <v>9.3819672145962416E-2</v>
      </c>
      <c r="D66" s="124">
        <f>'Equipment SCS 3-6-17'!Y19</f>
        <v>0.58488514451952633</v>
      </c>
      <c r="E66" s="124">
        <f>'Construction Trucks SCS 3-6-17'!AB19</f>
        <v>225.8995797105988</v>
      </c>
      <c r="F66" s="124">
        <f>'Construction Trucks SCS 3-6-17'!AC19</f>
        <v>1.2908579683402746E-2</v>
      </c>
      <c r="G66" s="124">
        <f>'Construction Trucks SCS 3-6-17'!AD19</f>
        <v>5.7866436338666989E-3</v>
      </c>
      <c r="H66" s="124">
        <f>'WorkerTrips SCS 3-6-17'!N93</f>
        <v>332.54146035623342</v>
      </c>
      <c r="I66" s="124">
        <f>'WorkerTrips SCS 3-6-17'!O93</f>
        <v>1.9022852334181495E-2</v>
      </c>
      <c r="J66" s="124">
        <f>'WorkerTrips SCS 3-6-17'!P93</f>
        <v>3.4626719483060162E-2</v>
      </c>
      <c r="K66" s="428">
        <f t="shared" si="1"/>
        <v>1757.2104992411503</v>
      </c>
      <c r="L66" s="124">
        <f t="shared" si="70"/>
        <v>2033.9080941742402</v>
      </c>
      <c r="M66" s="124"/>
      <c r="N66" s="124"/>
      <c r="O66" s="124">
        <f t="shared" si="70"/>
        <v>64.542737060171092</v>
      </c>
      <c r="P66" s="124"/>
      <c r="Q66" s="124"/>
      <c r="R66" s="124">
        <f t="shared" si="70"/>
        <v>720.50649743850568</v>
      </c>
      <c r="S66" s="124"/>
      <c r="T66" s="124"/>
      <c r="U66" s="428">
        <f t="shared" si="2"/>
        <v>2818.9573286729174</v>
      </c>
      <c r="V66" s="123"/>
      <c r="W66" s="123"/>
      <c r="X66" s="123"/>
      <c r="Y66" s="123"/>
      <c r="Z66" s="123"/>
      <c r="AA66" s="123"/>
      <c r="AB66" s="123"/>
      <c r="AC66" s="123"/>
      <c r="AD66" s="123"/>
      <c r="AE66" s="428">
        <f t="shared" si="3"/>
        <v>0</v>
      </c>
      <c r="AF66" s="124"/>
      <c r="AG66" s="124"/>
      <c r="AH66" s="124"/>
      <c r="AI66" s="124"/>
      <c r="AJ66" s="124"/>
      <c r="AK66" s="124"/>
      <c r="AL66" s="124"/>
      <c r="AM66" s="124"/>
      <c r="AN66" s="124"/>
      <c r="AO66" s="428">
        <f t="shared" si="4"/>
        <v>0</v>
      </c>
      <c r="AP66" s="123"/>
      <c r="AQ66" s="123"/>
      <c r="AR66" s="123"/>
      <c r="AS66" s="123"/>
      <c r="AT66" s="123"/>
      <c r="AU66" s="123"/>
      <c r="AV66" s="123"/>
      <c r="AW66" s="123"/>
      <c r="AX66" s="123"/>
      <c r="AY66" s="428">
        <f t="shared" si="5"/>
        <v>0</v>
      </c>
      <c r="AZ66" s="428"/>
      <c r="BA66" s="428"/>
      <c r="BB66" s="428"/>
      <c r="BC66" s="428"/>
      <c r="BD66" s="428"/>
      <c r="BE66" s="428"/>
      <c r="BF66" s="428"/>
      <c r="BG66" s="428"/>
      <c r="BH66" s="428"/>
      <c r="BI66" s="428">
        <f t="shared" si="6"/>
        <v>0</v>
      </c>
      <c r="BJ66" s="27">
        <f t="shared" si="7"/>
        <v>10.378680549564702</v>
      </c>
    </row>
    <row r="67" spans="1:62">
      <c r="A67" s="427">
        <f t="shared" si="8"/>
        <v>42807</v>
      </c>
      <c r="B67" s="124">
        <f>'Equipment SCS 3-13-17'!W19</f>
        <v>1029.5443237340787</v>
      </c>
      <c r="C67" s="124">
        <f>'Equipment SCS 3-13-17'!X19</f>
        <v>9.3819672145962416E-2</v>
      </c>
      <c r="D67" s="124">
        <f>'Equipment SCS 3-13-17'!Y19</f>
        <v>0.58488514451952633</v>
      </c>
      <c r="E67" s="124">
        <f>'Construction Trucks SCS 3-13-17'!AB19</f>
        <v>225.8995797105988</v>
      </c>
      <c r="F67" s="124">
        <f>'Construction Trucks SCS 3-13-17'!AC19</f>
        <v>1.2908579683402746E-2</v>
      </c>
      <c r="G67" s="124">
        <f>'Construction Trucks SCS 3-13-17'!AD19</f>
        <v>5.7866436338666989E-3</v>
      </c>
      <c r="H67" s="124">
        <f>'WorkerTrips SCS 3-13-17'!N93</f>
        <v>332.54146035623342</v>
      </c>
      <c r="I67" s="124">
        <f>'WorkerTrips SCS 3-13-17'!O93</f>
        <v>1.9022852334181495E-2</v>
      </c>
      <c r="J67" s="124">
        <f>'WorkerTrips SCS 3-13-17'!P93</f>
        <v>3.4626719483060162E-2</v>
      </c>
      <c r="K67" s="428">
        <f t="shared" si="1"/>
        <v>1757.2104992411503</v>
      </c>
      <c r="L67" s="124">
        <f t="shared" si="70"/>
        <v>2033.9080941742402</v>
      </c>
      <c r="M67" s="124"/>
      <c r="N67" s="124"/>
      <c r="O67" s="124">
        <f t="shared" si="70"/>
        <v>64.542737060171092</v>
      </c>
      <c r="P67" s="124"/>
      <c r="Q67" s="124"/>
      <c r="R67" s="124">
        <f t="shared" si="70"/>
        <v>720.50649743850568</v>
      </c>
      <c r="S67" s="124"/>
      <c r="T67" s="124"/>
      <c r="U67" s="428">
        <f t="shared" si="2"/>
        <v>2818.9573286729174</v>
      </c>
      <c r="V67" s="123"/>
      <c r="W67" s="123"/>
      <c r="X67" s="123"/>
      <c r="Y67" s="123"/>
      <c r="Z67" s="123"/>
      <c r="AA67" s="123"/>
      <c r="AB67" s="123"/>
      <c r="AC67" s="123"/>
      <c r="AD67" s="123"/>
      <c r="AE67" s="428">
        <f t="shared" si="3"/>
        <v>0</v>
      </c>
      <c r="AF67" s="124"/>
      <c r="AG67" s="124"/>
      <c r="AH67" s="124"/>
      <c r="AI67" s="124"/>
      <c r="AJ67" s="124"/>
      <c r="AK67" s="124"/>
      <c r="AL67" s="124"/>
      <c r="AM67" s="124"/>
      <c r="AN67" s="124"/>
      <c r="AO67" s="428">
        <f t="shared" si="4"/>
        <v>0</v>
      </c>
      <c r="AP67" s="124"/>
      <c r="AQ67" s="124"/>
      <c r="AR67" s="124"/>
      <c r="AS67" s="124"/>
      <c r="AT67" s="124"/>
      <c r="AU67" s="124"/>
      <c r="AV67" s="124"/>
      <c r="AW67" s="124"/>
      <c r="AX67" s="124"/>
      <c r="AY67" s="428">
        <f t="shared" si="5"/>
        <v>0</v>
      </c>
      <c r="AZ67" s="428"/>
      <c r="BA67" s="428"/>
      <c r="BB67" s="428"/>
      <c r="BC67" s="428"/>
      <c r="BD67" s="428"/>
      <c r="BE67" s="428"/>
      <c r="BF67" s="428"/>
      <c r="BG67" s="428"/>
      <c r="BH67" s="428"/>
      <c r="BI67" s="428">
        <f t="shared" si="6"/>
        <v>0</v>
      </c>
      <c r="BJ67" s="27">
        <f t="shared" si="7"/>
        <v>10.378680549564702</v>
      </c>
    </row>
    <row r="68" spans="1:62">
      <c r="A68" s="427">
        <f t="shared" si="8"/>
        <v>42814</v>
      </c>
      <c r="B68" s="124">
        <f>'Equipment SCS 3-20-17'!W19</f>
        <v>1029.5443237340787</v>
      </c>
      <c r="C68" s="124">
        <f>'Equipment SCS 3-20-17'!X19</f>
        <v>9.3819672145962416E-2</v>
      </c>
      <c r="D68" s="124">
        <f>'Equipment SCS 3-20-17'!Y19</f>
        <v>0.58488514451952633</v>
      </c>
      <c r="E68" s="124">
        <f>'Construction Trucks SCS 3-20-17'!AB19</f>
        <v>225.8995797105988</v>
      </c>
      <c r="F68" s="124">
        <f>'Construction Trucks SCS 3-20-17'!AC19</f>
        <v>1.2908579683402746E-2</v>
      </c>
      <c r="G68" s="124">
        <f>'Construction Trucks SCS 3-20-17'!AD19</f>
        <v>5.7866436338666989E-3</v>
      </c>
      <c r="H68" s="124">
        <f>'WorkerTrips SCS 3-20-17'!N93</f>
        <v>332.54146035623342</v>
      </c>
      <c r="I68" s="124">
        <f>'WorkerTrips SCS 3-20-17'!O93</f>
        <v>1.9022852334181495E-2</v>
      </c>
      <c r="J68" s="124">
        <f>'WorkerTrips SCS 3-20-17'!P93</f>
        <v>3.4626719483060162E-2</v>
      </c>
      <c r="K68" s="428">
        <f t="shared" si="1"/>
        <v>1757.2104992411503</v>
      </c>
      <c r="L68" s="123"/>
      <c r="M68" s="123"/>
      <c r="N68" s="123"/>
      <c r="O68" s="123"/>
      <c r="P68" s="123"/>
      <c r="Q68" s="123"/>
      <c r="R68" s="123"/>
      <c r="S68" s="123"/>
      <c r="T68" s="123"/>
      <c r="U68" s="428">
        <f t="shared" si="2"/>
        <v>0</v>
      </c>
      <c r="V68" s="123"/>
      <c r="W68" s="123"/>
      <c r="X68" s="123"/>
      <c r="Y68" s="123"/>
      <c r="Z68" s="123"/>
      <c r="AA68" s="123"/>
      <c r="AB68" s="123"/>
      <c r="AC68" s="123"/>
      <c r="AD68" s="123"/>
      <c r="AE68" s="428">
        <f t="shared" si="3"/>
        <v>0</v>
      </c>
      <c r="AF68" s="123"/>
      <c r="AG68" s="123"/>
      <c r="AH68" s="123"/>
      <c r="AI68" s="123"/>
      <c r="AJ68" s="123"/>
      <c r="AK68" s="123"/>
      <c r="AL68" s="123"/>
      <c r="AM68" s="123"/>
      <c r="AN68" s="123"/>
      <c r="AO68" s="428">
        <f t="shared" si="4"/>
        <v>0</v>
      </c>
      <c r="AP68" s="124"/>
      <c r="AQ68" s="124"/>
      <c r="AR68" s="124"/>
      <c r="AS68" s="124"/>
      <c r="AT68" s="124"/>
      <c r="AU68" s="124"/>
      <c r="AV68" s="124"/>
      <c r="AW68" s="124"/>
      <c r="AX68" s="124"/>
      <c r="AY68" s="428">
        <f t="shared" si="5"/>
        <v>0</v>
      </c>
      <c r="AZ68" s="428"/>
      <c r="BA68" s="428"/>
      <c r="BB68" s="428"/>
      <c r="BC68" s="428"/>
      <c r="BD68" s="428"/>
      <c r="BE68" s="428"/>
      <c r="BF68" s="428"/>
      <c r="BG68" s="428"/>
      <c r="BH68" s="428"/>
      <c r="BI68" s="428">
        <f t="shared" si="6"/>
        <v>0</v>
      </c>
      <c r="BJ68" s="27">
        <f t="shared" si="7"/>
        <v>3.9853272685320476</v>
      </c>
    </row>
    <row r="69" spans="1:62">
      <c r="A69" s="427">
        <f t="shared" si="8"/>
        <v>42821</v>
      </c>
      <c r="B69" s="124">
        <f>'Equipment SCS 3-27-17a'!W15</f>
        <v>696.45349248502816</v>
      </c>
      <c r="C69" s="124">
        <f>'Equipment SCS 3-27-17a'!X15</f>
        <v>7.2539806190569739E-2</v>
      </c>
      <c r="D69" s="124">
        <f>'Equipment SCS 3-27-17a'!Y15</f>
        <v>0.42000036238321992</v>
      </c>
      <c r="E69" s="124">
        <f>'Construction Truck SCS 3-20-17'!AB15</f>
        <v>129.08547412034218</v>
      </c>
      <c r="F69" s="124">
        <f>'Construction Truck SCS 3-20-17'!AC15</f>
        <v>7.376331247658712E-3</v>
      </c>
      <c r="G69" s="124">
        <f>'Construction Truck SCS 3-20-17'!AD15</f>
        <v>3.3066535050666848E-3</v>
      </c>
      <c r="H69" s="124">
        <f>'WorkerTrip SCS 3-27-17'!N91</f>
        <v>277.11788363019451</v>
      </c>
      <c r="I69" s="124">
        <f>'WorkerTrip SCS 3-27-17'!O91</f>
        <v>1.5852376945151247E-2</v>
      </c>
      <c r="J69" s="124">
        <f>'WorkerTrip SCS 3-27-17'!P91</f>
        <v>2.8855599569216801E-2</v>
      </c>
      <c r="K69" s="428">
        <f t="shared" si="1"/>
        <v>1225.1614617345379</v>
      </c>
      <c r="L69" s="123"/>
      <c r="M69" s="123"/>
      <c r="N69" s="123"/>
      <c r="O69" s="123"/>
      <c r="P69" s="123"/>
      <c r="Q69" s="123"/>
      <c r="R69" s="123"/>
      <c r="S69" s="123"/>
      <c r="T69" s="123"/>
      <c r="U69" s="428">
        <f t="shared" si="2"/>
        <v>0</v>
      </c>
      <c r="V69" s="123"/>
      <c r="W69" s="123"/>
      <c r="X69" s="123"/>
      <c r="Y69" s="123"/>
      <c r="Z69" s="123"/>
      <c r="AA69" s="123"/>
      <c r="AB69" s="123"/>
      <c r="AC69" s="123"/>
      <c r="AD69" s="123"/>
      <c r="AE69" s="428">
        <f t="shared" si="3"/>
        <v>0</v>
      </c>
      <c r="AF69" s="123"/>
      <c r="AG69" s="123"/>
      <c r="AH69" s="123"/>
      <c r="AI69" s="123"/>
      <c r="AJ69" s="123"/>
      <c r="AK69" s="123"/>
      <c r="AL69" s="123"/>
      <c r="AM69" s="123"/>
      <c r="AN69" s="123"/>
      <c r="AO69" s="428">
        <f t="shared" si="4"/>
        <v>0</v>
      </c>
      <c r="AP69" s="124"/>
      <c r="AQ69" s="124"/>
      <c r="AR69" s="124"/>
      <c r="AS69" s="124"/>
      <c r="AT69" s="124"/>
      <c r="AU69" s="124"/>
      <c r="AV69" s="124"/>
      <c r="AW69" s="124"/>
      <c r="AX69" s="124"/>
      <c r="AY69" s="428">
        <f t="shared" si="5"/>
        <v>0</v>
      </c>
      <c r="AZ69" s="428"/>
      <c r="BA69" s="428"/>
      <c r="BB69" s="428"/>
      <c r="BC69" s="428"/>
      <c r="BD69" s="428"/>
      <c r="BE69" s="428"/>
      <c r="BF69" s="428"/>
      <c r="BG69" s="428"/>
      <c r="BH69" s="428"/>
      <c r="BI69" s="428">
        <f t="shared" si="6"/>
        <v>0</v>
      </c>
      <c r="BJ69" s="27">
        <f t="shared" si="7"/>
        <v>2.7786479672832667</v>
      </c>
    </row>
    <row r="70" spans="1:62">
      <c r="A70" s="427">
        <f t="shared" si="8"/>
        <v>42828</v>
      </c>
      <c r="B70" s="124">
        <f>'Equipment SCS 4-3-17'!W15</f>
        <v>696.45349248502816</v>
      </c>
      <c r="C70" s="124">
        <f>'Equipment SCS 4-3-17'!X15</f>
        <v>7.2539806190569739E-2</v>
      </c>
      <c r="D70" s="124">
        <f>'Equipment SCS 4-3-17'!Y15</f>
        <v>0.42000036238321992</v>
      </c>
      <c r="E70" s="124">
        <f>'Construction Trucks SCS 4-3-17'!AB15</f>
        <v>129.08547412034218</v>
      </c>
      <c r="F70" s="124">
        <f>'Construction Trucks SCS 4-3-17'!AC15</f>
        <v>7.376331247658712E-3</v>
      </c>
      <c r="G70" s="124">
        <f>'Construction Trucks SCS 4-3-17'!AD15</f>
        <v>3.3066535050666848E-3</v>
      </c>
      <c r="H70" s="124">
        <f>'WorkerTrips SCS 4-3-17'!N91</f>
        <v>277.11788363019451</v>
      </c>
      <c r="I70" s="124">
        <f>'WorkerTrips SCS 4-3-17'!O91</f>
        <v>1.5852376945151247E-2</v>
      </c>
      <c r="J70" s="124">
        <f>'WorkerTrips SCS 4-3-17'!P91</f>
        <v>2.8855599569216801E-2</v>
      </c>
      <c r="K70" s="428">
        <f t="shared" ref="K70:K86" si="71">B70+28*C70+265*D70+E70+28*F70+265*G70+H70+28*I70+265*J70</f>
        <v>1225.1614617345379</v>
      </c>
      <c r="L70" s="123"/>
      <c r="M70" s="123"/>
      <c r="N70" s="123"/>
      <c r="O70" s="123"/>
      <c r="P70" s="123"/>
      <c r="Q70" s="123"/>
      <c r="R70" s="123"/>
      <c r="S70" s="123"/>
      <c r="T70" s="123"/>
      <c r="U70" s="428">
        <f t="shared" ref="U70:U86" si="72">L70+28*M70+265*N70+O70+28*P70+265*Q70+R70+28*S70+265*T70</f>
        <v>0</v>
      </c>
      <c r="V70" s="123"/>
      <c r="W70" s="123"/>
      <c r="X70" s="123"/>
      <c r="Y70" s="123"/>
      <c r="Z70" s="123"/>
      <c r="AA70" s="123"/>
      <c r="AB70" s="123"/>
      <c r="AC70" s="123"/>
      <c r="AD70" s="123"/>
      <c r="AE70" s="428">
        <f t="shared" ref="AE70:AE86" si="73">V70+28*W70+265*X70+Y70+28*Z70+265*AA70+AB70+28*AC70+265*AD70</f>
        <v>0</v>
      </c>
      <c r="AF70" s="123"/>
      <c r="AG70" s="123"/>
      <c r="AH70" s="123"/>
      <c r="AI70" s="123"/>
      <c r="AJ70" s="123"/>
      <c r="AK70" s="123"/>
      <c r="AL70" s="123"/>
      <c r="AM70" s="123"/>
      <c r="AN70" s="123"/>
      <c r="AO70" s="428">
        <f t="shared" ref="AO70:AO86" si="74">AF70+28*AG70+265*AH70+AI70+28*AJ70+265*AK70+AL70+28*AM70+265*AN70</f>
        <v>0</v>
      </c>
      <c r="AP70" s="124"/>
      <c r="AQ70" s="124"/>
      <c r="AR70" s="124"/>
      <c r="AS70" s="124"/>
      <c r="AT70" s="124"/>
      <c r="AU70" s="124"/>
      <c r="AV70" s="124"/>
      <c r="AW70" s="124"/>
      <c r="AX70" s="124"/>
      <c r="AY70" s="428">
        <f t="shared" ref="AY70:AY86" si="75">AP70+28*AQ70+265*AR70+AS70+28*AT70+265*AU70+AV70+28*AW70+265*AX70</f>
        <v>0</v>
      </c>
      <c r="AZ70" s="428"/>
      <c r="BA70" s="428"/>
      <c r="BB70" s="428"/>
      <c r="BC70" s="428"/>
      <c r="BD70" s="428"/>
      <c r="BE70" s="428"/>
      <c r="BF70" s="428"/>
      <c r="BG70" s="428"/>
      <c r="BH70" s="428"/>
      <c r="BI70" s="428">
        <f t="shared" ref="BI70:BI86" si="76">AZ70+28*BA70+265*BB70+BC70+28*BD70+265*BE70+BF70+28*BG70+265*BH70</f>
        <v>0</v>
      </c>
      <c r="BJ70" s="27">
        <f t="shared" ref="BJ70:BJ89" si="77">5*(K70+U70+AE70+AO70+AY70+BI70)/(2000*1.1023)</f>
        <v>2.7786479672832667</v>
      </c>
    </row>
    <row r="71" spans="1:62">
      <c r="A71" s="427">
        <f t="shared" si="8"/>
        <v>42835</v>
      </c>
      <c r="B71" s="124">
        <f>'Equipment SCS 4-10-17'!W15</f>
        <v>696.45349248502816</v>
      </c>
      <c r="C71" s="124">
        <f>'Equipment SCS 4-10-17'!X15</f>
        <v>7.2539806190569739E-2</v>
      </c>
      <c r="D71" s="124">
        <f>'Equipment SCS 4-10-17'!Y15</f>
        <v>0.42000036238321992</v>
      </c>
      <c r="E71" s="124">
        <f>'Construction Trucks SCS 4-10-17'!AB15</f>
        <v>129.08547412034218</v>
      </c>
      <c r="F71" s="124">
        <f>'Construction Trucks SCS 4-10-17'!AC15</f>
        <v>7.376331247658712E-3</v>
      </c>
      <c r="G71" s="124">
        <f>'Construction Trucks SCS 4-10-17'!AD15</f>
        <v>3.3066535050666848E-3</v>
      </c>
      <c r="H71" s="124">
        <f>'WorkerTrips SCS 4-10-17'!N91</f>
        <v>277.11788363019451</v>
      </c>
      <c r="I71" s="124">
        <f>'WorkerTrips SCS 4-10-17'!O91</f>
        <v>1.5852376945151247E-2</v>
      </c>
      <c r="J71" s="124">
        <f>'WorkerTrips SCS 4-10-17'!P91</f>
        <v>2.8855599569216801E-2</v>
      </c>
      <c r="K71" s="428">
        <f t="shared" si="71"/>
        <v>1225.1614617345379</v>
      </c>
      <c r="L71" s="123"/>
      <c r="M71" s="123"/>
      <c r="N71" s="123"/>
      <c r="O71" s="123"/>
      <c r="P71" s="123"/>
      <c r="Q71" s="123"/>
      <c r="R71" s="123"/>
      <c r="S71" s="123"/>
      <c r="T71" s="123"/>
      <c r="U71" s="428">
        <f t="shared" si="72"/>
        <v>0</v>
      </c>
      <c r="V71" s="123"/>
      <c r="W71" s="123"/>
      <c r="X71" s="123"/>
      <c r="Y71" s="123"/>
      <c r="Z71" s="123"/>
      <c r="AA71" s="123"/>
      <c r="AB71" s="123"/>
      <c r="AC71" s="123"/>
      <c r="AD71" s="123"/>
      <c r="AE71" s="428">
        <f t="shared" si="73"/>
        <v>0</v>
      </c>
      <c r="AF71" s="123"/>
      <c r="AG71" s="123"/>
      <c r="AH71" s="123"/>
      <c r="AI71" s="123"/>
      <c r="AJ71" s="123"/>
      <c r="AK71" s="123"/>
      <c r="AL71" s="123"/>
      <c r="AM71" s="123"/>
      <c r="AN71" s="123"/>
      <c r="AO71" s="428">
        <f t="shared" si="74"/>
        <v>0</v>
      </c>
      <c r="AP71" s="124">
        <f>'Equipment Miguel 5-21-17'!W9</f>
        <v>333.09083124905044</v>
      </c>
      <c r="AQ71" s="124">
        <f>'Equipment Miguel 5-21-17'!X9</f>
        <v>2.127986595539268E-2</v>
      </c>
      <c r="AR71" s="124">
        <f>'Equipment Miguel 5-21-17'!Y9</f>
        <v>0.16488478213630642</v>
      </c>
      <c r="AS71" s="124">
        <f>'Construction Truck Mig 5-21-17'!AB8</f>
        <v>0</v>
      </c>
      <c r="AT71" s="124">
        <f>'Construction Truck Mig 5-21-17'!AC8</f>
        <v>0</v>
      </c>
      <c r="AU71" s="124">
        <f>'Construction Truck Mig 5-21-17'!AD8</f>
        <v>0</v>
      </c>
      <c r="AV71" s="124">
        <f>'WorkerTrips Mguel 5-21-17'!N89</f>
        <v>110.84715345207779</v>
      </c>
      <c r="AW71" s="124">
        <f>'WorkerTrips Mguel 5-21-17'!O89</f>
        <v>6.3409507780604986E-3</v>
      </c>
      <c r="AX71" s="124">
        <f>'WorkerTrips Mguel 5-21-17'!P89</f>
        <v>1.1542239827686721E-2</v>
      </c>
      <c r="AY71" s="428">
        <f t="shared" si="75"/>
        <v>491.46452839012306</v>
      </c>
      <c r="AZ71" s="428"/>
      <c r="BA71" s="428"/>
      <c r="BB71" s="428"/>
      <c r="BC71" s="428"/>
      <c r="BD71" s="428"/>
      <c r="BE71" s="428"/>
      <c r="BF71" s="428"/>
      <c r="BG71" s="428"/>
      <c r="BH71" s="428"/>
      <c r="BI71" s="428">
        <f t="shared" si="76"/>
        <v>0</v>
      </c>
      <c r="BJ71" s="27">
        <f t="shared" si="77"/>
        <v>3.8932822056714618</v>
      </c>
    </row>
    <row r="72" spans="1:62">
      <c r="A72" s="427">
        <f t="shared" si="8"/>
        <v>42842</v>
      </c>
      <c r="B72" s="124">
        <f>'Equipment SCS 4-17-17'!W15</f>
        <v>696.45349248502816</v>
      </c>
      <c r="C72" s="124">
        <f>'Equipment SCS 4-17-17'!X15</f>
        <v>7.2539806190569739E-2</v>
      </c>
      <c r="D72" s="124">
        <f>'Equipment SCS 4-17-17'!Y15</f>
        <v>0.42000036238321992</v>
      </c>
      <c r="E72" s="124">
        <f>'Construction Trucks SCS 4-17-17'!AB15</f>
        <v>129.08547412034218</v>
      </c>
      <c r="F72" s="124">
        <f>'Construction Trucks SCS 4-17-17'!AC15</f>
        <v>7.376331247658712E-3</v>
      </c>
      <c r="G72" s="124">
        <f>'Construction Trucks SCS 4-17-17'!AD15</f>
        <v>3.3066535050666848E-3</v>
      </c>
      <c r="H72" s="124">
        <f>'WorkerTrips SCS 4-17-17'!N91</f>
        <v>277.11788363019451</v>
      </c>
      <c r="I72" s="124">
        <f>'WorkerTrips SCS 4-17-17'!O91</f>
        <v>1.5852376945151247E-2</v>
      </c>
      <c r="J72" s="124">
        <f>'WorkerTrips SCS 4-17-17'!P91</f>
        <v>2.8855599569216801E-2</v>
      </c>
      <c r="K72" s="428">
        <f t="shared" si="71"/>
        <v>1225.1614617345379</v>
      </c>
      <c r="L72" s="123"/>
      <c r="M72" s="123"/>
      <c r="N72" s="123"/>
      <c r="O72" s="123"/>
      <c r="P72" s="123"/>
      <c r="Q72" s="123"/>
      <c r="R72" s="123"/>
      <c r="S72" s="123"/>
      <c r="T72" s="123"/>
      <c r="U72" s="428">
        <f t="shared" si="72"/>
        <v>0</v>
      </c>
      <c r="V72" s="123"/>
      <c r="W72" s="123"/>
      <c r="X72" s="123"/>
      <c r="Y72" s="123"/>
      <c r="Z72" s="123"/>
      <c r="AA72" s="123"/>
      <c r="AB72" s="123"/>
      <c r="AC72" s="123"/>
      <c r="AD72" s="123"/>
      <c r="AE72" s="428">
        <f t="shared" si="73"/>
        <v>0</v>
      </c>
      <c r="AF72" s="124">
        <f>'Equipment 12kV Dist 422-58'!W14</f>
        <v>8766.4509325151248</v>
      </c>
      <c r="AG72" s="124">
        <f>'Equipment 12kV Dist 422-58'!X14</f>
        <v>0.43944637654070495</v>
      </c>
      <c r="AH72" s="124">
        <f>'Equipment 12kV Dist 422-58'!Y14</f>
        <v>3.6937470760505544</v>
      </c>
      <c r="AI72" s="124">
        <f>'Trucks 12kV Dist 422-58'!AB12</f>
        <v>193.62821118051326</v>
      </c>
      <c r="AJ72" s="124">
        <f>'Trucks 12kV Dist 422-58'!AC12</f>
        <v>1.1064496871488068E-2</v>
      </c>
      <c r="AK72" s="124">
        <f>'Trucks 12kV Dist 422-58'!AD12</f>
        <v>4.9599802576000274E-3</v>
      </c>
      <c r="AL72" s="124">
        <f>'WorkerTrips 12kV Dist 422-58'!N89</f>
        <v>665.08292071246683</v>
      </c>
      <c r="AM72" s="124">
        <f>'WorkerTrips 12kV Dist 422-58'!O89</f>
        <v>3.804570466836299E-2</v>
      </c>
      <c r="AN72" s="124">
        <f>'WorkerTrips 12kV Dist 422-58'!P89</f>
        <v>6.9253438966120323E-2</v>
      </c>
      <c r="AO72" s="428">
        <f t="shared" si="74"/>
        <v>10637.351179842042</v>
      </c>
      <c r="AP72" s="124">
        <f t="shared" ref="AP72:AV74" si="78">AP71</f>
        <v>333.09083124905044</v>
      </c>
      <c r="AQ72" s="124">
        <f t="shared" ref="AQ72:AR72" si="79">AQ71</f>
        <v>2.127986595539268E-2</v>
      </c>
      <c r="AR72" s="124">
        <f t="shared" si="79"/>
        <v>0.16488478213630642</v>
      </c>
      <c r="AS72" s="124">
        <f t="shared" si="78"/>
        <v>0</v>
      </c>
      <c r="AT72" s="124">
        <f t="shared" ref="AT72:AU72" si="80">AT71</f>
        <v>0</v>
      </c>
      <c r="AU72" s="124">
        <f t="shared" si="80"/>
        <v>0</v>
      </c>
      <c r="AV72" s="124">
        <f t="shared" si="78"/>
        <v>110.84715345207779</v>
      </c>
      <c r="AW72" s="124">
        <f t="shared" ref="AW72:AX72" si="81">AW71</f>
        <v>6.3409507780604986E-3</v>
      </c>
      <c r="AX72" s="124">
        <f t="shared" si="81"/>
        <v>1.1542239827686721E-2</v>
      </c>
      <c r="AY72" s="428">
        <f t="shared" si="75"/>
        <v>491.46452839012306</v>
      </c>
      <c r="AZ72" s="428"/>
      <c r="BA72" s="428"/>
      <c r="BB72" s="428"/>
      <c r="BC72" s="428"/>
      <c r="BD72" s="428"/>
      <c r="BE72" s="428"/>
      <c r="BF72" s="428"/>
      <c r="BG72" s="428"/>
      <c r="BH72" s="428"/>
      <c r="BI72" s="428">
        <f t="shared" si="76"/>
        <v>0</v>
      </c>
      <c r="BJ72" s="27">
        <f t="shared" si="77"/>
        <v>28.018636419229576</v>
      </c>
    </row>
    <row r="73" spans="1:62">
      <c r="A73" s="427">
        <f t="shared" si="8"/>
        <v>42849</v>
      </c>
      <c r="B73" s="124">
        <f>'Equipment SCS 4-24-17'!W12</f>
        <v>0</v>
      </c>
      <c r="C73" s="124">
        <f>'Equipment SCS 4-24-17'!X12</f>
        <v>0</v>
      </c>
      <c r="D73" s="124">
        <f>'Equipment SCS 4-24-17'!Y12</f>
        <v>0</v>
      </c>
      <c r="E73" s="124">
        <f>'Construction Trucks SCS 4-24-17'!AB16</f>
        <v>64.542737060171092</v>
      </c>
      <c r="F73" s="124">
        <f>'Construction Trucks SCS 4-24-17'!AC16</f>
        <v>3.688165623829356E-3</v>
      </c>
      <c r="G73" s="124">
        <f>'Construction Trucks SCS 4-24-17'!AD16</f>
        <v>1.6533267525333424E-3</v>
      </c>
      <c r="H73" s="124">
        <f>'WorkerTrips SCS 4-24-17'!N91</f>
        <v>221.69430690415558</v>
      </c>
      <c r="I73" s="124">
        <f>'WorkerTrips SCS 4-24-17'!O91</f>
        <v>1.2681901556120997E-2</v>
      </c>
      <c r="J73" s="124">
        <f>'WorkerTrips SCS 4-24-17'!P91</f>
        <v>2.3084479655373441E-2</v>
      </c>
      <c r="K73" s="428">
        <f t="shared" si="71"/>
        <v>293.25092454346054</v>
      </c>
      <c r="L73" s="123"/>
      <c r="M73" s="123"/>
      <c r="N73" s="123"/>
      <c r="O73" s="123"/>
      <c r="P73" s="123"/>
      <c r="Q73" s="123"/>
      <c r="R73" s="123"/>
      <c r="S73" s="123"/>
      <c r="T73" s="123"/>
      <c r="U73" s="428">
        <f t="shared" si="72"/>
        <v>0</v>
      </c>
      <c r="V73" s="123"/>
      <c r="W73" s="123"/>
      <c r="X73" s="123"/>
      <c r="Y73" s="123"/>
      <c r="Z73" s="123"/>
      <c r="AA73" s="123"/>
      <c r="AB73" s="123"/>
      <c r="AC73" s="123"/>
      <c r="AD73" s="123"/>
      <c r="AE73" s="428">
        <f t="shared" si="73"/>
        <v>0</v>
      </c>
      <c r="AF73" s="124">
        <f>AF72</f>
        <v>8766.4509325151248</v>
      </c>
      <c r="AG73" s="124">
        <f>AG72</f>
        <v>0.43944637654070495</v>
      </c>
      <c r="AH73" s="124">
        <f>AH72</f>
        <v>3.6937470760505544</v>
      </c>
      <c r="AI73" s="124">
        <f>AI72</f>
        <v>193.62821118051326</v>
      </c>
      <c r="AJ73" s="124">
        <f>AJ72</f>
        <v>1.1064496871488068E-2</v>
      </c>
      <c r="AK73" s="124">
        <f>AK72</f>
        <v>4.9599802576000274E-3</v>
      </c>
      <c r="AL73" s="124">
        <f>AL72</f>
        <v>665.08292071246683</v>
      </c>
      <c r="AM73" s="124">
        <f>AM72</f>
        <v>3.804570466836299E-2</v>
      </c>
      <c r="AN73" s="124">
        <f>AN72</f>
        <v>6.9253438966120323E-2</v>
      </c>
      <c r="AO73" s="428">
        <f t="shared" si="74"/>
        <v>10637.351179842042</v>
      </c>
      <c r="AP73" s="124">
        <f t="shared" si="78"/>
        <v>333.09083124905044</v>
      </c>
      <c r="AQ73" s="124">
        <f t="shared" ref="AQ73:AR73" si="82">AQ72</f>
        <v>2.127986595539268E-2</v>
      </c>
      <c r="AR73" s="124">
        <f t="shared" si="82"/>
        <v>0.16488478213630642</v>
      </c>
      <c r="AS73" s="124">
        <f t="shared" si="78"/>
        <v>0</v>
      </c>
      <c r="AT73" s="124">
        <f t="shared" ref="AT73:AU73" si="83">AT72</f>
        <v>0</v>
      </c>
      <c r="AU73" s="124">
        <f t="shared" si="83"/>
        <v>0</v>
      </c>
      <c r="AV73" s="124">
        <f t="shared" si="78"/>
        <v>110.84715345207779</v>
      </c>
      <c r="AW73" s="124">
        <f t="shared" ref="AW73:AX73" si="84">AW72</f>
        <v>6.3409507780604986E-3</v>
      </c>
      <c r="AX73" s="124">
        <f t="shared" si="84"/>
        <v>1.1542239827686721E-2</v>
      </c>
      <c r="AY73" s="428">
        <f t="shared" si="75"/>
        <v>491.46452839012306</v>
      </c>
      <c r="AZ73" s="428"/>
      <c r="BA73" s="428"/>
      <c r="BB73" s="428"/>
      <c r="BC73" s="428"/>
      <c r="BD73" s="428"/>
      <c r="BE73" s="428"/>
      <c r="BF73" s="428"/>
      <c r="BG73" s="428"/>
      <c r="BH73" s="428"/>
      <c r="BI73" s="428">
        <f t="shared" si="76"/>
        <v>0</v>
      </c>
      <c r="BJ73" s="27">
        <f t="shared" si="77"/>
        <v>25.905077185828784</v>
      </c>
    </row>
    <row r="74" spans="1:62">
      <c r="A74" s="427">
        <f t="shared" si="8"/>
        <v>42856</v>
      </c>
      <c r="B74" s="124">
        <f>'Equipment SCS 5-1-17'!W12</f>
        <v>0</v>
      </c>
      <c r="C74" s="124">
        <f>'Equipment SCS 5-1-17'!X12</f>
        <v>0</v>
      </c>
      <c r="D74" s="124">
        <f>'Equipment SCS 5-1-17'!Y12</f>
        <v>0</v>
      </c>
      <c r="E74" s="124">
        <f>'Construction Trucks SCS 5-1-17'!AB15</f>
        <v>64.542737060171092</v>
      </c>
      <c r="F74" s="124">
        <f>'Construction Trucks SCS 5-1-17'!AC15</f>
        <v>3.688165623829356E-3</v>
      </c>
      <c r="G74" s="124">
        <f>'Construction Trucks SCS 5-1-17'!AD15</f>
        <v>1.6533267525333424E-3</v>
      </c>
      <c r="H74" s="124">
        <f>'WorkerTrips SCS 5-1-17'!N91</f>
        <v>221.69430690415558</v>
      </c>
      <c r="I74" s="124">
        <f>'WorkerTrips SCS 5-1-17'!O91</f>
        <v>1.2681901556120997E-2</v>
      </c>
      <c r="J74" s="124">
        <f>'WorkerTrips SCS 5-1-17'!P91</f>
        <v>2.3084479655373441E-2</v>
      </c>
      <c r="K74" s="428">
        <f t="shared" si="71"/>
        <v>293.25092454346054</v>
      </c>
      <c r="L74" s="123"/>
      <c r="M74" s="123"/>
      <c r="N74" s="123"/>
      <c r="O74" s="123"/>
      <c r="P74" s="123"/>
      <c r="Q74" s="123"/>
      <c r="R74" s="123"/>
      <c r="S74" s="123"/>
      <c r="T74" s="123"/>
      <c r="U74" s="428">
        <f t="shared" si="72"/>
        <v>0</v>
      </c>
      <c r="V74" s="123"/>
      <c r="W74" s="123"/>
      <c r="X74" s="123"/>
      <c r="Y74" s="123"/>
      <c r="Z74" s="123"/>
      <c r="AA74" s="123"/>
      <c r="AB74" s="123"/>
      <c r="AC74" s="123"/>
      <c r="AD74" s="123"/>
      <c r="AE74" s="428">
        <f t="shared" si="73"/>
        <v>0</v>
      </c>
      <c r="AF74" s="124">
        <f t="shared" ref="AF74:AL75" si="85">AF73</f>
        <v>8766.4509325151248</v>
      </c>
      <c r="AG74" s="124">
        <f t="shared" ref="AG74:AH74" si="86">AG73</f>
        <v>0.43944637654070495</v>
      </c>
      <c r="AH74" s="124">
        <f t="shared" si="86"/>
        <v>3.6937470760505544</v>
      </c>
      <c r="AI74" s="124">
        <f t="shared" si="85"/>
        <v>193.62821118051326</v>
      </c>
      <c r="AJ74" s="124">
        <f t="shared" ref="AJ74:AK74" si="87">AJ73</f>
        <v>1.1064496871488068E-2</v>
      </c>
      <c r="AK74" s="124">
        <f t="shared" si="87"/>
        <v>4.9599802576000274E-3</v>
      </c>
      <c r="AL74" s="124">
        <f t="shared" si="85"/>
        <v>665.08292071246683</v>
      </c>
      <c r="AM74" s="124">
        <f t="shared" ref="AM74:AN74" si="88">AM73</f>
        <v>3.804570466836299E-2</v>
      </c>
      <c r="AN74" s="124">
        <f t="shared" si="88"/>
        <v>6.9253438966120323E-2</v>
      </c>
      <c r="AO74" s="428">
        <f t="shared" si="74"/>
        <v>10637.351179842042</v>
      </c>
      <c r="AP74" s="124">
        <f t="shared" si="78"/>
        <v>333.09083124905044</v>
      </c>
      <c r="AQ74" s="124">
        <f t="shared" ref="AQ74:AR74" si="89">AQ73</f>
        <v>2.127986595539268E-2</v>
      </c>
      <c r="AR74" s="124">
        <f t="shared" si="89"/>
        <v>0.16488478213630642</v>
      </c>
      <c r="AS74" s="124">
        <f t="shared" si="78"/>
        <v>0</v>
      </c>
      <c r="AT74" s="124">
        <f t="shared" ref="AT74:AU74" si="90">AT73</f>
        <v>0</v>
      </c>
      <c r="AU74" s="124">
        <f t="shared" si="90"/>
        <v>0</v>
      </c>
      <c r="AV74" s="124">
        <f t="shared" si="78"/>
        <v>110.84715345207779</v>
      </c>
      <c r="AW74" s="124">
        <f t="shared" ref="AW74:AX74" si="91">AW73</f>
        <v>6.3409507780604986E-3</v>
      </c>
      <c r="AX74" s="124">
        <f t="shared" si="91"/>
        <v>1.1542239827686721E-2</v>
      </c>
      <c r="AY74" s="428">
        <f t="shared" si="75"/>
        <v>491.46452839012306</v>
      </c>
      <c r="AZ74" s="428"/>
      <c r="BA74" s="428"/>
      <c r="BB74" s="428"/>
      <c r="BC74" s="428"/>
      <c r="BD74" s="428"/>
      <c r="BE74" s="428"/>
      <c r="BF74" s="428"/>
      <c r="BG74" s="428"/>
      <c r="BH74" s="428"/>
      <c r="BI74" s="428">
        <f t="shared" si="76"/>
        <v>0</v>
      </c>
      <c r="BJ74" s="27">
        <f t="shared" si="77"/>
        <v>25.905077185828784</v>
      </c>
    </row>
    <row r="75" spans="1:62">
      <c r="A75" s="427">
        <f t="shared" si="8"/>
        <v>42863</v>
      </c>
      <c r="B75" s="124">
        <f>'Equipment SCS 5-8-17'!W12</f>
        <v>0</v>
      </c>
      <c r="C75" s="124">
        <f>'Equipment SCS 5-8-17'!X12</f>
        <v>0</v>
      </c>
      <c r="D75" s="124">
        <f>'Equipment SCS 5-8-17'!Y12</f>
        <v>0</v>
      </c>
      <c r="E75" s="124">
        <f>'Construction Trucks SCS 5-8-17'!AB16</f>
        <v>64.542737060171092</v>
      </c>
      <c r="F75" s="124">
        <f>'Construction Trucks SCS 5-8-17'!AC16</f>
        <v>3.688165623829356E-3</v>
      </c>
      <c r="G75" s="124">
        <f>'Construction Trucks SCS 5-8-17'!AD16</f>
        <v>1.6533267525333424E-3</v>
      </c>
      <c r="H75" s="124">
        <f>'WorkerTrips SCS 5-8-17'!N91</f>
        <v>221.69430690415558</v>
      </c>
      <c r="I75" s="124">
        <f>'WorkerTrips SCS 5-8-17'!O91</f>
        <v>1.2681901556120997E-2</v>
      </c>
      <c r="J75" s="124">
        <f>'WorkerTrips SCS 5-8-17'!P91</f>
        <v>2.3084479655373441E-2</v>
      </c>
      <c r="K75" s="428">
        <f t="shared" si="71"/>
        <v>293.25092454346054</v>
      </c>
      <c r="L75" s="123"/>
      <c r="M75" s="123"/>
      <c r="N75" s="123"/>
      <c r="O75" s="123"/>
      <c r="P75" s="123"/>
      <c r="Q75" s="123"/>
      <c r="R75" s="123"/>
      <c r="S75" s="123"/>
      <c r="T75" s="123"/>
      <c r="U75" s="428">
        <f t="shared" si="72"/>
        <v>0</v>
      </c>
      <c r="V75" s="123"/>
      <c r="W75" s="123"/>
      <c r="X75" s="123"/>
      <c r="Y75" s="123"/>
      <c r="Z75" s="123"/>
      <c r="AA75" s="123"/>
      <c r="AB75" s="123"/>
      <c r="AC75" s="123"/>
      <c r="AD75" s="123"/>
      <c r="AE75" s="428">
        <f t="shared" si="73"/>
        <v>0</v>
      </c>
      <c r="AF75" s="124">
        <f t="shared" si="85"/>
        <v>8766.4509325151248</v>
      </c>
      <c r="AG75" s="124">
        <f t="shared" ref="AG75:AH75" si="92">AG74</f>
        <v>0.43944637654070495</v>
      </c>
      <c r="AH75" s="124">
        <f t="shared" si="92"/>
        <v>3.6937470760505544</v>
      </c>
      <c r="AI75" s="124">
        <f t="shared" si="85"/>
        <v>193.62821118051326</v>
      </c>
      <c r="AJ75" s="124">
        <f t="shared" ref="AJ75:AK75" si="93">AJ74</f>
        <v>1.1064496871488068E-2</v>
      </c>
      <c r="AK75" s="124">
        <f t="shared" si="93"/>
        <v>4.9599802576000274E-3</v>
      </c>
      <c r="AL75" s="124">
        <f t="shared" si="85"/>
        <v>665.08292071246683</v>
      </c>
      <c r="AM75" s="124">
        <f t="shared" ref="AM75:AN75" si="94">AM74</f>
        <v>3.804570466836299E-2</v>
      </c>
      <c r="AN75" s="124">
        <f t="shared" si="94"/>
        <v>6.9253438966120323E-2</v>
      </c>
      <c r="AO75" s="428">
        <f t="shared" si="74"/>
        <v>10637.351179842042</v>
      </c>
      <c r="AP75" s="124">
        <f>'Equipment Miguel 6-23-17'!W9</f>
        <v>333.09083124905044</v>
      </c>
      <c r="AQ75" s="124">
        <f>'Equipment Miguel 6-23-17'!X9</f>
        <v>2.127986595539268E-2</v>
      </c>
      <c r="AR75" s="124">
        <f>'Equipment Miguel 6-23-17'!Y9</f>
        <v>0.16488478213630642</v>
      </c>
      <c r="AS75" s="124">
        <f>'Construction Truck Mig 6-23-17'!AB11</f>
        <v>96.814105590256631</v>
      </c>
      <c r="AT75" s="124">
        <f>'Construction Truck Mig 6-23-17'!AC11</f>
        <v>5.5322484357440338E-3</v>
      </c>
      <c r="AU75" s="124">
        <f>'Construction Truck Mig 6-23-17'!AD11</f>
        <v>2.4799901288000137E-3</v>
      </c>
      <c r="AV75" s="124">
        <f>'WorkerTrips Miguel 6-23-17'!N89</f>
        <v>166.27073017811671</v>
      </c>
      <c r="AW75" s="124">
        <f>'WorkerTrips Miguel 6-23-17'!O89</f>
        <v>9.5114261670907474E-3</v>
      </c>
      <c r="AX75" s="124">
        <f>'WorkerTrips Miguel 6-23-17'!P89</f>
        <v>1.7313359741530081E-2</v>
      </c>
      <c r="AY75" s="428">
        <f t="shared" si="75"/>
        <v>646.13243113481292</v>
      </c>
      <c r="AZ75" s="428"/>
      <c r="BA75" s="428"/>
      <c r="BB75" s="428"/>
      <c r="BC75" s="428"/>
      <c r="BD75" s="428"/>
      <c r="BE75" s="428"/>
      <c r="BF75" s="428"/>
      <c r="BG75" s="428"/>
      <c r="BH75" s="428"/>
      <c r="BI75" s="428">
        <f t="shared" si="76"/>
        <v>0</v>
      </c>
      <c r="BJ75" s="27">
        <f t="shared" si="77"/>
        <v>26.255861688107402</v>
      </c>
    </row>
    <row r="76" spans="1:62">
      <c r="A76" s="427">
        <f t="shared" si="8"/>
        <v>42870</v>
      </c>
      <c r="B76" s="124">
        <f>'Equipment SCS 5-15-17'!W9</f>
        <v>0</v>
      </c>
      <c r="C76" s="124">
        <f>'Equipment SCS 5-15-17'!X9</f>
        <v>0</v>
      </c>
      <c r="D76" s="124">
        <f>'Equipment SCS 5-15-17'!Y9</f>
        <v>0</v>
      </c>
      <c r="E76" s="124">
        <f>'Construction Trucks SCS 5-15-17'!AB11</f>
        <v>32.271368530085546</v>
      </c>
      <c r="F76" s="124">
        <f>'Construction Trucks SCS 5-15-17'!AC11</f>
        <v>1.844082811914678E-3</v>
      </c>
      <c r="G76" s="124">
        <f>'Construction Trucks SCS 5-15-17'!AD11</f>
        <v>8.2666337626667119E-4</v>
      </c>
      <c r="H76" s="124">
        <f>'WorkerTrips SCS 5-15-17'!N89</f>
        <v>110.84715345207779</v>
      </c>
      <c r="I76" s="124">
        <f>'WorkerTrips SCS 5-15-17'!O89</f>
        <v>6.3409507780604986E-3</v>
      </c>
      <c r="J76" s="124">
        <f>'WorkerTrips SCS 5-15-17'!P89</f>
        <v>1.1542239827686721E-2</v>
      </c>
      <c r="K76" s="428">
        <f t="shared" si="71"/>
        <v>146.62546227173027</v>
      </c>
      <c r="L76" s="123"/>
      <c r="M76" s="123"/>
      <c r="N76" s="123"/>
      <c r="O76" s="123"/>
      <c r="P76" s="123"/>
      <c r="Q76" s="123"/>
      <c r="R76" s="123"/>
      <c r="S76" s="123"/>
      <c r="T76" s="123"/>
      <c r="U76" s="428">
        <f t="shared" si="72"/>
        <v>0</v>
      </c>
      <c r="V76" s="123"/>
      <c r="W76" s="123"/>
      <c r="X76" s="123"/>
      <c r="Y76" s="123"/>
      <c r="Z76" s="123"/>
      <c r="AA76" s="123"/>
      <c r="AB76" s="123"/>
      <c r="AC76" s="123"/>
      <c r="AD76" s="123"/>
      <c r="AE76" s="428">
        <f t="shared" si="73"/>
        <v>0</v>
      </c>
      <c r="AF76" s="123"/>
      <c r="AG76" s="123"/>
      <c r="AH76" s="123"/>
      <c r="AI76" s="123"/>
      <c r="AJ76" s="123"/>
      <c r="AK76" s="123"/>
      <c r="AL76" s="123"/>
      <c r="AM76" s="123"/>
      <c r="AN76" s="123"/>
      <c r="AO76" s="428">
        <f t="shared" si="74"/>
        <v>0</v>
      </c>
      <c r="AP76" s="124">
        <f>'Equipment Miguel 6-30-17'!W9</f>
        <v>333.09083124905044</v>
      </c>
      <c r="AQ76" s="124">
        <f>'Equipment Miguel 6-30-17'!X9</f>
        <v>2.127986595539268E-2</v>
      </c>
      <c r="AR76" s="124">
        <f>'Equipment Miguel 6-30-17'!Y9</f>
        <v>0.16488478213630642</v>
      </c>
      <c r="AS76" s="124">
        <f>'Construction Truck Mig 6-30-17'!AB11</f>
        <v>96.814105590256631</v>
      </c>
      <c r="AT76" s="124">
        <f>'Construction Truck Mig 6-30-17'!AC11</f>
        <v>5.5322484357440338E-3</v>
      </c>
      <c r="AU76" s="124">
        <f>'Construction Truck Mig 6-30-17'!AD11</f>
        <v>2.4799901288000137E-3</v>
      </c>
      <c r="AV76" s="124">
        <f>'WorkerTrips Miguel 6-30-17'!N89</f>
        <v>166.27073017811671</v>
      </c>
      <c r="AW76" s="124">
        <f>'WorkerTrips Miguel 6-30-17'!O89</f>
        <v>9.5114261670907474E-3</v>
      </c>
      <c r="AX76" s="124">
        <f>'WorkerTrips Miguel 6-30-17'!P89</f>
        <v>1.7313359741530081E-2</v>
      </c>
      <c r="AY76" s="428">
        <f t="shared" si="75"/>
        <v>646.13243113481292</v>
      </c>
      <c r="AZ76" s="428"/>
      <c r="BA76" s="428"/>
      <c r="BB76" s="428"/>
      <c r="BC76" s="428"/>
      <c r="BD76" s="428"/>
      <c r="BE76" s="428"/>
      <c r="BF76" s="428"/>
      <c r="BG76" s="428"/>
      <c r="BH76" s="428"/>
      <c r="BI76" s="428">
        <f t="shared" si="76"/>
        <v>0</v>
      </c>
      <c r="BJ76" s="27">
        <f t="shared" si="77"/>
        <v>1.7979631076080542</v>
      </c>
    </row>
    <row r="77" spans="1:62">
      <c r="A77" s="427">
        <f t="shared" si="8"/>
        <v>42877</v>
      </c>
      <c r="B77" s="124">
        <f t="shared" ref="B77:H81" si="95">B76</f>
        <v>0</v>
      </c>
      <c r="C77" s="124">
        <f t="shared" ref="C77:D77" si="96">C76</f>
        <v>0</v>
      </c>
      <c r="D77" s="124">
        <f t="shared" si="96"/>
        <v>0</v>
      </c>
      <c r="E77" s="124">
        <f t="shared" si="95"/>
        <v>32.271368530085546</v>
      </c>
      <c r="F77" s="124">
        <f t="shared" ref="F77:G77" si="97">F76</f>
        <v>1.844082811914678E-3</v>
      </c>
      <c r="G77" s="124">
        <f t="shared" si="97"/>
        <v>8.2666337626667119E-4</v>
      </c>
      <c r="H77" s="124">
        <f t="shared" si="95"/>
        <v>110.84715345207779</v>
      </c>
      <c r="I77" s="124">
        <f t="shared" ref="I77:J77" si="98">I76</f>
        <v>6.3409507780604986E-3</v>
      </c>
      <c r="J77" s="124">
        <f t="shared" si="98"/>
        <v>1.1542239827686721E-2</v>
      </c>
      <c r="K77" s="428">
        <f t="shared" si="71"/>
        <v>146.62546227173027</v>
      </c>
      <c r="L77" s="123"/>
      <c r="M77" s="123"/>
      <c r="N77" s="123"/>
      <c r="O77" s="123"/>
      <c r="P77" s="123"/>
      <c r="Q77" s="123"/>
      <c r="R77" s="123"/>
      <c r="S77" s="123"/>
      <c r="T77" s="123"/>
      <c r="U77" s="428">
        <f t="shared" si="72"/>
        <v>0</v>
      </c>
      <c r="V77" s="123"/>
      <c r="W77" s="123"/>
      <c r="X77" s="123"/>
      <c r="Y77" s="123"/>
      <c r="Z77" s="123"/>
      <c r="AA77" s="123"/>
      <c r="AB77" s="123"/>
      <c r="AC77" s="123"/>
      <c r="AD77" s="123"/>
      <c r="AE77" s="428">
        <f t="shared" si="73"/>
        <v>0</v>
      </c>
      <c r="AF77" s="123"/>
      <c r="AG77" s="123"/>
      <c r="AH77" s="123"/>
      <c r="AI77" s="123"/>
      <c r="AJ77" s="123"/>
      <c r="AK77" s="123"/>
      <c r="AL77" s="123"/>
      <c r="AM77" s="123"/>
      <c r="AN77" s="123"/>
      <c r="AO77" s="428">
        <f t="shared" si="74"/>
        <v>0</v>
      </c>
      <c r="AP77" s="124">
        <f t="shared" ref="AP77:AV78" si="99">AP76</f>
        <v>333.09083124905044</v>
      </c>
      <c r="AQ77" s="124">
        <f t="shared" ref="AQ77:AR77" si="100">AQ76</f>
        <v>2.127986595539268E-2</v>
      </c>
      <c r="AR77" s="124">
        <f t="shared" si="100"/>
        <v>0.16488478213630642</v>
      </c>
      <c r="AS77" s="124">
        <f t="shared" si="99"/>
        <v>96.814105590256631</v>
      </c>
      <c r="AT77" s="124">
        <f t="shared" ref="AT77:AU77" si="101">AT76</f>
        <v>5.5322484357440338E-3</v>
      </c>
      <c r="AU77" s="124">
        <f t="shared" si="101"/>
        <v>2.4799901288000137E-3</v>
      </c>
      <c r="AV77" s="124">
        <f t="shared" si="99"/>
        <v>166.27073017811671</v>
      </c>
      <c r="AW77" s="124">
        <f t="shared" ref="AW77:AX77" si="102">AW76</f>
        <v>9.5114261670907474E-3</v>
      </c>
      <c r="AX77" s="124">
        <f t="shared" si="102"/>
        <v>1.7313359741530081E-2</v>
      </c>
      <c r="AY77" s="428">
        <f t="shared" si="75"/>
        <v>646.13243113481292</v>
      </c>
      <c r="AZ77" s="428"/>
      <c r="BA77" s="428"/>
      <c r="BB77" s="428"/>
      <c r="BC77" s="428"/>
      <c r="BD77" s="428"/>
      <c r="BE77" s="428"/>
      <c r="BF77" s="428"/>
      <c r="BG77" s="428"/>
      <c r="BH77" s="428"/>
      <c r="BI77" s="428">
        <f t="shared" si="76"/>
        <v>0</v>
      </c>
      <c r="BJ77" s="27">
        <f t="shared" si="77"/>
        <v>1.7979631076080542</v>
      </c>
    </row>
    <row r="78" spans="1:62">
      <c r="A78" s="427">
        <f t="shared" si="8"/>
        <v>42884</v>
      </c>
      <c r="B78" s="124">
        <f t="shared" si="95"/>
        <v>0</v>
      </c>
      <c r="C78" s="124">
        <f t="shared" ref="C78:D78" si="103">C77</f>
        <v>0</v>
      </c>
      <c r="D78" s="124">
        <f t="shared" si="103"/>
        <v>0</v>
      </c>
      <c r="E78" s="124">
        <f t="shared" si="95"/>
        <v>32.271368530085546</v>
      </c>
      <c r="F78" s="124">
        <f t="shared" ref="F78:G78" si="104">F77</f>
        <v>1.844082811914678E-3</v>
      </c>
      <c r="G78" s="124">
        <f t="shared" si="104"/>
        <v>8.2666337626667119E-4</v>
      </c>
      <c r="H78" s="124">
        <f t="shared" si="95"/>
        <v>110.84715345207779</v>
      </c>
      <c r="I78" s="124">
        <f t="shared" ref="I78:J78" si="105">I77</f>
        <v>6.3409507780604986E-3</v>
      </c>
      <c r="J78" s="124">
        <f t="shared" si="105"/>
        <v>1.1542239827686721E-2</v>
      </c>
      <c r="K78" s="428">
        <f t="shared" si="71"/>
        <v>146.62546227173027</v>
      </c>
      <c r="L78" s="123"/>
      <c r="M78" s="123"/>
      <c r="N78" s="123"/>
      <c r="O78" s="123"/>
      <c r="P78" s="123"/>
      <c r="Q78" s="123"/>
      <c r="R78" s="123"/>
      <c r="S78" s="123"/>
      <c r="T78" s="123"/>
      <c r="U78" s="428">
        <f t="shared" si="72"/>
        <v>0</v>
      </c>
      <c r="V78" s="123"/>
      <c r="W78" s="123"/>
      <c r="X78" s="123"/>
      <c r="Y78" s="123"/>
      <c r="Z78" s="123"/>
      <c r="AA78" s="123"/>
      <c r="AB78" s="123"/>
      <c r="AC78" s="123"/>
      <c r="AD78" s="123"/>
      <c r="AE78" s="428">
        <f t="shared" si="73"/>
        <v>0</v>
      </c>
      <c r="AF78" s="123"/>
      <c r="AG78" s="123"/>
      <c r="AH78" s="123"/>
      <c r="AI78" s="123"/>
      <c r="AJ78" s="123"/>
      <c r="AK78" s="123"/>
      <c r="AL78" s="123"/>
      <c r="AM78" s="123"/>
      <c r="AN78" s="123"/>
      <c r="AO78" s="428">
        <f t="shared" si="74"/>
        <v>0</v>
      </c>
      <c r="AP78" s="124">
        <f t="shared" si="99"/>
        <v>333.09083124905044</v>
      </c>
      <c r="AQ78" s="124">
        <f t="shared" ref="AQ78:AR78" si="106">AQ77</f>
        <v>2.127986595539268E-2</v>
      </c>
      <c r="AR78" s="124">
        <f t="shared" si="106"/>
        <v>0.16488478213630642</v>
      </c>
      <c r="AS78" s="124">
        <f t="shared" si="99"/>
        <v>96.814105590256631</v>
      </c>
      <c r="AT78" s="124">
        <f t="shared" ref="AT78:AU78" si="107">AT77</f>
        <v>5.5322484357440338E-3</v>
      </c>
      <c r="AU78" s="124">
        <f t="shared" si="107"/>
        <v>2.4799901288000137E-3</v>
      </c>
      <c r="AV78" s="124">
        <f t="shared" si="99"/>
        <v>166.27073017811671</v>
      </c>
      <c r="AW78" s="124">
        <f t="shared" ref="AW78:AX78" si="108">AW77</f>
        <v>9.5114261670907474E-3</v>
      </c>
      <c r="AX78" s="124">
        <f t="shared" si="108"/>
        <v>1.7313359741530081E-2</v>
      </c>
      <c r="AY78" s="428">
        <f t="shared" si="75"/>
        <v>646.13243113481292</v>
      </c>
      <c r="AZ78" s="428"/>
      <c r="BA78" s="428"/>
      <c r="BB78" s="428"/>
      <c r="BC78" s="428"/>
      <c r="BD78" s="428"/>
      <c r="BE78" s="428"/>
      <c r="BF78" s="428"/>
      <c r="BG78" s="428"/>
      <c r="BH78" s="428"/>
      <c r="BI78" s="428">
        <f t="shared" si="76"/>
        <v>0</v>
      </c>
      <c r="BJ78" s="27">
        <f t="shared" si="77"/>
        <v>1.7979631076080542</v>
      </c>
    </row>
    <row r="79" spans="1:62">
      <c r="A79" s="427">
        <f t="shared" ref="A79:A89" si="109">7+A78</f>
        <v>42891</v>
      </c>
      <c r="B79" s="124">
        <f t="shared" si="95"/>
        <v>0</v>
      </c>
      <c r="C79" s="124">
        <f t="shared" ref="C79:D79" si="110">C78</f>
        <v>0</v>
      </c>
      <c r="D79" s="124">
        <f t="shared" si="110"/>
        <v>0</v>
      </c>
      <c r="E79" s="124">
        <f t="shared" si="95"/>
        <v>32.271368530085546</v>
      </c>
      <c r="F79" s="124">
        <f t="shared" ref="F79:G79" si="111">F78</f>
        <v>1.844082811914678E-3</v>
      </c>
      <c r="G79" s="124">
        <f t="shared" si="111"/>
        <v>8.2666337626667119E-4</v>
      </c>
      <c r="H79" s="124">
        <f t="shared" si="95"/>
        <v>110.84715345207779</v>
      </c>
      <c r="I79" s="124">
        <f t="shared" ref="I79:J79" si="112">I78</f>
        <v>6.3409507780604986E-3</v>
      </c>
      <c r="J79" s="124">
        <f t="shared" si="112"/>
        <v>1.1542239827686721E-2</v>
      </c>
      <c r="K79" s="428">
        <f t="shared" si="71"/>
        <v>146.62546227173027</v>
      </c>
      <c r="L79" s="123"/>
      <c r="M79" s="123"/>
      <c r="N79" s="123"/>
      <c r="O79" s="123"/>
      <c r="P79" s="123"/>
      <c r="Q79" s="123"/>
      <c r="R79" s="123"/>
      <c r="S79" s="123"/>
      <c r="T79" s="123"/>
      <c r="U79" s="428">
        <f t="shared" si="72"/>
        <v>0</v>
      </c>
      <c r="V79" s="123"/>
      <c r="W79" s="123"/>
      <c r="X79" s="123"/>
      <c r="Y79" s="123"/>
      <c r="Z79" s="123"/>
      <c r="AA79" s="123"/>
      <c r="AB79" s="123"/>
      <c r="AC79" s="123"/>
      <c r="AD79" s="123"/>
      <c r="AE79" s="428">
        <f t="shared" si="73"/>
        <v>0</v>
      </c>
      <c r="AF79" s="123"/>
      <c r="AG79" s="123"/>
      <c r="AH79" s="123"/>
      <c r="AI79" s="123"/>
      <c r="AJ79" s="123"/>
      <c r="AK79" s="123"/>
      <c r="AL79" s="123"/>
      <c r="AM79" s="123"/>
      <c r="AN79" s="123"/>
      <c r="AO79" s="428">
        <f t="shared" si="74"/>
        <v>0</v>
      </c>
      <c r="AP79" s="124"/>
      <c r="AQ79" s="124"/>
      <c r="AR79" s="124"/>
      <c r="AS79" s="124"/>
      <c r="AT79" s="124"/>
      <c r="AU79" s="124"/>
      <c r="AV79" s="124"/>
      <c r="AW79" s="124"/>
      <c r="AX79" s="124"/>
      <c r="AY79" s="428">
        <f t="shared" si="75"/>
        <v>0</v>
      </c>
      <c r="AZ79" s="428"/>
      <c r="BA79" s="428"/>
      <c r="BB79" s="428"/>
      <c r="BC79" s="428"/>
      <c r="BD79" s="428"/>
      <c r="BE79" s="428"/>
      <c r="BF79" s="428"/>
      <c r="BG79" s="428"/>
      <c r="BH79" s="428"/>
      <c r="BI79" s="428">
        <f t="shared" si="76"/>
        <v>0</v>
      </c>
      <c r="BJ79" s="27">
        <f t="shared" si="77"/>
        <v>0.33254436694123712</v>
      </c>
    </row>
    <row r="80" spans="1:62">
      <c r="A80" s="427">
        <f t="shared" si="109"/>
        <v>42898</v>
      </c>
      <c r="B80" s="124">
        <f t="shared" si="95"/>
        <v>0</v>
      </c>
      <c r="C80" s="124">
        <f t="shared" ref="C80:D80" si="113">C79</f>
        <v>0</v>
      </c>
      <c r="D80" s="124">
        <f t="shared" si="113"/>
        <v>0</v>
      </c>
      <c r="E80" s="124">
        <f t="shared" si="95"/>
        <v>32.271368530085546</v>
      </c>
      <c r="F80" s="124">
        <f t="shared" ref="F80:G80" si="114">F79</f>
        <v>1.844082811914678E-3</v>
      </c>
      <c r="G80" s="124">
        <f t="shared" si="114"/>
        <v>8.2666337626667119E-4</v>
      </c>
      <c r="H80" s="124">
        <f t="shared" si="95"/>
        <v>110.84715345207779</v>
      </c>
      <c r="I80" s="124">
        <f t="shared" ref="I80:J80" si="115">I79</f>
        <v>6.3409507780604986E-3</v>
      </c>
      <c r="J80" s="124">
        <f t="shared" si="115"/>
        <v>1.1542239827686721E-2</v>
      </c>
      <c r="K80" s="428">
        <f t="shared" si="71"/>
        <v>146.62546227173027</v>
      </c>
      <c r="L80" s="123"/>
      <c r="M80" s="123"/>
      <c r="N80" s="123"/>
      <c r="O80" s="123"/>
      <c r="P80" s="123"/>
      <c r="Q80" s="123"/>
      <c r="R80" s="123"/>
      <c r="S80" s="123"/>
      <c r="T80" s="123"/>
      <c r="U80" s="428">
        <f t="shared" si="72"/>
        <v>0</v>
      </c>
      <c r="V80" s="123"/>
      <c r="W80" s="123"/>
      <c r="X80" s="123"/>
      <c r="Y80" s="123"/>
      <c r="Z80" s="123"/>
      <c r="AA80" s="123"/>
      <c r="AB80" s="123"/>
      <c r="AC80" s="123"/>
      <c r="AD80" s="123"/>
      <c r="AE80" s="428">
        <f t="shared" si="73"/>
        <v>0</v>
      </c>
      <c r="AF80" s="123"/>
      <c r="AG80" s="123"/>
      <c r="AH80" s="123"/>
      <c r="AI80" s="123"/>
      <c r="AJ80" s="123"/>
      <c r="AK80" s="123"/>
      <c r="AL80" s="123"/>
      <c r="AM80" s="123"/>
      <c r="AN80" s="123"/>
      <c r="AO80" s="428">
        <f t="shared" si="74"/>
        <v>0</v>
      </c>
      <c r="AP80" s="124"/>
      <c r="AQ80" s="124"/>
      <c r="AR80" s="124"/>
      <c r="AS80" s="124"/>
      <c r="AT80" s="124"/>
      <c r="AU80" s="124"/>
      <c r="AV80" s="124"/>
      <c r="AW80" s="124"/>
      <c r="AX80" s="124"/>
      <c r="AY80" s="428">
        <f t="shared" si="75"/>
        <v>0</v>
      </c>
      <c r="AZ80" s="428"/>
      <c r="BA80" s="428"/>
      <c r="BB80" s="428"/>
      <c r="BC80" s="428"/>
      <c r="BD80" s="428"/>
      <c r="BE80" s="428"/>
      <c r="BF80" s="428"/>
      <c r="BG80" s="428"/>
      <c r="BH80" s="428"/>
      <c r="BI80" s="428">
        <f t="shared" si="76"/>
        <v>0</v>
      </c>
      <c r="BJ80" s="27">
        <f t="shared" si="77"/>
        <v>0.33254436694123712</v>
      </c>
    </row>
    <row r="81" spans="1:62">
      <c r="A81" s="427">
        <f t="shared" si="109"/>
        <v>42905</v>
      </c>
      <c r="B81" s="124">
        <f t="shared" si="95"/>
        <v>0</v>
      </c>
      <c r="C81" s="124">
        <f t="shared" ref="C81:D81" si="116">C80</f>
        <v>0</v>
      </c>
      <c r="D81" s="124">
        <f t="shared" si="116"/>
        <v>0</v>
      </c>
      <c r="E81" s="124">
        <f t="shared" si="95"/>
        <v>32.271368530085546</v>
      </c>
      <c r="F81" s="124">
        <f t="shared" ref="F81:G81" si="117">F80</f>
        <v>1.844082811914678E-3</v>
      </c>
      <c r="G81" s="124">
        <f t="shared" si="117"/>
        <v>8.2666337626667119E-4</v>
      </c>
      <c r="H81" s="124">
        <f t="shared" si="95"/>
        <v>110.84715345207779</v>
      </c>
      <c r="I81" s="124">
        <f t="shared" ref="I81:J81" si="118">I80</f>
        <v>6.3409507780604986E-3</v>
      </c>
      <c r="J81" s="124">
        <f t="shared" si="118"/>
        <v>1.1542239827686721E-2</v>
      </c>
      <c r="K81" s="428">
        <f t="shared" si="71"/>
        <v>146.62546227173027</v>
      </c>
      <c r="L81" s="123"/>
      <c r="M81" s="123"/>
      <c r="N81" s="123"/>
      <c r="O81" s="123"/>
      <c r="P81" s="123"/>
      <c r="Q81" s="123"/>
      <c r="R81" s="123"/>
      <c r="S81" s="123"/>
      <c r="T81" s="123"/>
      <c r="U81" s="428">
        <f t="shared" si="72"/>
        <v>0</v>
      </c>
      <c r="V81" s="123"/>
      <c r="W81" s="123"/>
      <c r="X81" s="123"/>
      <c r="Y81" s="123"/>
      <c r="Z81" s="123"/>
      <c r="AA81" s="123"/>
      <c r="AB81" s="123"/>
      <c r="AC81" s="123"/>
      <c r="AD81" s="123"/>
      <c r="AE81" s="428">
        <f t="shared" si="73"/>
        <v>0</v>
      </c>
      <c r="AF81" s="123"/>
      <c r="AG81" s="123"/>
      <c r="AH81" s="123"/>
      <c r="AI81" s="123"/>
      <c r="AJ81" s="123"/>
      <c r="AK81" s="123"/>
      <c r="AL81" s="123"/>
      <c r="AM81" s="123"/>
      <c r="AN81" s="123"/>
      <c r="AO81" s="428">
        <f t="shared" si="74"/>
        <v>0</v>
      </c>
      <c r="AP81" s="124"/>
      <c r="AQ81" s="124"/>
      <c r="AR81" s="124"/>
      <c r="AS81" s="124"/>
      <c r="AT81" s="124"/>
      <c r="AU81" s="124"/>
      <c r="AV81" s="124"/>
      <c r="AW81" s="124"/>
      <c r="AX81" s="124"/>
      <c r="AY81" s="428">
        <f t="shared" si="75"/>
        <v>0</v>
      </c>
      <c r="AZ81" s="428"/>
      <c r="BA81" s="428"/>
      <c r="BB81" s="428"/>
      <c r="BC81" s="428"/>
      <c r="BD81" s="428"/>
      <c r="BE81" s="428"/>
      <c r="BF81" s="428"/>
      <c r="BG81" s="428"/>
      <c r="BH81" s="428"/>
      <c r="BI81" s="428">
        <f t="shared" si="76"/>
        <v>0</v>
      </c>
      <c r="BJ81" s="27">
        <f t="shared" si="77"/>
        <v>0.33254436694123712</v>
      </c>
    </row>
    <row r="82" spans="1:62">
      <c r="A82" s="427">
        <f t="shared" si="109"/>
        <v>42912</v>
      </c>
      <c r="B82" s="124">
        <f>'Equipment SCS 6-23-17'!W9</f>
        <v>0</v>
      </c>
      <c r="C82" s="124">
        <f>'Equipment SCS 6-23-17'!X9</f>
        <v>0</v>
      </c>
      <c r="D82" s="124">
        <f>'Equipment SCS 6-23-17'!Y9</f>
        <v>0</v>
      </c>
      <c r="E82" s="124">
        <f>'Construction Trucks SCS 6-23-17'!AB13</f>
        <v>64.542737060171092</v>
      </c>
      <c r="F82" s="124">
        <f>'Construction Trucks SCS 6-23-17'!AC13</f>
        <v>3.688165623829356E-3</v>
      </c>
      <c r="G82" s="124">
        <f>'Construction Trucks SCS 6-23-17'!AD13</f>
        <v>1.6533267525333424E-3</v>
      </c>
      <c r="H82" s="124">
        <f>'WorkerTrips SCS 6-23-17'!N89</f>
        <v>221.69430690415558</v>
      </c>
      <c r="I82" s="124">
        <f>'WorkerTrips SCS 6-23-17'!O89</f>
        <v>1.2681901556120997E-2</v>
      </c>
      <c r="J82" s="124">
        <f>'WorkerTrips SCS 6-23-17'!P89</f>
        <v>2.3084479655373441E-2</v>
      </c>
      <c r="K82" s="428">
        <f t="shared" si="71"/>
        <v>293.25092454346054</v>
      </c>
      <c r="L82" s="123"/>
      <c r="M82" s="123"/>
      <c r="N82" s="123"/>
      <c r="O82" s="123"/>
      <c r="P82" s="123"/>
      <c r="Q82" s="123"/>
      <c r="R82" s="123"/>
      <c r="S82" s="123"/>
      <c r="T82" s="123"/>
      <c r="U82" s="428">
        <f t="shared" si="72"/>
        <v>0</v>
      </c>
      <c r="V82" s="123"/>
      <c r="W82" s="123"/>
      <c r="X82" s="123"/>
      <c r="Y82" s="123"/>
      <c r="Z82" s="123"/>
      <c r="AA82" s="123"/>
      <c r="AB82" s="123"/>
      <c r="AC82" s="123"/>
      <c r="AD82" s="123"/>
      <c r="AE82" s="428">
        <f t="shared" si="73"/>
        <v>0</v>
      </c>
      <c r="AF82" s="123"/>
      <c r="AG82" s="123"/>
      <c r="AH82" s="123"/>
      <c r="AI82" s="123"/>
      <c r="AJ82" s="123"/>
      <c r="AK82" s="123"/>
      <c r="AL82" s="123"/>
      <c r="AM82" s="123"/>
      <c r="AN82" s="123"/>
      <c r="AO82" s="428">
        <f t="shared" si="74"/>
        <v>0</v>
      </c>
      <c r="AP82" s="124"/>
      <c r="AQ82" s="124"/>
      <c r="AR82" s="124"/>
      <c r="AS82" s="124"/>
      <c r="AT82" s="124"/>
      <c r="AU82" s="124"/>
      <c r="AV82" s="124"/>
      <c r="AW82" s="124"/>
      <c r="AX82" s="124"/>
      <c r="AY82" s="428">
        <f t="shared" si="75"/>
        <v>0</v>
      </c>
      <c r="AZ82" s="428"/>
      <c r="BA82" s="428"/>
      <c r="BB82" s="428"/>
      <c r="BC82" s="428"/>
      <c r="BD82" s="428"/>
      <c r="BE82" s="428"/>
      <c r="BF82" s="428"/>
      <c r="BG82" s="428"/>
      <c r="BH82" s="428"/>
      <c r="BI82" s="428">
        <f t="shared" si="76"/>
        <v>0</v>
      </c>
      <c r="BJ82" s="27">
        <f t="shared" si="77"/>
        <v>0.66508873388247425</v>
      </c>
    </row>
    <row r="83" spans="1:62">
      <c r="A83" s="427">
        <f t="shared" si="109"/>
        <v>42919</v>
      </c>
      <c r="B83" s="124">
        <f>'Equipment SCS 6-30-17'!W9</f>
        <v>0</v>
      </c>
      <c r="C83" s="124">
        <f>'Equipment SCS 6-30-17'!X9</f>
        <v>0</v>
      </c>
      <c r="D83" s="124">
        <f>'Equipment SCS 6-30-17'!Y9</f>
        <v>0</v>
      </c>
      <c r="E83" s="124">
        <f>'Construction Trucks SCS 6-30-17'!AB12</f>
        <v>96.814105590256631</v>
      </c>
      <c r="F83" s="124">
        <f>'Construction Trucks SCS 6-30-17'!AC12</f>
        <v>5.5322484357440338E-3</v>
      </c>
      <c r="G83" s="124">
        <f>'Construction Trucks SCS 6-30-17'!AD12</f>
        <v>2.4799901288000137E-3</v>
      </c>
      <c r="H83" s="124">
        <f>'WorkerTrips SCS 6-30-17'!N89</f>
        <v>110.84715345207779</v>
      </c>
      <c r="I83" s="124">
        <f>'WorkerTrips SCS 6-30-17'!O89</f>
        <v>6.3409507780604986E-3</v>
      </c>
      <c r="J83" s="124">
        <f>'WorkerTrips SCS 6-30-17'!P89</f>
        <v>1.1542239827686721E-2</v>
      </c>
      <c r="K83" s="428">
        <f t="shared" si="71"/>
        <v>211.7095995587899</v>
      </c>
      <c r="L83" s="123"/>
      <c r="M83" s="123"/>
      <c r="N83" s="123"/>
      <c r="O83" s="123"/>
      <c r="P83" s="123"/>
      <c r="Q83" s="123"/>
      <c r="R83" s="123"/>
      <c r="S83" s="123"/>
      <c r="T83" s="123"/>
      <c r="U83" s="428">
        <f t="shared" si="72"/>
        <v>0</v>
      </c>
      <c r="V83" s="123"/>
      <c r="W83" s="123"/>
      <c r="X83" s="123"/>
      <c r="Y83" s="123"/>
      <c r="Z83" s="123"/>
      <c r="AA83" s="123"/>
      <c r="AB83" s="123"/>
      <c r="AC83" s="123"/>
      <c r="AD83" s="123"/>
      <c r="AE83" s="428">
        <f t="shared" si="73"/>
        <v>0</v>
      </c>
      <c r="AF83" s="123"/>
      <c r="AG83" s="123"/>
      <c r="AH83" s="123"/>
      <c r="AI83" s="123"/>
      <c r="AJ83" s="123"/>
      <c r="AK83" s="123"/>
      <c r="AL83" s="123"/>
      <c r="AM83" s="123"/>
      <c r="AN83" s="123"/>
      <c r="AO83" s="428">
        <f t="shared" si="74"/>
        <v>0</v>
      </c>
      <c r="AP83" s="124"/>
      <c r="AQ83" s="124"/>
      <c r="AR83" s="124"/>
      <c r="AS83" s="124"/>
      <c r="AT83" s="124"/>
      <c r="AU83" s="124"/>
      <c r="AV83" s="124"/>
      <c r="AW83" s="124"/>
      <c r="AX83" s="124"/>
      <c r="AY83" s="428">
        <f t="shared" si="75"/>
        <v>0</v>
      </c>
      <c r="AZ83" s="428"/>
      <c r="BA83" s="428"/>
      <c r="BB83" s="428"/>
      <c r="BC83" s="428"/>
      <c r="BD83" s="428"/>
      <c r="BE83" s="428"/>
      <c r="BF83" s="428"/>
      <c r="BG83" s="428"/>
      <c r="BH83" s="428"/>
      <c r="BI83" s="428">
        <f t="shared" si="76"/>
        <v>0</v>
      </c>
      <c r="BJ83" s="27">
        <f t="shared" si="77"/>
        <v>0.48015422198763924</v>
      </c>
    </row>
    <row r="84" spans="1:62">
      <c r="A84" s="427">
        <f t="shared" si="109"/>
        <v>42926</v>
      </c>
      <c r="B84" s="124">
        <f t="shared" ref="B84:H86" si="119">B83</f>
        <v>0</v>
      </c>
      <c r="C84" s="124">
        <f t="shared" ref="C84:D84" si="120">C83</f>
        <v>0</v>
      </c>
      <c r="D84" s="124">
        <f t="shared" si="120"/>
        <v>0</v>
      </c>
      <c r="E84" s="124">
        <f t="shared" si="119"/>
        <v>96.814105590256631</v>
      </c>
      <c r="F84" s="124">
        <f t="shared" ref="F84:G84" si="121">F83</f>
        <v>5.5322484357440338E-3</v>
      </c>
      <c r="G84" s="124">
        <f t="shared" si="121"/>
        <v>2.4799901288000137E-3</v>
      </c>
      <c r="H84" s="124">
        <f t="shared" si="119"/>
        <v>110.84715345207779</v>
      </c>
      <c r="I84" s="124">
        <f t="shared" ref="I84:J84" si="122">I83</f>
        <v>6.3409507780604986E-3</v>
      </c>
      <c r="J84" s="124">
        <f t="shared" si="122"/>
        <v>1.1542239827686721E-2</v>
      </c>
      <c r="K84" s="428">
        <f t="shared" si="71"/>
        <v>211.7095995587899</v>
      </c>
      <c r="L84" s="123"/>
      <c r="M84" s="123"/>
      <c r="N84" s="123"/>
      <c r="O84" s="123"/>
      <c r="P84" s="123"/>
      <c r="Q84" s="123"/>
      <c r="R84" s="123"/>
      <c r="S84" s="123"/>
      <c r="T84" s="123"/>
      <c r="U84" s="428">
        <f t="shared" si="72"/>
        <v>0</v>
      </c>
      <c r="V84" s="123"/>
      <c r="W84" s="123"/>
      <c r="X84" s="123"/>
      <c r="Y84" s="123"/>
      <c r="Z84" s="123"/>
      <c r="AA84" s="123"/>
      <c r="AB84" s="123"/>
      <c r="AC84" s="123"/>
      <c r="AD84" s="123"/>
      <c r="AE84" s="428">
        <f t="shared" si="73"/>
        <v>0</v>
      </c>
      <c r="AF84" s="123"/>
      <c r="AG84" s="123"/>
      <c r="AH84" s="123"/>
      <c r="AI84" s="123"/>
      <c r="AJ84" s="123"/>
      <c r="AK84" s="123"/>
      <c r="AL84" s="123"/>
      <c r="AM84" s="123"/>
      <c r="AN84" s="123"/>
      <c r="AO84" s="428">
        <f t="shared" si="74"/>
        <v>0</v>
      </c>
      <c r="AP84" s="124"/>
      <c r="AQ84" s="124"/>
      <c r="AR84" s="124"/>
      <c r="AS84" s="124"/>
      <c r="AT84" s="124"/>
      <c r="AU84" s="124"/>
      <c r="AV84" s="124"/>
      <c r="AW84" s="124"/>
      <c r="AX84" s="124"/>
      <c r="AY84" s="428">
        <f t="shared" si="75"/>
        <v>0</v>
      </c>
      <c r="AZ84" s="428"/>
      <c r="BA84" s="428"/>
      <c r="BB84" s="428"/>
      <c r="BC84" s="428"/>
      <c r="BD84" s="428"/>
      <c r="BE84" s="428"/>
      <c r="BF84" s="428"/>
      <c r="BG84" s="428"/>
      <c r="BH84" s="428"/>
      <c r="BI84" s="428">
        <f t="shared" si="76"/>
        <v>0</v>
      </c>
      <c r="BJ84" s="27">
        <f t="shared" si="77"/>
        <v>0.48015422198763924</v>
      </c>
    </row>
    <row r="85" spans="1:62">
      <c r="A85" s="427">
        <f t="shared" si="109"/>
        <v>42933</v>
      </c>
      <c r="B85" s="124">
        <f t="shared" si="119"/>
        <v>0</v>
      </c>
      <c r="C85" s="124">
        <f t="shared" ref="C85:D85" si="123">C84</f>
        <v>0</v>
      </c>
      <c r="D85" s="124">
        <f t="shared" si="123"/>
        <v>0</v>
      </c>
      <c r="E85" s="124">
        <f t="shared" si="119"/>
        <v>96.814105590256631</v>
      </c>
      <c r="F85" s="124">
        <f t="shared" ref="F85:G85" si="124">F84</f>
        <v>5.5322484357440338E-3</v>
      </c>
      <c r="G85" s="124">
        <f t="shared" si="124"/>
        <v>2.4799901288000137E-3</v>
      </c>
      <c r="H85" s="124">
        <f t="shared" si="119"/>
        <v>110.84715345207779</v>
      </c>
      <c r="I85" s="124">
        <f t="shared" ref="I85:J85" si="125">I84</f>
        <v>6.3409507780604986E-3</v>
      </c>
      <c r="J85" s="124">
        <f t="shared" si="125"/>
        <v>1.1542239827686721E-2</v>
      </c>
      <c r="K85" s="428">
        <f t="shared" si="71"/>
        <v>211.7095995587899</v>
      </c>
      <c r="L85" s="123"/>
      <c r="M85" s="123"/>
      <c r="N85" s="123"/>
      <c r="O85" s="123"/>
      <c r="P85" s="123"/>
      <c r="Q85" s="123"/>
      <c r="R85" s="123"/>
      <c r="S85" s="123"/>
      <c r="T85" s="123"/>
      <c r="U85" s="428">
        <f t="shared" si="72"/>
        <v>0</v>
      </c>
      <c r="V85" s="123"/>
      <c r="W85" s="123"/>
      <c r="X85" s="123"/>
      <c r="Y85" s="123"/>
      <c r="Z85" s="123"/>
      <c r="AA85" s="123"/>
      <c r="AB85" s="123"/>
      <c r="AC85" s="123"/>
      <c r="AD85" s="123"/>
      <c r="AE85" s="428">
        <f t="shared" si="73"/>
        <v>0</v>
      </c>
      <c r="AF85" s="123"/>
      <c r="AG85" s="123"/>
      <c r="AH85" s="123"/>
      <c r="AI85" s="123"/>
      <c r="AJ85" s="123"/>
      <c r="AK85" s="123"/>
      <c r="AL85" s="123"/>
      <c r="AM85" s="123"/>
      <c r="AN85" s="123"/>
      <c r="AO85" s="428">
        <f t="shared" si="74"/>
        <v>0</v>
      </c>
      <c r="AP85" s="124"/>
      <c r="AQ85" s="124"/>
      <c r="AR85" s="124"/>
      <c r="AS85" s="124"/>
      <c r="AT85" s="124"/>
      <c r="AU85" s="124"/>
      <c r="AV85" s="124"/>
      <c r="AW85" s="124"/>
      <c r="AX85" s="124"/>
      <c r="AY85" s="428">
        <f t="shared" si="75"/>
        <v>0</v>
      </c>
      <c r="AZ85" s="428"/>
      <c r="BA85" s="428"/>
      <c r="BB85" s="428"/>
      <c r="BC85" s="428"/>
      <c r="BD85" s="428"/>
      <c r="BE85" s="428"/>
      <c r="BF85" s="428"/>
      <c r="BG85" s="428"/>
      <c r="BH85" s="428"/>
      <c r="BI85" s="428">
        <f t="shared" si="76"/>
        <v>0</v>
      </c>
      <c r="BJ85" s="27">
        <f t="shared" si="77"/>
        <v>0.48015422198763924</v>
      </c>
    </row>
    <row r="86" spans="1:62">
      <c r="A86" s="427">
        <f t="shared" si="109"/>
        <v>42940</v>
      </c>
      <c r="B86" s="124">
        <f t="shared" si="119"/>
        <v>0</v>
      </c>
      <c r="C86" s="124">
        <f t="shared" ref="C86:D86" si="126">C85</f>
        <v>0</v>
      </c>
      <c r="D86" s="124">
        <f t="shared" si="126"/>
        <v>0</v>
      </c>
      <c r="E86" s="124">
        <f t="shared" si="119"/>
        <v>96.814105590256631</v>
      </c>
      <c r="F86" s="124">
        <f t="shared" ref="F86:G86" si="127">F85</f>
        <v>5.5322484357440338E-3</v>
      </c>
      <c r="G86" s="124">
        <f t="shared" si="127"/>
        <v>2.4799901288000137E-3</v>
      </c>
      <c r="H86" s="124">
        <f t="shared" si="119"/>
        <v>110.84715345207779</v>
      </c>
      <c r="I86" s="124">
        <f t="shared" ref="I86:J86" si="128">I85</f>
        <v>6.3409507780604986E-3</v>
      </c>
      <c r="J86" s="124">
        <f t="shared" si="128"/>
        <v>1.1542239827686721E-2</v>
      </c>
      <c r="K86" s="428">
        <f t="shared" si="71"/>
        <v>211.7095995587899</v>
      </c>
      <c r="L86" s="123"/>
      <c r="M86" s="123"/>
      <c r="N86" s="123"/>
      <c r="O86" s="123"/>
      <c r="P86" s="123"/>
      <c r="Q86" s="123"/>
      <c r="R86" s="123"/>
      <c r="S86" s="123"/>
      <c r="T86" s="123"/>
      <c r="U86" s="428">
        <f t="shared" si="72"/>
        <v>0</v>
      </c>
      <c r="V86" s="123"/>
      <c r="W86" s="123"/>
      <c r="X86" s="123"/>
      <c r="Y86" s="123"/>
      <c r="Z86" s="123"/>
      <c r="AA86" s="123"/>
      <c r="AB86" s="123"/>
      <c r="AC86" s="123"/>
      <c r="AD86" s="123"/>
      <c r="AE86" s="428">
        <f t="shared" si="73"/>
        <v>0</v>
      </c>
      <c r="AF86" s="123"/>
      <c r="AG86" s="123"/>
      <c r="AH86" s="123"/>
      <c r="AI86" s="123"/>
      <c r="AJ86" s="123"/>
      <c r="AK86" s="123"/>
      <c r="AL86" s="123"/>
      <c r="AM86" s="123"/>
      <c r="AN86" s="123"/>
      <c r="AO86" s="428">
        <f t="shared" si="74"/>
        <v>0</v>
      </c>
      <c r="AP86" s="124"/>
      <c r="AQ86" s="124"/>
      <c r="AR86" s="124"/>
      <c r="AS86" s="124"/>
      <c r="AT86" s="124"/>
      <c r="AU86" s="124"/>
      <c r="AV86" s="124"/>
      <c r="AW86" s="124"/>
      <c r="AX86" s="124"/>
      <c r="AY86" s="428">
        <f t="shared" si="75"/>
        <v>0</v>
      </c>
      <c r="AZ86" s="428"/>
      <c r="BA86" s="428"/>
      <c r="BB86" s="428"/>
      <c r="BC86" s="428"/>
      <c r="BD86" s="428"/>
      <c r="BE86" s="428"/>
      <c r="BF86" s="428"/>
      <c r="BG86" s="428"/>
      <c r="BH86" s="428"/>
      <c r="BI86" s="428">
        <f t="shared" si="76"/>
        <v>0</v>
      </c>
      <c r="BJ86" s="27">
        <f t="shared" si="77"/>
        <v>0.48015422198763924</v>
      </c>
    </row>
    <row r="87" spans="1:62">
      <c r="A87" s="427">
        <f t="shared" si="109"/>
        <v>42947</v>
      </c>
      <c r="B87" s="124"/>
      <c r="C87" s="124"/>
      <c r="D87" s="124"/>
      <c r="E87" s="124"/>
      <c r="F87" s="124"/>
      <c r="G87" s="124"/>
      <c r="H87" s="124"/>
      <c r="I87" s="124"/>
      <c r="J87" s="124"/>
      <c r="K87" s="428"/>
      <c r="L87" s="123"/>
      <c r="M87" s="123"/>
      <c r="N87" s="123"/>
      <c r="O87" s="123"/>
      <c r="P87" s="123"/>
      <c r="Q87" s="123"/>
      <c r="R87" s="123"/>
      <c r="S87" s="123"/>
      <c r="T87" s="123"/>
      <c r="U87" s="428">
        <f t="shared" ref="U59:U89" si="129">SUM(L87:R87)</f>
        <v>0</v>
      </c>
      <c r="V87" s="123"/>
      <c r="W87" s="123"/>
      <c r="X87" s="123"/>
      <c r="Y87" s="123"/>
      <c r="Z87" s="123"/>
      <c r="AA87" s="123"/>
      <c r="AB87" s="123"/>
      <c r="AC87" s="123"/>
      <c r="AD87" s="123"/>
      <c r="AE87" s="428">
        <f t="shared" ref="AE59:AE89" si="130">SUM(V87:AB87)</f>
        <v>0</v>
      </c>
      <c r="AF87" s="123"/>
      <c r="AG87" s="123"/>
      <c r="AH87" s="123"/>
      <c r="AI87" s="123"/>
      <c r="AJ87" s="123"/>
      <c r="AK87" s="123"/>
      <c r="AL87" s="123"/>
      <c r="AM87" s="123"/>
      <c r="AN87" s="123"/>
      <c r="AO87" s="428">
        <f t="shared" ref="AO59:AO89" si="131">SUM(AF87:AL87)</f>
        <v>0</v>
      </c>
      <c r="AP87" s="124"/>
      <c r="AQ87" s="124"/>
      <c r="AR87" s="124"/>
      <c r="AS87" s="124"/>
      <c r="AT87" s="124"/>
      <c r="AU87" s="124"/>
      <c r="AV87" s="124"/>
      <c r="AW87" s="124"/>
      <c r="AX87" s="124"/>
      <c r="AY87" s="428">
        <f t="shared" ref="AY59:AY89" si="132">SUM(AP87:AV87)</f>
        <v>0</v>
      </c>
      <c r="AZ87" s="428"/>
      <c r="BA87" s="428"/>
      <c r="BB87" s="428"/>
      <c r="BC87" s="428"/>
      <c r="BD87" s="428"/>
      <c r="BE87" s="428"/>
      <c r="BF87" s="428"/>
      <c r="BG87" s="428"/>
      <c r="BH87" s="428"/>
      <c r="BI87" s="428">
        <f t="shared" ref="BI69:BI89" si="133">SUM(AZ87:BF87)</f>
        <v>0</v>
      </c>
      <c r="BJ87" s="27">
        <f t="shared" si="77"/>
        <v>0</v>
      </c>
    </row>
    <row r="88" spans="1:62">
      <c r="A88" s="427">
        <f t="shared" si="109"/>
        <v>42954</v>
      </c>
      <c r="B88" s="124"/>
      <c r="C88" s="124"/>
      <c r="D88" s="124"/>
      <c r="E88" s="124"/>
      <c r="F88" s="124"/>
      <c r="G88" s="124"/>
      <c r="H88" s="124"/>
      <c r="I88" s="124"/>
      <c r="J88" s="124"/>
      <c r="K88" s="428"/>
      <c r="L88" s="123"/>
      <c r="M88" s="123"/>
      <c r="N88" s="123"/>
      <c r="O88" s="123"/>
      <c r="P88" s="123"/>
      <c r="Q88" s="123"/>
      <c r="R88" s="123"/>
      <c r="S88" s="123"/>
      <c r="T88" s="123"/>
      <c r="U88" s="428">
        <f t="shared" si="129"/>
        <v>0</v>
      </c>
      <c r="V88" s="123"/>
      <c r="W88" s="123"/>
      <c r="X88" s="123"/>
      <c r="Y88" s="123"/>
      <c r="Z88" s="123"/>
      <c r="AA88" s="123"/>
      <c r="AB88" s="123"/>
      <c r="AC88" s="123"/>
      <c r="AD88" s="123"/>
      <c r="AE88" s="428">
        <f t="shared" si="130"/>
        <v>0</v>
      </c>
      <c r="AF88" s="123"/>
      <c r="AG88" s="123"/>
      <c r="AH88" s="123"/>
      <c r="AI88" s="123"/>
      <c r="AJ88" s="123"/>
      <c r="AK88" s="123"/>
      <c r="AL88" s="123"/>
      <c r="AM88" s="123"/>
      <c r="AN88" s="123"/>
      <c r="AO88" s="428">
        <f t="shared" si="131"/>
        <v>0</v>
      </c>
      <c r="AP88" s="124"/>
      <c r="AQ88" s="124"/>
      <c r="AR88" s="124"/>
      <c r="AS88" s="124"/>
      <c r="AT88" s="124"/>
      <c r="AU88" s="124"/>
      <c r="AV88" s="124"/>
      <c r="AW88" s="124"/>
      <c r="AX88" s="124"/>
      <c r="AY88" s="428">
        <f t="shared" si="132"/>
        <v>0</v>
      </c>
      <c r="AZ88" s="428"/>
      <c r="BA88" s="428"/>
      <c r="BB88" s="428"/>
      <c r="BC88" s="428"/>
      <c r="BD88" s="428"/>
      <c r="BE88" s="428"/>
      <c r="BF88" s="428"/>
      <c r="BG88" s="428"/>
      <c r="BH88" s="428"/>
      <c r="BI88" s="428">
        <f t="shared" si="133"/>
        <v>0</v>
      </c>
      <c r="BJ88" s="27">
        <f t="shared" si="77"/>
        <v>0</v>
      </c>
    </row>
    <row r="89" spans="1:62">
      <c r="A89" s="427">
        <f t="shared" si="109"/>
        <v>42961</v>
      </c>
      <c r="B89" s="124"/>
      <c r="C89" s="124"/>
      <c r="D89" s="124"/>
      <c r="E89" s="124"/>
      <c r="F89" s="124"/>
      <c r="G89" s="124"/>
      <c r="H89" s="124"/>
      <c r="I89" s="124"/>
      <c r="J89" s="124"/>
      <c r="K89" s="428"/>
      <c r="L89" s="123"/>
      <c r="M89" s="123"/>
      <c r="N89" s="123"/>
      <c r="O89" s="123"/>
      <c r="P89" s="123"/>
      <c r="Q89" s="123"/>
      <c r="R89" s="123"/>
      <c r="S89" s="123"/>
      <c r="T89" s="123"/>
      <c r="U89" s="428">
        <f t="shared" si="129"/>
        <v>0</v>
      </c>
      <c r="V89" s="123"/>
      <c r="W89" s="123"/>
      <c r="X89" s="123"/>
      <c r="Y89" s="123"/>
      <c r="Z89" s="123"/>
      <c r="AA89" s="123"/>
      <c r="AB89" s="123"/>
      <c r="AC89" s="123"/>
      <c r="AD89" s="123"/>
      <c r="AE89" s="428">
        <f t="shared" si="130"/>
        <v>0</v>
      </c>
      <c r="AF89" s="123"/>
      <c r="AG89" s="123"/>
      <c r="AH89" s="123"/>
      <c r="AI89" s="123"/>
      <c r="AJ89" s="123"/>
      <c r="AK89" s="123"/>
      <c r="AL89" s="123"/>
      <c r="AM89" s="123"/>
      <c r="AN89" s="123"/>
      <c r="AO89" s="428">
        <f t="shared" si="131"/>
        <v>0</v>
      </c>
      <c r="AP89" s="124"/>
      <c r="AQ89" s="124"/>
      <c r="AR89" s="124"/>
      <c r="AS89" s="124"/>
      <c r="AT89" s="124"/>
      <c r="AU89" s="124"/>
      <c r="AV89" s="124"/>
      <c r="AW89" s="124"/>
      <c r="AX89" s="124"/>
      <c r="AY89" s="428">
        <f t="shared" si="132"/>
        <v>0</v>
      </c>
      <c r="AZ89" s="428"/>
      <c r="BA89" s="428"/>
      <c r="BB89" s="428"/>
      <c r="BC89" s="428"/>
      <c r="BD89" s="428"/>
      <c r="BE89" s="428"/>
      <c r="BF89" s="428"/>
      <c r="BG89" s="428"/>
      <c r="BH89" s="428"/>
      <c r="BI89" s="428">
        <f t="shared" si="133"/>
        <v>0</v>
      </c>
      <c r="BJ89" s="27">
        <f t="shared" si="77"/>
        <v>0</v>
      </c>
    </row>
    <row r="90" spans="1:62">
      <c r="BJ90" s="761">
        <f>SUM(BJ5:BJ89)</f>
        <v>4061.2863039251934</v>
      </c>
    </row>
  </sheetData>
  <mergeCells count="24">
    <mergeCell ref="AP3:AR3"/>
    <mergeCell ref="AS3:AU3"/>
    <mergeCell ref="AV3:AX3"/>
    <mergeCell ref="AZ3:BB3"/>
    <mergeCell ref="BC3:BE3"/>
    <mergeCell ref="BF3:BH3"/>
    <mergeCell ref="V3:X3"/>
    <mergeCell ref="Y3:AA3"/>
    <mergeCell ref="AB3:AD3"/>
    <mergeCell ref="AF3:AH3"/>
    <mergeCell ref="AI3:AK3"/>
    <mergeCell ref="AL3:AN3"/>
    <mergeCell ref="B3:D3"/>
    <mergeCell ref="E3:G3"/>
    <mergeCell ref="H3:J3"/>
    <mergeCell ref="L3:N3"/>
    <mergeCell ref="O3:Q3"/>
    <mergeCell ref="R3:T3"/>
    <mergeCell ref="B2:K2"/>
    <mergeCell ref="L2:U2"/>
    <mergeCell ref="V2:AE2"/>
    <mergeCell ref="AF2:AO2"/>
    <mergeCell ref="AP2:AY2"/>
    <mergeCell ref="AZ2:BI2"/>
  </mergeCells>
  <pageMargins left="0.7" right="0.7" top="0.75" bottom="0.75" header="0.3" footer="0.3"/>
  <pageSetup orientation="portrait" r:id="rId1"/>
</worksheet>
</file>

<file path=xl/worksheets/sheet38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71"/>
  <sheetViews>
    <sheetView workbookViewId="0">
      <selection activeCell="A9" sqref="A9"/>
    </sheetView>
  </sheetViews>
  <sheetFormatPr defaultRowHeight="12.75"/>
  <cols>
    <col min="1" max="1" width="45.5703125" style="36" customWidth="1"/>
    <col min="2" max="2" width="10" style="36" customWidth="1"/>
    <col min="3" max="3" width="12.42578125" style="36" bestFit="1" customWidth="1"/>
    <col min="4" max="16384" width="9.140625" style="36"/>
  </cols>
  <sheetData>
    <row r="1" spans="1:12" s="57" customFormat="1">
      <c r="A1" s="35" t="s">
        <v>897</v>
      </c>
      <c r="B1" s="541"/>
      <c r="C1" s="542"/>
      <c r="D1" s="542"/>
      <c r="E1" s="542"/>
      <c r="F1" s="542"/>
      <c r="G1" s="542"/>
      <c r="H1" s="542"/>
      <c r="I1" s="542"/>
      <c r="J1" s="542"/>
      <c r="K1" s="542"/>
      <c r="L1" s="542"/>
    </row>
    <row r="2" spans="1:12" s="57" customFormat="1">
      <c r="A2" s="85" t="s">
        <v>273</v>
      </c>
      <c r="B2" s="541"/>
      <c r="C2" s="542"/>
      <c r="D2" s="542"/>
      <c r="E2" s="542"/>
      <c r="F2" s="542"/>
      <c r="G2" s="542"/>
      <c r="H2" s="542"/>
      <c r="I2" s="542"/>
      <c r="J2" s="542"/>
      <c r="K2" s="542"/>
      <c r="L2" s="542"/>
    </row>
    <row r="3" spans="1:12" s="57" customFormat="1">
      <c r="A3" s="85"/>
      <c r="B3" s="541"/>
      <c r="C3" s="542"/>
      <c r="D3" s="542"/>
      <c r="E3" s="542"/>
      <c r="F3" s="542"/>
      <c r="G3" s="542"/>
      <c r="H3" s="542"/>
      <c r="I3" s="542"/>
      <c r="J3" s="542"/>
      <c r="K3" s="542"/>
      <c r="L3" s="542"/>
    </row>
    <row r="4" spans="1:12" s="57" customFormat="1">
      <c r="A4" s="85"/>
      <c r="B4" s="541"/>
      <c r="C4" s="542"/>
      <c r="D4" s="542"/>
      <c r="E4" s="542"/>
      <c r="F4" s="542"/>
      <c r="G4" s="542"/>
      <c r="H4" s="542"/>
      <c r="I4" s="542"/>
      <c r="J4" s="542"/>
      <c r="K4" s="542"/>
      <c r="L4" s="542"/>
    </row>
    <row r="5" spans="1:12" s="57" customFormat="1">
      <c r="A5" s="447" t="s">
        <v>330</v>
      </c>
      <c r="B5" s="541"/>
      <c r="C5" s="542"/>
      <c r="D5" s="542"/>
      <c r="E5" s="542"/>
      <c r="F5" s="542"/>
      <c r="G5" s="542"/>
      <c r="H5" s="542"/>
      <c r="I5" s="542"/>
      <c r="J5" s="542"/>
      <c r="K5" s="542"/>
      <c r="L5" s="542"/>
    </row>
    <row r="6" spans="1:12" s="57" customFormat="1">
      <c r="A6" s="85" t="s">
        <v>505</v>
      </c>
      <c r="B6" s="541"/>
      <c r="C6" s="542"/>
      <c r="D6" s="542"/>
      <c r="E6" s="542"/>
      <c r="F6" s="542"/>
      <c r="G6" s="542"/>
      <c r="H6" s="542"/>
      <c r="I6" s="542"/>
      <c r="J6" s="542"/>
      <c r="K6" s="542"/>
      <c r="L6" s="542"/>
    </row>
    <row r="7" spans="1:12" s="57" customFormat="1">
      <c r="A7" s="58" t="s">
        <v>506</v>
      </c>
      <c r="B7" s="541"/>
      <c r="C7" s="542"/>
      <c r="D7" s="542"/>
      <c r="E7" s="542"/>
      <c r="F7" s="542"/>
      <c r="G7" s="542"/>
      <c r="H7" s="542"/>
      <c r="I7" s="542"/>
      <c r="J7" s="542"/>
      <c r="K7" s="542"/>
      <c r="L7" s="542"/>
    </row>
    <row r="8" spans="1:12" s="57" customFormat="1">
      <c r="A8" s="58" t="s">
        <v>507</v>
      </c>
      <c r="B8" s="541"/>
      <c r="C8" s="542"/>
      <c r="D8" s="542"/>
      <c r="E8" s="542"/>
      <c r="F8" s="542"/>
      <c r="G8" s="542"/>
      <c r="H8" s="542"/>
      <c r="I8" s="542"/>
      <c r="J8" s="542"/>
      <c r="K8" s="542"/>
      <c r="L8" s="542"/>
    </row>
    <row r="9" spans="1:12" s="57" customFormat="1">
      <c r="A9" s="58" t="s">
        <v>347</v>
      </c>
      <c r="B9" s="541"/>
      <c r="C9" s="542"/>
      <c r="D9" s="542"/>
      <c r="E9" s="542"/>
      <c r="F9" s="542"/>
      <c r="G9" s="542"/>
      <c r="H9" s="542"/>
      <c r="I9" s="542"/>
      <c r="J9" s="542"/>
      <c r="K9" s="542"/>
      <c r="L9" s="542"/>
    </row>
    <row r="10" spans="1:12" s="57" customFormat="1">
      <c r="A10" s="448" t="s">
        <v>508</v>
      </c>
      <c r="B10" s="541"/>
      <c r="C10" s="542"/>
      <c r="D10" s="542"/>
      <c r="E10" s="542"/>
      <c r="F10" s="542"/>
      <c r="G10" s="542"/>
      <c r="H10" s="542"/>
      <c r="I10" s="542"/>
      <c r="J10" s="542"/>
      <c r="K10" s="542"/>
      <c r="L10" s="542"/>
    </row>
    <row r="11" spans="1:12" s="57" customFormat="1">
      <c r="A11" s="448" t="s">
        <v>362</v>
      </c>
      <c r="B11" s="541"/>
      <c r="C11" s="542"/>
      <c r="D11" s="542"/>
      <c r="E11" s="542"/>
      <c r="F11" s="542"/>
      <c r="G11" s="542"/>
      <c r="H11" s="542"/>
      <c r="I11" s="542"/>
      <c r="J11" s="542"/>
      <c r="K11" s="542"/>
      <c r="L11" s="542"/>
    </row>
    <row r="12" spans="1:12" s="57" customFormat="1">
      <c r="A12" s="448" t="s">
        <v>361</v>
      </c>
      <c r="B12" s="541"/>
      <c r="C12" s="542"/>
      <c r="D12" s="542"/>
      <c r="E12" s="542"/>
      <c r="F12" s="542"/>
      <c r="G12" s="542"/>
      <c r="H12" s="542"/>
      <c r="I12" s="542"/>
      <c r="J12" s="542"/>
      <c r="K12" s="542"/>
      <c r="L12" s="542"/>
    </row>
    <row r="13" spans="1:12" s="57" customFormat="1">
      <c r="A13" s="448" t="s">
        <v>509</v>
      </c>
      <c r="B13" s="541"/>
      <c r="C13" s="542"/>
      <c r="D13" s="542"/>
      <c r="E13" s="542"/>
      <c r="F13" s="542"/>
      <c r="G13" s="542"/>
      <c r="H13" s="542"/>
      <c r="I13" s="542"/>
      <c r="J13" s="542"/>
      <c r="K13" s="542"/>
      <c r="L13" s="542"/>
    </row>
    <row r="14" spans="1:12" s="57" customFormat="1">
      <c r="A14" s="448" t="s">
        <v>510</v>
      </c>
      <c r="B14" s="541"/>
      <c r="C14" s="542"/>
      <c r="D14" s="542"/>
      <c r="E14" s="542"/>
      <c r="F14" s="542"/>
      <c r="G14" s="542"/>
      <c r="H14" s="542"/>
      <c r="I14" s="542"/>
      <c r="J14" s="542"/>
      <c r="K14" s="542"/>
      <c r="L14" s="542"/>
    </row>
    <row r="15" spans="1:12" s="57" customFormat="1">
      <c r="A15" s="448"/>
      <c r="B15" s="449" t="s">
        <v>363</v>
      </c>
      <c r="C15" s="542" t="s">
        <v>364</v>
      </c>
      <c r="D15" s="542"/>
      <c r="E15" s="542"/>
      <c r="F15" s="542"/>
      <c r="G15" s="542"/>
      <c r="H15" s="542"/>
      <c r="I15" s="542"/>
      <c r="J15" s="542"/>
      <c r="K15" s="542"/>
      <c r="L15" s="542"/>
    </row>
    <row r="16" spans="1:12" s="57" customFormat="1">
      <c r="A16" s="58" t="s">
        <v>511</v>
      </c>
      <c r="B16" s="449">
        <f>((0.45*(((7.5)^1.5)/((2)^1.4)))*2.2046)*8</f>
        <v>61.770654785904476</v>
      </c>
      <c r="C16" s="449">
        <f>((0.45*(((7.5)^1.5)/((15)^1.4)))*2.2046)*8</f>
        <v>3.6787174826199758</v>
      </c>
      <c r="D16" s="449" t="s">
        <v>355</v>
      </c>
      <c r="E16" s="542"/>
      <c r="F16" s="542"/>
      <c r="G16" s="542"/>
      <c r="H16" s="542"/>
      <c r="I16" s="542"/>
      <c r="J16" s="542"/>
      <c r="K16" s="542"/>
      <c r="L16" s="542"/>
    </row>
    <row r="17" spans="1:12" s="57" customFormat="1">
      <c r="A17" s="58"/>
      <c r="B17" s="449">
        <f>B16*75/2000</f>
        <v>2.3163995544714182</v>
      </c>
      <c r="C17" s="449">
        <f>C16*75/2000</f>
        <v>0.13795190559824907</v>
      </c>
      <c r="D17" s="449" t="s">
        <v>360</v>
      </c>
      <c r="E17" s="542"/>
      <c r="F17" s="542"/>
      <c r="G17" s="542"/>
      <c r="H17" s="542"/>
      <c r="I17" s="542"/>
      <c r="J17" s="542"/>
      <c r="K17" s="542"/>
      <c r="L17" s="542"/>
    </row>
    <row r="18" spans="1:12" s="57" customFormat="1">
      <c r="A18" s="85" t="s">
        <v>356</v>
      </c>
      <c r="B18" s="541"/>
      <c r="C18" s="542"/>
      <c r="D18" s="542"/>
      <c r="E18" s="542"/>
      <c r="F18" s="542"/>
      <c r="G18" s="542"/>
      <c r="H18" s="542"/>
      <c r="I18" s="542"/>
      <c r="J18" s="542"/>
      <c r="K18" s="542"/>
      <c r="L18" s="542"/>
    </row>
    <row r="19" spans="1:12" s="57" customFormat="1">
      <c r="A19" s="448" t="s">
        <v>348</v>
      </c>
      <c r="B19" s="541"/>
      <c r="C19" s="542"/>
      <c r="D19" s="542"/>
      <c r="E19" s="542"/>
      <c r="F19" s="542"/>
      <c r="G19" s="542"/>
      <c r="H19" s="542"/>
      <c r="I19" s="542"/>
      <c r="J19" s="542"/>
      <c r="K19" s="542"/>
      <c r="L19" s="542"/>
    </row>
    <row r="20" spans="1:12" s="57" customFormat="1">
      <c r="A20" s="58" t="s">
        <v>349</v>
      </c>
      <c r="B20" s="541"/>
      <c r="C20" s="542"/>
      <c r="D20" s="542"/>
      <c r="E20" s="542"/>
      <c r="F20" s="542"/>
      <c r="G20" s="542"/>
      <c r="H20" s="542"/>
      <c r="I20" s="542"/>
      <c r="J20" s="542"/>
      <c r="K20" s="542"/>
      <c r="L20" s="542"/>
    </row>
    <row r="21" spans="1:12" s="57" customFormat="1">
      <c r="A21" s="58" t="s">
        <v>347</v>
      </c>
      <c r="B21" s="541"/>
      <c r="C21" s="542"/>
      <c r="D21" s="542"/>
      <c r="E21" s="542"/>
      <c r="F21" s="542"/>
      <c r="G21" s="542"/>
      <c r="H21" s="542"/>
      <c r="I21" s="542"/>
      <c r="J21" s="542"/>
      <c r="K21" s="542"/>
      <c r="L21" s="542"/>
    </row>
    <row r="22" spans="1:12" s="57" customFormat="1">
      <c r="A22" s="448" t="s">
        <v>350</v>
      </c>
      <c r="B22" s="541"/>
      <c r="C22" s="542"/>
      <c r="D22" s="542"/>
      <c r="E22" s="542"/>
      <c r="F22" s="542"/>
      <c r="G22" s="542"/>
      <c r="H22" s="542"/>
      <c r="I22" s="542"/>
      <c r="J22" s="542"/>
      <c r="K22" s="542"/>
      <c r="L22" s="542"/>
    </row>
    <row r="23" spans="1:12" s="57" customFormat="1">
      <c r="A23" s="448" t="s">
        <v>351</v>
      </c>
      <c r="B23" s="541"/>
      <c r="C23" s="542"/>
      <c r="D23" s="542"/>
      <c r="E23" s="542"/>
      <c r="F23" s="542"/>
      <c r="G23" s="542"/>
      <c r="H23" s="542"/>
      <c r="I23" s="542"/>
      <c r="J23" s="542"/>
      <c r="K23" s="542"/>
      <c r="L23" s="542"/>
    </row>
    <row r="24" spans="1:12" s="57" customFormat="1">
      <c r="A24" s="448" t="s">
        <v>357</v>
      </c>
      <c r="B24" s="541"/>
      <c r="C24" s="542"/>
      <c r="D24" s="542"/>
      <c r="E24" s="542"/>
      <c r="F24" s="542"/>
      <c r="G24" s="542"/>
      <c r="H24" s="542"/>
      <c r="I24" s="542"/>
      <c r="J24" s="542"/>
      <c r="K24" s="542"/>
      <c r="L24" s="542"/>
    </row>
    <row r="25" spans="1:12" s="57" customFormat="1">
      <c r="A25" s="448" t="s">
        <v>353</v>
      </c>
      <c r="B25" s="541"/>
      <c r="C25" s="542"/>
      <c r="D25" s="542"/>
      <c r="E25" s="542"/>
      <c r="F25" s="542"/>
      <c r="G25" s="542"/>
      <c r="H25" s="542"/>
      <c r="I25" s="542"/>
      <c r="J25" s="542"/>
      <c r="K25" s="542"/>
      <c r="L25" s="542"/>
    </row>
    <row r="26" spans="1:12" s="57" customFormat="1">
      <c r="A26" s="448" t="s">
        <v>352</v>
      </c>
      <c r="B26" s="541"/>
      <c r="C26" s="542"/>
      <c r="D26" s="542"/>
      <c r="E26" s="542"/>
      <c r="F26" s="542"/>
      <c r="G26" s="542"/>
      <c r="H26" s="542"/>
      <c r="I26" s="542"/>
      <c r="J26" s="542"/>
      <c r="K26" s="542"/>
      <c r="L26" s="542"/>
    </row>
    <row r="27" spans="1:12" s="57" customFormat="1">
      <c r="A27" s="448" t="s">
        <v>362</v>
      </c>
      <c r="B27" s="541"/>
      <c r="C27" s="542"/>
      <c r="D27" s="542"/>
      <c r="E27" s="542"/>
      <c r="F27" s="542"/>
      <c r="G27" s="542"/>
      <c r="H27" s="542"/>
      <c r="I27" s="542"/>
      <c r="J27" s="542"/>
      <c r="K27" s="542"/>
      <c r="L27" s="542"/>
    </row>
    <row r="28" spans="1:12" s="57" customFormat="1">
      <c r="A28" s="448" t="s">
        <v>361</v>
      </c>
      <c r="B28" s="541"/>
      <c r="C28" s="542"/>
      <c r="D28" s="542"/>
      <c r="E28" s="542"/>
      <c r="F28" s="542"/>
      <c r="G28" s="542"/>
      <c r="H28" s="542"/>
      <c r="I28" s="542"/>
      <c r="J28" s="542"/>
      <c r="K28" s="542"/>
      <c r="L28" s="542"/>
    </row>
    <row r="29" spans="1:12" s="57" customFormat="1">
      <c r="A29" s="448" t="s">
        <v>512</v>
      </c>
      <c r="B29" s="541"/>
      <c r="C29" s="542"/>
      <c r="D29" s="542"/>
      <c r="E29" s="542"/>
      <c r="F29" s="542"/>
      <c r="G29" s="542"/>
      <c r="H29" s="542"/>
      <c r="I29" s="542"/>
      <c r="J29" s="542"/>
      <c r="K29" s="542"/>
      <c r="L29" s="542"/>
    </row>
    <row r="30" spans="1:12" s="57" customFormat="1">
      <c r="A30" s="448" t="s">
        <v>358</v>
      </c>
      <c r="B30" s="541"/>
      <c r="C30" s="542"/>
      <c r="D30" s="542"/>
      <c r="E30" s="542"/>
      <c r="F30" s="542"/>
      <c r="G30" s="542"/>
      <c r="H30" s="542"/>
      <c r="I30" s="542"/>
      <c r="J30" s="542"/>
      <c r="K30" s="542"/>
      <c r="L30" s="542"/>
    </row>
    <row r="31" spans="1:12" s="57" customFormat="1">
      <c r="A31" s="448"/>
      <c r="B31" s="449" t="s">
        <v>363</v>
      </c>
      <c r="C31" s="542" t="s">
        <v>364</v>
      </c>
      <c r="D31" s="542"/>
      <c r="E31" s="542"/>
      <c r="F31" s="542"/>
      <c r="G31" s="542"/>
      <c r="H31" s="542"/>
      <c r="I31" s="542"/>
      <c r="J31" s="542"/>
      <c r="K31" s="542"/>
      <c r="L31" s="542"/>
    </row>
    <row r="32" spans="1:12" s="57" customFormat="1">
      <c r="A32" s="448" t="s">
        <v>354</v>
      </c>
      <c r="B32" s="58">
        <f>10*(0.00112*(((12/5)^1.3)/(2/2)^1.4)*(152000000/2000))/30</f>
        <v>88.549267805785973</v>
      </c>
      <c r="C32" s="58">
        <f>10*(0.00112*(((12/5)^1.3)/(15/2)^1.4)*(152000000/2000))/30</f>
        <v>5.2735031007745716</v>
      </c>
      <c r="D32" s="449" t="s">
        <v>355</v>
      </c>
      <c r="E32" s="542"/>
      <c r="F32" s="542"/>
      <c r="G32" s="542"/>
      <c r="H32" s="542"/>
      <c r="I32" s="542"/>
      <c r="J32" s="542"/>
      <c r="K32" s="542"/>
      <c r="L32" s="542"/>
    </row>
    <row r="33" spans="1:12" s="57" customFormat="1">
      <c r="A33" s="58"/>
      <c r="B33" s="58">
        <f>(0.00112*(((12/5)^1.3)/(15/2)^1.4)*(152000000/2000))/2000</f>
        <v>7.9102546511618573E-3</v>
      </c>
      <c r="C33" s="58">
        <f>(0.00112*(((12/5)^1.3)/(15/2)^1.4)*(152000000/2000))/2000</f>
        <v>7.9102546511618573E-3</v>
      </c>
      <c r="D33" s="449" t="s">
        <v>360</v>
      </c>
      <c r="E33" s="542"/>
      <c r="F33" s="542"/>
      <c r="G33" s="542"/>
      <c r="H33" s="542"/>
      <c r="I33" s="542"/>
      <c r="J33" s="542"/>
      <c r="K33" s="542"/>
      <c r="L33" s="542"/>
    </row>
    <row r="34" spans="1:12" s="57" customFormat="1">
      <c r="A34" s="58"/>
      <c r="B34" s="541"/>
      <c r="C34" s="542"/>
      <c r="D34" s="542"/>
      <c r="E34" s="542"/>
      <c r="F34" s="542"/>
      <c r="G34" s="542"/>
      <c r="H34" s="542"/>
      <c r="I34" s="542"/>
      <c r="J34" s="542"/>
      <c r="K34" s="542"/>
      <c r="L34" s="542"/>
    </row>
    <row r="36" spans="1:12">
      <c r="A36" s="447" t="s">
        <v>513</v>
      </c>
      <c r="B36" s="541"/>
      <c r="C36" s="542"/>
      <c r="D36" s="542"/>
    </row>
    <row r="37" spans="1:12">
      <c r="A37" s="85" t="s">
        <v>356</v>
      </c>
      <c r="B37" s="541"/>
      <c r="C37" s="542"/>
      <c r="D37" s="542"/>
    </row>
    <row r="38" spans="1:12">
      <c r="A38" s="448" t="s">
        <v>348</v>
      </c>
      <c r="B38" s="541"/>
      <c r="C38" s="542"/>
      <c r="D38" s="542"/>
    </row>
    <row r="39" spans="1:12">
      <c r="A39" s="58" t="s">
        <v>349</v>
      </c>
      <c r="B39" s="541"/>
      <c r="C39" s="542"/>
      <c r="D39" s="542"/>
    </row>
    <row r="40" spans="1:12">
      <c r="A40" s="58" t="s">
        <v>347</v>
      </c>
      <c r="B40" s="541"/>
      <c r="C40" s="542"/>
      <c r="D40" s="542"/>
    </row>
    <row r="41" spans="1:12">
      <c r="A41" s="448" t="s">
        <v>350</v>
      </c>
      <c r="B41" s="541"/>
      <c r="C41" s="542"/>
      <c r="D41" s="542"/>
    </row>
    <row r="42" spans="1:12">
      <c r="A42" s="448" t="s">
        <v>351</v>
      </c>
      <c r="B42" s="541"/>
      <c r="C42" s="542"/>
      <c r="D42" s="542"/>
    </row>
    <row r="43" spans="1:12">
      <c r="A43" s="448" t="s">
        <v>357</v>
      </c>
      <c r="B43" s="541"/>
      <c r="C43" s="542"/>
      <c r="D43" s="542"/>
    </row>
    <row r="44" spans="1:12">
      <c r="A44" s="448" t="s">
        <v>353</v>
      </c>
      <c r="B44" s="541"/>
      <c r="C44" s="542"/>
      <c r="D44" s="542"/>
    </row>
    <row r="45" spans="1:12">
      <c r="A45" s="448" t="s">
        <v>352</v>
      </c>
      <c r="B45" s="541"/>
      <c r="C45" s="542"/>
      <c r="D45" s="542"/>
    </row>
    <row r="46" spans="1:12">
      <c r="A46" s="448" t="s">
        <v>362</v>
      </c>
      <c r="B46" s="541"/>
      <c r="C46" s="542"/>
      <c r="D46" s="542"/>
    </row>
    <row r="47" spans="1:12">
      <c r="A47" s="448" t="s">
        <v>361</v>
      </c>
      <c r="B47" s="541"/>
      <c r="C47" s="542"/>
      <c r="D47" s="542"/>
    </row>
    <row r="48" spans="1:12">
      <c r="A48" s="448" t="s">
        <v>514</v>
      </c>
      <c r="B48" s="541"/>
      <c r="C48" s="542"/>
      <c r="D48" s="542"/>
    </row>
    <row r="49" spans="1:4">
      <c r="A49" s="448" t="s">
        <v>358</v>
      </c>
      <c r="B49" s="541"/>
      <c r="C49" s="542"/>
      <c r="D49" s="542"/>
    </row>
    <row r="50" spans="1:4">
      <c r="A50" s="448"/>
      <c r="B50" s="449" t="s">
        <v>363</v>
      </c>
      <c r="C50" s="542" t="s">
        <v>364</v>
      </c>
      <c r="D50" s="542"/>
    </row>
    <row r="51" spans="1:4">
      <c r="A51" s="448" t="s">
        <v>354</v>
      </c>
      <c r="B51" s="58">
        <f>10*(0.00112*(((12/5)^1.3)/(2/2)^1.4)*(3200000/2000))/30</f>
        <v>1.8641951117007571</v>
      </c>
      <c r="C51" s="58">
        <f>10*(0.00112*(((12/5)^1.3)/(15/2)^1.4)*(3200000/2000))/30</f>
        <v>0.11102111791104362</v>
      </c>
      <c r="D51" s="449" t="s">
        <v>355</v>
      </c>
    </row>
    <row r="52" spans="1:4">
      <c r="B52" s="58">
        <f>(0.00112*(((12/5)^1.3)/(2/2)^1.4)*(3200000/2000))/2000</f>
        <v>2.796292667551136E-3</v>
      </c>
      <c r="C52" s="58">
        <f>(0.00112*(((12/5)^1.3)/(15/2)^1.4)*(3200000/2000))/2000</f>
        <v>1.6653167686656541E-4</v>
      </c>
      <c r="D52" s="450" t="s">
        <v>360</v>
      </c>
    </row>
    <row r="55" spans="1:4">
      <c r="A55" s="447" t="s">
        <v>333</v>
      </c>
    </row>
    <row r="56" spans="1:4">
      <c r="A56" s="85" t="s">
        <v>356</v>
      </c>
    </row>
    <row r="57" spans="1:4">
      <c r="A57" s="448" t="s">
        <v>348</v>
      </c>
    </row>
    <row r="58" spans="1:4">
      <c r="A58" s="58" t="s">
        <v>349</v>
      </c>
    </row>
    <row r="59" spans="1:4">
      <c r="A59" s="58" t="s">
        <v>347</v>
      </c>
    </row>
    <row r="60" spans="1:4">
      <c r="A60" s="448" t="s">
        <v>350</v>
      </c>
    </row>
    <row r="61" spans="1:4">
      <c r="A61" s="448" t="s">
        <v>351</v>
      </c>
    </row>
    <row r="62" spans="1:4">
      <c r="A62" s="448" t="s">
        <v>357</v>
      </c>
    </row>
    <row r="63" spans="1:4">
      <c r="A63" s="448" t="s">
        <v>353</v>
      </c>
    </row>
    <row r="64" spans="1:4">
      <c r="A64" s="448" t="s">
        <v>352</v>
      </c>
    </row>
    <row r="65" spans="1:4">
      <c r="A65" s="448" t="s">
        <v>362</v>
      </c>
    </row>
    <row r="66" spans="1:4">
      <c r="A66" s="448" t="s">
        <v>361</v>
      </c>
    </row>
    <row r="67" spans="1:4">
      <c r="A67" s="448" t="s">
        <v>515</v>
      </c>
    </row>
    <row r="68" spans="1:4">
      <c r="A68" s="448" t="s">
        <v>358</v>
      </c>
    </row>
    <row r="69" spans="1:4">
      <c r="A69" s="448"/>
      <c r="B69" s="449" t="s">
        <v>363</v>
      </c>
      <c r="C69" s="542" t="s">
        <v>364</v>
      </c>
    </row>
    <row r="70" spans="1:4">
      <c r="A70" s="448" t="s">
        <v>354</v>
      </c>
      <c r="B70" s="58">
        <f>10*(0.00112*(((12/5)^1.3)/(2/2)^1.4)*(1064000/2000))/30</f>
        <v>0.61984487464050175</v>
      </c>
      <c r="C70" s="58">
        <f>10*(0.00112*(((12/5)^1.3)/(15/2)^1.4)*(1064000/2000))/30</f>
        <v>3.6914521705421997E-2</v>
      </c>
      <c r="D70" s="449" t="s">
        <v>355</v>
      </c>
    </row>
    <row r="71" spans="1:4">
      <c r="B71" s="58">
        <f>(0.00112*(((12/5)^1.3)/(2/2)^1.4)*(1064000/2000))/2000</f>
        <v>9.2976731196075266E-4</v>
      </c>
      <c r="C71" s="58">
        <f>(0.00112*(((12/5)^1.3)/(15/2)^1.4)*(1064000/2000))/2000</f>
        <v>5.5371782558133002E-5</v>
      </c>
      <c r="D71" s="450" t="s">
        <v>360</v>
      </c>
    </row>
  </sheetData>
  <pageMargins left="0.7" right="0.7" top="0.75" bottom="0.75" header="0.3" footer="0.3"/>
  <pageSetup scale="57" orientation="landscape" r:id="rId1"/>
  <headerFooter>
    <oddHeader>&amp;CTable B-16
Fugitive Dust Emission Calculations
Salt Creek Substation Construction</oddHeader>
    <oddFooter>&amp;CB-16</oddFooter>
  </headerFooter>
</worksheet>
</file>

<file path=xl/worksheets/sheet38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21"/>
  <sheetViews>
    <sheetView workbookViewId="0">
      <selection activeCell="A9" sqref="A9"/>
    </sheetView>
  </sheetViews>
  <sheetFormatPr defaultRowHeight="12.75"/>
  <cols>
    <col min="1" max="1" width="45.5703125" style="36" customWidth="1"/>
    <col min="2" max="2" width="10" style="36" customWidth="1"/>
    <col min="3" max="3" width="12.42578125" style="36" bestFit="1" customWidth="1"/>
    <col min="4" max="16384" width="9.140625" style="36"/>
  </cols>
  <sheetData>
    <row r="1" spans="1:12" s="57" customFormat="1">
      <c r="A1" s="35" t="s">
        <v>898</v>
      </c>
      <c r="B1" s="445"/>
      <c r="C1" s="446"/>
      <c r="D1" s="446"/>
      <c r="E1" s="446"/>
      <c r="F1" s="446"/>
      <c r="G1" s="446"/>
      <c r="H1" s="446"/>
      <c r="I1" s="446"/>
      <c r="J1" s="446"/>
      <c r="K1" s="446"/>
      <c r="L1" s="446"/>
    </row>
    <row r="2" spans="1:12" s="57" customFormat="1">
      <c r="A2" s="85" t="s">
        <v>345</v>
      </c>
      <c r="B2" s="445"/>
      <c r="C2" s="446"/>
      <c r="D2" s="446"/>
      <c r="E2" s="446"/>
      <c r="F2" s="446"/>
      <c r="G2" s="446"/>
      <c r="H2" s="446"/>
      <c r="I2" s="446"/>
      <c r="J2" s="446"/>
      <c r="K2" s="446"/>
      <c r="L2" s="446"/>
    </row>
    <row r="3" spans="1:12" s="57" customFormat="1">
      <c r="A3" s="85"/>
      <c r="B3" s="445"/>
      <c r="C3" s="446"/>
      <c r="D3" s="446"/>
      <c r="E3" s="446"/>
      <c r="F3" s="446"/>
      <c r="G3" s="446"/>
      <c r="H3" s="446"/>
      <c r="I3" s="446"/>
      <c r="J3" s="446"/>
      <c r="K3" s="446"/>
      <c r="L3" s="446"/>
    </row>
    <row r="5" spans="1:12">
      <c r="A5" s="447" t="s">
        <v>334</v>
      </c>
    </row>
    <row r="6" spans="1:12">
      <c r="A6" s="85" t="s">
        <v>356</v>
      </c>
    </row>
    <row r="7" spans="1:12">
      <c r="A7" s="448" t="s">
        <v>348</v>
      </c>
    </row>
    <row r="8" spans="1:12">
      <c r="A8" s="58" t="s">
        <v>349</v>
      </c>
    </row>
    <row r="9" spans="1:12">
      <c r="A9" s="58" t="s">
        <v>347</v>
      </c>
    </row>
    <row r="10" spans="1:12">
      <c r="A10" s="448" t="s">
        <v>350</v>
      </c>
    </row>
    <row r="11" spans="1:12">
      <c r="A11" s="448" t="s">
        <v>351</v>
      </c>
    </row>
    <row r="12" spans="1:12">
      <c r="A12" s="448" t="s">
        <v>357</v>
      </c>
    </row>
    <row r="13" spans="1:12">
      <c r="A13" s="448" t="s">
        <v>353</v>
      </c>
    </row>
    <row r="14" spans="1:12">
      <c r="A14" s="448" t="s">
        <v>352</v>
      </c>
    </row>
    <row r="15" spans="1:12">
      <c r="A15" s="448" t="s">
        <v>362</v>
      </c>
    </row>
    <row r="16" spans="1:12">
      <c r="A16" s="448" t="s">
        <v>361</v>
      </c>
    </row>
    <row r="17" spans="1:4">
      <c r="A17" s="448" t="s">
        <v>359</v>
      </c>
    </row>
    <row r="18" spans="1:4">
      <c r="A18" s="448" t="s">
        <v>358</v>
      </c>
    </row>
    <row r="19" spans="1:4">
      <c r="A19" s="448"/>
      <c r="B19" s="37" t="s">
        <v>363</v>
      </c>
      <c r="C19" s="37" t="s">
        <v>364</v>
      </c>
    </row>
    <row r="20" spans="1:4">
      <c r="A20" s="448" t="s">
        <v>354</v>
      </c>
      <c r="B20" s="58">
        <f>10*(0.00112*(((12/5)^1.3)/(2/2)^1.4)*(32600/2000))/20</f>
        <v>2.8487231550677193E-2</v>
      </c>
      <c r="C20" s="58">
        <f>10*(0.00112*(((12/5)^1.3)/(15/2)^1.4)*(32600/2000))/20</f>
        <v>1.6965414580781351E-3</v>
      </c>
      <c r="D20" s="449" t="s">
        <v>355</v>
      </c>
    </row>
    <row r="21" spans="1:4">
      <c r="B21" s="58">
        <f>(0.00112*(((12/5)^1.3)/(2/2)^1.4)*(32600/2000))/2000</f>
        <v>2.8487231550677195E-5</v>
      </c>
      <c r="C21" s="58">
        <f>(0.00112*(((12/5)^1.3)/(15/2)^1.4)*(32600/2000))/2000</f>
        <v>1.6965414580781352E-6</v>
      </c>
      <c r="D21" s="450" t="s">
        <v>360</v>
      </c>
    </row>
  </sheetData>
  <pageMargins left="0.7" right="0.7" top="0.75" bottom="0.75" header="0.3" footer="0.3"/>
  <pageSetup orientation="landscape" r:id="rId1"/>
  <headerFooter>
    <oddHeader>&amp;CTable B-18
Fugitive Dust Emission Calculations
Miguel Substation Construction</oddHeader>
    <oddFooter>&amp;CB-18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5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557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346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7" si="0">0.000049261*AA4</f>
        <v>2.2095931710230707E-2</v>
      </c>
      <c r="AD4" s="49">
        <v>3.2599999999999997E-2</v>
      </c>
      <c r="AE4" s="47">
        <f t="shared" ref="AE4:AE7" si="1">0.000021675*AA4</f>
        <v>9.7222817202097123E-3</v>
      </c>
    </row>
    <row r="5" spans="1:67" ht="25.5">
      <c r="A5" s="44" t="s">
        <v>328</v>
      </c>
      <c r="B5" s="45" t="s">
        <v>102</v>
      </c>
      <c r="C5" s="46">
        <v>3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330</v>
      </c>
      <c r="B6" s="45" t="s">
        <v>102</v>
      </c>
      <c r="C6" s="46">
        <v>19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 ht="25.5">
      <c r="A7" s="44" t="s">
        <v>426</v>
      </c>
      <c r="B7" s="45" t="s">
        <v>102</v>
      </c>
      <c r="C7" s="46">
        <v>14</v>
      </c>
      <c r="D7" s="46">
        <v>35</v>
      </c>
      <c r="E7" s="46">
        <v>80</v>
      </c>
      <c r="F7" s="47">
        <v>2.3611622044318601</v>
      </c>
      <c r="G7" s="48">
        <v>31.4244798871777</v>
      </c>
      <c r="H7" s="48">
        <v>0.22493614397154399</v>
      </c>
      <c r="I7" s="48">
        <v>1.8136819244333999</v>
      </c>
      <c r="J7" s="47">
        <v>5.7965153248686403E-2</v>
      </c>
      <c r="K7" s="48">
        <v>2.3946366793705498</v>
      </c>
      <c r="L7" s="48">
        <v>1.62197187247403</v>
      </c>
      <c r="M7" s="48">
        <v>0.70709499821369304</v>
      </c>
      <c r="N7" s="48">
        <v>0.16038404042738499</v>
      </c>
      <c r="O7" s="48">
        <v>0.71464703099800198</v>
      </c>
      <c r="P7" s="48">
        <v>4.0478385316323803E-3</v>
      </c>
      <c r="Q7" s="48">
        <v>5.8407810191933099E-3</v>
      </c>
      <c r="R7" s="47">
        <v>3.2157701660956101E-3</v>
      </c>
      <c r="S7" s="48">
        <v>2.9198634356063399E-2</v>
      </c>
      <c r="T7" s="48">
        <v>7.9999583995993707E-3</v>
      </c>
      <c r="U7" s="48">
        <v>3.6749815874576097E-2</v>
      </c>
      <c r="V7" s="48">
        <v>2.9606446234606999E-3</v>
      </c>
      <c r="W7" s="48">
        <v>2.6884174180557701E-2</v>
      </c>
      <c r="X7" s="48">
        <v>1.9999896010969099E-3</v>
      </c>
      <c r="Y7" s="48">
        <v>1.57499197860352E-2</v>
      </c>
      <c r="Z7" s="48">
        <v>308.63789988642998</v>
      </c>
      <c r="AA7" s="48">
        <v>448.54817624958298</v>
      </c>
      <c r="AB7" s="47">
        <v>1.77E-2</v>
      </c>
      <c r="AC7" s="47">
        <f t="shared" si="0"/>
        <v>2.2095931710230707E-2</v>
      </c>
      <c r="AD7" s="49">
        <v>3.2599999999999997E-2</v>
      </c>
      <c r="AE7" s="47">
        <f t="shared" si="1"/>
        <v>9.7222817202097123E-3</v>
      </c>
    </row>
    <row r="8" spans="1:67">
      <c r="A8" s="52"/>
      <c r="B8" s="52"/>
      <c r="C8" s="53"/>
      <c r="D8" s="54"/>
      <c r="E8" s="54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</row>
    <row r="9" spans="1:67" ht="25.5">
      <c r="A9" s="55" t="s">
        <v>504</v>
      </c>
      <c r="B9" s="37"/>
      <c r="C9" s="37"/>
    </row>
    <row r="10" spans="1:67">
      <c r="A10" s="55" t="s">
        <v>77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84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</row>
    <row r="11" spans="1:67">
      <c r="A11" s="55" t="s">
        <v>78</v>
      </c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t="38.25" hidden="1">
      <c r="A12" s="55" t="s">
        <v>79</v>
      </c>
      <c r="B12" s="37"/>
      <c r="C12" s="37"/>
      <c r="AA12" s="57"/>
      <c r="AB12" s="58" t="s">
        <v>80</v>
      </c>
      <c r="AC12" s="57"/>
      <c r="AD12" s="57"/>
      <c r="AE12" s="57"/>
      <c r="AF12" s="57" t="e">
        <f>#REF!/60</f>
        <v>#REF!</v>
      </c>
      <c r="AG12" s="57" t="e">
        <f>#REF!/60</f>
        <v>#REF!</v>
      </c>
      <c r="AH12" s="57" t="e">
        <f>#REF!/60</f>
        <v>#REF!</v>
      </c>
      <c r="AI12" s="57" t="e">
        <f>#REF!/60</f>
        <v>#REF!</v>
      </c>
      <c r="AJ12" s="57" t="e">
        <f>#REF!/60</f>
        <v>#REF!</v>
      </c>
      <c r="AK12" s="57" t="e">
        <f>#REF!/60</f>
        <v>#REF!</v>
      </c>
      <c r="AL12" s="57" t="e">
        <f>#REF!/60</f>
        <v>#REF!</v>
      </c>
      <c r="AM12" s="57" t="e">
        <f>#REF!/60</f>
        <v>#REF!</v>
      </c>
      <c r="AN12" s="57" t="e">
        <f>#REF!/60</f>
        <v>#REF!</v>
      </c>
      <c r="AO12" s="57" t="e">
        <f>#REF!/60</f>
        <v>#REF!</v>
      </c>
      <c r="AP12" s="57"/>
      <c r="AQ12" s="57"/>
      <c r="AR12" s="57" t="e">
        <f>#REF!/60</f>
        <v>#REF!</v>
      </c>
      <c r="AS12" s="57" t="e">
        <f>#REF!/60</f>
        <v>#REF!</v>
      </c>
      <c r="AT12" s="57" t="e">
        <f>#REF!/60</f>
        <v>#REF!</v>
      </c>
      <c r="AU12" s="57" t="e">
        <f>#REF!/60</f>
        <v>#REF!</v>
      </c>
      <c r="AV12" s="57" t="e">
        <f>#REF!/60</f>
        <v>#REF!</v>
      </c>
      <c r="AW12" s="57" t="e">
        <f>#REF!/60</f>
        <v>#REF!</v>
      </c>
      <c r="AX12" s="57" t="e">
        <f>#REF!/60</f>
        <v>#REF!</v>
      </c>
      <c r="AY12" s="57" t="e">
        <f>#REF!/60</f>
        <v>#REF!</v>
      </c>
      <c r="AZ12" s="57" t="e">
        <f>#REF!/60</f>
        <v>#REF!</v>
      </c>
      <c r="BA12" s="57" t="e">
        <f>#REF!/60</f>
        <v>#REF!</v>
      </c>
    </row>
    <row r="13" spans="1:67" hidden="1">
      <c r="A13" s="55"/>
      <c r="B13" s="37"/>
      <c r="C13" s="3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9"/>
      <c r="AS13" s="59"/>
      <c r="AT13" s="59"/>
      <c r="AU13" s="59"/>
      <c r="AV13" s="59"/>
      <c r="AW13" s="59"/>
      <c r="AX13" s="59"/>
      <c r="AY13" s="59"/>
      <c r="AZ13" s="60"/>
      <c r="BA13" s="59"/>
    </row>
    <row r="14" spans="1:67" hidden="1">
      <c r="A14" s="37"/>
      <c r="B14" s="37"/>
      <c r="C14" s="37"/>
      <c r="AF14" s="596" t="s">
        <v>64</v>
      </c>
      <c r="AG14" s="596"/>
      <c r="AH14" s="596"/>
      <c r="AI14" s="596"/>
      <c r="AJ14" s="596"/>
      <c r="AK14" s="597"/>
      <c r="AL14" s="597"/>
      <c r="AM14" s="597"/>
      <c r="AN14" s="597"/>
      <c r="AO14" s="597"/>
      <c r="AP14" s="546"/>
      <c r="AQ14" s="56"/>
      <c r="AR14" s="596" t="s">
        <v>65</v>
      </c>
      <c r="AS14" s="596"/>
      <c r="AT14" s="596"/>
      <c r="AU14" s="596"/>
      <c r="AV14" s="596"/>
      <c r="AW14" s="597"/>
      <c r="AX14" s="597"/>
      <c r="AY14" s="597"/>
      <c r="AZ14" s="597"/>
      <c r="BA14" s="597"/>
    </row>
    <row r="15" spans="1:67" ht="63.75" hidden="1">
      <c r="A15" s="37"/>
      <c r="B15" s="37"/>
      <c r="C15" s="37"/>
      <c r="AF15" s="61" t="s">
        <v>55</v>
      </c>
      <c r="AG15" s="61" t="s">
        <v>73</v>
      </c>
      <c r="AH15" s="61" t="s">
        <v>74</v>
      </c>
      <c r="AI15" s="61" t="s">
        <v>58</v>
      </c>
      <c r="AJ15" s="61" t="s">
        <v>59</v>
      </c>
      <c r="AK15" s="61" t="s">
        <v>60</v>
      </c>
      <c r="AL15" s="62" t="s">
        <v>75</v>
      </c>
      <c r="AM15" s="62" t="s">
        <v>76</v>
      </c>
      <c r="AN15" s="62" t="s">
        <v>61</v>
      </c>
      <c r="AO15" s="62" t="s">
        <v>62</v>
      </c>
      <c r="AP15" s="62"/>
      <c r="AQ15" s="43"/>
      <c r="AR15" s="61" t="s">
        <v>55</v>
      </c>
      <c r="AS15" s="61" t="s">
        <v>73</v>
      </c>
      <c r="AT15" s="61" t="s">
        <v>74</v>
      </c>
      <c r="AU15" s="61" t="s">
        <v>58</v>
      </c>
      <c r="AV15" s="61" t="s">
        <v>59</v>
      </c>
      <c r="AW15" s="61" t="s">
        <v>60</v>
      </c>
      <c r="AX15" s="62" t="s">
        <v>75</v>
      </c>
      <c r="AY15" s="62" t="s">
        <v>76</v>
      </c>
      <c r="AZ15" s="63" t="s">
        <v>61</v>
      </c>
      <c r="BA15" s="61" t="s">
        <v>62</v>
      </c>
    </row>
    <row r="16" spans="1:67" hidden="1">
      <c r="A16" s="37" t="s">
        <v>81</v>
      </c>
      <c r="B16" s="37"/>
      <c r="C16" s="37"/>
      <c r="AA16" s="64" t="s">
        <v>29</v>
      </c>
      <c r="AB16" s="65" t="s">
        <v>30</v>
      </c>
      <c r="AC16" s="65" t="s">
        <v>31</v>
      </c>
      <c r="AD16" s="65"/>
      <c r="AE16" s="65"/>
      <c r="AQ16" s="38"/>
    </row>
    <row r="17" spans="1:53" hidden="1">
      <c r="A17" s="37" t="s">
        <v>82</v>
      </c>
      <c r="B17" s="37"/>
      <c r="C17" s="37"/>
      <c r="AA17" s="64"/>
      <c r="AB17" s="65" t="s">
        <v>32</v>
      </c>
      <c r="AC17" s="65">
        <v>13.25</v>
      </c>
      <c r="AD17" s="65"/>
      <c r="AE17" s="65"/>
      <c r="AF17" s="36" t="e">
        <f>AF$12*$AC17</f>
        <v>#REF!</v>
      </c>
      <c r="AG17" s="36" t="e">
        <f t="shared" ref="AG17:AO25" si="2">AG$12*$AC17</f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>AR$12*$AC17</f>
        <v>#REF!</v>
      </c>
      <c r="AS17" s="36" t="e">
        <f t="shared" ref="AS17:BA25" si="3">AS$12*$AC17</f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83</v>
      </c>
      <c r="B18" s="37"/>
      <c r="C18" s="37"/>
      <c r="AA18" s="64"/>
      <c r="AB18" s="65" t="s">
        <v>33</v>
      </c>
      <c r="AC18" s="65">
        <v>20.298999999999999</v>
      </c>
      <c r="AD18" s="65"/>
      <c r="AE18" s="65"/>
      <c r="AF18" s="36" t="e">
        <f t="shared" ref="AF18:AF25" si="4">AF$12*$AC18</f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ref="AR18:AR25" si="5">AR$12*$AC18</f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84</v>
      </c>
      <c r="B19" s="37"/>
      <c r="C19" s="37"/>
      <c r="AA19" s="64"/>
      <c r="AB19" s="65" t="s">
        <v>34</v>
      </c>
      <c r="AC19" s="65">
        <v>21.68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85</v>
      </c>
      <c r="B20" s="37"/>
      <c r="C20" s="37"/>
      <c r="AA20" s="64"/>
      <c r="AB20" s="65" t="s">
        <v>35</v>
      </c>
      <c r="AC20" s="65">
        <v>9.3046500000000005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86</v>
      </c>
      <c r="B21" s="37"/>
      <c r="C21" s="37"/>
      <c r="AA21" s="64"/>
      <c r="AB21" s="65" t="s">
        <v>36</v>
      </c>
      <c r="AC21" s="65">
        <v>5.0347999999999997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87</v>
      </c>
      <c r="B22" s="37"/>
      <c r="C22" s="37"/>
      <c r="AA22" s="64"/>
      <c r="AB22" s="65" t="s">
        <v>37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0</v>
      </c>
      <c r="B23" s="37"/>
      <c r="C23" s="37"/>
      <c r="AA23" s="64"/>
      <c r="AB23" s="65" t="s">
        <v>38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 t="s">
        <v>59</v>
      </c>
      <c r="B24" s="37">
        <f>(0.016*(0.03/2)^0.65*(2/3)^1.5)-0.00047</f>
        <v>9.8123053326417428E-5</v>
      </c>
      <c r="C24" s="37"/>
      <c r="AA24" s="64"/>
      <c r="AB24" s="65" t="s">
        <v>39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 t="s">
        <v>40</v>
      </c>
      <c r="AC25" s="65">
        <v>0</v>
      </c>
      <c r="AD25" s="65"/>
      <c r="AE25" s="65"/>
      <c r="AF25" s="36" t="e">
        <f t="shared" si="4"/>
        <v>#REF!</v>
      </c>
      <c r="AG25" s="36" t="e">
        <f t="shared" si="2"/>
        <v>#REF!</v>
      </c>
      <c r="AH25" s="36" t="e">
        <f t="shared" si="2"/>
        <v>#REF!</v>
      </c>
      <c r="AI25" s="36" t="e">
        <f t="shared" si="2"/>
        <v>#REF!</v>
      </c>
      <c r="AJ25" s="36" t="e">
        <f t="shared" si="2"/>
        <v>#REF!</v>
      </c>
      <c r="AK25" s="36" t="e">
        <f t="shared" si="2"/>
        <v>#REF!</v>
      </c>
      <c r="AL25" s="36" t="e">
        <f t="shared" si="2"/>
        <v>#REF!</v>
      </c>
      <c r="AM25" s="36" t="e">
        <f t="shared" si="2"/>
        <v>#REF!</v>
      </c>
      <c r="AN25" s="36" t="e">
        <f t="shared" si="2"/>
        <v>#REF!</v>
      </c>
      <c r="AO25" s="36" t="e">
        <f t="shared" si="2"/>
        <v>#REF!</v>
      </c>
      <c r="AQ25" s="38"/>
      <c r="AR25" s="36" t="e">
        <f t="shared" si="5"/>
        <v>#REF!</v>
      </c>
      <c r="AS25" s="36" t="e">
        <f t="shared" si="3"/>
        <v>#REF!</v>
      </c>
      <c r="AT25" s="36" t="e">
        <f t="shared" si="3"/>
        <v>#REF!</v>
      </c>
      <c r="AU25" s="36" t="e">
        <f t="shared" si="3"/>
        <v>#REF!</v>
      </c>
      <c r="AV25" s="36" t="e">
        <f t="shared" si="3"/>
        <v>#REF!</v>
      </c>
      <c r="AW25" s="36" t="e">
        <f t="shared" si="3"/>
        <v>#REF!</v>
      </c>
      <c r="AX25" s="36" t="e">
        <f t="shared" si="3"/>
        <v>#REF!</v>
      </c>
      <c r="AY25" s="36" t="e">
        <f t="shared" si="3"/>
        <v>#REF!</v>
      </c>
      <c r="AZ25" s="36" t="e">
        <f t="shared" si="3"/>
        <v>#REF!</v>
      </c>
      <c r="BA25" s="36" t="e">
        <f t="shared" si="3"/>
        <v>#REF!</v>
      </c>
    </row>
    <row r="26" spans="1:53" hidden="1">
      <c r="A26" s="37"/>
      <c r="B26" s="37"/>
      <c r="C26" s="37"/>
      <c r="AA26" s="64"/>
      <c r="AB26" s="65"/>
      <c r="AC26" s="65"/>
      <c r="AD26" s="65"/>
      <c r="AE26" s="65"/>
      <c r="AQ26" s="38"/>
    </row>
    <row r="27" spans="1:53" hidden="1">
      <c r="A27" s="37"/>
      <c r="B27" s="37"/>
      <c r="C27" s="37"/>
      <c r="AA27" s="64" t="s">
        <v>41</v>
      </c>
      <c r="AB27" s="65" t="s">
        <v>30</v>
      </c>
      <c r="AC27" s="65" t="s">
        <v>31</v>
      </c>
      <c r="AD27" s="65"/>
      <c r="AE27" s="65"/>
      <c r="AQ27" s="38"/>
    </row>
    <row r="28" spans="1:53" hidden="1">
      <c r="A28" s="37" t="s">
        <v>88</v>
      </c>
      <c r="B28" s="37"/>
      <c r="C28" s="37"/>
      <c r="AA28" s="64"/>
      <c r="AB28" s="65" t="s">
        <v>32</v>
      </c>
      <c r="AC28" s="65">
        <v>0</v>
      </c>
      <c r="AD28" s="65"/>
      <c r="AE28" s="65"/>
      <c r="AF28" s="36" t="e">
        <f t="shared" ref="AF28:AO36" si="6">AF$12*$AC28</f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ref="AR28:BA36" si="7">AR$12*$AC28</f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89</v>
      </c>
      <c r="B29" s="37"/>
      <c r="C29" s="37"/>
      <c r="AA29" s="64"/>
      <c r="AB29" s="65" t="s">
        <v>33</v>
      </c>
      <c r="AC29" s="65">
        <v>6.2010000000000005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90</v>
      </c>
      <c r="B30" s="37"/>
      <c r="C30" s="37"/>
      <c r="AA30" s="64"/>
      <c r="AB30" s="65" t="s">
        <v>34</v>
      </c>
      <c r="AC30" s="65">
        <v>0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91</v>
      </c>
      <c r="B31" s="37"/>
      <c r="C31" s="37"/>
      <c r="AA31" s="64"/>
      <c r="AB31" s="65" t="s">
        <v>35</v>
      </c>
      <c r="AC31" s="65">
        <v>9.8037500000000009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92</v>
      </c>
      <c r="B32" s="37"/>
      <c r="C32" s="37"/>
      <c r="AA32" s="64"/>
      <c r="AB32" s="65" t="s">
        <v>36</v>
      </c>
      <c r="AC32" s="65">
        <v>7.2451999999999996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84</v>
      </c>
      <c r="B33" s="37"/>
      <c r="C33" s="37"/>
      <c r="AA33" s="64"/>
      <c r="AB33" s="65" t="s">
        <v>37</v>
      </c>
      <c r="AC33" s="65">
        <v>3.6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93</v>
      </c>
      <c r="B34" s="37"/>
      <c r="C34" s="37"/>
      <c r="AA34" s="64"/>
      <c r="AB34" s="65" t="s">
        <v>38</v>
      </c>
      <c r="AC34" s="65">
        <v>6.1984000000000004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94</v>
      </c>
      <c r="B35" s="37"/>
      <c r="C35" s="37"/>
      <c r="AA35" s="64"/>
      <c r="AB35" s="65" t="s">
        <v>39</v>
      </c>
      <c r="AC35" s="65">
        <v>5.1995100000000001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0</v>
      </c>
      <c r="B36" s="37"/>
      <c r="C36" s="37"/>
      <c r="AA36" s="64"/>
      <c r="AB36" s="65" t="s">
        <v>40</v>
      </c>
      <c r="AC36" s="65">
        <v>17.71416</v>
      </c>
      <c r="AD36" s="65"/>
      <c r="AE36" s="65"/>
      <c r="AF36" s="36" t="e">
        <f t="shared" si="6"/>
        <v>#REF!</v>
      </c>
      <c r="AG36" s="36" t="e">
        <f t="shared" si="6"/>
        <v>#REF!</v>
      </c>
      <c r="AH36" s="36" t="e">
        <f t="shared" si="6"/>
        <v>#REF!</v>
      </c>
      <c r="AI36" s="36" t="e">
        <f t="shared" si="6"/>
        <v>#REF!</v>
      </c>
      <c r="AJ36" s="36" t="e">
        <f t="shared" si="6"/>
        <v>#REF!</v>
      </c>
      <c r="AK36" s="36" t="e">
        <f t="shared" si="6"/>
        <v>#REF!</v>
      </c>
      <c r="AL36" s="36" t="e">
        <f t="shared" si="6"/>
        <v>#REF!</v>
      </c>
      <c r="AM36" s="36" t="e">
        <f t="shared" si="6"/>
        <v>#REF!</v>
      </c>
      <c r="AN36" s="36" t="e">
        <f t="shared" si="6"/>
        <v>#REF!</v>
      </c>
      <c r="AO36" s="36" t="e">
        <f t="shared" si="6"/>
        <v>#REF!</v>
      </c>
      <c r="AQ36" s="38"/>
      <c r="AR36" s="36" t="e">
        <f t="shared" si="7"/>
        <v>#REF!</v>
      </c>
      <c r="AS36" s="36" t="e">
        <f t="shared" si="7"/>
        <v>#REF!</v>
      </c>
      <c r="AT36" s="36" t="e">
        <f t="shared" si="7"/>
        <v>#REF!</v>
      </c>
      <c r="AU36" s="36" t="e">
        <f t="shared" si="7"/>
        <v>#REF!</v>
      </c>
      <c r="AV36" s="36" t="e">
        <f t="shared" si="7"/>
        <v>#REF!</v>
      </c>
      <c r="AW36" s="36" t="e">
        <f t="shared" si="7"/>
        <v>#REF!</v>
      </c>
      <c r="AX36" s="36" t="e">
        <f t="shared" si="7"/>
        <v>#REF!</v>
      </c>
      <c r="AY36" s="36" t="e">
        <f t="shared" si="7"/>
        <v>#REF!</v>
      </c>
      <c r="AZ36" s="36" t="e">
        <f t="shared" si="7"/>
        <v>#REF!</v>
      </c>
      <c r="BA36" s="36" t="e">
        <f t="shared" si="7"/>
        <v>#REF!</v>
      </c>
    </row>
    <row r="37" spans="1:53" hidden="1">
      <c r="A37" s="37" t="s">
        <v>59</v>
      </c>
      <c r="B37" s="37">
        <f>0.39*1.5*(8.5/12)^0.9*(2/3)^0.45</f>
        <v>0.35737873826145539</v>
      </c>
      <c r="C37" s="37"/>
      <c r="AA37" s="64"/>
      <c r="AB37" s="65"/>
      <c r="AC37" s="65"/>
      <c r="AD37" s="65"/>
      <c r="AE37" s="65"/>
      <c r="AQ37" s="38"/>
    </row>
    <row r="38" spans="1:53" hidden="1">
      <c r="A38" s="37" t="s">
        <v>60</v>
      </c>
      <c r="B38" s="37">
        <f>0.39*0.15*(8.5/12)^0.9*(2/3)^0.45</f>
        <v>3.5737873826145544E-2</v>
      </c>
      <c r="C38" s="37"/>
      <c r="AA38" s="64" t="s">
        <v>42</v>
      </c>
      <c r="AB38" s="65" t="s">
        <v>30</v>
      </c>
      <c r="AC38" s="65" t="s">
        <v>31</v>
      </c>
      <c r="AD38" s="65"/>
      <c r="AE38" s="65"/>
      <c r="AQ38" s="38"/>
    </row>
    <row r="39" spans="1:53" hidden="1">
      <c r="AA39" s="64"/>
      <c r="AB39" s="65" t="s">
        <v>32</v>
      </c>
      <c r="AC39" s="65">
        <v>0</v>
      </c>
      <c r="AD39" s="65"/>
      <c r="AE39" s="65"/>
      <c r="AF39" s="36" t="e">
        <f t="shared" ref="AF39:AO47" si="8">AF$12*$AC39</f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ref="AR39:BA47" si="9">AR$12*$AC39</f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33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34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35</v>
      </c>
      <c r="AC42" s="65">
        <v>16.541599999999999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36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37</v>
      </c>
      <c r="AC44" s="65">
        <v>0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38</v>
      </c>
      <c r="AC45" s="65">
        <v>14.601599999999999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39</v>
      </c>
      <c r="AC46" s="65">
        <v>14.570489999999999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A47" s="64"/>
      <c r="AB47" s="65" t="s">
        <v>40</v>
      </c>
      <c r="AC47" s="65">
        <v>14.14584</v>
      </c>
      <c r="AD47" s="65"/>
      <c r="AE47" s="65"/>
      <c r="AF47" s="36" t="e">
        <f t="shared" si="8"/>
        <v>#REF!</v>
      </c>
      <c r="AG47" s="36" t="e">
        <f t="shared" si="8"/>
        <v>#REF!</v>
      </c>
      <c r="AH47" s="36" t="e">
        <f t="shared" si="8"/>
        <v>#REF!</v>
      </c>
      <c r="AI47" s="36" t="e">
        <f t="shared" si="8"/>
        <v>#REF!</v>
      </c>
      <c r="AJ47" s="36" t="e">
        <f t="shared" si="8"/>
        <v>#REF!</v>
      </c>
      <c r="AK47" s="36" t="e">
        <f t="shared" si="8"/>
        <v>#REF!</v>
      </c>
      <c r="AL47" s="36" t="e">
        <f t="shared" si="8"/>
        <v>#REF!</v>
      </c>
      <c r="AM47" s="36" t="e">
        <f t="shared" si="8"/>
        <v>#REF!</v>
      </c>
      <c r="AN47" s="36" t="e">
        <f t="shared" si="8"/>
        <v>#REF!</v>
      </c>
      <c r="AO47" s="36" t="e">
        <f t="shared" si="8"/>
        <v>#REF!</v>
      </c>
      <c r="AQ47" s="38"/>
      <c r="AR47" s="36" t="e">
        <f t="shared" si="9"/>
        <v>#REF!</v>
      </c>
      <c r="AS47" s="36" t="e">
        <f t="shared" si="9"/>
        <v>#REF!</v>
      </c>
      <c r="AT47" s="36" t="e">
        <f t="shared" si="9"/>
        <v>#REF!</v>
      </c>
      <c r="AU47" s="36" t="e">
        <f t="shared" si="9"/>
        <v>#REF!</v>
      </c>
      <c r="AV47" s="36" t="e">
        <f t="shared" si="9"/>
        <v>#REF!</v>
      </c>
      <c r="AW47" s="36" t="e">
        <f t="shared" si="9"/>
        <v>#REF!</v>
      </c>
      <c r="AX47" s="36" t="e">
        <f t="shared" si="9"/>
        <v>#REF!</v>
      </c>
      <c r="AY47" s="36" t="e">
        <f t="shared" si="9"/>
        <v>#REF!</v>
      </c>
      <c r="AZ47" s="36" t="e">
        <f t="shared" si="9"/>
        <v>#REF!</v>
      </c>
      <c r="BA47" s="36" t="e">
        <f t="shared" si="9"/>
        <v>#REF!</v>
      </c>
    </row>
    <row r="48" spans="1:53" hidden="1">
      <c r="AQ48" s="38"/>
    </row>
    <row r="49" spans="27:53" hidden="1">
      <c r="AQ49" s="38"/>
    </row>
    <row r="50" spans="27:53" ht="63.75" hidden="1">
      <c r="AA50" s="66" t="s">
        <v>43</v>
      </c>
      <c r="AB50" s="67"/>
      <c r="AC50" s="68"/>
      <c r="AD50" s="68"/>
      <c r="AE50" s="68"/>
      <c r="AF50" s="61" t="s">
        <v>55</v>
      </c>
      <c r="AG50" s="61" t="s">
        <v>73</v>
      </c>
      <c r="AH50" s="61" t="s">
        <v>57</v>
      </c>
      <c r="AI50" s="61" t="s">
        <v>58</v>
      </c>
      <c r="AJ50" s="61" t="s">
        <v>59</v>
      </c>
      <c r="AK50" s="61" t="s">
        <v>60</v>
      </c>
      <c r="AL50" s="62" t="s">
        <v>75</v>
      </c>
      <c r="AM50" s="62" t="s">
        <v>76</v>
      </c>
      <c r="AN50" s="62" t="s">
        <v>61</v>
      </c>
      <c r="AO50" s="62" t="s">
        <v>62</v>
      </c>
      <c r="AP50" s="62"/>
      <c r="AQ50" s="43"/>
      <c r="AR50" s="61" t="s">
        <v>55</v>
      </c>
      <c r="AS50" s="61" t="s">
        <v>73</v>
      </c>
      <c r="AT50" s="61" t="s">
        <v>74</v>
      </c>
      <c r="AU50" s="61" t="s">
        <v>58</v>
      </c>
      <c r="AV50" s="61" t="s">
        <v>59</v>
      </c>
      <c r="AW50" s="61" t="s">
        <v>60</v>
      </c>
      <c r="AX50" s="62" t="s">
        <v>75</v>
      </c>
      <c r="AY50" s="62" t="s">
        <v>76</v>
      </c>
      <c r="AZ50" s="63" t="s">
        <v>61</v>
      </c>
      <c r="BA50" s="61" t="s">
        <v>62</v>
      </c>
    </row>
    <row r="51" spans="27:53" hidden="1">
      <c r="AA51" s="69" t="s">
        <v>44</v>
      </c>
      <c r="AB51" s="35"/>
      <c r="AG51" s="70"/>
      <c r="AQ51" s="38"/>
    </row>
    <row r="52" spans="27:53" hidden="1">
      <c r="AA52" s="71" t="s">
        <v>29</v>
      </c>
      <c r="AB52" s="35"/>
      <c r="AF52" s="70" t="e">
        <f t="shared" ref="AF52:AO52" si="10">AF17+AF19+AF20</f>
        <v>#REF!</v>
      </c>
      <c r="AG52" s="70" t="e">
        <f t="shared" si="10"/>
        <v>#REF!</v>
      </c>
      <c r="AH52" s="70" t="e">
        <f t="shared" si="10"/>
        <v>#REF!</v>
      </c>
      <c r="AI52" s="70" t="e">
        <f t="shared" si="10"/>
        <v>#REF!</v>
      </c>
      <c r="AJ52" s="70" t="e">
        <f t="shared" si="10"/>
        <v>#REF!</v>
      </c>
      <c r="AK52" s="70" t="e">
        <f t="shared" si="10"/>
        <v>#REF!</v>
      </c>
      <c r="AL52" s="70" t="e">
        <f t="shared" si="10"/>
        <v>#REF!</v>
      </c>
      <c r="AM52" s="70" t="e">
        <f t="shared" si="10"/>
        <v>#REF!</v>
      </c>
      <c r="AN52" s="70" t="e">
        <f t="shared" si="10"/>
        <v>#REF!</v>
      </c>
      <c r="AO52" s="70" t="e">
        <f t="shared" si="10"/>
        <v>#REF!</v>
      </c>
      <c r="AP52" s="70"/>
      <c r="AQ52" s="70"/>
      <c r="AR52" s="70" t="e">
        <f t="shared" ref="AR52:BA52" si="11">AR17+AR19+AR20</f>
        <v>#REF!</v>
      </c>
      <c r="AS52" s="70" t="e">
        <f t="shared" si="11"/>
        <v>#REF!</v>
      </c>
      <c r="AT52" s="70" t="e">
        <f t="shared" si="11"/>
        <v>#REF!</v>
      </c>
      <c r="AU52" s="70" t="e">
        <f t="shared" si="11"/>
        <v>#REF!</v>
      </c>
      <c r="AV52" s="70" t="e">
        <f t="shared" si="11"/>
        <v>#REF!</v>
      </c>
      <c r="AW52" s="70" t="e">
        <f t="shared" si="11"/>
        <v>#REF!</v>
      </c>
      <c r="AX52" s="70" t="e">
        <f t="shared" si="11"/>
        <v>#REF!</v>
      </c>
      <c r="AY52" s="70" t="e">
        <f t="shared" si="11"/>
        <v>#REF!</v>
      </c>
      <c r="AZ52" s="70" t="e">
        <f t="shared" si="11"/>
        <v>#REF!</v>
      </c>
      <c r="BA52" s="70" t="e">
        <f t="shared" si="11"/>
        <v>#REF!</v>
      </c>
    </row>
    <row r="53" spans="27:53" hidden="1">
      <c r="AA53" s="71" t="s">
        <v>41</v>
      </c>
      <c r="AB53" s="35"/>
      <c r="AF53" s="70" t="e">
        <f t="shared" ref="AF53:AO53" si="12">AF28+AF30+AF31</f>
        <v>#REF!</v>
      </c>
      <c r="AG53" s="70" t="e">
        <f t="shared" si="12"/>
        <v>#REF!</v>
      </c>
      <c r="AH53" s="70" t="e">
        <f t="shared" si="12"/>
        <v>#REF!</v>
      </c>
      <c r="AI53" s="70" t="e">
        <f t="shared" si="12"/>
        <v>#REF!</v>
      </c>
      <c r="AJ53" s="70" t="e">
        <f t="shared" si="12"/>
        <v>#REF!</v>
      </c>
      <c r="AK53" s="70" t="e">
        <f t="shared" si="12"/>
        <v>#REF!</v>
      </c>
      <c r="AL53" s="70" t="e">
        <f t="shared" si="12"/>
        <v>#REF!</v>
      </c>
      <c r="AM53" s="70" t="e">
        <f t="shared" si="12"/>
        <v>#REF!</v>
      </c>
      <c r="AN53" s="70" t="e">
        <f t="shared" si="12"/>
        <v>#REF!</v>
      </c>
      <c r="AO53" s="70" t="e">
        <f t="shared" si="12"/>
        <v>#REF!</v>
      </c>
      <c r="AP53" s="70"/>
      <c r="AQ53" s="70"/>
      <c r="AR53" s="70" t="e">
        <f t="shared" ref="AR53:BA53" si="13">AR28+AR30+AR31</f>
        <v>#REF!</v>
      </c>
      <c r="AS53" s="70" t="e">
        <f t="shared" si="13"/>
        <v>#REF!</v>
      </c>
      <c r="AT53" s="70" t="e">
        <f t="shared" si="13"/>
        <v>#REF!</v>
      </c>
      <c r="AU53" s="70" t="e">
        <f t="shared" si="13"/>
        <v>#REF!</v>
      </c>
      <c r="AV53" s="70" t="e">
        <f t="shared" si="13"/>
        <v>#REF!</v>
      </c>
      <c r="AW53" s="70" t="e">
        <f t="shared" si="13"/>
        <v>#REF!</v>
      </c>
      <c r="AX53" s="70" t="e">
        <f t="shared" si="13"/>
        <v>#REF!</v>
      </c>
      <c r="AY53" s="70" t="e">
        <f t="shared" si="13"/>
        <v>#REF!</v>
      </c>
      <c r="AZ53" s="70" t="e">
        <f t="shared" si="13"/>
        <v>#REF!</v>
      </c>
      <c r="BA53" s="70" t="e">
        <f t="shared" si="13"/>
        <v>#REF!</v>
      </c>
    </row>
    <row r="54" spans="27:53" hidden="1">
      <c r="AA54" s="71" t="s">
        <v>42</v>
      </c>
      <c r="AB54" s="35"/>
      <c r="AF54" s="70" t="e">
        <f t="shared" ref="AF54:AO54" si="14">AF39+AF41+AF42</f>
        <v>#REF!</v>
      </c>
      <c r="AG54" s="70" t="e">
        <f t="shared" si="14"/>
        <v>#REF!</v>
      </c>
      <c r="AH54" s="70" t="e">
        <f t="shared" si="14"/>
        <v>#REF!</v>
      </c>
      <c r="AI54" s="70" t="e">
        <f t="shared" si="14"/>
        <v>#REF!</v>
      </c>
      <c r="AJ54" s="70" t="e">
        <f t="shared" si="14"/>
        <v>#REF!</v>
      </c>
      <c r="AK54" s="70" t="e">
        <f t="shared" si="14"/>
        <v>#REF!</v>
      </c>
      <c r="AL54" s="70" t="e">
        <f t="shared" si="14"/>
        <v>#REF!</v>
      </c>
      <c r="AM54" s="70" t="e">
        <f t="shared" si="14"/>
        <v>#REF!</v>
      </c>
      <c r="AN54" s="70" t="e">
        <f t="shared" si="14"/>
        <v>#REF!</v>
      </c>
      <c r="AO54" s="70" t="e">
        <f t="shared" si="14"/>
        <v>#REF!</v>
      </c>
      <c r="AP54" s="70"/>
      <c r="AQ54" s="70"/>
      <c r="AR54" s="70" t="e">
        <f t="shared" ref="AR54:BA54" si="15">AR39+AR41+AR42</f>
        <v>#REF!</v>
      </c>
      <c r="AS54" s="70" t="e">
        <f t="shared" si="15"/>
        <v>#REF!</v>
      </c>
      <c r="AT54" s="70" t="e">
        <f t="shared" si="15"/>
        <v>#REF!</v>
      </c>
      <c r="AU54" s="70" t="e">
        <f t="shared" si="15"/>
        <v>#REF!</v>
      </c>
      <c r="AV54" s="70" t="e">
        <f t="shared" si="15"/>
        <v>#REF!</v>
      </c>
      <c r="AW54" s="70" t="e">
        <f t="shared" si="15"/>
        <v>#REF!</v>
      </c>
      <c r="AX54" s="70" t="e">
        <f t="shared" si="15"/>
        <v>#REF!</v>
      </c>
      <c r="AY54" s="70" t="e">
        <f t="shared" si="15"/>
        <v>#REF!</v>
      </c>
      <c r="AZ54" s="70" t="e">
        <f t="shared" si="15"/>
        <v>#REF!</v>
      </c>
      <c r="BA54" s="70" t="e">
        <f t="shared" si="15"/>
        <v>#REF!</v>
      </c>
    </row>
    <row r="55" spans="27:53" hidden="1">
      <c r="AA55" s="69" t="s">
        <v>45</v>
      </c>
      <c r="AB55" s="35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</row>
    <row r="56" spans="27:53" hidden="1">
      <c r="AA56" s="71" t="s">
        <v>29</v>
      </c>
      <c r="AB56" s="35"/>
      <c r="AF56" s="70" t="e">
        <f t="shared" ref="AF56:AO56" si="16">AF17+AF19+AF21+AF23</f>
        <v>#REF!</v>
      </c>
      <c r="AG56" s="70" t="e">
        <f t="shared" si="16"/>
        <v>#REF!</v>
      </c>
      <c r="AH56" s="70" t="e">
        <f t="shared" si="16"/>
        <v>#REF!</v>
      </c>
      <c r="AI56" s="70" t="e">
        <f t="shared" si="16"/>
        <v>#REF!</v>
      </c>
      <c r="AJ56" s="70" t="e">
        <f t="shared" si="16"/>
        <v>#REF!</v>
      </c>
      <c r="AK56" s="70" t="e">
        <f t="shared" si="16"/>
        <v>#REF!</v>
      </c>
      <c r="AL56" s="70" t="e">
        <f t="shared" si="16"/>
        <v>#REF!</v>
      </c>
      <c r="AM56" s="70" t="e">
        <f t="shared" si="16"/>
        <v>#REF!</v>
      </c>
      <c r="AN56" s="70" t="e">
        <f t="shared" si="16"/>
        <v>#REF!</v>
      </c>
      <c r="AO56" s="70" t="e">
        <f t="shared" si="16"/>
        <v>#REF!</v>
      </c>
      <c r="AP56" s="70"/>
      <c r="AQ56" s="70"/>
      <c r="AR56" s="70" t="e">
        <f t="shared" ref="AR56:BA56" si="17">AR17+AR19+AR21+AR23</f>
        <v>#REF!</v>
      </c>
      <c r="AS56" s="70" t="e">
        <f t="shared" si="17"/>
        <v>#REF!</v>
      </c>
      <c r="AT56" s="70" t="e">
        <f t="shared" si="17"/>
        <v>#REF!</v>
      </c>
      <c r="AU56" s="70" t="e">
        <f t="shared" si="17"/>
        <v>#REF!</v>
      </c>
      <c r="AV56" s="70" t="e">
        <f t="shared" si="17"/>
        <v>#REF!</v>
      </c>
      <c r="AW56" s="70" t="e">
        <f t="shared" si="17"/>
        <v>#REF!</v>
      </c>
      <c r="AX56" s="70" t="e">
        <f t="shared" si="17"/>
        <v>#REF!</v>
      </c>
      <c r="AY56" s="70" t="e">
        <f t="shared" si="17"/>
        <v>#REF!</v>
      </c>
      <c r="AZ56" s="70" t="e">
        <f t="shared" si="17"/>
        <v>#REF!</v>
      </c>
      <c r="BA56" s="70" t="e">
        <f t="shared" si="17"/>
        <v>#REF!</v>
      </c>
    </row>
    <row r="57" spans="27:53" hidden="1">
      <c r="AA57" s="71" t="s">
        <v>41</v>
      </c>
      <c r="AB57" s="35"/>
      <c r="AF57" s="70" t="e">
        <f t="shared" ref="AF57:AO57" si="18">AF28+AF30+AF32+AF34</f>
        <v>#REF!</v>
      </c>
      <c r="AG57" s="70" t="e">
        <f t="shared" si="18"/>
        <v>#REF!</v>
      </c>
      <c r="AH57" s="70" t="e">
        <f t="shared" si="18"/>
        <v>#REF!</v>
      </c>
      <c r="AI57" s="70" t="e">
        <f t="shared" si="18"/>
        <v>#REF!</v>
      </c>
      <c r="AJ57" s="70" t="e">
        <f t="shared" si="18"/>
        <v>#REF!</v>
      </c>
      <c r="AK57" s="70" t="e">
        <f t="shared" si="18"/>
        <v>#REF!</v>
      </c>
      <c r="AL57" s="70" t="e">
        <f t="shared" si="18"/>
        <v>#REF!</v>
      </c>
      <c r="AM57" s="70" t="e">
        <f t="shared" si="18"/>
        <v>#REF!</v>
      </c>
      <c r="AN57" s="70" t="e">
        <f t="shared" si="18"/>
        <v>#REF!</v>
      </c>
      <c r="AO57" s="70" t="e">
        <f t="shared" si="18"/>
        <v>#REF!</v>
      </c>
      <c r="AP57" s="70"/>
      <c r="AQ57" s="70"/>
      <c r="AR57" s="70" t="e">
        <f t="shared" ref="AR57:BA57" si="19">AR28+AR30+AR32+AR34</f>
        <v>#REF!</v>
      </c>
      <c r="AS57" s="70" t="e">
        <f t="shared" si="19"/>
        <v>#REF!</v>
      </c>
      <c r="AT57" s="70" t="e">
        <f t="shared" si="19"/>
        <v>#REF!</v>
      </c>
      <c r="AU57" s="70" t="e">
        <f t="shared" si="19"/>
        <v>#REF!</v>
      </c>
      <c r="AV57" s="70" t="e">
        <f t="shared" si="19"/>
        <v>#REF!</v>
      </c>
      <c r="AW57" s="70" t="e">
        <f t="shared" si="19"/>
        <v>#REF!</v>
      </c>
      <c r="AX57" s="70" t="e">
        <f t="shared" si="19"/>
        <v>#REF!</v>
      </c>
      <c r="AY57" s="70" t="e">
        <f t="shared" si="19"/>
        <v>#REF!</v>
      </c>
      <c r="AZ57" s="70" t="e">
        <f t="shared" si="19"/>
        <v>#REF!</v>
      </c>
      <c r="BA57" s="70" t="e">
        <f t="shared" si="19"/>
        <v>#REF!</v>
      </c>
    </row>
    <row r="58" spans="27:53" hidden="1">
      <c r="AA58" s="71" t="s">
        <v>42</v>
      </c>
      <c r="AB58" s="35"/>
      <c r="AF58" s="70" t="e">
        <f t="shared" ref="AF58:AO58" si="20">AF39+AF41+AF43+AF45</f>
        <v>#REF!</v>
      </c>
      <c r="AG58" s="70" t="e">
        <f t="shared" si="20"/>
        <v>#REF!</v>
      </c>
      <c r="AH58" s="70" t="e">
        <f t="shared" si="20"/>
        <v>#REF!</v>
      </c>
      <c r="AI58" s="70" t="e">
        <f t="shared" si="20"/>
        <v>#REF!</v>
      </c>
      <c r="AJ58" s="70" t="e">
        <f t="shared" si="20"/>
        <v>#REF!</v>
      </c>
      <c r="AK58" s="70" t="e">
        <f t="shared" si="20"/>
        <v>#REF!</v>
      </c>
      <c r="AL58" s="70" t="e">
        <f t="shared" si="20"/>
        <v>#REF!</v>
      </c>
      <c r="AM58" s="70" t="e">
        <f t="shared" si="20"/>
        <v>#REF!</v>
      </c>
      <c r="AN58" s="70" t="e">
        <f t="shared" si="20"/>
        <v>#REF!</v>
      </c>
      <c r="AO58" s="70" t="e">
        <f t="shared" si="20"/>
        <v>#REF!</v>
      </c>
      <c r="AP58" s="70"/>
      <c r="AQ58" s="70"/>
      <c r="AR58" s="70" t="e">
        <f t="shared" ref="AR58:BA58" si="21">AR39+AR41+AR43+AR45</f>
        <v>#REF!</v>
      </c>
      <c r="AS58" s="70" t="e">
        <f t="shared" si="21"/>
        <v>#REF!</v>
      </c>
      <c r="AT58" s="70" t="e">
        <f t="shared" si="21"/>
        <v>#REF!</v>
      </c>
      <c r="AU58" s="70" t="e">
        <f t="shared" si="21"/>
        <v>#REF!</v>
      </c>
      <c r="AV58" s="70" t="e">
        <f t="shared" si="21"/>
        <v>#REF!</v>
      </c>
      <c r="AW58" s="70" t="e">
        <f t="shared" si="21"/>
        <v>#REF!</v>
      </c>
      <c r="AX58" s="70" t="e">
        <f t="shared" si="21"/>
        <v>#REF!</v>
      </c>
      <c r="AY58" s="70" t="e">
        <f t="shared" si="21"/>
        <v>#REF!</v>
      </c>
      <c r="AZ58" s="70" t="e">
        <f t="shared" si="21"/>
        <v>#REF!</v>
      </c>
      <c r="BA58" s="70" t="e">
        <f t="shared" si="21"/>
        <v>#REF!</v>
      </c>
    </row>
    <row r="59" spans="27:53" hidden="1">
      <c r="AA59" s="69" t="s">
        <v>46</v>
      </c>
      <c r="AB59" s="35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</row>
    <row r="60" spans="27:53" hidden="1">
      <c r="AA60" s="71" t="s">
        <v>29</v>
      </c>
      <c r="AB60" s="35"/>
      <c r="AF60" s="70" t="e">
        <f t="shared" ref="AF60:AO60" si="22">AF17+AF19+AF21+AF22+AF24</f>
        <v>#REF!</v>
      </c>
      <c r="AG60" s="70" t="e">
        <f t="shared" si="22"/>
        <v>#REF!</v>
      </c>
      <c r="AH60" s="70" t="e">
        <f t="shared" si="22"/>
        <v>#REF!</v>
      </c>
      <c r="AI60" s="70" t="e">
        <f t="shared" si="22"/>
        <v>#REF!</v>
      </c>
      <c r="AJ60" s="70" t="e">
        <f t="shared" si="22"/>
        <v>#REF!</v>
      </c>
      <c r="AK60" s="70" t="e">
        <f t="shared" si="22"/>
        <v>#REF!</v>
      </c>
      <c r="AL60" s="70" t="e">
        <f t="shared" si="22"/>
        <v>#REF!</v>
      </c>
      <c r="AM60" s="70" t="e">
        <f t="shared" si="22"/>
        <v>#REF!</v>
      </c>
      <c r="AN60" s="70" t="e">
        <f t="shared" si="22"/>
        <v>#REF!</v>
      </c>
      <c r="AO60" s="70" t="e">
        <f t="shared" si="22"/>
        <v>#REF!</v>
      </c>
      <c r="AP60" s="70"/>
      <c r="AQ60" s="70"/>
      <c r="AR60" s="70" t="e">
        <f t="shared" ref="AR60:BA60" si="23">AR17+AR19+AR21+AR22+AR24</f>
        <v>#REF!</v>
      </c>
      <c r="AS60" s="70" t="e">
        <f t="shared" si="23"/>
        <v>#REF!</v>
      </c>
      <c r="AT60" s="70" t="e">
        <f t="shared" si="23"/>
        <v>#REF!</v>
      </c>
      <c r="AU60" s="70" t="e">
        <f t="shared" si="23"/>
        <v>#REF!</v>
      </c>
      <c r="AV60" s="70" t="e">
        <f t="shared" si="23"/>
        <v>#REF!</v>
      </c>
      <c r="AW60" s="70" t="e">
        <f t="shared" si="23"/>
        <v>#REF!</v>
      </c>
      <c r="AX60" s="70" t="e">
        <f t="shared" si="23"/>
        <v>#REF!</v>
      </c>
      <c r="AY60" s="70" t="e">
        <f t="shared" si="23"/>
        <v>#REF!</v>
      </c>
      <c r="AZ60" s="70" t="e">
        <f t="shared" si="23"/>
        <v>#REF!</v>
      </c>
      <c r="BA60" s="70" t="e">
        <f t="shared" si="23"/>
        <v>#REF!</v>
      </c>
    </row>
    <row r="61" spans="27:53" hidden="1">
      <c r="AA61" s="71" t="s">
        <v>41</v>
      </c>
      <c r="AB61" s="35"/>
      <c r="AF61" s="70" t="e">
        <f t="shared" ref="AF61:AO61" si="24">AF28+AF30+AF32+AF33+AF35</f>
        <v>#REF!</v>
      </c>
      <c r="AG61" s="70" t="e">
        <f t="shared" si="24"/>
        <v>#REF!</v>
      </c>
      <c r="AH61" s="70" t="e">
        <f t="shared" si="24"/>
        <v>#REF!</v>
      </c>
      <c r="AI61" s="70" t="e">
        <f t="shared" si="24"/>
        <v>#REF!</v>
      </c>
      <c r="AJ61" s="70" t="e">
        <f t="shared" si="24"/>
        <v>#REF!</v>
      </c>
      <c r="AK61" s="70" t="e">
        <f t="shared" si="24"/>
        <v>#REF!</v>
      </c>
      <c r="AL61" s="70" t="e">
        <f t="shared" si="24"/>
        <v>#REF!</v>
      </c>
      <c r="AM61" s="70" t="e">
        <f t="shared" si="24"/>
        <v>#REF!</v>
      </c>
      <c r="AN61" s="70" t="e">
        <f t="shared" si="24"/>
        <v>#REF!</v>
      </c>
      <c r="AO61" s="70" t="e">
        <f t="shared" si="24"/>
        <v>#REF!</v>
      </c>
      <c r="AP61" s="70"/>
      <c r="AQ61" s="70"/>
      <c r="AR61" s="70" t="e">
        <f t="shared" ref="AR61:BA61" si="25">AR28+AR30+AR32+AR33+AR35</f>
        <v>#REF!</v>
      </c>
      <c r="AS61" s="70" t="e">
        <f t="shared" si="25"/>
        <v>#REF!</v>
      </c>
      <c r="AT61" s="70" t="e">
        <f t="shared" si="25"/>
        <v>#REF!</v>
      </c>
      <c r="AU61" s="70" t="e">
        <f t="shared" si="25"/>
        <v>#REF!</v>
      </c>
      <c r="AV61" s="70" t="e">
        <f t="shared" si="25"/>
        <v>#REF!</v>
      </c>
      <c r="AW61" s="70" t="e">
        <f t="shared" si="25"/>
        <v>#REF!</v>
      </c>
      <c r="AX61" s="70" t="e">
        <f t="shared" si="25"/>
        <v>#REF!</v>
      </c>
      <c r="AY61" s="70" t="e">
        <f t="shared" si="25"/>
        <v>#REF!</v>
      </c>
      <c r="AZ61" s="70" t="e">
        <f t="shared" si="25"/>
        <v>#REF!</v>
      </c>
      <c r="BA61" s="70" t="e">
        <f t="shared" si="25"/>
        <v>#REF!</v>
      </c>
    </row>
    <row r="62" spans="27:53" hidden="1">
      <c r="AA62" s="71" t="s">
        <v>42</v>
      </c>
      <c r="AB62" s="35"/>
      <c r="AF62" s="70" t="e">
        <f t="shared" ref="AF62:AO62" si="26">AF39+AF41+AF43+AF44+AF46</f>
        <v>#REF!</v>
      </c>
      <c r="AG62" s="70" t="e">
        <f t="shared" si="26"/>
        <v>#REF!</v>
      </c>
      <c r="AH62" s="70" t="e">
        <f t="shared" si="26"/>
        <v>#REF!</v>
      </c>
      <c r="AI62" s="70" t="e">
        <f t="shared" si="26"/>
        <v>#REF!</v>
      </c>
      <c r="AJ62" s="70" t="e">
        <f t="shared" si="26"/>
        <v>#REF!</v>
      </c>
      <c r="AK62" s="70" t="e">
        <f t="shared" si="26"/>
        <v>#REF!</v>
      </c>
      <c r="AL62" s="70" t="e">
        <f t="shared" si="26"/>
        <v>#REF!</v>
      </c>
      <c r="AM62" s="70" t="e">
        <f t="shared" si="26"/>
        <v>#REF!</v>
      </c>
      <c r="AN62" s="70" t="e">
        <f t="shared" si="26"/>
        <v>#REF!</v>
      </c>
      <c r="AO62" s="70" t="e">
        <f t="shared" si="26"/>
        <v>#REF!</v>
      </c>
      <c r="AP62" s="70"/>
      <c r="AQ62" s="70"/>
      <c r="AR62" s="70" t="e">
        <f t="shared" ref="AR62:BA62" si="27">AR39+AR41+AR43+AR44+AR46</f>
        <v>#REF!</v>
      </c>
      <c r="AS62" s="70" t="e">
        <f t="shared" si="27"/>
        <v>#REF!</v>
      </c>
      <c r="AT62" s="70" t="e">
        <f t="shared" si="27"/>
        <v>#REF!</v>
      </c>
      <c r="AU62" s="70" t="e">
        <f t="shared" si="27"/>
        <v>#REF!</v>
      </c>
      <c r="AV62" s="70" t="e">
        <f t="shared" si="27"/>
        <v>#REF!</v>
      </c>
      <c r="AW62" s="70" t="e">
        <f t="shared" si="27"/>
        <v>#REF!</v>
      </c>
      <c r="AX62" s="70" t="e">
        <f t="shared" si="27"/>
        <v>#REF!</v>
      </c>
      <c r="AY62" s="70" t="e">
        <f t="shared" si="27"/>
        <v>#REF!</v>
      </c>
      <c r="AZ62" s="70" t="e">
        <f t="shared" si="27"/>
        <v>#REF!</v>
      </c>
      <c r="BA62" s="70" t="e">
        <f t="shared" si="27"/>
        <v>#REF!</v>
      </c>
    </row>
    <row r="63" spans="27:53" hidden="1">
      <c r="AA63" s="69" t="s">
        <v>47</v>
      </c>
      <c r="AB63" s="35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</row>
    <row r="64" spans="27:53" hidden="1">
      <c r="AA64" s="71" t="s">
        <v>29</v>
      </c>
      <c r="AB64" s="35"/>
      <c r="AF64" s="70" t="e">
        <f t="shared" ref="AF64:AO64" si="28">AF17+AF19+AF21+AF22+AF25</f>
        <v>#REF!</v>
      </c>
      <c r="AG64" s="70" t="e">
        <f t="shared" si="28"/>
        <v>#REF!</v>
      </c>
      <c r="AH64" s="70" t="e">
        <f t="shared" si="28"/>
        <v>#REF!</v>
      </c>
      <c r="AI64" s="70" t="e">
        <f t="shared" si="28"/>
        <v>#REF!</v>
      </c>
      <c r="AJ64" s="70" t="e">
        <f t="shared" si="28"/>
        <v>#REF!</v>
      </c>
      <c r="AK64" s="70" t="e">
        <f t="shared" si="28"/>
        <v>#REF!</v>
      </c>
      <c r="AL64" s="70" t="e">
        <f t="shared" si="28"/>
        <v>#REF!</v>
      </c>
      <c r="AM64" s="70" t="e">
        <f t="shared" si="28"/>
        <v>#REF!</v>
      </c>
      <c r="AN64" s="70" t="e">
        <f t="shared" si="28"/>
        <v>#REF!</v>
      </c>
      <c r="AO64" s="70" t="e">
        <f t="shared" si="28"/>
        <v>#REF!</v>
      </c>
      <c r="AP64" s="70"/>
      <c r="AQ64" s="70"/>
      <c r="AR64" s="70" t="e">
        <f t="shared" ref="AR64:BA64" si="29">AR17+AR19+AR21+AR22+AR25</f>
        <v>#REF!</v>
      </c>
      <c r="AS64" s="70" t="e">
        <f t="shared" si="29"/>
        <v>#REF!</v>
      </c>
      <c r="AT64" s="70" t="e">
        <f t="shared" si="29"/>
        <v>#REF!</v>
      </c>
      <c r="AU64" s="70" t="e">
        <f t="shared" si="29"/>
        <v>#REF!</v>
      </c>
      <c r="AV64" s="70" t="e">
        <f t="shared" si="29"/>
        <v>#REF!</v>
      </c>
      <c r="AW64" s="70" t="e">
        <f t="shared" si="29"/>
        <v>#REF!</v>
      </c>
      <c r="AX64" s="70" t="e">
        <f t="shared" si="29"/>
        <v>#REF!</v>
      </c>
      <c r="AY64" s="70" t="e">
        <f t="shared" si="29"/>
        <v>#REF!</v>
      </c>
      <c r="AZ64" s="70" t="e">
        <f t="shared" si="29"/>
        <v>#REF!</v>
      </c>
      <c r="BA64" s="70" t="e">
        <f t="shared" si="29"/>
        <v>#REF!</v>
      </c>
    </row>
    <row r="65" spans="27:53" hidden="1">
      <c r="AA65" s="71" t="s">
        <v>41</v>
      </c>
      <c r="AB65" s="35"/>
      <c r="AF65" s="70" t="e">
        <f t="shared" ref="AF65:AO65" si="30">AF28+AF30+AF32+AF33+AF36</f>
        <v>#REF!</v>
      </c>
      <c r="AG65" s="70" t="e">
        <f t="shared" si="30"/>
        <v>#REF!</v>
      </c>
      <c r="AH65" s="70" t="e">
        <f t="shared" si="30"/>
        <v>#REF!</v>
      </c>
      <c r="AI65" s="70" t="e">
        <f t="shared" si="30"/>
        <v>#REF!</v>
      </c>
      <c r="AJ65" s="70" t="e">
        <f t="shared" si="30"/>
        <v>#REF!</v>
      </c>
      <c r="AK65" s="70" t="e">
        <f t="shared" si="30"/>
        <v>#REF!</v>
      </c>
      <c r="AL65" s="70" t="e">
        <f t="shared" si="30"/>
        <v>#REF!</v>
      </c>
      <c r="AM65" s="70" t="e">
        <f t="shared" si="30"/>
        <v>#REF!</v>
      </c>
      <c r="AN65" s="70" t="e">
        <f t="shared" si="30"/>
        <v>#REF!</v>
      </c>
      <c r="AO65" s="70" t="e">
        <f t="shared" si="30"/>
        <v>#REF!</v>
      </c>
      <c r="AP65" s="70"/>
      <c r="AQ65" s="70"/>
      <c r="AR65" s="70" t="e">
        <f t="shared" ref="AR65:BA65" si="31">AR28+AR30+AR32+AR33+AR36</f>
        <v>#REF!</v>
      </c>
      <c r="AS65" s="70" t="e">
        <f t="shared" si="31"/>
        <v>#REF!</v>
      </c>
      <c r="AT65" s="70" t="e">
        <f t="shared" si="31"/>
        <v>#REF!</v>
      </c>
      <c r="AU65" s="70" t="e">
        <f t="shared" si="31"/>
        <v>#REF!</v>
      </c>
      <c r="AV65" s="70" t="e">
        <f t="shared" si="31"/>
        <v>#REF!</v>
      </c>
      <c r="AW65" s="70" t="e">
        <f t="shared" si="31"/>
        <v>#REF!</v>
      </c>
      <c r="AX65" s="70" t="e">
        <f t="shared" si="31"/>
        <v>#REF!</v>
      </c>
      <c r="AY65" s="70" t="e">
        <f t="shared" si="31"/>
        <v>#REF!</v>
      </c>
      <c r="AZ65" s="70" t="e">
        <f t="shared" si="31"/>
        <v>#REF!</v>
      </c>
      <c r="BA65" s="70" t="e">
        <f t="shared" si="31"/>
        <v>#REF!</v>
      </c>
    </row>
    <row r="66" spans="27:53" hidden="1">
      <c r="AA66" s="71" t="s">
        <v>42</v>
      </c>
      <c r="AB66" s="35"/>
      <c r="AF66" s="70" t="e">
        <f t="shared" ref="AF66:AO66" si="32">AF39+AF41+AF43+AF44+AF47</f>
        <v>#REF!</v>
      </c>
      <c r="AG66" s="70" t="e">
        <f t="shared" si="32"/>
        <v>#REF!</v>
      </c>
      <c r="AH66" s="70" t="e">
        <f t="shared" si="32"/>
        <v>#REF!</v>
      </c>
      <c r="AI66" s="70" t="e">
        <f t="shared" si="32"/>
        <v>#REF!</v>
      </c>
      <c r="AJ66" s="70" t="e">
        <f t="shared" si="32"/>
        <v>#REF!</v>
      </c>
      <c r="AK66" s="70" t="e">
        <f t="shared" si="32"/>
        <v>#REF!</v>
      </c>
      <c r="AL66" s="70" t="e">
        <f t="shared" si="32"/>
        <v>#REF!</v>
      </c>
      <c r="AM66" s="70" t="e">
        <f t="shared" si="32"/>
        <v>#REF!</v>
      </c>
      <c r="AN66" s="70" t="e">
        <f t="shared" si="32"/>
        <v>#REF!</v>
      </c>
      <c r="AO66" s="70" t="e">
        <f t="shared" si="32"/>
        <v>#REF!</v>
      </c>
      <c r="AP66" s="70"/>
      <c r="AQ66" s="70"/>
      <c r="AR66" s="70" t="e">
        <f t="shared" ref="AR66:BA66" si="33">AR39+AR41+AR43+AR44+AR47</f>
        <v>#REF!</v>
      </c>
      <c r="AS66" s="70" t="e">
        <f t="shared" si="33"/>
        <v>#REF!</v>
      </c>
      <c r="AT66" s="70" t="e">
        <f t="shared" si="33"/>
        <v>#REF!</v>
      </c>
      <c r="AU66" s="70" t="e">
        <f t="shared" si="33"/>
        <v>#REF!</v>
      </c>
      <c r="AV66" s="70" t="e">
        <f t="shared" si="33"/>
        <v>#REF!</v>
      </c>
      <c r="AW66" s="70" t="e">
        <f t="shared" si="33"/>
        <v>#REF!</v>
      </c>
      <c r="AX66" s="70" t="e">
        <f t="shared" si="33"/>
        <v>#REF!</v>
      </c>
      <c r="AY66" s="70" t="e">
        <f t="shared" si="33"/>
        <v>#REF!</v>
      </c>
      <c r="AZ66" s="70" t="e">
        <f t="shared" si="33"/>
        <v>#REF!</v>
      </c>
      <c r="BA66" s="70" t="e">
        <f t="shared" si="33"/>
        <v>#REF!</v>
      </c>
    </row>
    <row r="67" spans="27:53" hidden="1">
      <c r="AA67" s="69" t="s">
        <v>48</v>
      </c>
      <c r="AB67" s="35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</row>
    <row r="68" spans="27:53" hidden="1">
      <c r="AA68" s="71" t="s">
        <v>29</v>
      </c>
      <c r="AB68" s="35"/>
      <c r="AF68" s="70" t="e">
        <f t="shared" ref="AF68:AO68" si="34">AF17+AF18+AF23</f>
        <v>#REF!</v>
      </c>
      <c r="AG68" s="70" t="e">
        <f t="shared" si="34"/>
        <v>#REF!</v>
      </c>
      <c r="AH68" s="70" t="e">
        <f t="shared" si="34"/>
        <v>#REF!</v>
      </c>
      <c r="AI68" s="70" t="e">
        <f t="shared" si="34"/>
        <v>#REF!</v>
      </c>
      <c r="AJ68" s="70" t="e">
        <f t="shared" si="34"/>
        <v>#REF!</v>
      </c>
      <c r="AK68" s="70" t="e">
        <f t="shared" si="34"/>
        <v>#REF!</v>
      </c>
      <c r="AL68" s="70" t="e">
        <f t="shared" si="34"/>
        <v>#REF!</v>
      </c>
      <c r="AM68" s="70" t="e">
        <f t="shared" si="34"/>
        <v>#REF!</v>
      </c>
      <c r="AN68" s="70" t="e">
        <f t="shared" si="34"/>
        <v>#REF!</v>
      </c>
      <c r="AO68" s="70" t="e">
        <f t="shared" si="34"/>
        <v>#REF!</v>
      </c>
      <c r="AP68" s="70"/>
      <c r="AQ68" s="70"/>
      <c r="AR68" s="70" t="e">
        <f t="shared" ref="AR68:BA68" si="35">AR17+AR18+AR23</f>
        <v>#REF!</v>
      </c>
      <c r="AS68" s="70" t="e">
        <f t="shared" si="35"/>
        <v>#REF!</v>
      </c>
      <c r="AT68" s="70" t="e">
        <f t="shared" si="35"/>
        <v>#REF!</v>
      </c>
      <c r="AU68" s="70" t="e">
        <f t="shared" si="35"/>
        <v>#REF!</v>
      </c>
      <c r="AV68" s="70" t="e">
        <f t="shared" si="35"/>
        <v>#REF!</v>
      </c>
      <c r="AW68" s="70" t="e">
        <f t="shared" si="35"/>
        <v>#REF!</v>
      </c>
      <c r="AX68" s="70" t="e">
        <f t="shared" si="35"/>
        <v>#REF!</v>
      </c>
      <c r="AY68" s="70" t="e">
        <f t="shared" si="35"/>
        <v>#REF!</v>
      </c>
      <c r="AZ68" s="70" t="e">
        <f t="shared" si="35"/>
        <v>#REF!</v>
      </c>
      <c r="BA68" s="70" t="e">
        <f t="shared" si="35"/>
        <v>#REF!</v>
      </c>
    </row>
    <row r="69" spans="27:53" hidden="1">
      <c r="AA69" s="71" t="s">
        <v>41</v>
      </c>
      <c r="AB69" s="35"/>
      <c r="AF69" s="70" t="e">
        <f t="shared" ref="AF69:AO69" si="36">AF28+AF29+AF34</f>
        <v>#REF!</v>
      </c>
      <c r="AG69" s="70" t="e">
        <f t="shared" si="36"/>
        <v>#REF!</v>
      </c>
      <c r="AH69" s="70" t="e">
        <f t="shared" si="36"/>
        <v>#REF!</v>
      </c>
      <c r="AI69" s="70" t="e">
        <f t="shared" si="36"/>
        <v>#REF!</v>
      </c>
      <c r="AJ69" s="70" t="e">
        <f t="shared" si="36"/>
        <v>#REF!</v>
      </c>
      <c r="AK69" s="70" t="e">
        <f t="shared" si="36"/>
        <v>#REF!</v>
      </c>
      <c r="AL69" s="70" t="e">
        <f t="shared" si="36"/>
        <v>#REF!</v>
      </c>
      <c r="AM69" s="70" t="e">
        <f t="shared" si="36"/>
        <v>#REF!</v>
      </c>
      <c r="AN69" s="70" t="e">
        <f t="shared" si="36"/>
        <v>#REF!</v>
      </c>
      <c r="AO69" s="70" t="e">
        <f t="shared" si="36"/>
        <v>#REF!</v>
      </c>
      <c r="AP69" s="70"/>
      <c r="AQ69" s="70"/>
      <c r="AR69" s="70" t="e">
        <f t="shared" ref="AR69:BA69" si="37">AR28+AR29+AR34</f>
        <v>#REF!</v>
      </c>
      <c r="AS69" s="70" t="e">
        <f t="shared" si="37"/>
        <v>#REF!</v>
      </c>
      <c r="AT69" s="70" t="e">
        <f t="shared" si="37"/>
        <v>#REF!</v>
      </c>
      <c r="AU69" s="70" t="e">
        <f t="shared" si="37"/>
        <v>#REF!</v>
      </c>
      <c r="AV69" s="70" t="e">
        <f t="shared" si="37"/>
        <v>#REF!</v>
      </c>
      <c r="AW69" s="70" t="e">
        <f t="shared" si="37"/>
        <v>#REF!</v>
      </c>
      <c r="AX69" s="70" t="e">
        <f t="shared" si="37"/>
        <v>#REF!</v>
      </c>
      <c r="AY69" s="70" t="e">
        <f t="shared" si="37"/>
        <v>#REF!</v>
      </c>
      <c r="AZ69" s="70" t="e">
        <f t="shared" si="37"/>
        <v>#REF!</v>
      </c>
      <c r="BA69" s="70" t="e">
        <f t="shared" si="37"/>
        <v>#REF!</v>
      </c>
    </row>
    <row r="70" spans="27:53" hidden="1">
      <c r="AA70" s="71" t="s">
        <v>42</v>
      </c>
      <c r="AB70" s="35"/>
      <c r="AF70" s="70" t="e">
        <f t="shared" ref="AF70:AO70" si="38">AF39+AF40+AF45</f>
        <v>#REF!</v>
      </c>
      <c r="AG70" s="70" t="e">
        <f t="shared" si="38"/>
        <v>#REF!</v>
      </c>
      <c r="AH70" s="70" t="e">
        <f t="shared" si="38"/>
        <v>#REF!</v>
      </c>
      <c r="AI70" s="70" t="e">
        <f t="shared" si="38"/>
        <v>#REF!</v>
      </c>
      <c r="AJ70" s="70" t="e">
        <f t="shared" si="38"/>
        <v>#REF!</v>
      </c>
      <c r="AK70" s="70" t="e">
        <f t="shared" si="38"/>
        <v>#REF!</v>
      </c>
      <c r="AL70" s="70" t="e">
        <f t="shared" si="38"/>
        <v>#REF!</v>
      </c>
      <c r="AM70" s="70" t="e">
        <f t="shared" si="38"/>
        <v>#REF!</v>
      </c>
      <c r="AN70" s="70" t="e">
        <f t="shared" si="38"/>
        <v>#REF!</v>
      </c>
      <c r="AO70" s="70" t="e">
        <f t="shared" si="38"/>
        <v>#REF!</v>
      </c>
      <c r="AP70" s="70"/>
      <c r="AQ70" s="70"/>
      <c r="AR70" s="70" t="e">
        <f t="shared" ref="AR70:BA70" si="39">AR39+AR40+AR45</f>
        <v>#REF!</v>
      </c>
      <c r="AS70" s="70" t="e">
        <f t="shared" si="39"/>
        <v>#REF!</v>
      </c>
      <c r="AT70" s="70" t="e">
        <f t="shared" si="39"/>
        <v>#REF!</v>
      </c>
      <c r="AU70" s="70" t="e">
        <f t="shared" si="39"/>
        <v>#REF!</v>
      </c>
      <c r="AV70" s="70" t="e">
        <f t="shared" si="39"/>
        <v>#REF!</v>
      </c>
      <c r="AW70" s="70" t="e">
        <f t="shared" si="39"/>
        <v>#REF!</v>
      </c>
      <c r="AX70" s="70" t="e">
        <f t="shared" si="39"/>
        <v>#REF!</v>
      </c>
      <c r="AY70" s="70" t="e">
        <f t="shared" si="39"/>
        <v>#REF!</v>
      </c>
      <c r="AZ70" s="70" t="e">
        <f t="shared" si="39"/>
        <v>#REF!</v>
      </c>
      <c r="BA70" s="70" t="e">
        <f t="shared" si="39"/>
        <v>#REF!</v>
      </c>
    </row>
    <row r="71" spans="27:53" hidden="1">
      <c r="AA71" s="72" t="s">
        <v>49</v>
      </c>
      <c r="AB71" s="35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</row>
    <row r="72" spans="27:53" hidden="1">
      <c r="AA72" s="71" t="s">
        <v>29</v>
      </c>
      <c r="AB72" s="35"/>
      <c r="AF72" s="70" t="e">
        <f t="shared" ref="AF72:AO72" si="40">AF17+AF18+AF22+AF24</f>
        <v>#REF!</v>
      </c>
      <c r="AG72" s="70" t="e">
        <f t="shared" si="40"/>
        <v>#REF!</v>
      </c>
      <c r="AH72" s="70" t="e">
        <f t="shared" si="40"/>
        <v>#REF!</v>
      </c>
      <c r="AI72" s="70" t="e">
        <f t="shared" si="40"/>
        <v>#REF!</v>
      </c>
      <c r="AJ72" s="70" t="e">
        <f t="shared" si="40"/>
        <v>#REF!</v>
      </c>
      <c r="AK72" s="70" t="e">
        <f t="shared" si="40"/>
        <v>#REF!</v>
      </c>
      <c r="AL72" s="70" t="e">
        <f t="shared" si="40"/>
        <v>#REF!</v>
      </c>
      <c r="AM72" s="70" t="e">
        <f t="shared" si="40"/>
        <v>#REF!</v>
      </c>
      <c r="AN72" s="70" t="e">
        <f t="shared" si="40"/>
        <v>#REF!</v>
      </c>
      <c r="AO72" s="70" t="e">
        <f t="shared" si="40"/>
        <v>#REF!</v>
      </c>
      <c r="AP72" s="70"/>
      <c r="AQ72" s="70"/>
      <c r="AR72" s="70" t="e">
        <f t="shared" ref="AR72:BA72" si="41">AR17+AR18+AR22+AR24</f>
        <v>#REF!</v>
      </c>
      <c r="AS72" s="70" t="e">
        <f t="shared" si="41"/>
        <v>#REF!</v>
      </c>
      <c r="AT72" s="70" t="e">
        <f t="shared" si="41"/>
        <v>#REF!</v>
      </c>
      <c r="AU72" s="70" t="e">
        <f t="shared" si="41"/>
        <v>#REF!</v>
      </c>
      <c r="AV72" s="70" t="e">
        <f t="shared" si="41"/>
        <v>#REF!</v>
      </c>
      <c r="AW72" s="70" t="e">
        <f t="shared" si="41"/>
        <v>#REF!</v>
      </c>
      <c r="AX72" s="70" t="e">
        <f t="shared" si="41"/>
        <v>#REF!</v>
      </c>
      <c r="AY72" s="70" t="e">
        <f t="shared" si="41"/>
        <v>#REF!</v>
      </c>
      <c r="AZ72" s="70" t="e">
        <f t="shared" si="41"/>
        <v>#REF!</v>
      </c>
      <c r="BA72" s="70" t="e">
        <f t="shared" si="41"/>
        <v>#REF!</v>
      </c>
    </row>
    <row r="73" spans="27:53" hidden="1">
      <c r="AA73" s="71" t="s">
        <v>41</v>
      </c>
      <c r="AB73" s="35"/>
      <c r="AF73" s="70" t="e">
        <f t="shared" ref="AF73:AO73" si="42">AF28+AF29+AF33+AF35</f>
        <v>#REF!</v>
      </c>
      <c r="AG73" s="70" t="e">
        <f t="shared" si="42"/>
        <v>#REF!</v>
      </c>
      <c r="AH73" s="70" t="e">
        <f t="shared" si="42"/>
        <v>#REF!</v>
      </c>
      <c r="AI73" s="70" t="e">
        <f t="shared" si="42"/>
        <v>#REF!</v>
      </c>
      <c r="AJ73" s="70" t="e">
        <f t="shared" si="42"/>
        <v>#REF!</v>
      </c>
      <c r="AK73" s="70" t="e">
        <f t="shared" si="42"/>
        <v>#REF!</v>
      </c>
      <c r="AL73" s="70" t="e">
        <f t="shared" si="42"/>
        <v>#REF!</v>
      </c>
      <c r="AM73" s="70" t="e">
        <f t="shared" si="42"/>
        <v>#REF!</v>
      </c>
      <c r="AN73" s="70" t="e">
        <f t="shared" si="42"/>
        <v>#REF!</v>
      </c>
      <c r="AO73" s="70" t="e">
        <f t="shared" si="42"/>
        <v>#REF!</v>
      </c>
      <c r="AP73" s="70"/>
      <c r="AQ73" s="70"/>
      <c r="AR73" s="70" t="e">
        <f t="shared" ref="AR73:BA73" si="43">AR28+AR29+AR33+AR35</f>
        <v>#REF!</v>
      </c>
      <c r="AS73" s="70" t="e">
        <f t="shared" si="43"/>
        <v>#REF!</v>
      </c>
      <c r="AT73" s="70" t="e">
        <f t="shared" si="43"/>
        <v>#REF!</v>
      </c>
      <c r="AU73" s="70" t="e">
        <f t="shared" si="43"/>
        <v>#REF!</v>
      </c>
      <c r="AV73" s="70" t="e">
        <f t="shared" si="43"/>
        <v>#REF!</v>
      </c>
      <c r="AW73" s="70" t="e">
        <f t="shared" si="43"/>
        <v>#REF!</v>
      </c>
      <c r="AX73" s="70" t="e">
        <f t="shared" si="43"/>
        <v>#REF!</v>
      </c>
      <c r="AY73" s="70" t="e">
        <f t="shared" si="43"/>
        <v>#REF!</v>
      </c>
      <c r="AZ73" s="70" t="e">
        <f t="shared" si="43"/>
        <v>#REF!</v>
      </c>
      <c r="BA73" s="70" t="e">
        <f t="shared" si="43"/>
        <v>#REF!</v>
      </c>
    </row>
    <row r="74" spans="27:53" hidden="1">
      <c r="AA74" s="71" t="s">
        <v>42</v>
      </c>
      <c r="AB74" s="35"/>
      <c r="AF74" s="70" t="e">
        <f t="shared" ref="AF74:AO74" si="44">AF39+AF40+AF44+AF46</f>
        <v>#REF!</v>
      </c>
      <c r="AG74" s="70" t="e">
        <f t="shared" si="44"/>
        <v>#REF!</v>
      </c>
      <c r="AH74" s="70" t="e">
        <f t="shared" si="44"/>
        <v>#REF!</v>
      </c>
      <c r="AI74" s="70" t="e">
        <f t="shared" si="44"/>
        <v>#REF!</v>
      </c>
      <c r="AJ74" s="70" t="e">
        <f t="shared" si="44"/>
        <v>#REF!</v>
      </c>
      <c r="AK74" s="70" t="e">
        <f t="shared" si="44"/>
        <v>#REF!</v>
      </c>
      <c r="AL74" s="70" t="e">
        <f t="shared" si="44"/>
        <v>#REF!</v>
      </c>
      <c r="AM74" s="70" t="e">
        <f t="shared" si="44"/>
        <v>#REF!</v>
      </c>
      <c r="AN74" s="70" t="e">
        <f t="shared" si="44"/>
        <v>#REF!</v>
      </c>
      <c r="AO74" s="70" t="e">
        <f t="shared" si="44"/>
        <v>#REF!</v>
      </c>
      <c r="AP74" s="70"/>
      <c r="AQ74" s="70"/>
      <c r="AR74" s="70" t="e">
        <f t="shared" ref="AR74:BA74" si="45">AR39+AR40+AR44+AR46</f>
        <v>#REF!</v>
      </c>
      <c r="AS74" s="70" t="e">
        <f t="shared" si="45"/>
        <v>#REF!</v>
      </c>
      <c r="AT74" s="70" t="e">
        <f t="shared" si="45"/>
        <v>#REF!</v>
      </c>
      <c r="AU74" s="70" t="e">
        <f t="shared" si="45"/>
        <v>#REF!</v>
      </c>
      <c r="AV74" s="70" t="e">
        <f t="shared" si="45"/>
        <v>#REF!</v>
      </c>
      <c r="AW74" s="70" t="e">
        <f t="shared" si="45"/>
        <v>#REF!</v>
      </c>
      <c r="AX74" s="70" t="e">
        <f t="shared" si="45"/>
        <v>#REF!</v>
      </c>
      <c r="AY74" s="70" t="e">
        <f t="shared" si="45"/>
        <v>#REF!</v>
      </c>
      <c r="AZ74" s="70" t="e">
        <f t="shared" si="45"/>
        <v>#REF!</v>
      </c>
      <c r="BA74" s="70" t="e">
        <f t="shared" si="45"/>
        <v>#REF!</v>
      </c>
    </row>
    <row r="75" spans="27:53" hidden="1">
      <c r="AA75" s="69" t="s">
        <v>50</v>
      </c>
      <c r="AB75" s="35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</row>
    <row r="76" spans="27:53" hidden="1">
      <c r="AA76" s="71" t="s">
        <v>29</v>
      </c>
      <c r="AB76" s="35"/>
      <c r="AF76" s="70" t="e">
        <f t="shared" ref="AF76:AO76" si="46">AF17+AF18+AF22+AF25</f>
        <v>#REF!</v>
      </c>
      <c r="AG76" s="70" t="e">
        <f t="shared" si="46"/>
        <v>#REF!</v>
      </c>
      <c r="AH76" s="70" t="e">
        <f t="shared" si="46"/>
        <v>#REF!</v>
      </c>
      <c r="AI76" s="70" t="e">
        <f t="shared" si="46"/>
        <v>#REF!</v>
      </c>
      <c r="AJ76" s="70" t="e">
        <f t="shared" si="46"/>
        <v>#REF!</v>
      </c>
      <c r="AK76" s="70" t="e">
        <f t="shared" si="46"/>
        <v>#REF!</v>
      </c>
      <c r="AL76" s="70" t="e">
        <f t="shared" si="46"/>
        <v>#REF!</v>
      </c>
      <c r="AM76" s="70" t="e">
        <f t="shared" si="46"/>
        <v>#REF!</v>
      </c>
      <c r="AN76" s="70" t="e">
        <f t="shared" si="46"/>
        <v>#REF!</v>
      </c>
      <c r="AO76" s="70" t="e">
        <f t="shared" si="46"/>
        <v>#REF!</v>
      </c>
      <c r="AP76" s="70"/>
      <c r="AQ76" s="70"/>
      <c r="AR76" s="70" t="e">
        <f t="shared" ref="AR76:BA76" si="47">AR17+AR18+AR22+AR25</f>
        <v>#REF!</v>
      </c>
      <c r="AS76" s="70" t="e">
        <f t="shared" si="47"/>
        <v>#REF!</v>
      </c>
      <c r="AT76" s="70" t="e">
        <f t="shared" si="47"/>
        <v>#REF!</v>
      </c>
      <c r="AU76" s="70" t="e">
        <f t="shared" si="47"/>
        <v>#REF!</v>
      </c>
      <c r="AV76" s="70" t="e">
        <f t="shared" si="47"/>
        <v>#REF!</v>
      </c>
      <c r="AW76" s="70" t="e">
        <f t="shared" si="47"/>
        <v>#REF!</v>
      </c>
      <c r="AX76" s="70" t="e">
        <f t="shared" si="47"/>
        <v>#REF!</v>
      </c>
      <c r="AY76" s="70" t="e">
        <f t="shared" si="47"/>
        <v>#REF!</v>
      </c>
      <c r="AZ76" s="70" t="e">
        <f t="shared" si="47"/>
        <v>#REF!</v>
      </c>
      <c r="BA76" s="70" t="e">
        <f t="shared" si="47"/>
        <v>#REF!</v>
      </c>
    </row>
    <row r="77" spans="27:53" hidden="1">
      <c r="AA77" s="71" t="s">
        <v>41</v>
      </c>
      <c r="AB77" s="35"/>
      <c r="AF77" s="70" t="e">
        <f t="shared" ref="AF77:AO77" si="48">AF28+AF29+AF33+AF36</f>
        <v>#REF!</v>
      </c>
      <c r="AG77" s="70" t="e">
        <f t="shared" si="48"/>
        <v>#REF!</v>
      </c>
      <c r="AH77" s="70" t="e">
        <f t="shared" si="48"/>
        <v>#REF!</v>
      </c>
      <c r="AI77" s="70" t="e">
        <f t="shared" si="48"/>
        <v>#REF!</v>
      </c>
      <c r="AJ77" s="70" t="e">
        <f t="shared" si="48"/>
        <v>#REF!</v>
      </c>
      <c r="AK77" s="70" t="e">
        <f t="shared" si="48"/>
        <v>#REF!</v>
      </c>
      <c r="AL77" s="70" t="e">
        <f t="shared" si="48"/>
        <v>#REF!</v>
      </c>
      <c r="AM77" s="70" t="e">
        <f t="shared" si="48"/>
        <v>#REF!</v>
      </c>
      <c r="AN77" s="70" t="e">
        <f t="shared" si="48"/>
        <v>#REF!</v>
      </c>
      <c r="AO77" s="70" t="e">
        <f t="shared" si="48"/>
        <v>#REF!</v>
      </c>
      <c r="AP77" s="70"/>
      <c r="AQ77" s="70"/>
      <c r="AR77" s="70" t="e">
        <f t="shared" ref="AR77:BA77" si="49">AR28+AR29+AR33+AR36</f>
        <v>#REF!</v>
      </c>
      <c r="AS77" s="70" t="e">
        <f t="shared" si="49"/>
        <v>#REF!</v>
      </c>
      <c r="AT77" s="70" t="e">
        <f t="shared" si="49"/>
        <v>#REF!</v>
      </c>
      <c r="AU77" s="70" t="e">
        <f t="shared" si="49"/>
        <v>#REF!</v>
      </c>
      <c r="AV77" s="70" t="e">
        <f t="shared" si="49"/>
        <v>#REF!</v>
      </c>
      <c r="AW77" s="70" t="e">
        <f t="shared" si="49"/>
        <v>#REF!</v>
      </c>
      <c r="AX77" s="70" t="e">
        <f t="shared" si="49"/>
        <v>#REF!</v>
      </c>
      <c r="AY77" s="70" t="e">
        <f t="shared" si="49"/>
        <v>#REF!</v>
      </c>
      <c r="AZ77" s="70" t="e">
        <f t="shared" si="49"/>
        <v>#REF!</v>
      </c>
      <c r="BA77" s="70" t="e">
        <f t="shared" si="49"/>
        <v>#REF!</v>
      </c>
    </row>
    <row r="78" spans="27:53" hidden="1">
      <c r="AA78" s="71" t="s">
        <v>42</v>
      </c>
      <c r="AB78" s="35"/>
      <c r="AF78" s="70" t="e">
        <f t="shared" ref="AF78:AO78" si="50">AF39+AF40+AF44+AF47</f>
        <v>#REF!</v>
      </c>
      <c r="AG78" s="70" t="e">
        <f t="shared" si="50"/>
        <v>#REF!</v>
      </c>
      <c r="AH78" s="70" t="e">
        <f t="shared" si="50"/>
        <v>#REF!</v>
      </c>
      <c r="AI78" s="70" t="e">
        <f t="shared" si="50"/>
        <v>#REF!</v>
      </c>
      <c r="AJ78" s="70" t="e">
        <f t="shared" si="50"/>
        <v>#REF!</v>
      </c>
      <c r="AK78" s="70" t="e">
        <f t="shared" si="50"/>
        <v>#REF!</v>
      </c>
      <c r="AL78" s="70" t="e">
        <f t="shared" si="50"/>
        <v>#REF!</v>
      </c>
      <c r="AM78" s="70" t="e">
        <f t="shared" si="50"/>
        <v>#REF!</v>
      </c>
      <c r="AN78" s="70" t="e">
        <f t="shared" si="50"/>
        <v>#REF!</v>
      </c>
      <c r="AO78" s="70" t="e">
        <f t="shared" si="50"/>
        <v>#REF!</v>
      </c>
      <c r="AP78" s="70"/>
      <c r="AQ78" s="70"/>
      <c r="AR78" s="70" t="e">
        <f t="shared" ref="AR78:BA78" si="51">AR39+AR40+AR44+AR47</f>
        <v>#REF!</v>
      </c>
      <c r="AS78" s="70" t="e">
        <f t="shared" si="51"/>
        <v>#REF!</v>
      </c>
      <c r="AT78" s="70" t="e">
        <f t="shared" si="51"/>
        <v>#REF!</v>
      </c>
      <c r="AU78" s="70" t="e">
        <f t="shared" si="51"/>
        <v>#REF!</v>
      </c>
      <c r="AV78" s="70" t="e">
        <f t="shared" si="51"/>
        <v>#REF!</v>
      </c>
      <c r="AW78" s="70" t="e">
        <f t="shared" si="51"/>
        <v>#REF!</v>
      </c>
      <c r="AX78" s="70" t="e">
        <f t="shared" si="51"/>
        <v>#REF!</v>
      </c>
      <c r="AY78" s="70" t="e">
        <f t="shared" si="51"/>
        <v>#REF!</v>
      </c>
      <c r="AZ78" s="70" t="e">
        <f t="shared" si="51"/>
        <v>#REF!</v>
      </c>
      <c r="BA78" s="70" t="e">
        <f t="shared" si="51"/>
        <v>#REF!</v>
      </c>
    </row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7" spans="1:52" hidden="1"/>
    <row r="89" spans="1:52">
      <c r="A89" s="598" t="s">
        <v>108</v>
      </c>
      <c r="B89" s="598" t="s">
        <v>52</v>
      </c>
      <c r="C89" s="39" t="s">
        <v>101</v>
      </c>
      <c r="D89" s="39" t="s">
        <v>53</v>
      </c>
      <c r="E89" s="39" t="s">
        <v>54</v>
      </c>
      <c r="F89" s="587" t="s">
        <v>64</v>
      </c>
      <c r="G89" s="600"/>
      <c r="H89" s="600"/>
      <c r="I89" s="600"/>
      <c r="J89" s="600"/>
      <c r="K89" s="600"/>
      <c r="L89" s="600"/>
      <c r="M89" s="600"/>
      <c r="N89" s="600"/>
      <c r="O89" s="600"/>
      <c r="P89" s="590"/>
      <c r="AN89" s="38"/>
      <c r="AZ89" s="36"/>
    </row>
    <row r="90" spans="1:52" ht="63.75">
      <c r="A90" s="599"/>
      <c r="B90" s="599"/>
      <c r="C90" s="41" t="s">
        <v>66</v>
      </c>
      <c r="D90" s="41" t="s">
        <v>67</v>
      </c>
      <c r="E90" s="41" t="s">
        <v>68</v>
      </c>
      <c r="F90" s="545" t="s">
        <v>55</v>
      </c>
      <c r="G90" s="545" t="s">
        <v>73</v>
      </c>
      <c r="H90" s="545" t="s">
        <v>74</v>
      </c>
      <c r="I90" s="545" t="s">
        <v>58</v>
      </c>
      <c r="J90" s="545" t="s">
        <v>59</v>
      </c>
      <c r="K90" s="545" t="s">
        <v>60</v>
      </c>
      <c r="L90" s="544" t="s">
        <v>75</v>
      </c>
      <c r="M90" s="544" t="s">
        <v>76</v>
      </c>
      <c r="N90" s="544" t="s">
        <v>61</v>
      </c>
      <c r="O90" s="544" t="s">
        <v>62</v>
      </c>
      <c r="P90" s="544" t="s">
        <v>63</v>
      </c>
      <c r="AN90" s="38"/>
      <c r="AZ90" s="36"/>
    </row>
    <row r="91" spans="1:52" ht="25.5">
      <c r="A91" s="44" t="str">
        <f t="shared" ref="A91:C94" si="52">A4</f>
        <v>General Construction</v>
      </c>
      <c r="B91" s="45" t="str">
        <f t="shared" si="52"/>
        <v>Light-Duty Truck, catalyst</v>
      </c>
      <c r="C91" s="46">
        <f t="shared" si="52"/>
        <v>3</v>
      </c>
      <c r="D91" s="46">
        <v>35</v>
      </c>
      <c r="E91" s="46">
        <v>80</v>
      </c>
      <c r="F91" s="50">
        <f>C4*($E4*$F4+($G4))/453.59</f>
        <v>1.4571581576427601</v>
      </c>
      <c r="G91" s="50">
        <f>C4*($E4*$H4+($I4))/453.59</f>
        <v>0.13101197188313402</v>
      </c>
      <c r="H91" s="50">
        <f>C4*(($E4*$J4)+($K4)+($L4)+($E4*$N4)+(($M4+$O4)))/453.59</f>
        <v>0.15149994097185998</v>
      </c>
      <c r="I91" s="50">
        <f>C4*($E4*$P4+($Q4))/453.59</f>
        <v>2.1803910814818476E-3</v>
      </c>
      <c r="J91" s="50">
        <f>C4*(($E4*($R4+$T4+$U4))+($S4))/453.59</f>
        <v>2.5572271365623688E-2</v>
      </c>
      <c r="K91" s="50">
        <f>$C4*(($E4*($V4+$X4+$Y4))+($W4))/453.59</f>
        <v>1.1136015972759426E-2</v>
      </c>
      <c r="L91" s="50">
        <f>$B$24*C4*(E4+6)</f>
        <v>2.5315747758215698E-2</v>
      </c>
      <c r="M91" s="50">
        <f t="shared" ref="M91:M94" si="53">0.41*L91</f>
        <v>1.0379456580868435E-2</v>
      </c>
      <c r="N91" s="50">
        <f>C4*($E4*$Z4+($AA4))/453.59</f>
        <v>166.27073017811671</v>
      </c>
      <c r="O91" s="50">
        <f>C4*($E4*$AB4+($AC4))/453.59</f>
        <v>9.5114261670907474E-3</v>
      </c>
      <c r="P91" s="50">
        <f>C4*($E4*$AD4+($AE4))/453.59</f>
        <v>1.7313359741530081E-2</v>
      </c>
      <c r="AN91" s="38"/>
      <c r="AZ91" s="36"/>
    </row>
    <row r="92" spans="1:52" ht="25.5">
      <c r="A92" s="44" t="str">
        <f t="shared" si="52"/>
        <v>Substation General Construction</v>
      </c>
      <c r="B92" s="45" t="str">
        <f t="shared" si="52"/>
        <v>Light-Duty Truck, catalyst</v>
      </c>
      <c r="C92" s="46">
        <f t="shared" si="52"/>
        <v>3</v>
      </c>
      <c r="D92" s="46">
        <v>35</v>
      </c>
      <c r="E92" s="46">
        <v>80</v>
      </c>
      <c r="F92" s="50">
        <f>C5*($E5*$F5+($G5))/453.59</f>
        <v>1.4571581576427601</v>
      </c>
      <c r="G92" s="50">
        <f>C5*($E5*$H5+($I5))/453.59</f>
        <v>0.13101197188313402</v>
      </c>
      <c r="H92" s="50">
        <f t="shared" ref="H92:H94" si="54">C5*(($E5*$J5)+($K5)+($L5)+($E5*$N5)+(($M5+$O5)))/453.59</f>
        <v>0.15149994097185998</v>
      </c>
      <c r="I92" s="50">
        <f>C5*($E5*$P5+($Q5))/453.59</f>
        <v>2.1803910814818476E-3</v>
      </c>
      <c r="J92" s="50">
        <f>C5*(($E5*($R5+$T5+$U5))+($S5))/453.59</f>
        <v>2.5572271365623688E-2</v>
      </c>
      <c r="K92" s="50">
        <f>$C5*(($E5*($V5+$X5+$Y5))+($W5))/453.59</f>
        <v>1.1136015972759426E-2</v>
      </c>
      <c r="L92" s="50">
        <f>$B$24*C5*(E5+6)</f>
        <v>2.5315747758215698E-2</v>
      </c>
      <c r="M92" s="50">
        <f t="shared" si="53"/>
        <v>1.0379456580868435E-2</v>
      </c>
      <c r="N92" s="50">
        <f>C5*($E5*$Z5+($AA5))/453.59</f>
        <v>166.27073017811671</v>
      </c>
      <c r="O92" s="50">
        <f>C5*($E5*$AB5+($AC5))/453.59</f>
        <v>9.5114261670907474E-3</v>
      </c>
      <c r="P92" s="50">
        <f>C5*($E5*$AD5+($AE5))/453.59</f>
        <v>1.7313359741530081E-2</v>
      </c>
      <c r="AN92" s="38"/>
      <c r="AZ92" s="36"/>
    </row>
    <row r="93" spans="1:52" ht="25.5">
      <c r="A93" s="44" t="str">
        <f t="shared" si="52"/>
        <v>Site and Access Road Grading</v>
      </c>
      <c r="B93" s="45" t="str">
        <f t="shared" si="52"/>
        <v>Light-Duty Truck, catalyst</v>
      </c>
      <c r="C93" s="46">
        <f t="shared" si="52"/>
        <v>19</v>
      </c>
      <c r="D93" s="46">
        <v>35</v>
      </c>
      <c r="E93" s="46">
        <v>80</v>
      </c>
      <c r="F93" s="50">
        <f>C6*($E6*$F6+($G6))/453.59</f>
        <v>9.2286683317374809</v>
      </c>
      <c r="G93" s="50">
        <f>C6*($E6*$H6+($I6))/453.59</f>
        <v>0.82974248859318211</v>
      </c>
      <c r="H93" s="50">
        <f t="shared" si="54"/>
        <v>0.95949962615511319</v>
      </c>
      <c r="I93" s="50">
        <f>C6*($E6*$P6+($Q6))/453.59</f>
        <v>1.3809143516051703E-2</v>
      </c>
      <c r="J93" s="50">
        <f>C6*(($E6*($R6+$T6+$U6))+($S6))/453.59</f>
        <v>0.16195771864895006</v>
      </c>
      <c r="K93" s="50">
        <f>$C6*(($E6*($V6+$X6+$Y6))+($W6))/453.59</f>
        <v>7.0528101160809695E-2</v>
      </c>
      <c r="L93" s="50">
        <f>$B$24*C6*(E6+6)</f>
        <v>0.16033306913536607</v>
      </c>
      <c r="M93" s="50">
        <f t="shared" si="53"/>
        <v>6.5736558345500087E-2</v>
      </c>
      <c r="N93" s="50">
        <f>C6*($E6*$Z6+($AA6))/453.59</f>
        <v>1053.047957794739</v>
      </c>
      <c r="O93" s="50">
        <f>C6*($E6*$AB6+($AC6))/453.59</f>
        <v>6.0239032391574736E-2</v>
      </c>
      <c r="P93" s="50">
        <f>C6*($E6*$AD6+($AE6))/453.59</f>
        <v>0.10965127836302384</v>
      </c>
      <c r="AN93" s="38"/>
      <c r="AZ93" s="36"/>
    </row>
    <row r="94" spans="1:52" ht="25.5">
      <c r="A94" s="44" t="str">
        <f t="shared" si="52"/>
        <v>Storm Drain and Erosion Control</v>
      </c>
      <c r="B94" s="45" t="str">
        <f t="shared" si="52"/>
        <v>Light-Duty Truck, catalyst</v>
      </c>
      <c r="C94" s="46">
        <f t="shared" si="52"/>
        <v>14</v>
      </c>
      <c r="D94" s="46">
        <v>35</v>
      </c>
      <c r="E94" s="46">
        <v>80</v>
      </c>
      <c r="F94" s="50">
        <f>C7*($E7*$F7+($G7))/453.59</f>
        <v>6.8000714023328808</v>
      </c>
      <c r="G94" s="50">
        <f>C7*($E7*$H7+($I7))/453.59</f>
        <v>0.61138920212129211</v>
      </c>
      <c r="H94" s="50">
        <f t="shared" si="54"/>
        <v>0.70699972453534654</v>
      </c>
      <c r="I94" s="50">
        <f>C7*($E7*$P7+($Q7))/453.59</f>
        <v>1.0175158380248623E-2</v>
      </c>
      <c r="J94" s="50">
        <f>C7*(($E7*($R7+$T7+$U7))+($S7))/453.59</f>
        <v>0.11933726637291055</v>
      </c>
      <c r="K94" s="50">
        <f>$C7*(($E7*($V7+$X7+$Y7))+($W7))/453.59</f>
        <v>5.1968074539543989E-2</v>
      </c>
      <c r="L94" s="50">
        <f>$B$24*C7*(E7+6)</f>
        <v>0.11814015620500659</v>
      </c>
      <c r="M94" s="50">
        <f t="shared" si="53"/>
        <v>4.8437464044052699E-2</v>
      </c>
      <c r="N94" s="50">
        <f>C7*($E7*$Z7+($AA7))/453.59</f>
        <v>775.93007416454452</v>
      </c>
      <c r="O94" s="50">
        <f>C7*($E7*$AB7+($AC7))/453.59</f>
        <v>4.4386655446423486E-2</v>
      </c>
      <c r="P94" s="50">
        <f>C7*($E7*$AD7+($AE7))/453.59</f>
        <v>8.0795678793807044E-2</v>
      </c>
      <c r="AN94" s="38"/>
      <c r="AZ94" s="36"/>
    </row>
    <row r="95" spans="1:52">
      <c r="A95" s="61" t="s">
        <v>389</v>
      </c>
      <c r="B95" s="40"/>
      <c r="C95" s="40"/>
      <c r="D95" s="40"/>
      <c r="E95" s="40"/>
      <c r="F95" s="81">
        <f t="shared" ref="F95:P95" si="55">SUM(F91:F94)</f>
        <v>18.943056049355881</v>
      </c>
      <c r="G95" s="81">
        <f t="shared" si="55"/>
        <v>1.7031556344807424</v>
      </c>
      <c r="H95" s="81">
        <f t="shared" si="55"/>
        <v>1.9694992326341798</v>
      </c>
      <c r="I95" s="81">
        <f t="shared" si="55"/>
        <v>2.8345084059264017E-2</v>
      </c>
      <c r="J95" s="81">
        <f t="shared" si="55"/>
        <v>0.33243952775310798</v>
      </c>
      <c r="K95" s="81">
        <f t="shared" si="55"/>
        <v>0.14476820764587253</v>
      </c>
      <c r="L95" s="81">
        <f t="shared" si="55"/>
        <v>0.32910472085680409</v>
      </c>
      <c r="M95" s="81">
        <f t="shared" si="55"/>
        <v>0.13493293555128966</v>
      </c>
      <c r="N95" s="81">
        <f t="shared" si="55"/>
        <v>2161.5194923155168</v>
      </c>
      <c r="O95" s="81">
        <f t="shared" si="55"/>
        <v>0.12364854017217972</v>
      </c>
      <c r="P95" s="81">
        <f t="shared" si="55"/>
        <v>0.22507367663989103</v>
      </c>
      <c r="AN95" s="38"/>
      <c r="AZ95" s="36"/>
    </row>
  </sheetData>
  <mergeCells count="16">
    <mergeCell ref="AR14:BA14"/>
    <mergeCell ref="A89:A90"/>
    <mergeCell ref="B89:B90"/>
    <mergeCell ref="F89:P89"/>
    <mergeCell ref="R2:U2"/>
    <mergeCell ref="V2:Y2"/>
    <mergeCell ref="Z2:AA2"/>
    <mergeCell ref="AB2:AC2"/>
    <mergeCell ref="AD2:AE2"/>
    <mergeCell ref="AF14:AO14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39"/>
  <sheetViews>
    <sheetView zoomScale="75" zoomScaleNormal="75" workbookViewId="0">
      <selection activeCell="D43" sqref="D43:E43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522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64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314</v>
      </c>
      <c r="B7" s="571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8</v>
      </c>
      <c r="P8" s="88">
        <v>125</v>
      </c>
      <c r="Q8" s="34">
        <f t="shared" ref="Q8:Y10" si="2">(E8*$N8*$O8)</f>
        <v>0.49946184642775621</v>
      </c>
      <c r="R8" s="26">
        <f t="shared" si="2"/>
        <v>2.4431746031746027</v>
      </c>
      <c r="S8" s="26">
        <f t="shared" si="2"/>
        <v>3.1176888888888881</v>
      </c>
      <c r="T8" s="26">
        <f t="shared" si="2"/>
        <v>4.4060015200662857E-3</v>
      </c>
      <c r="U8" s="26">
        <f t="shared" si="2"/>
        <v>0.19809523809523807</v>
      </c>
      <c r="V8" s="26">
        <f t="shared" si="2"/>
        <v>0.17630476190476188</v>
      </c>
      <c r="W8" s="26">
        <f t="shared" si="2"/>
        <v>375.60183859341714</v>
      </c>
      <c r="X8" s="26">
        <f t="shared" si="2"/>
        <v>5.4697471816927752E-2</v>
      </c>
      <c r="Y8" s="26">
        <f t="shared" si="2"/>
        <v>0.29618044444444436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9</v>
      </c>
      <c r="P9" s="363">
        <v>125</v>
      </c>
      <c r="Q9" s="34">
        <f t="shared" si="2"/>
        <v>1.0612998664693185</v>
      </c>
      <c r="R9" s="26">
        <f t="shared" si="2"/>
        <v>3.2860974016937274</v>
      </c>
      <c r="S9" s="26">
        <f t="shared" si="2"/>
        <v>7.8103317854039886</v>
      </c>
      <c r="T9" s="26">
        <f t="shared" si="2"/>
        <v>1.6865295748293957E-2</v>
      </c>
      <c r="U9" s="26">
        <f t="shared" si="2"/>
        <v>0.26137541066030878</v>
      </c>
      <c r="V9" s="26">
        <f t="shared" si="2"/>
        <v>0.23262411548767484</v>
      </c>
      <c r="W9" s="26">
        <f t="shared" si="2"/>
        <v>1498.908740620727</v>
      </c>
      <c r="X9" s="26">
        <f t="shared" si="2"/>
        <v>9.5759396799267066E-2</v>
      </c>
      <c r="Y9" s="26">
        <f t="shared" si="2"/>
        <v>0.74198151961337888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3</v>
      </c>
      <c r="P10" s="363">
        <v>125</v>
      </c>
      <c r="Q10" s="34">
        <f t="shared" si="2"/>
        <v>3.9051121312432671E-2</v>
      </c>
      <c r="R10" s="26">
        <f t="shared" si="2"/>
        <v>0.1468253968253968</v>
      </c>
      <c r="S10" s="26">
        <f t="shared" si="2"/>
        <v>0.13018518518518515</v>
      </c>
      <c r="T10" s="26">
        <f t="shared" si="2"/>
        <v>4.7652059865273245E-4</v>
      </c>
      <c r="U10" s="26">
        <f t="shared" si="2"/>
        <v>1.4682539682539681E-2</v>
      </c>
      <c r="V10" s="26">
        <f t="shared" si="2"/>
        <v>1.3067460317460314E-2</v>
      </c>
      <c r="W10" s="26">
        <f t="shared" si="2"/>
        <v>30.622980859093083</v>
      </c>
      <c r="X10" s="26">
        <f t="shared" si="2"/>
        <v>3.8388136396804665E-3</v>
      </c>
      <c r="Y10" s="26">
        <f t="shared" si="2"/>
        <v>1.236759259259259E-2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1.5998128342095075</v>
      </c>
      <c r="R11" s="101">
        <f t="shared" ref="R11:Y11" si="3">SUM(R8:R10)</f>
        <v>5.8760974016937269</v>
      </c>
      <c r="S11" s="101">
        <f t="shared" si="3"/>
        <v>11.058205859478063</v>
      </c>
      <c r="T11" s="101">
        <f t="shared" si="3"/>
        <v>2.1747817867012974E-2</v>
      </c>
      <c r="U11" s="101">
        <f t="shared" si="3"/>
        <v>0.47415318843808657</v>
      </c>
      <c r="V11" s="101">
        <f t="shared" si="3"/>
        <v>0.42199633770989703</v>
      </c>
      <c r="W11" s="101">
        <f t="shared" si="3"/>
        <v>1905.1335600732373</v>
      </c>
      <c r="X11" s="101">
        <f t="shared" si="3"/>
        <v>0.15429568225587528</v>
      </c>
      <c r="Y11" s="101">
        <f t="shared" si="3"/>
        <v>1.0505295566504158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87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7" t="s">
        <v>277</v>
      </c>
      <c r="B13" s="571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30"/>
      <c r="O13" s="30"/>
      <c r="P13" s="30"/>
      <c r="Q13" s="20"/>
      <c r="R13" s="20"/>
      <c r="S13" s="20"/>
      <c r="T13" s="20"/>
      <c r="U13" s="20"/>
      <c r="V13" s="20"/>
      <c r="W13" s="21"/>
      <c r="X13" s="20"/>
      <c r="Y13" s="20"/>
    </row>
    <row r="14" spans="1:25" s="3" customFormat="1">
      <c r="A14" s="24" t="s">
        <v>120</v>
      </c>
      <c r="B14" s="29" t="s">
        <v>27</v>
      </c>
      <c r="C14" s="22">
        <v>358</v>
      </c>
      <c r="D14" s="22">
        <v>0.4</v>
      </c>
      <c r="E14" s="108">
        <v>0.27937428148624566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0.82081128747795418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1.2776243386243384</v>
      </c>
      <c r="H14" s="108">
        <v>2.5998088533883764E-3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4.735449735449735E-2</v>
      </c>
      <c r="J14" s="100">
        <f t="shared" ref="J14:J18" si="4">0.89*I14</f>
        <v>4.2145502645502646E-2</v>
      </c>
      <c r="K14" s="108">
        <v>264.8725636721183</v>
      </c>
      <c r="L14" s="108">
        <v>2.6451144743432839E-2</v>
      </c>
      <c r="M14" s="102">
        <f t="shared" ref="M14:M18" si="5">0.095*G14</f>
        <v>0.12137431216931216</v>
      </c>
      <c r="N14" s="98">
        <v>1</v>
      </c>
      <c r="O14" s="87">
        <v>8</v>
      </c>
      <c r="P14" s="363">
        <v>10</v>
      </c>
      <c r="Q14" s="34">
        <f t="shared" ref="Q14:Y20" si="6">(E14*$N14*$O14)</f>
        <v>2.2349942518899653</v>
      </c>
      <c r="R14" s="26">
        <f t="shared" si="6"/>
        <v>6.5664902998236334</v>
      </c>
      <c r="S14" s="26">
        <f t="shared" si="6"/>
        <v>10.220994708994708</v>
      </c>
      <c r="T14" s="26">
        <f t="shared" si="6"/>
        <v>2.0798470827107011E-2</v>
      </c>
      <c r="U14" s="26">
        <f t="shared" si="6"/>
        <v>0.3788359788359788</v>
      </c>
      <c r="V14" s="26">
        <f t="shared" si="6"/>
        <v>0.33716402116402117</v>
      </c>
      <c r="W14" s="26">
        <f t="shared" si="6"/>
        <v>2118.9805093769464</v>
      </c>
      <c r="X14" s="26">
        <f t="shared" si="6"/>
        <v>0.21160915794746271</v>
      </c>
      <c r="Y14" s="26">
        <f t="shared" si="6"/>
        <v>0.97099449735449728</v>
      </c>
    </row>
    <row r="15" spans="1:25" s="3" customFormat="1">
      <c r="A15" s="24" t="s">
        <v>128</v>
      </c>
      <c r="B15" s="29" t="s">
        <v>27</v>
      </c>
      <c r="C15" s="22">
        <v>157</v>
      </c>
      <c r="D15" s="22">
        <v>0.38</v>
      </c>
      <c r="E15" s="550">
        <v>9.7211873502789536E-2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0.48664462081128745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0.54103044532627864</v>
      </c>
      <c r="H15" s="550">
        <v>2.2941884589860436E-3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2.8935626102292767E-2</v>
      </c>
      <c r="J15" s="551">
        <f t="shared" si="4"/>
        <v>2.5752707231040561E-2</v>
      </c>
      <c r="K15" s="552">
        <v>233.73537145870978</v>
      </c>
      <c r="L15" s="111">
        <v>9.4890670020510905E-3</v>
      </c>
      <c r="M15" s="553">
        <f t="shared" si="5"/>
        <v>5.1397892305996472E-2</v>
      </c>
      <c r="N15" s="98">
        <v>1</v>
      </c>
      <c r="O15" s="87">
        <v>8</v>
      </c>
      <c r="P15" s="363">
        <v>15</v>
      </c>
      <c r="Q15" s="34">
        <f t="shared" si="6"/>
        <v>0.77769498802231629</v>
      </c>
      <c r="R15" s="26">
        <f t="shared" si="6"/>
        <v>3.8931569664902996</v>
      </c>
      <c r="S15" s="26">
        <f t="shared" si="6"/>
        <v>4.3282435626102291</v>
      </c>
      <c r="T15" s="26">
        <f t="shared" si="6"/>
        <v>1.8353507671888349E-2</v>
      </c>
      <c r="U15" s="26">
        <f t="shared" si="6"/>
        <v>0.23148500881834214</v>
      </c>
      <c r="V15" s="26">
        <f t="shared" si="6"/>
        <v>0.20602165784832449</v>
      </c>
      <c r="W15" s="26">
        <f t="shared" si="6"/>
        <v>1869.8829716696782</v>
      </c>
      <c r="X15" s="26">
        <f t="shared" si="6"/>
        <v>7.5912536016408724E-2</v>
      </c>
      <c r="Y15" s="26">
        <f t="shared" si="6"/>
        <v>0.41118313844797177</v>
      </c>
    </row>
    <row r="16" spans="1:25" s="3" customFormat="1">
      <c r="A16" s="24" t="s">
        <v>278</v>
      </c>
      <c r="B16" s="29" t="s">
        <v>27</v>
      </c>
      <c r="C16" s="22">
        <v>157</v>
      </c>
      <c r="D16" s="22">
        <v>0.38</v>
      </c>
      <c r="E16" s="550">
        <v>9.7211873502789536E-2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0.48664462081128745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0.54103044532627864</v>
      </c>
      <c r="H16" s="550">
        <v>2.2941884589860436E-3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2.8935626102292767E-2</v>
      </c>
      <c r="J16" s="551">
        <f t="shared" si="4"/>
        <v>2.5752707231040561E-2</v>
      </c>
      <c r="K16" s="552">
        <v>233.73537145870978</v>
      </c>
      <c r="L16" s="111">
        <v>9.4890670020510905E-3</v>
      </c>
      <c r="M16" s="553">
        <f t="shared" si="5"/>
        <v>5.1397892305996472E-2</v>
      </c>
      <c r="N16" s="98">
        <v>1</v>
      </c>
      <c r="O16" s="87">
        <v>8</v>
      </c>
      <c r="P16" s="363">
        <v>15</v>
      </c>
      <c r="Q16" s="34">
        <f t="shared" si="6"/>
        <v>0.77769498802231629</v>
      </c>
      <c r="R16" s="26">
        <f t="shared" si="6"/>
        <v>3.8931569664902996</v>
      </c>
      <c r="S16" s="26">
        <f t="shared" si="6"/>
        <v>4.3282435626102291</v>
      </c>
      <c r="T16" s="26">
        <f t="shared" si="6"/>
        <v>1.8353507671888349E-2</v>
      </c>
      <c r="U16" s="26">
        <f t="shared" si="6"/>
        <v>0.23148500881834214</v>
      </c>
      <c r="V16" s="26">
        <f t="shared" si="6"/>
        <v>0.20602165784832449</v>
      </c>
      <c r="W16" s="26">
        <f t="shared" si="6"/>
        <v>1869.8829716696782</v>
      </c>
      <c r="X16" s="26">
        <f t="shared" si="6"/>
        <v>7.5912536016408724E-2</v>
      </c>
      <c r="Y16" s="26">
        <f t="shared" si="6"/>
        <v>0.41118313844797177</v>
      </c>
    </row>
    <row r="17" spans="1:25" s="3" customFormat="1">
      <c r="A17" s="24" t="s">
        <v>124</v>
      </c>
      <c r="B17" s="29" t="s">
        <v>27</v>
      </c>
      <c r="C17" s="97">
        <v>87</v>
      </c>
      <c r="D17" s="22">
        <v>0.37</v>
      </c>
      <c r="E17" s="102">
        <v>7.7253202863558038E-2</v>
      </c>
      <c r="F17" s="397">
        <f>IF($C17&lt;11,'Offroad Tiers EF (2)'!$AN$4*$C17*$D17,IF($C17&lt;25,'Offroad Tiers EF (2)'!$AN$5*$C17*$D17,IF($C17&lt;50,'Offroad Tiers EF (2)'!$AN$6*$C17*$D17,IF($C17&lt;75,'Offroad Tiers EF (2)'!$AN$7*$C17*$D17,IF($C17&lt;100,'Offroad Tiers EF (2)'!$AN$8*$C17*$D17,IF($C17&lt;175,'Offroad Tiers EF (2)'!$AN$9*$C17*$D17,IF($C17&lt;300,'Offroad Tiers EF (2)'!$AN$10*$C17*$D17,IF($C17&lt;600,'Offroad Tiers EF (2)'!$AN$11*$C17*$D17,"!"))))))))</f>
        <v>0.26257275132275132</v>
      </c>
      <c r="G17" s="397">
        <f>IF($C17&lt;11,'Offroad Tiers EF (2)'!$AM$4*$C17*$D17,IF($C17&lt;25,'Offroad Tiers EF (2)'!$AM$5*$C17*$D17,IF($C17&lt;50,'Offroad Tiers EF (2)'!$AM$6*$C17*$D17,IF($C17&lt;75,'Offroad Tiers EF (2)'!$AM$7*$C17*$D17,IF($C17&lt;100,'Offroad Tiers EF (2)'!$AM$8*$C17*$D17,IF($C17&lt;175,'Offroad Tiers EF (2)'!$AM$9*$C17*$D17,IF($C17&lt;300,'Offroad Tiers EF (2)'!$AM$10*$C17*$D17,IF($C17&lt;600,'Offroad Tiers EF (2)'!$AM$11*$C17*$D17,"!"))))))))</f>
        <v>0.33506412037037031</v>
      </c>
      <c r="H17" s="102">
        <v>6.910856115004858E-4</v>
      </c>
      <c r="I17" s="397">
        <f>IF($C17&lt;11,'Offroad Tiers EF (2)'!$AO$4*$C17*$D17,IF($C17&lt;25,'Offroad Tiers EF (2)'!$AO$5*$C17*$D17,IF($C17&lt;50,'Offroad Tiers EF (2)'!$AO$6*$C17*$D17,IF($C17&lt;75,'Offroad Tiers EF (2)'!$AO$7*$C17*$D17,IF($C17&lt;100,'Offroad Tiers EF (2)'!$AO$8*$C17*$D17,IF($C17&lt;175,'Offroad Tiers EF (2)'!$AO$9*$C17*$D17,IF($C17&lt;300,'Offroad Tiers EF (2)'!$AO$10*$C17*$D17,IF($C17&lt;600,'Offroad Tiers EF (2)'!$AO$11*$C17*$D17,"!"))))))))</f>
        <v>2.1289682539682539E-2</v>
      </c>
      <c r="J17" s="100">
        <f t="shared" si="4"/>
        <v>1.894781746031746E-2</v>
      </c>
      <c r="K17" s="103">
        <v>58.913505111712794</v>
      </c>
      <c r="L17" s="102">
        <v>7.5344751889799754E-3</v>
      </c>
      <c r="M17" s="102">
        <f t="shared" si="5"/>
        <v>3.1831091435185178E-2</v>
      </c>
      <c r="N17" s="98">
        <v>1</v>
      </c>
      <c r="O17" s="87">
        <v>8</v>
      </c>
      <c r="P17" s="363">
        <v>15</v>
      </c>
      <c r="Q17" s="34">
        <f t="shared" si="6"/>
        <v>0.6180256229084643</v>
      </c>
      <c r="R17" s="26">
        <f t="shared" si="6"/>
        <v>2.1005820105820106</v>
      </c>
      <c r="S17" s="26">
        <f t="shared" si="6"/>
        <v>2.6805129629629625</v>
      </c>
      <c r="T17" s="26">
        <f t="shared" si="6"/>
        <v>5.5286848920038864E-3</v>
      </c>
      <c r="U17" s="26">
        <f t="shared" si="6"/>
        <v>0.17031746031746031</v>
      </c>
      <c r="V17" s="26">
        <f t="shared" si="6"/>
        <v>0.15158253968253968</v>
      </c>
      <c r="W17" s="26">
        <f t="shared" si="6"/>
        <v>471.30804089370235</v>
      </c>
      <c r="X17" s="26">
        <f t="shared" si="6"/>
        <v>6.0275801511839804E-2</v>
      </c>
      <c r="Y17" s="26">
        <f t="shared" si="6"/>
        <v>0.25464873148148143</v>
      </c>
    </row>
    <row r="18" spans="1:25" s="3" customFormat="1">
      <c r="A18" s="24" t="s">
        <v>279</v>
      </c>
      <c r="B18" s="29" t="s">
        <v>27</v>
      </c>
      <c r="C18" s="97">
        <v>37</v>
      </c>
      <c r="D18" s="22">
        <v>0.37</v>
      </c>
      <c r="E18" s="102">
        <v>3.2313389441625637E-2</v>
      </c>
      <c r="F18" s="397">
        <f>IF($C18&lt;11,'Offroad Tiers EF (2)'!$AN$4*$C18*$D18,IF($C18&lt;25,'Offroad Tiers EF (2)'!$AN$5*$C18*$D18,IF($C18&lt;50,'Offroad Tiers EF (2)'!$AN$6*$C18*$D18,IF($C18&lt;75,'Offroad Tiers EF (2)'!$AN$7*$C18*$D18,IF($C18&lt;100,'Offroad Tiers EF (2)'!$AN$8*$C18*$D18,IF($C18&lt;175,'Offroad Tiers EF (2)'!$AN$9*$C18*$D18,IF($C18&lt;300,'Offroad Tiers EF (2)'!$AN$10*$C18*$D18,IF($C18&lt;600,'Offroad Tiers EF (2)'!$AN$11*$C18*$D18,"!"))))))))</f>
        <v>0.12374118165784832</v>
      </c>
      <c r="G18" s="397">
        <f>IF($C18&lt;11,'Offroad Tiers EF (2)'!$AM$4*$C18*$D18,IF($C18&lt;25,'Offroad Tiers EF (2)'!$AM$5*$C18*$D18,IF($C18&lt;50,'Offroad Tiers EF (2)'!$AM$6*$C18*$D18,IF($C18&lt;75,'Offroad Tiers EF (2)'!$AM$7*$C18*$D18,IF($C18&lt;100,'Offroad Tiers EF (2)'!$AM$8*$C18*$D18,IF($C18&lt;175,'Offroad Tiers EF (2)'!$AM$9*$C18*$D18,IF($C18&lt;300,'Offroad Tiers EF (2)'!$AM$10*$C18*$D18,IF($C18&lt;600,'Offroad Tiers EF (2)'!$AM$11*$C18*$D18,"!"))))))))</f>
        <v>0.16056172839506169</v>
      </c>
      <c r="H18" s="102">
        <v>3.2989906092678058E-4</v>
      </c>
      <c r="I18" s="397">
        <f>IF($C18&lt;11,'Offroad Tiers EF (2)'!$AO$4*$C18*$D18,IF($C18&lt;25,'Offroad Tiers EF (2)'!$AO$5*$C18*$D18,IF($C18&lt;50,'Offroad Tiers EF (2)'!$AO$6*$C18*$D18,IF($C18&lt;75,'Offroad Tiers EF (2)'!$AO$7*$C18*$D18,IF($C18&lt;100,'Offroad Tiers EF (2)'!$AO$8*$C18*$D18,IF($C18&lt;175,'Offroad Tiers EF (2)'!$AO$9*$C18*$D18,IF($C18&lt;300,'Offroad Tiers EF (2)'!$AO$10*$C18*$D18,IF($C18&lt;600,'Offroad Tiers EF (2)'!$AO$11*$C18*$D18,"!"))))))))</f>
        <v>1.3581349206349205E-2</v>
      </c>
      <c r="J18" s="100">
        <f t="shared" si="4"/>
        <v>1.2087400793650793E-2</v>
      </c>
      <c r="K18" s="103">
        <v>25.519156990664225</v>
      </c>
      <c r="L18" s="102">
        <v>3.413848047070189E-3</v>
      </c>
      <c r="M18" s="104">
        <f t="shared" si="5"/>
        <v>1.5253364197530862E-2</v>
      </c>
      <c r="N18" s="87">
        <v>1</v>
      </c>
      <c r="O18" s="87">
        <v>8</v>
      </c>
      <c r="P18" s="363">
        <v>15</v>
      </c>
      <c r="Q18" s="34">
        <f t="shared" si="6"/>
        <v>0.25850711553300509</v>
      </c>
      <c r="R18" s="26">
        <f t="shared" si="6"/>
        <v>0.98992945326278659</v>
      </c>
      <c r="S18" s="26">
        <f t="shared" si="6"/>
        <v>1.2844938271604935</v>
      </c>
      <c r="T18" s="26">
        <f t="shared" si="6"/>
        <v>2.6391924874142447E-3</v>
      </c>
      <c r="U18" s="26">
        <f t="shared" si="6"/>
        <v>0.10865079365079364</v>
      </c>
      <c r="V18" s="26">
        <f t="shared" si="6"/>
        <v>9.669920634920634E-2</v>
      </c>
      <c r="W18" s="26">
        <f t="shared" si="6"/>
        <v>204.1532559253138</v>
      </c>
      <c r="X18" s="26">
        <f t="shared" si="6"/>
        <v>2.7310784376561512E-2</v>
      </c>
      <c r="Y18" s="26">
        <f t="shared" si="6"/>
        <v>0.12202691358024689</v>
      </c>
    </row>
    <row r="19" spans="1:25" s="3" customFormat="1">
      <c r="A19" s="24" t="s">
        <v>280</v>
      </c>
      <c r="B19" s="29" t="s">
        <v>27</v>
      </c>
      <c r="C19" s="22">
        <v>87</v>
      </c>
      <c r="D19" s="22">
        <v>0.36</v>
      </c>
      <c r="E19" s="108">
        <v>5.2437519504869065E-2</v>
      </c>
      <c r="F19" s="397">
        <f>IF($C19&lt;11,'Offroad Tiers EF (2)'!$AN$4*$C19*$D19,IF($C19&lt;25,'Offroad Tiers EF (2)'!$AN$5*$C19*$D19,IF($C19&lt;50,'Offroad Tiers EF (2)'!$AN$6*$C19*$D19,IF($C19&lt;75,'Offroad Tiers EF (2)'!$AN$7*$C19*$D19,IF($C19&lt;100,'Offroad Tiers EF (2)'!$AN$8*$C19*$D19,IF($C19&lt;175,'Offroad Tiers EF (2)'!$AN$9*$C19*$D19,IF($C19&lt;300,'Offroad Tiers EF (2)'!$AN$10*$C19*$D19,IF($C19&lt;600,'Offroad Tiers EF (2)'!$AN$11*$C19*$D19,"!"))))))))</f>
        <v>0.25547619047619047</v>
      </c>
      <c r="G19" s="397">
        <f>IF($C19&lt;11,'Offroad Tiers EF (2)'!$AM$4*$C19*$D19,IF($C19&lt;25,'Offroad Tiers EF (2)'!$AM$5*$C19*$D19,IF($C19&lt;50,'Offroad Tiers EF (2)'!$AM$6*$C19*$D19,IF($C19&lt;75,'Offroad Tiers EF (2)'!$AM$7*$C19*$D19,IF($C19&lt;100,'Offroad Tiers EF (2)'!$AM$8*$C19*$D19,IF($C19&lt;175,'Offroad Tiers EF (2)'!$AM$9*$C19*$D19,IF($C19&lt;300,'Offroad Tiers EF (2)'!$AM$10*$C19*$D19,IF($C19&lt;600,'Offroad Tiers EF (2)'!$AM$11*$C19*$D19,"!"))))))))</f>
        <v>0.32600833333333323</v>
      </c>
      <c r="H19" s="108">
        <v>6.0679618797898508E-4</v>
      </c>
      <c r="I19" s="397">
        <f>IF($C19&lt;11,'Offroad Tiers EF (2)'!$AO$4*$C19*$D19,IF($C19&lt;25,'Offroad Tiers EF (2)'!$AO$5*$C19*$D19,IF($C19&lt;50,'Offroad Tiers EF (2)'!$AO$6*$C19*$D19,IF($C19&lt;75,'Offroad Tiers EF (2)'!$AO$7*$C19*$D19,IF($C19&lt;100,'Offroad Tiers EF (2)'!$AO$8*$C19*$D19,IF($C19&lt;175,'Offroad Tiers EF (2)'!$AO$9*$C19*$D19,IF($C19&lt;300,'Offroad Tiers EF (2)'!$AO$10*$C19*$D19,IF($C19&lt;600,'Offroad Tiers EF (2)'!$AO$11*$C19*$D19,"!"))))))))</f>
        <v>2.0714285714285713E-2</v>
      </c>
      <c r="J19" s="100">
        <v>1.8435714285714284E-2</v>
      </c>
      <c r="K19" s="108">
        <v>51.728016924248784</v>
      </c>
      <c r="L19" s="108">
        <v>5.2037096026823848E-3</v>
      </c>
      <c r="M19" s="102">
        <v>3.0970791666666657E-2</v>
      </c>
      <c r="N19" s="98">
        <v>1</v>
      </c>
      <c r="O19" s="87">
        <v>8</v>
      </c>
      <c r="P19" s="363">
        <v>15</v>
      </c>
      <c r="Q19" s="34">
        <f t="shared" si="6"/>
        <v>0.41950015603895252</v>
      </c>
      <c r="R19" s="26">
        <f t="shared" si="6"/>
        <v>2.0438095238095237</v>
      </c>
      <c r="S19" s="26">
        <f t="shared" si="6"/>
        <v>2.6080666666666659</v>
      </c>
      <c r="T19" s="26">
        <f t="shared" si="6"/>
        <v>4.8543695038318806E-3</v>
      </c>
      <c r="U19" s="26">
        <f t="shared" si="6"/>
        <v>0.1657142857142857</v>
      </c>
      <c r="V19" s="26">
        <f t="shared" si="6"/>
        <v>0.14748571428571428</v>
      </c>
      <c r="W19" s="26">
        <f t="shared" si="6"/>
        <v>413.82413539399028</v>
      </c>
      <c r="X19" s="26">
        <f t="shared" si="6"/>
        <v>4.1629676821459079E-2</v>
      </c>
      <c r="Y19" s="26">
        <f t="shared" si="6"/>
        <v>0.24776633333333326</v>
      </c>
    </row>
    <row r="20" spans="1:25" s="3" customFormat="1">
      <c r="A20" s="24" t="s">
        <v>126</v>
      </c>
      <c r="B20" s="29" t="s">
        <v>27</v>
      </c>
      <c r="C20" s="22">
        <v>175</v>
      </c>
      <c r="D20" s="22"/>
      <c r="E20" s="102">
        <v>0.11792220738547983</v>
      </c>
      <c r="F20" s="102">
        <v>0.36512193352152528</v>
      </c>
      <c r="G20" s="102">
        <v>0.86781464282266541</v>
      </c>
      <c r="H20" s="102">
        <v>1.8739217498104396E-3</v>
      </c>
      <c r="I20" s="102">
        <v>2.9041712295589866E-2</v>
      </c>
      <c r="J20" s="100">
        <f t="shared" ref="J20" si="7">0.89*I20</f>
        <v>2.5847123943074982E-2</v>
      </c>
      <c r="K20" s="103">
        <v>166.54541562452522</v>
      </c>
      <c r="L20" s="102">
        <v>1.063993297769634E-2</v>
      </c>
      <c r="M20" s="104">
        <f t="shared" ref="M20" si="8">0.095*G20</f>
        <v>8.2442391068153209E-2</v>
      </c>
      <c r="N20" s="98">
        <v>2</v>
      </c>
      <c r="O20" s="87">
        <v>8</v>
      </c>
      <c r="P20" s="363">
        <v>15</v>
      </c>
      <c r="Q20" s="34">
        <f t="shared" si="6"/>
        <v>1.8867553181676773</v>
      </c>
      <c r="R20" s="26">
        <f t="shared" si="6"/>
        <v>5.8419509363444044</v>
      </c>
      <c r="S20" s="26">
        <f t="shared" si="6"/>
        <v>13.885034285162646</v>
      </c>
      <c r="T20" s="26">
        <f t="shared" si="6"/>
        <v>2.9982747996967034E-2</v>
      </c>
      <c r="U20" s="26">
        <f t="shared" si="6"/>
        <v>0.46466739672943785</v>
      </c>
      <c r="V20" s="26">
        <f t="shared" si="6"/>
        <v>0.41355398308919972</v>
      </c>
      <c r="W20" s="26">
        <f t="shared" si="6"/>
        <v>2664.7266499924035</v>
      </c>
      <c r="X20" s="26">
        <f t="shared" si="6"/>
        <v>0.17023892764314144</v>
      </c>
      <c r="Y20" s="26">
        <f t="shared" si="6"/>
        <v>1.3190782570904513</v>
      </c>
    </row>
    <row r="21" spans="1:25" s="3" customFormat="1">
      <c r="A21" s="17" t="s">
        <v>28</v>
      </c>
      <c r="B21" s="571"/>
      <c r="C21" s="18"/>
      <c r="D21" s="22"/>
      <c r="E21" s="19"/>
      <c r="F21" s="19"/>
      <c r="G21" s="19"/>
      <c r="H21" s="19"/>
      <c r="I21" s="19"/>
      <c r="J21" s="19"/>
      <c r="K21" s="19"/>
      <c r="L21" s="19"/>
      <c r="M21" s="19"/>
      <c r="N21" s="30"/>
      <c r="O21" s="30"/>
      <c r="P21" s="30"/>
      <c r="Q21" s="20">
        <f t="shared" ref="Q21:Y21" si="9">SUM(Q14:Q20)</f>
        <v>6.9731724405826974</v>
      </c>
      <c r="R21" s="20">
        <f t="shared" si="9"/>
        <v>25.329076156802955</v>
      </c>
      <c r="S21" s="20">
        <f t="shared" si="9"/>
        <v>39.335589576167934</v>
      </c>
      <c r="T21" s="20">
        <f t="shared" si="9"/>
        <v>0.10051048105110075</v>
      </c>
      <c r="U21" s="20">
        <f t="shared" si="9"/>
        <v>1.7511559328846407</v>
      </c>
      <c r="V21" s="20">
        <f t="shared" si="9"/>
        <v>1.5585287802673302</v>
      </c>
      <c r="W21" s="20">
        <f t="shared" si="9"/>
        <v>9612.7585349217115</v>
      </c>
      <c r="X21" s="20">
        <f t="shared" si="9"/>
        <v>0.66288942033328202</v>
      </c>
      <c r="Y21" s="20">
        <f t="shared" si="9"/>
        <v>3.7368810097359542</v>
      </c>
    </row>
    <row r="22" spans="1:25" s="3" customFormat="1">
      <c r="A22" s="24"/>
      <c r="B22" s="29"/>
      <c r="C22" s="22"/>
      <c r="D22" s="22"/>
      <c r="E22" s="108"/>
      <c r="F22" s="108"/>
      <c r="G22" s="108"/>
      <c r="H22" s="108"/>
      <c r="I22" s="108"/>
      <c r="J22" s="100"/>
      <c r="K22" s="365"/>
      <c r="L22" s="110"/>
      <c r="M22" s="102"/>
      <c r="N22" s="98"/>
      <c r="O22" s="98"/>
      <c r="P22" s="363"/>
      <c r="Q22" s="34"/>
      <c r="R22" s="26"/>
      <c r="S22" s="26"/>
      <c r="T22" s="26"/>
      <c r="U22" s="26"/>
      <c r="V22" s="26"/>
      <c r="W22" s="26"/>
      <c r="X22" s="26"/>
      <c r="Y22" s="26"/>
    </row>
    <row r="23" spans="1:25" s="3" customFormat="1">
      <c r="A23" s="17" t="s">
        <v>281</v>
      </c>
      <c r="B23" s="90"/>
      <c r="C23" s="18"/>
      <c r="D23" s="22"/>
      <c r="E23" s="19"/>
      <c r="F23" s="19"/>
      <c r="G23" s="19"/>
      <c r="H23" s="19"/>
      <c r="I23" s="19"/>
      <c r="J23" s="19"/>
      <c r="K23" s="19"/>
      <c r="L23" s="19"/>
      <c r="M23" s="19"/>
      <c r="N23" s="30"/>
      <c r="O23" s="30"/>
      <c r="P23" s="30"/>
      <c r="Q23" s="20"/>
      <c r="R23" s="20"/>
      <c r="S23" s="27"/>
      <c r="T23" s="20"/>
      <c r="U23" s="20"/>
      <c r="V23" s="20"/>
      <c r="W23" s="21"/>
      <c r="X23" s="20"/>
      <c r="Y23" s="20"/>
    </row>
    <row r="24" spans="1:25" s="3" customFormat="1">
      <c r="A24" s="100" t="s">
        <v>120</v>
      </c>
      <c r="B24" s="29" t="s">
        <v>27</v>
      </c>
      <c r="C24" s="22">
        <v>358</v>
      </c>
      <c r="D24" s="22">
        <v>0.4</v>
      </c>
      <c r="E24" s="108">
        <v>0.27937428148624566</v>
      </c>
      <c r="F24" s="397">
        <f>IF($C24&lt;11,'Offroad Tiers EF (2)'!$AN$4*$C24*$D24,IF($C24&lt;25,'Offroad Tiers EF (2)'!$AN$5*$C24*$D24,IF($C24&lt;50,'Offroad Tiers EF (2)'!$AN$6*$C24*$D24,IF($C24&lt;75,'Offroad Tiers EF (2)'!$AN$7*$C24*$D24,IF($C24&lt;100,'Offroad Tiers EF (2)'!$AN$8*$C24*$D24,IF($C24&lt;175,'Offroad Tiers EF (2)'!$AN$9*$C24*$D24,IF($C24&lt;300,'Offroad Tiers EF (2)'!$AN$10*$C24*$D24,IF($C24&lt;600,'Offroad Tiers EF (2)'!$AN$11*$C24*$D24,"!"))))))))</f>
        <v>0.82081128747795418</v>
      </c>
      <c r="G24" s="397">
        <f>IF($C24&lt;11,'Offroad Tiers EF (2)'!$AM$4*$C24*$D24,IF($C24&lt;25,'Offroad Tiers EF (2)'!$AM$5*$C24*$D24,IF($C24&lt;50,'Offroad Tiers EF (2)'!$AM$6*$C24*$D24,IF($C24&lt;75,'Offroad Tiers EF (2)'!$AM$7*$C24*$D24,IF($C24&lt;100,'Offroad Tiers EF (2)'!$AM$8*$C24*$D24,IF($C24&lt;175,'Offroad Tiers EF (2)'!$AM$9*$C24*$D24,IF($C24&lt;300,'Offroad Tiers EF (2)'!$AM$10*$C24*$D24,IF($C24&lt;600,'Offroad Tiers EF (2)'!$AM$11*$C24*$D24,"!"))))))))</f>
        <v>1.2776243386243384</v>
      </c>
      <c r="H24" s="108">
        <v>2.5998088533883764E-3</v>
      </c>
      <c r="I24" s="397">
        <f>IF($C24&lt;11,'Offroad Tiers EF (2)'!$AO$4*$C24*$D24,IF($C24&lt;25,'Offroad Tiers EF (2)'!$AO$5*$C24*$D24,IF($C24&lt;50,'Offroad Tiers EF (2)'!$AO$6*$C24*$D24,IF($C24&lt;75,'Offroad Tiers EF (2)'!$AO$7*$C24*$D24,IF($C24&lt;100,'Offroad Tiers EF (2)'!$AO$8*$C24*$D24,IF($C24&lt;175,'Offroad Tiers EF (2)'!$AO$9*$C24*$D24,IF($C24&lt;300,'Offroad Tiers EF (2)'!$AO$10*$C24*$D24,IF($C24&lt;600,'Offroad Tiers EF (2)'!$AO$11*$C24*$D24,"!"))))))))</f>
        <v>4.735449735449735E-2</v>
      </c>
      <c r="J24" s="100">
        <f t="shared" ref="J24:J29" si="10">0.89*I24</f>
        <v>4.2145502645502646E-2</v>
      </c>
      <c r="K24" s="108">
        <v>264.8725636721183</v>
      </c>
      <c r="L24" s="108">
        <v>2.6451144743432839E-2</v>
      </c>
      <c r="M24" s="102">
        <f t="shared" ref="M24:M29" si="11">0.095*G24</f>
        <v>0.12137431216931216</v>
      </c>
      <c r="N24" s="98">
        <v>1</v>
      </c>
      <c r="O24" s="87">
        <v>8</v>
      </c>
      <c r="P24" s="363">
        <v>75</v>
      </c>
      <c r="Q24" s="34">
        <f t="shared" ref="Q24:Y29" si="12">(E24*$N24*$O24)</f>
        <v>2.2349942518899653</v>
      </c>
      <c r="R24" s="26">
        <f t="shared" si="12"/>
        <v>6.5664902998236334</v>
      </c>
      <c r="S24" s="26">
        <f t="shared" si="12"/>
        <v>10.220994708994708</v>
      </c>
      <c r="T24" s="26">
        <f t="shared" si="12"/>
        <v>2.0798470827107011E-2</v>
      </c>
      <c r="U24" s="26">
        <f t="shared" si="12"/>
        <v>0.3788359788359788</v>
      </c>
      <c r="V24" s="26">
        <f t="shared" si="12"/>
        <v>0.33716402116402117</v>
      </c>
      <c r="W24" s="26">
        <f t="shared" si="12"/>
        <v>2118.9805093769464</v>
      </c>
      <c r="X24" s="26">
        <f t="shared" si="12"/>
        <v>0.21160915794746271</v>
      </c>
      <c r="Y24" s="26">
        <f t="shared" si="12"/>
        <v>0.97099449735449728</v>
      </c>
    </row>
    <row r="25" spans="1:25" s="3" customFormat="1">
      <c r="A25" s="100" t="s">
        <v>121</v>
      </c>
      <c r="B25" s="29" t="s">
        <v>27</v>
      </c>
      <c r="C25" s="22">
        <v>162</v>
      </c>
      <c r="D25" s="22">
        <v>0.41</v>
      </c>
      <c r="E25" s="108">
        <v>0.12153885438656534</v>
      </c>
      <c r="F25" s="397">
        <f>IF($C25&lt;11,'Offroad Tiers EF (2)'!$AN$4*$C25*$D25,IF($C25&lt;25,'Offroad Tiers EF (2)'!$AN$5*$C25*$D25,IF($C25&lt;50,'Offroad Tiers EF (2)'!$AN$6*$C25*$D25,IF($C25&lt;75,'Offroad Tiers EF (2)'!$AN$7*$C25*$D25,IF($C25&lt;100,'Offroad Tiers EF (2)'!$AN$8*$C25*$D25,IF($C25&lt;175,'Offroad Tiers EF (2)'!$AN$9*$C25*$D25,IF($C25&lt;300,'Offroad Tiers EF (2)'!$AN$10*$C25*$D25,IF($C25&lt;600,'Offroad Tiers EF (2)'!$AN$11*$C25*$D25,"!"))))))))</f>
        <v>0.5417857142857142</v>
      </c>
      <c r="G25" s="397">
        <f>IF($C25&lt;11,'Offroad Tiers EF (2)'!$AM$4*$C25*$D25,IF($C25&lt;25,'Offroad Tiers EF (2)'!$AM$5*$C25*$D25,IF($C25&lt;50,'Offroad Tiers EF (2)'!$AM$6*$C25*$D25,IF($C25&lt;75,'Offroad Tiers EF (2)'!$AM$7*$C25*$D25,IF($C25&lt;100,'Offroad Tiers EF (2)'!$AM$8*$C25*$D25,IF($C25&lt;175,'Offroad Tiers EF (2)'!$AM$9*$C25*$D25,IF($C25&lt;300,'Offroad Tiers EF (2)'!$AM$10*$C25*$D25,IF($C25&lt;600,'Offroad Tiers EF (2)'!$AM$11*$C25*$D25,"!"))))))))</f>
        <v>0.60233392857142853</v>
      </c>
      <c r="H25" s="108">
        <v>1.3943296443626662E-3</v>
      </c>
      <c r="I25" s="397">
        <f>IF($C25&lt;11,'Offroad Tiers EF (2)'!$AO$4*$C25*$D25,IF($C25&lt;25,'Offroad Tiers EF (2)'!$AO$5*$C25*$D25,IF($C25&lt;50,'Offroad Tiers EF (2)'!$AO$6*$C25*$D25,IF($C25&lt;75,'Offroad Tiers EF (2)'!$AO$7*$C25*$D25,IF($C25&lt;100,'Offroad Tiers EF (2)'!$AO$8*$C25*$D25,IF($C25&lt;175,'Offroad Tiers EF (2)'!$AO$9*$C25*$D25,IF($C25&lt;300,'Offroad Tiers EF (2)'!$AO$10*$C25*$D25,IF($C25&lt;600,'Offroad Tiers EF (2)'!$AO$11*$C25*$D25,"!"))))))))</f>
        <v>3.2214285714285709E-2</v>
      </c>
      <c r="J25" s="100">
        <f t="shared" si="10"/>
        <v>2.8670714285714282E-2</v>
      </c>
      <c r="K25" s="365">
        <v>123.92149503712022</v>
      </c>
      <c r="L25" s="23">
        <v>1.1720218383966691E-2</v>
      </c>
      <c r="M25" s="102">
        <f t="shared" si="11"/>
        <v>5.7221723214285709E-2</v>
      </c>
      <c r="N25" s="98">
        <v>1</v>
      </c>
      <c r="O25" s="87">
        <v>8</v>
      </c>
      <c r="P25" s="363">
        <v>75</v>
      </c>
      <c r="Q25" s="34">
        <f t="shared" si="12"/>
        <v>0.9723108350925227</v>
      </c>
      <c r="R25" s="26">
        <f t="shared" si="12"/>
        <v>4.3342857142857136</v>
      </c>
      <c r="S25" s="26">
        <f t="shared" si="12"/>
        <v>4.8186714285714283</v>
      </c>
      <c r="T25" s="26">
        <f t="shared" si="12"/>
        <v>1.115463715490133E-2</v>
      </c>
      <c r="U25" s="26">
        <f t="shared" si="12"/>
        <v>0.25771428571428567</v>
      </c>
      <c r="V25" s="26">
        <f t="shared" si="12"/>
        <v>0.22936571428571426</v>
      </c>
      <c r="W25" s="26">
        <f t="shared" si="12"/>
        <v>991.37196029696179</v>
      </c>
      <c r="X25" s="26">
        <f t="shared" si="12"/>
        <v>9.3761747071733528E-2</v>
      </c>
      <c r="Y25" s="26">
        <f t="shared" si="12"/>
        <v>0.45777378571428567</v>
      </c>
    </row>
    <row r="26" spans="1:25" s="3" customFormat="1">
      <c r="A26" s="100" t="s">
        <v>122</v>
      </c>
      <c r="B26" s="29" t="s">
        <v>27</v>
      </c>
      <c r="C26" s="22">
        <v>356</v>
      </c>
      <c r="D26" s="22">
        <v>0.48</v>
      </c>
      <c r="E26" s="108">
        <v>0.27361983606105278</v>
      </c>
      <c r="F26" s="397">
        <f>IF($C26&lt;11,'Offroad Tiers EF (2)'!$AN$4*$C26*$D26,IF($C26&lt;25,'Offroad Tiers EF (2)'!$AN$5*$C26*$D26,IF($C26&lt;50,'Offroad Tiers EF (2)'!$AN$6*$C26*$D26,IF($C26&lt;75,'Offroad Tiers EF (2)'!$AN$7*$C26*$D26,IF($C26&lt;100,'Offroad Tiers EF (2)'!$AN$8*$C26*$D26,IF($C26&lt;175,'Offroad Tiers EF (2)'!$AN$9*$C26*$D26,IF($C26&lt;300,'Offroad Tiers EF (2)'!$AN$10*$C26*$D26,IF($C26&lt;600,'Offroad Tiers EF (2)'!$AN$11*$C26*$D26,"!"))))))))</f>
        <v>0.97947089947089949</v>
      </c>
      <c r="G26" s="397">
        <f>IF($C26&lt;11,'Offroad Tiers EF (2)'!$AM$4*$C26*$D26,IF($C26&lt;25,'Offroad Tiers EF (2)'!$AM$5*$C26*$D26,IF($C26&lt;50,'Offroad Tiers EF (2)'!$AM$6*$C26*$D26,IF($C26&lt;75,'Offroad Tiers EF (2)'!$AM$7*$C26*$D26,IF($C26&lt;100,'Offroad Tiers EF (2)'!$AM$8*$C26*$D26,IF($C26&lt;175,'Offroad Tiers EF (2)'!$AM$9*$C26*$D26,IF($C26&lt;300,'Offroad Tiers EF (2)'!$AM$10*$C26*$D26,IF($C26&lt;600,'Offroad Tiers EF (2)'!$AM$11*$C26*$D26,"!"))))))))</f>
        <v>1.5245841269841265</v>
      </c>
      <c r="H26" s="108">
        <v>3.1549250027299411E-3</v>
      </c>
      <c r="I26" s="397">
        <f>IF($C26&lt;11,'Offroad Tiers EF (2)'!$AO$4*$C26*$D26,IF($C26&lt;25,'Offroad Tiers EF (2)'!$AO$5*$C26*$D26,IF($C26&lt;50,'Offroad Tiers EF (2)'!$AO$6*$C26*$D26,IF($C26&lt;75,'Offroad Tiers EF (2)'!$AO$7*$C26*$D26,IF($C26&lt;100,'Offroad Tiers EF (2)'!$AO$8*$C26*$D26,IF($C26&lt;175,'Offroad Tiers EF (2)'!$AO$9*$C26*$D26,IF($C26&lt;300,'Offroad Tiers EF (2)'!$AO$10*$C26*$D26,IF($C26&lt;600,'Offroad Tiers EF (2)'!$AO$11*$C26*$D26,"!"))))))))</f>
        <v>5.65079365079365E-2</v>
      </c>
      <c r="J26" s="100">
        <f t="shared" si="10"/>
        <v>5.0292063492063485E-2</v>
      </c>
      <c r="K26" s="108">
        <v>321.42842594638495</v>
      </c>
      <c r="L26" s="108">
        <v>2.6010420981454316E-2</v>
      </c>
      <c r="M26" s="102">
        <f t="shared" si="11"/>
        <v>0.14483549206349203</v>
      </c>
      <c r="N26" s="98">
        <v>2</v>
      </c>
      <c r="O26" s="98">
        <v>8</v>
      </c>
      <c r="P26" s="99">
        <f>2*22</f>
        <v>44</v>
      </c>
      <c r="Q26" s="34">
        <f t="shared" si="12"/>
        <v>4.3779173769768445</v>
      </c>
      <c r="R26" s="26">
        <f t="shared" si="12"/>
        <v>15.671534391534392</v>
      </c>
      <c r="S26" s="26">
        <f t="shared" si="12"/>
        <v>24.393346031746024</v>
      </c>
      <c r="T26" s="26">
        <f t="shared" si="12"/>
        <v>5.0478800043679058E-2</v>
      </c>
      <c r="U26" s="26">
        <f t="shared" si="12"/>
        <v>0.904126984126984</v>
      </c>
      <c r="V26" s="26">
        <f t="shared" si="12"/>
        <v>0.80467301587301576</v>
      </c>
      <c r="W26" s="26">
        <f t="shared" si="12"/>
        <v>5142.8548151421592</v>
      </c>
      <c r="X26" s="26">
        <f t="shared" si="12"/>
        <v>0.41616673570326906</v>
      </c>
      <c r="Y26" s="26">
        <f t="shared" si="12"/>
        <v>2.3173678730158724</v>
      </c>
    </row>
    <row r="27" spans="1:25" s="3" customFormat="1">
      <c r="A27" s="100" t="s">
        <v>123</v>
      </c>
      <c r="B27" s="29" t="s">
        <v>27</v>
      </c>
      <c r="C27" s="22">
        <v>84</v>
      </c>
      <c r="D27" s="22">
        <v>0.38</v>
      </c>
      <c r="E27" s="102">
        <v>7.9534395197012789E-2</v>
      </c>
      <c r="F27" s="397">
        <f>IF($C27&lt;11,'Offroad Tiers EF (2)'!$AN$4*$C27*$D27,IF($C27&lt;25,'Offroad Tiers EF (2)'!$AN$5*$C27*$D27,IF($C27&lt;50,'Offroad Tiers EF (2)'!$AN$6*$C27*$D27,IF($C27&lt;75,'Offroad Tiers EF (2)'!$AN$7*$C27*$D27,IF($C27&lt;100,'Offroad Tiers EF (2)'!$AN$8*$C27*$D27,IF($C27&lt;175,'Offroad Tiers EF (2)'!$AN$9*$C27*$D27,IF($C27&lt;300,'Offroad Tiers EF (2)'!$AN$10*$C27*$D27,IF($C27&lt;600,'Offroad Tiers EF (2)'!$AN$11*$C27*$D27,"!"))))))))</f>
        <v>0.26037037037037036</v>
      </c>
      <c r="G27" s="397">
        <f>IF($C27&lt;11,'Offroad Tiers EF (2)'!$AM$4*$C27*$D27,IF($C27&lt;25,'Offroad Tiers EF (2)'!$AM$5*$C27*$D27,IF($C27&lt;50,'Offroad Tiers EF (2)'!$AM$6*$C27*$D27,IF($C27&lt;75,'Offroad Tiers EF (2)'!$AM$7*$C27*$D27,IF($C27&lt;100,'Offroad Tiers EF (2)'!$AM$8*$C27*$D27,IF($C27&lt;175,'Offroad Tiers EF (2)'!$AM$9*$C27*$D27,IF($C27&lt;300,'Offroad Tiers EF (2)'!$AM$10*$C27*$D27,IF($C27&lt;600,'Offroad Tiers EF (2)'!$AM$11*$C27*$D27,"!"))))))))</f>
        <v>0.33225370370370361</v>
      </c>
      <c r="H27" s="102">
        <v>6.9196834691909377E-4</v>
      </c>
      <c r="I27" s="397">
        <f>IF($C27&lt;11,'Offroad Tiers EF (2)'!$AO$4*$C27*$D27,IF($C27&lt;25,'Offroad Tiers EF (2)'!$AO$5*$C27*$D27,IF($C27&lt;50,'Offroad Tiers EF (2)'!$AO$6*$C27*$D27,IF($C27&lt;75,'Offroad Tiers EF (2)'!$AO$7*$C27*$D27,IF($C27&lt;100,'Offroad Tiers EF (2)'!$AO$8*$C27*$D27,IF($C27&lt;175,'Offroad Tiers EF (2)'!$AO$9*$C27*$D27,IF($C27&lt;300,'Offroad Tiers EF (2)'!$AO$10*$C27*$D27,IF($C27&lt;600,'Offroad Tiers EF (2)'!$AO$11*$C27*$D27,"!"))))))))</f>
        <v>2.1111111111111112E-2</v>
      </c>
      <c r="J27" s="100">
        <f t="shared" si="10"/>
        <v>1.878888888888889E-2</v>
      </c>
      <c r="K27" s="103">
        <v>58.988746640295226</v>
      </c>
      <c r="L27" s="102">
        <v>7.7311979659905822E-3</v>
      </c>
      <c r="M27" s="102">
        <f t="shared" si="11"/>
        <v>3.1564101851851843E-2</v>
      </c>
      <c r="N27" s="363">
        <v>1</v>
      </c>
      <c r="O27" s="87">
        <v>8</v>
      </c>
      <c r="P27" s="363">
        <v>75</v>
      </c>
      <c r="Q27" s="34">
        <f t="shared" si="12"/>
        <v>0.63627516157610231</v>
      </c>
      <c r="R27" s="26">
        <f t="shared" si="12"/>
        <v>2.0829629629629629</v>
      </c>
      <c r="S27" s="26">
        <f t="shared" si="12"/>
        <v>2.6580296296296289</v>
      </c>
      <c r="T27" s="26">
        <f t="shared" si="12"/>
        <v>5.5357467753527501E-3</v>
      </c>
      <c r="U27" s="26">
        <f t="shared" si="12"/>
        <v>0.16888888888888889</v>
      </c>
      <c r="V27" s="26">
        <f t="shared" si="12"/>
        <v>0.15031111111111112</v>
      </c>
      <c r="W27" s="26">
        <f t="shared" si="12"/>
        <v>471.90997312236181</v>
      </c>
      <c r="X27" s="26">
        <f t="shared" si="12"/>
        <v>6.1849583727924658E-2</v>
      </c>
      <c r="Y27" s="26">
        <f t="shared" si="12"/>
        <v>0.25251281481481475</v>
      </c>
    </row>
    <row r="28" spans="1:25" s="3" customFormat="1">
      <c r="A28" s="100" t="s">
        <v>282</v>
      </c>
      <c r="B28" s="29" t="s">
        <v>27</v>
      </c>
      <c r="C28" s="97">
        <v>37</v>
      </c>
      <c r="D28" s="22">
        <v>0.37</v>
      </c>
      <c r="E28" s="102">
        <v>3.2313389441625637E-2</v>
      </c>
      <c r="F28" s="397">
        <f>IF($C28&lt;11,'Offroad Tiers EF (2)'!$AN$4*$C28*$D28,IF($C28&lt;25,'Offroad Tiers EF (2)'!$AN$5*$C28*$D28,IF($C28&lt;50,'Offroad Tiers EF (2)'!$AN$6*$C28*$D28,IF($C28&lt;75,'Offroad Tiers EF (2)'!$AN$7*$C28*$D28,IF($C28&lt;100,'Offroad Tiers EF (2)'!$AN$8*$C28*$D28,IF($C28&lt;175,'Offroad Tiers EF (2)'!$AN$9*$C28*$D28,IF($C28&lt;300,'Offroad Tiers EF (2)'!$AN$10*$C28*$D28,IF($C28&lt;600,'Offroad Tiers EF (2)'!$AN$11*$C28*$D28,"!"))))))))</f>
        <v>0.12374118165784832</v>
      </c>
      <c r="G28" s="397">
        <f>IF($C28&lt;11,'Offroad Tiers EF (2)'!$AM$4*$C28*$D28,IF($C28&lt;25,'Offroad Tiers EF (2)'!$AM$5*$C28*$D28,IF($C28&lt;50,'Offroad Tiers EF (2)'!$AM$6*$C28*$D28,IF($C28&lt;75,'Offroad Tiers EF (2)'!$AM$7*$C28*$D28,IF($C28&lt;100,'Offroad Tiers EF (2)'!$AM$8*$C28*$D28,IF($C28&lt;175,'Offroad Tiers EF (2)'!$AM$9*$C28*$D28,IF($C28&lt;300,'Offroad Tiers EF (2)'!$AM$10*$C28*$D28,IF($C28&lt;600,'Offroad Tiers EF (2)'!$AM$11*$C28*$D28,"!"))))))))</f>
        <v>0.16056172839506169</v>
      </c>
      <c r="H28" s="102">
        <v>3.2989906092678058E-4</v>
      </c>
      <c r="I28" s="397">
        <f>IF($C28&lt;11,'Offroad Tiers EF (2)'!$AO$4*$C28*$D28,IF($C28&lt;25,'Offroad Tiers EF (2)'!$AO$5*$C28*$D28,IF($C28&lt;50,'Offroad Tiers EF (2)'!$AO$6*$C28*$D28,IF($C28&lt;75,'Offroad Tiers EF (2)'!$AO$7*$C28*$D28,IF($C28&lt;100,'Offroad Tiers EF (2)'!$AO$8*$C28*$D28,IF($C28&lt;175,'Offroad Tiers EF (2)'!$AO$9*$C28*$D28,IF($C28&lt;300,'Offroad Tiers EF (2)'!$AO$10*$C28*$D28,IF($C28&lt;600,'Offroad Tiers EF (2)'!$AO$11*$C28*$D28,"!"))))))))</f>
        <v>1.3581349206349205E-2</v>
      </c>
      <c r="J28" s="100">
        <f t="shared" si="10"/>
        <v>1.2087400793650793E-2</v>
      </c>
      <c r="K28" s="103">
        <v>25.519156990664225</v>
      </c>
      <c r="L28" s="102">
        <v>3.413848047070189E-3</v>
      </c>
      <c r="M28" s="104">
        <f t="shared" si="11"/>
        <v>1.5253364197530862E-2</v>
      </c>
      <c r="N28" s="87">
        <v>1</v>
      </c>
      <c r="O28" s="87">
        <v>8</v>
      </c>
      <c r="P28" s="363">
        <v>75</v>
      </c>
      <c r="Q28" s="34">
        <f t="shared" si="12"/>
        <v>0.25850711553300509</v>
      </c>
      <c r="R28" s="26">
        <f t="shared" si="12"/>
        <v>0.98992945326278659</v>
      </c>
      <c r="S28" s="26">
        <f t="shared" si="12"/>
        <v>1.2844938271604935</v>
      </c>
      <c r="T28" s="26">
        <f t="shared" si="12"/>
        <v>2.6391924874142447E-3</v>
      </c>
      <c r="U28" s="26">
        <f t="shared" si="12"/>
        <v>0.10865079365079364</v>
      </c>
      <c r="V28" s="26">
        <f t="shared" si="12"/>
        <v>9.669920634920634E-2</v>
      </c>
      <c r="W28" s="26">
        <f t="shared" si="12"/>
        <v>204.1532559253138</v>
      </c>
      <c r="X28" s="26">
        <f t="shared" si="12"/>
        <v>2.7310784376561512E-2</v>
      </c>
      <c r="Y28" s="26">
        <f t="shared" si="12"/>
        <v>0.12202691358024689</v>
      </c>
    </row>
    <row r="29" spans="1:25" s="3" customFormat="1">
      <c r="A29" s="100" t="s">
        <v>126</v>
      </c>
      <c r="B29" s="29" t="s">
        <v>27</v>
      </c>
      <c r="C29" s="22">
        <v>175</v>
      </c>
      <c r="D29" s="22"/>
      <c r="E29" s="102">
        <v>0.11792220738547983</v>
      </c>
      <c r="F29" s="102">
        <v>0.36512193352152528</v>
      </c>
      <c r="G29" s="102">
        <v>0.86781464282266541</v>
      </c>
      <c r="H29" s="102">
        <v>1.8739217498104396E-3</v>
      </c>
      <c r="I29" s="102">
        <v>2.9041712295589866E-2</v>
      </c>
      <c r="J29" s="100">
        <f t="shared" si="10"/>
        <v>2.5847123943074982E-2</v>
      </c>
      <c r="K29" s="103">
        <v>166.54541562452522</v>
      </c>
      <c r="L29" s="102">
        <v>1.063993297769634E-2</v>
      </c>
      <c r="M29" s="104">
        <f t="shared" si="11"/>
        <v>8.2442391068153209E-2</v>
      </c>
      <c r="N29" s="98">
        <v>2</v>
      </c>
      <c r="O29" s="87">
        <v>8</v>
      </c>
      <c r="P29" s="363">
        <v>75</v>
      </c>
      <c r="Q29" s="34">
        <f t="shared" si="12"/>
        <v>1.8867553181676773</v>
      </c>
      <c r="R29" s="26">
        <f t="shared" si="12"/>
        <v>5.8419509363444044</v>
      </c>
      <c r="S29" s="26">
        <f t="shared" si="12"/>
        <v>13.885034285162646</v>
      </c>
      <c r="T29" s="26">
        <f t="shared" si="12"/>
        <v>2.9982747996967034E-2</v>
      </c>
      <c r="U29" s="26">
        <f t="shared" si="12"/>
        <v>0.46466739672943785</v>
      </c>
      <c r="V29" s="26">
        <f t="shared" si="12"/>
        <v>0.41355398308919972</v>
      </c>
      <c r="W29" s="26">
        <f t="shared" si="12"/>
        <v>2664.7266499924035</v>
      </c>
      <c r="X29" s="26">
        <f t="shared" si="12"/>
        <v>0.17023892764314144</v>
      </c>
      <c r="Y29" s="26">
        <f t="shared" si="12"/>
        <v>1.3190782570904513</v>
      </c>
    </row>
    <row r="30" spans="1:25" s="3" customFormat="1">
      <c r="A30" s="11" t="s">
        <v>28</v>
      </c>
      <c r="B30" s="571"/>
      <c r="C30" s="18"/>
      <c r="D30" s="22"/>
      <c r="E30" s="19"/>
      <c r="F30" s="19"/>
      <c r="G30" s="19"/>
      <c r="H30" s="19"/>
      <c r="I30" s="19"/>
      <c r="J30" s="19"/>
      <c r="K30" s="19"/>
      <c r="L30" s="19"/>
      <c r="M30" s="19"/>
      <c r="N30" s="30"/>
      <c r="O30" s="30"/>
      <c r="P30" s="364"/>
      <c r="Q30" s="20">
        <f t="shared" ref="Q30:Y30" si="13">SUM(Q24:Q29)</f>
        <v>10.366760059236118</v>
      </c>
      <c r="R30" s="20">
        <f t="shared" si="13"/>
        <v>35.487153758213893</v>
      </c>
      <c r="S30" s="27">
        <f t="shared" si="13"/>
        <v>57.260569911264938</v>
      </c>
      <c r="T30" s="20">
        <f t="shared" si="13"/>
        <v>0.12058959528542143</v>
      </c>
      <c r="U30" s="20">
        <f t="shared" si="13"/>
        <v>2.2828843279463689</v>
      </c>
      <c r="V30" s="20">
        <f t="shared" si="13"/>
        <v>2.0317670518722681</v>
      </c>
      <c r="W30" s="20">
        <f t="shared" si="13"/>
        <v>11593.997163856147</v>
      </c>
      <c r="X30" s="20">
        <f t="shared" si="13"/>
        <v>0.98093693647009295</v>
      </c>
      <c r="Y30" s="20">
        <f t="shared" si="13"/>
        <v>5.4397541415701678</v>
      </c>
    </row>
    <row r="31" spans="1:25" s="3" customFormat="1">
      <c r="A31" s="11"/>
      <c r="B31" s="571"/>
      <c r="C31" s="18"/>
      <c r="D31" s="22"/>
      <c r="E31" s="19"/>
      <c r="F31" s="19"/>
      <c r="G31" s="19"/>
      <c r="H31" s="19"/>
      <c r="I31" s="19"/>
      <c r="J31" s="19"/>
      <c r="K31" s="19"/>
      <c r="L31" s="19"/>
      <c r="M31" s="19"/>
      <c r="N31" s="30"/>
      <c r="O31" s="375"/>
      <c r="P31" s="364"/>
      <c r="Q31" s="20"/>
      <c r="R31" s="20"/>
      <c r="S31" s="27"/>
      <c r="T31" s="20"/>
      <c r="U31" s="20"/>
      <c r="V31" s="20"/>
      <c r="W31" s="21"/>
      <c r="X31" s="20"/>
      <c r="Y31" s="20"/>
    </row>
    <row r="32" spans="1:25" s="3" customFormat="1">
      <c r="A32" s="11" t="s">
        <v>275</v>
      </c>
      <c r="B32" s="90"/>
      <c r="C32" s="18"/>
      <c r="D32" s="22"/>
      <c r="E32" s="19"/>
      <c r="F32" s="19"/>
      <c r="G32" s="19"/>
      <c r="H32" s="19"/>
      <c r="I32" s="19"/>
      <c r="J32" s="19"/>
      <c r="K32" s="19"/>
      <c r="L32" s="19"/>
      <c r="M32" s="19"/>
      <c r="N32" s="30"/>
      <c r="O32" s="87"/>
      <c r="P32" s="363"/>
      <c r="Q32" s="20"/>
      <c r="R32" s="20"/>
      <c r="S32" s="27"/>
      <c r="T32" s="20"/>
      <c r="U32" s="20"/>
      <c r="V32" s="20"/>
      <c r="W32" s="21"/>
      <c r="X32" s="20"/>
      <c r="Y32" s="20"/>
    </row>
    <row r="33" spans="1:25" s="3" customFormat="1">
      <c r="A33" s="100" t="s">
        <v>120</v>
      </c>
      <c r="B33" s="29" t="s">
        <v>27</v>
      </c>
      <c r="C33" s="22">
        <v>358</v>
      </c>
      <c r="D33" s="22">
        <v>0.4</v>
      </c>
      <c r="E33" s="108">
        <v>0.27937428148624566</v>
      </c>
      <c r="F33" s="397">
        <f>IF($C33&lt;11,'Offroad Tiers EF (2)'!$AN$4*$C33*$D33,IF($C33&lt;25,'Offroad Tiers EF (2)'!$AN$5*$C33*$D33,IF($C33&lt;50,'Offroad Tiers EF (2)'!$AN$6*$C33*$D33,IF($C33&lt;75,'Offroad Tiers EF (2)'!$AN$7*$C33*$D33,IF($C33&lt;100,'Offroad Tiers EF (2)'!$AN$8*$C33*$D33,IF($C33&lt;175,'Offroad Tiers EF (2)'!$AN$9*$C33*$D33,IF($C33&lt;300,'Offroad Tiers EF (2)'!$AN$10*$C33*$D33,IF($C33&lt;600,'Offroad Tiers EF (2)'!$AN$11*$C33*$D33,"!"))))))))</f>
        <v>0.82081128747795418</v>
      </c>
      <c r="G33" s="397">
        <f>IF($C33&lt;11,'Offroad Tiers EF (2)'!$AM$4*$C33*$D33,IF($C33&lt;25,'Offroad Tiers EF (2)'!$AM$5*$C33*$D33,IF($C33&lt;50,'Offroad Tiers EF (2)'!$AM$6*$C33*$D33,IF($C33&lt;75,'Offroad Tiers EF (2)'!$AM$7*$C33*$D33,IF($C33&lt;100,'Offroad Tiers EF (2)'!$AM$8*$C33*$D33,IF($C33&lt;175,'Offroad Tiers EF (2)'!$AM$9*$C33*$D33,IF($C33&lt;300,'Offroad Tiers EF (2)'!$AM$10*$C33*$D33,IF($C33&lt;600,'Offroad Tiers EF (2)'!$AM$11*$C33*$D33,"!"))))))))</f>
        <v>1.2776243386243384</v>
      </c>
      <c r="H33" s="108">
        <v>2.5998088533883764E-3</v>
      </c>
      <c r="I33" s="397">
        <f>IF($C33&lt;11,'Offroad Tiers EF (2)'!$AO$4*$C33*$D33,IF($C33&lt;25,'Offroad Tiers EF (2)'!$AO$5*$C33*$D33,IF($C33&lt;50,'Offroad Tiers EF (2)'!$AO$6*$C33*$D33,IF($C33&lt;75,'Offroad Tiers EF (2)'!$AO$7*$C33*$D33,IF($C33&lt;100,'Offroad Tiers EF (2)'!$AO$8*$C33*$D33,IF($C33&lt;175,'Offroad Tiers EF (2)'!$AO$9*$C33*$D33,IF($C33&lt;300,'Offroad Tiers EF (2)'!$AO$10*$C33*$D33,IF($C33&lt;600,'Offroad Tiers EF (2)'!$AO$11*$C33*$D33,"!"))))))))</f>
        <v>4.735449735449735E-2</v>
      </c>
      <c r="J33" s="100">
        <f t="shared" ref="J33:J36" si="14">0.89*I33</f>
        <v>4.2145502645502646E-2</v>
      </c>
      <c r="K33" s="108">
        <v>264.8725636721183</v>
      </c>
      <c r="L33" s="108">
        <v>2.6451144743432839E-2</v>
      </c>
      <c r="M33" s="102">
        <f t="shared" ref="M33:M36" si="15">0.095*G33</f>
        <v>0.12137431216931216</v>
      </c>
      <c r="N33" s="88">
        <v>1</v>
      </c>
      <c r="O33" s="88">
        <v>8</v>
      </c>
      <c r="P33" s="367">
        <v>30</v>
      </c>
      <c r="Q33" s="26">
        <f t="shared" ref="Q33:Y37" si="16">(E33*$N33*$O33)</f>
        <v>2.2349942518899653</v>
      </c>
      <c r="R33" s="26">
        <f t="shared" si="16"/>
        <v>6.5664902998236334</v>
      </c>
      <c r="S33" s="26">
        <f t="shared" si="16"/>
        <v>10.220994708994708</v>
      </c>
      <c r="T33" s="26">
        <f t="shared" si="16"/>
        <v>2.0798470827107011E-2</v>
      </c>
      <c r="U33" s="26">
        <f t="shared" si="16"/>
        <v>0.3788359788359788</v>
      </c>
      <c r="V33" s="26">
        <f t="shared" si="16"/>
        <v>0.33716402116402117</v>
      </c>
      <c r="W33" s="26">
        <f t="shared" si="16"/>
        <v>2118.9805093769464</v>
      </c>
      <c r="X33" s="26">
        <f t="shared" si="16"/>
        <v>0.21160915794746271</v>
      </c>
      <c r="Y33" s="26">
        <f t="shared" si="16"/>
        <v>0.97099449735449728</v>
      </c>
    </row>
    <row r="34" spans="1:25" s="3" customFormat="1">
      <c r="A34" s="100" t="s">
        <v>121</v>
      </c>
      <c r="B34" s="29" t="s">
        <v>27</v>
      </c>
      <c r="C34" s="22">
        <v>162</v>
      </c>
      <c r="D34" s="22">
        <v>0.41</v>
      </c>
      <c r="E34" s="108">
        <v>0.12153885438656534</v>
      </c>
      <c r="F34" s="397">
        <f>IF($C34&lt;11,'Offroad Tiers EF (2)'!$AN$4*$C34*$D34,IF($C34&lt;25,'Offroad Tiers EF (2)'!$AN$5*$C34*$D34,IF($C34&lt;50,'Offroad Tiers EF (2)'!$AN$6*$C34*$D34,IF($C34&lt;75,'Offroad Tiers EF (2)'!$AN$7*$C34*$D34,IF($C34&lt;100,'Offroad Tiers EF (2)'!$AN$8*$C34*$D34,IF($C34&lt;175,'Offroad Tiers EF (2)'!$AN$9*$C34*$D34,IF($C34&lt;300,'Offroad Tiers EF (2)'!$AN$10*$C34*$D34,IF($C34&lt;600,'Offroad Tiers EF (2)'!$AN$11*$C34*$D34,"!"))))))))</f>
        <v>0.5417857142857142</v>
      </c>
      <c r="G34" s="397">
        <f>IF($C34&lt;11,'Offroad Tiers EF (2)'!$AM$4*$C34*$D34,IF($C34&lt;25,'Offroad Tiers EF (2)'!$AM$5*$C34*$D34,IF($C34&lt;50,'Offroad Tiers EF (2)'!$AM$6*$C34*$D34,IF($C34&lt;75,'Offroad Tiers EF (2)'!$AM$7*$C34*$D34,IF($C34&lt;100,'Offroad Tiers EF (2)'!$AM$8*$C34*$D34,IF($C34&lt;175,'Offroad Tiers EF (2)'!$AM$9*$C34*$D34,IF($C34&lt;300,'Offroad Tiers EF (2)'!$AM$10*$C34*$D34,IF($C34&lt;600,'Offroad Tiers EF (2)'!$AM$11*$C34*$D34,"!"))))))))</f>
        <v>0.60233392857142853</v>
      </c>
      <c r="H34" s="108">
        <v>1.3943296443626662E-3</v>
      </c>
      <c r="I34" s="397">
        <f>IF($C34&lt;11,'Offroad Tiers EF (2)'!$AO$4*$C34*$D34,IF($C34&lt;25,'Offroad Tiers EF (2)'!$AO$5*$C34*$D34,IF($C34&lt;50,'Offroad Tiers EF (2)'!$AO$6*$C34*$D34,IF($C34&lt;75,'Offroad Tiers EF (2)'!$AO$7*$C34*$D34,IF($C34&lt;100,'Offroad Tiers EF (2)'!$AO$8*$C34*$D34,IF($C34&lt;175,'Offroad Tiers EF (2)'!$AO$9*$C34*$D34,IF($C34&lt;300,'Offroad Tiers EF (2)'!$AO$10*$C34*$D34,IF($C34&lt;600,'Offroad Tiers EF (2)'!$AO$11*$C34*$D34,"!"))))))))</f>
        <v>3.2214285714285709E-2</v>
      </c>
      <c r="J34" s="100">
        <f t="shared" si="14"/>
        <v>2.8670714285714282E-2</v>
      </c>
      <c r="K34" s="365">
        <v>123.92149503712022</v>
      </c>
      <c r="L34" s="23">
        <v>1.1720218383966691E-2</v>
      </c>
      <c r="M34" s="102">
        <f t="shared" si="15"/>
        <v>5.7221723214285709E-2</v>
      </c>
      <c r="N34" s="88">
        <v>1</v>
      </c>
      <c r="O34" s="88">
        <v>8</v>
      </c>
      <c r="P34" s="367">
        <v>30</v>
      </c>
      <c r="Q34" s="26">
        <f t="shared" si="16"/>
        <v>0.9723108350925227</v>
      </c>
      <c r="R34" s="26">
        <f t="shared" si="16"/>
        <v>4.3342857142857136</v>
      </c>
      <c r="S34" s="26">
        <f t="shared" si="16"/>
        <v>4.8186714285714283</v>
      </c>
      <c r="T34" s="26">
        <f t="shared" si="16"/>
        <v>1.115463715490133E-2</v>
      </c>
      <c r="U34" s="26">
        <f t="shared" si="16"/>
        <v>0.25771428571428567</v>
      </c>
      <c r="V34" s="26">
        <f t="shared" si="16"/>
        <v>0.22936571428571426</v>
      </c>
      <c r="W34" s="26">
        <f t="shared" si="16"/>
        <v>991.37196029696179</v>
      </c>
      <c r="X34" s="26">
        <f t="shared" si="16"/>
        <v>9.3761747071733528E-2</v>
      </c>
      <c r="Y34" s="26">
        <f t="shared" si="16"/>
        <v>0.45777378571428567</v>
      </c>
    </row>
    <row r="35" spans="1:25" s="3" customFormat="1">
      <c r="A35" s="100" t="s">
        <v>124</v>
      </c>
      <c r="B35" s="29" t="s">
        <v>27</v>
      </c>
      <c r="C35" s="97">
        <v>87</v>
      </c>
      <c r="D35" s="22">
        <v>0.37</v>
      </c>
      <c r="E35" s="102">
        <v>7.7253202863558038E-2</v>
      </c>
      <c r="F35" s="397">
        <f>IF($C35&lt;11,'Offroad Tiers EF (2)'!$AN$4*$C35*$D35,IF($C35&lt;25,'Offroad Tiers EF (2)'!$AN$5*$C35*$D35,IF($C35&lt;50,'Offroad Tiers EF (2)'!$AN$6*$C35*$D35,IF($C35&lt;75,'Offroad Tiers EF (2)'!$AN$7*$C35*$D35,IF($C35&lt;100,'Offroad Tiers EF (2)'!$AN$8*$C35*$D35,IF($C35&lt;175,'Offroad Tiers EF (2)'!$AN$9*$C35*$D35,IF($C35&lt;300,'Offroad Tiers EF (2)'!$AN$10*$C35*$D35,IF($C35&lt;600,'Offroad Tiers EF (2)'!$AN$11*$C35*$D35,"!"))))))))</f>
        <v>0.26257275132275132</v>
      </c>
      <c r="G35" s="397">
        <f>IF($C35&lt;11,'Offroad Tiers EF (2)'!$AM$4*$C35*$D35,IF($C35&lt;25,'Offroad Tiers EF (2)'!$AM$5*$C35*$D35,IF($C35&lt;50,'Offroad Tiers EF (2)'!$AM$6*$C35*$D35,IF($C35&lt;75,'Offroad Tiers EF (2)'!$AM$7*$C35*$D35,IF($C35&lt;100,'Offroad Tiers EF (2)'!$AM$8*$C35*$D35,IF($C35&lt;175,'Offroad Tiers EF (2)'!$AM$9*$C35*$D35,IF($C35&lt;300,'Offroad Tiers EF (2)'!$AM$10*$C35*$D35,IF($C35&lt;600,'Offroad Tiers EF (2)'!$AM$11*$C35*$D35,"!"))))))))</f>
        <v>0.33506412037037031</v>
      </c>
      <c r="H35" s="102">
        <v>6.910856115004858E-4</v>
      </c>
      <c r="I35" s="397">
        <f>IF($C35&lt;11,'Offroad Tiers EF (2)'!$AO$4*$C35*$D35,IF($C35&lt;25,'Offroad Tiers EF (2)'!$AO$5*$C35*$D35,IF($C35&lt;50,'Offroad Tiers EF (2)'!$AO$6*$C35*$D35,IF($C35&lt;75,'Offroad Tiers EF (2)'!$AO$7*$C35*$D35,IF($C35&lt;100,'Offroad Tiers EF (2)'!$AO$8*$C35*$D35,IF($C35&lt;175,'Offroad Tiers EF (2)'!$AO$9*$C35*$D35,IF($C35&lt;300,'Offroad Tiers EF (2)'!$AO$10*$C35*$D35,IF($C35&lt;600,'Offroad Tiers EF (2)'!$AO$11*$C35*$D35,"!"))))))))</f>
        <v>2.1289682539682539E-2</v>
      </c>
      <c r="J35" s="100">
        <f t="shared" si="14"/>
        <v>1.894781746031746E-2</v>
      </c>
      <c r="K35" s="103">
        <v>58.913505111712794</v>
      </c>
      <c r="L35" s="102">
        <v>7.5344751889799754E-3</v>
      </c>
      <c r="M35" s="102">
        <f t="shared" si="15"/>
        <v>3.1831091435185178E-2</v>
      </c>
      <c r="N35" s="88">
        <v>1</v>
      </c>
      <c r="O35" s="88">
        <v>8</v>
      </c>
      <c r="P35" s="367">
        <v>30</v>
      </c>
      <c r="Q35" s="26">
        <f t="shared" si="16"/>
        <v>0.6180256229084643</v>
      </c>
      <c r="R35" s="26">
        <f t="shared" si="16"/>
        <v>2.1005820105820106</v>
      </c>
      <c r="S35" s="26">
        <f t="shared" si="16"/>
        <v>2.6805129629629625</v>
      </c>
      <c r="T35" s="26">
        <f t="shared" si="16"/>
        <v>5.5286848920038864E-3</v>
      </c>
      <c r="U35" s="26">
        <f t="shared" si="16"/>
        <v>0.17031746031746031</v>
      </c>
      <c r="V35" s="26">
        <f t="shared" si="16"/>
        <v>0.15158253968253968</v>
      </c>
      <c r="W35" s="26">
        <f t="shared" si="16"/>
        <v>471.30804089370235</v>
      </c>
      <c r="X35" s="26">
        <f t="shared" si="16"/>
        <v>6.0275801511839804E-2</v>
      </c>
      <c r="Y35" s="26">
        <f t="shared" si="16"/>
        <v>0.25464873148148143</v>
      </c>
    </row>
    <row r="36" spans="1:25" s="3" customFormat="1">
      <c r="A36" s="100" t="s">
        <v>126</v>
      </c>
      <c r="B36" s="29" t="s">
        <v>27</v>
      </c>
      <c r="C36" s="22">
        <v>175</v>
      </c>
      <c r="D36" s="22"/>
      <c r="E36" s="102">
        <v>0.11792220738547983</v>
      </c>
      <c r="F36" s="102">
        <v>0.36512193352152528</v>
      </c>
      <c r="G36" s="102">
        <v>0.86781464282266541</v>
      </c>
      <c r="H36" s="102">
        <v>1.8739217498104396E-3</v>
      </c>
      <c r="I36" s="102">
        <v>2.9041712295589866E-2</v>
      </c>
      <c r="J36" s="100">
        <f t="shared" si="14"/>
        <v>2.5847123943074982E-2</v>
      </c>
      <c r="K36" s="103">
        <v>166.54541562452522</v>
      </c>
      <c r="L36" s="102">
        <v>1.063993297769634E-2</v>
      </c>
      <c r="M36" s="104">
        <f t="shared" si="15"/>
        <v>8.2442391068153209E-2</v>
      </c>
      <c r="N36" s="88">
        <v>1</v>
      </c>
      <c r="O36" s="88">
        <v>8</v>
      </c>
      <c r="P36" s="367">
        <v>30</v>
      </c>
      <c r="Q36" s="26">
        <f t="shared" si="16"/>
        <v>0.94337765908383864</v>
      </c>
      <c r="R36" s="26">
        <f t="shared" si="16"/>
        <v>2.9209754681722022</v>
      </c>
      <c r="S36" s="26">
        <f t="shared" si="16"/>
        <v>6.9425171425813232</v>
      </c>
      <c r="T36" s="26">
        <f t="shared" si="16"/>
        <v>1.4991373998483517E-2</v>
      </c>
      <c r="U36" s="26">
        <f t="shared" si="16"/>
        <v>0.23233369836471893</v>
      </c>
      <c r="V36" s="26">
        <f t="shared" si="16"/>
        <v>0.20677699154459986</v>
      </c>
      <c r="W36" s="26">
        <f t="shared" si="16"/>
        <v>1332.3633249962018</v>
      </c>
      <c r="X36" s="26">
        <f t="shared" si="16"/>
        <v>8.5119463821570721E-2</v>
      </c>
      <c r="Y36" s="26">
        <f t="shared" si="16"/>
        <v>0.65953912854522567</v>
      </c>
    </row>
    <row r="37" spans="1:25" s="3" customFormat="1">
      <c r="A37" s="24" t="s">
        <v>280</v>
      </c>
      <c r="B37" s="29" t="s">
        <v>27</v>
      </c>
      <c r="C37" s="22">
        <v>87</v>
      </c>
      <c r="D37" s="22">
        <v>0.36</v>
      </c>
      <c r="E37" s="108">
        <v>5.2437519504869065E-2</v>
      </c>
      <c r="F37" s="397">
        <f>IF($C37&lt;11,'Offroad Tiers EF (2)'!$AN$4*$C37*$D37,IF($C37&lt;25,'Offroad Tiers EF (2)'!$AN$5*$C37*$D37,IF($C37&lt;50,'Offroad Tiers EF (2)'!$AN$6*$C37*$D37,IF($C37&lt;75,'Offroad Tiers EF (2)'!$AN$7*$C37*$D37,IF($C37&lt;100,'Offroad Tiers EF (2)'!$AN$8*$C37*$D37,IF($C37&lt;175,'Offroad Tiers EF (2)'!$AN$9*$C37*$D37,IF($C37&lt;300,'Offroad Tiers EF (2)'!$AN$10*$C37*$D37,IF($C37&lt;600,'Offroad Tiers EF (2)'!$AN$11*$C37*$D37,"!"))))))))</f>
        <v>0.25547619047619047</v>
      </c>
      <c r="G37" s="397">
        <f>IF($C37&lt;11,'Offroad Tiers EF (2)'!$AM$4*$C37*$D37,IF($C37&lt;25,'Offroad Tiers EF (2)'!$AM$5*$C37*$D37,IF($C37&lt;50,'Offroad Tiers EF (2)'!$AM$6*$C37*$D37,IF($C37&lt;75,'Offroad Tiers EF (2)'!$AM$7*$C37*$D37,IF($C37&lt;100,'Offroad Tiers EF (2)'!$AM$8*$C37*$D37,IF($C37&lt;175,'Offroad Tiers EF (2)'!$AM$9*$C37*$D37,IF($C37&lt;300,'Offroad Tiers EF (2)'!$AM$10*$C37*$D37,IF($C37&lt;600,'Offroad Tiers EF (2)'!$AM$11*$C37*$D37,"!"))))))))</f>
        <v>0.32600833333333323</v>
      </c>
      <c r="H37" s="108">
        <v>6.0679618797898508E-4</v>
      </c>
      <c r="I37" s="397">
        <f>IF($C37&lt;11,'Offroad Tiers EF (2)'!$AO$4*$C37*$D37,IF($C37&lt;25,'Offroad Tiers EF (2)'!$AO$5*$C37*$D37,IF($C37&lt;50,'Offroad Tiers EF (2)'!$AO$6*$C37*$D37,IF($C37&lt;75,'Offroad Tiers EF (2)'!$AO$7*$C37*$D37,IF($C37&lt;100,'Offroad Tiers EF (2)'!$AO$8*$C37*$D37,IF($C37&lt;175,'Offroad Tiers EF (2)'!$AO$9*$C37*$D37,IF($C37&lt;300,'Offroad Tiers EF (2)'!$AO$10*$C37*$D37,IF($C37&lt;600,'Offroad Tiers EF (2)'!$AO$11*$C37*$D37,"!"))))))))</f>
        <v>2.0714285714285713E-2</v>
      </c>
      <c r="J37" s="100">
        <v>1.8435714285714284E-2</v>
      </c>
      <c r="K37" s="108">
        <v>51.728016924248784</v>
      </c>
      <c r="L37" s="108">
        <v>5.2037096026823848E-3</v>
      </c>
      <c r="M37" s="102">
        <v>3.0970791666666657E-2</v>
      </c>
      <c r="N37" s="98">
        <v>1</v>
      </c>
      <c r="O37" s="87">
        <v>8</v>
      </c>
      <c r="P37" s="363">
        <v>15</v>
      </c>
      <c r="Q37" s="34">
        <f t="shared" si="16"/>
        <v>0.41950015603895252</v>
      </c>
      <c r="R37" s="26">
        <f t="shared" si="16"/>
        <v>2.0438095238095237</v>
      </c>
      <c r="S37" s="26">
        <f t="shared" si="16"/>
        <v>2.6080666666666659</v>
      </c>
      <c r="T37" s="26">
        <f t="shared" si="16"/>
        <v>4.8543695038318806E-3</v>
      </c>
      <c r="U37" s="26">
        <f t="shared" si="16"/>
        <v>0.1657142857142857</v>
      </c>
      <c r="V37" s="26">
        <f t="shared" si="16"/>
        <v>0.14748571428571428</v>
      </c>
      <c r="W37" s="26">
        <f t="shared" si="16"/>
        <v>413.82413539399028</v>
      </c>
      <c r="X37" s="26">
        <f t="shared" si="16"/>
        <v>4.1629676821459079E-2</v>
      </c>
      <c r="Y37" s="26">
        <f t="shared" si="16"/>
        <v>0.24776633333333326</v>
      </c>
    </row>
    <row r="38" spans="1:25" s="3" customFormat="1">
      <c r="A38" s="17" t="s">
        <v>28</v>
      </c>
      <c r="B38" s="29"/>
      <c r="C38" s="22"/>
      <c r="D38" s="22"/>
      <c r="E38" s="23"/>
      <c r="F38" s="23"/>
      <c r="G38" s="23"/>
      <c r="H38" s="23"/>
      <c r="I38" s="23"/>
      <c r="J38" s="100"/>
      <c r="K38" s="365"/>
      <c r="L38" s="23"/>
      <c r="M38" s="102"/>
      <c r="N38" s="30"/>
      <c r="O38" s="98"/>
      <c r="P38" s="363"/>
      <c r="Q38" s="101">
        <f t="shared" ref="Q38:Y38" si="17">SUM(Q32:Q37)</f>
        <v>5.1882085250137431</v>
      </c>
      <c r="R38" s="101">
        <f t="shared" si="17"/>
        <v>17.966143016673083</v>
      </c>
      <c r="S38" s="101">
        <f t="shared" si="17"/>
        <v>27.270762909777087</v>
      </c>
      <c r="T38" s="101">
        <f t="shared" si="17"/>
        <v>5.7327536376327627E-2</v>
      </c>
      <c r="U38" s="101">
        <f t="shared" si="17"/>
        <v>1.2049157089467295</v>
      </c>
      <c r="V38" s="101">
        <f t="shared" si="17"/>
        <v>1.0723749809625891</v>
      </c>
      <c r="W38" s="101">
        <f t="shared" si="17"/>
        <v>5327.8479709578023</v>
      </c>
      <c r="X38" s="101">
        <f t="shared" si="17"/>
        <v>0.49239584717406581</v>
      </c>
      <c r="Y38" s="101">
        <f t="shared" si="17"/>
        <v>2.5907224764288235</v>
      </c>
    </row>
    <row r="39" spans="1:25">
      <c r="A39" s="17" t="s">
        <v>365</v>
      </c>
      <c r="B39" s="571"/>
      <c r="C39" s="18"/>
      <c r="D39" s="22"/>
      <c r="E39" s="19"/>
      <c r="F39" s="19"/>
      <c r="G39" s="19"/>
      <c r="H39" s="19"/>
      <c r="I39" s="19"/>
      <c r="J39" s="19"/>
      <c r="K39" s="19"/>
      <c r="L39" s="19"/>
      <c r="M39" s="19"/>
      <c r="N39" s="30"/>
      <c r="O39" s="30"/>
      <c r="P39" s="364"/>
      <c r="Q39" s="20">
        <f t="shared" ref="Q39:Y39" si="18">Q11+Q21+Q30+Q38</f>
        <v>24.127953859042066</v>
      </c>
      <c r="R39" s="20">
        <f t="shared" si="18"/>
        <v>84.658470333383661</v>
      </c>
      <c r="S39" s="20">
        <f t="shared" si="18"/>
        <v>134.92512825668803</v>
      </c>
      <c r="T39" s="20">
        <f t="shared" si="18"/>
        <v>0.30017543057986279</v>
      </c>
      <c r="U39" s="20">
        <f t="shared" si="18"/>
        <v>5.7131091582158255</v>
      </c>
      <c r="V39" s="20">
        <f t="shared" si="18"/>
        <v>5.0846671508120842</v>
      </c>
      <c r="W39" s="20">
        <f t="shared" si="18"/>
        <v>28439.737229808899</v>
      </c>
      <c r="X39" s="20">
        <f t="shared" si="18"/>
        <v>2.290517886233316</v>
      </c>
      <c r="Y39" s="20">
        <f t="shared" si="18"/>
        <v>12.817887184385361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34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558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314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8</v>
      </c>
      <c r="P8" s="88">
        <v>125</v>
      </c>
      <c r="Q8" s="34">
        <f t="shared" ref="Q8:Y10" si="2">(E8*$N8*$O8)</f>
        <v>0.49946184642775621</v>
      </c>
      <c r="R8" s="26">
        <f t="shared" si="2"/>
        <v>2.4431746031746027</v>
      </c>
      <c r="S8" s="26">
        <f t="shared" si="2"/>
        <v>3.1176888888888881</v>
      </c>
      <c r="T8" s="26">
        <f t="shared" si="2"/>
        <v>4.4060015200662857E-3</v>
      </c>
      <c r="U8" s="26">
        <f t="shared" si="2"/>
        <v>0.19809523809523807</v>
      </c>
      <c r="V8" s="26">
        <f t="shared" si="2"/>
        <v>0.17630476190476188</v>
      </c>
      <c r="W8" s="26">
        <f t="shared" si="2"/>
        <v>375.60183859341714</v>
      </c>
      <c r="X8" s="26">
        <f t="shared" si="2"/>
        <v>5.4697471816927752E-2</v>
      </c>
      <c r="Y8" s="26">
        <f t="shared" si="2"/>
        <v>0.29618044444444436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9</v>
      </c>
      <c r="P9" s="363">
        <v>125</v>
      </c>
      <c r="Q9" s="34">
        <f t="shared" si="2"/>
        <v>1.0612998664693185</v>
      </c>
      <c r="R9" s="26">
        <f t="shared" si="2"/>
        <v>3.2860974016937274</v>
      </c>
      <c r="S9" s="26">
        <f t="shared" si="2"/>
        <v>7.8103317854039886</v>
      </c>
      <c r="T9" s="26">
        <f t="shared" si="2"/>
        <v>1.6865295748293957E-2</v>
      </c>
      <c r="U9" s="26">
        <f t="shared" si="2"/>
        <v>0.26137541066030878</v>
      </c>
      <c r="V9" s="26">
        <f t="shared" si="2"/>
        <v>0.23262411548767484</v>
      </c>
      <c r="W9" s="26">
        <f t="shared" si="2"/>
        <v>1498.908740620727</v>
      </c>
      <c r="X9" s="26">
        <f t="shared" si="2"/>
        <v>9.5759396799267066E-2</v>
      </c>
      <c r="Y9" s="26">
        <f t="shared" si="2"/>
        <v>0.74198151961337888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3</v>
      </c>
      <c r="P10" s="363">
        <v>125</v>
      </c>
      <c r="Q10" s="34">
        <f t="shared" si="2"/>
        <v>3.9051121312432671E-2</v>
      </c>
      <c r="R10" s="26">
        <f t="shared" si="2"/>
        <v>0.1468253968253968</v>
      </c>
      <c r="S10" s="26">
        <f t="shared" si="2"/>
        <v>0.13018518518518515</v>
      </c>
      <c r="T10" s="26">
        <f t="shared" si="2"/>
        <v>4.7652059865273245E-4</v>
      </c>
      <c r="U10" s="26">
        <f t="shared" si="2"/>
        <v>1.4682539682539681E-2</v>
      </c>
      <c r="V10" s="26">
        <f t="shared" si="2"/>
        <v>1.3067460317460314E-2</v>
      </c>
      <c r="W10" s="26">
        <f t="shared" si="2"/>
        <v>30.622980859093083</v>
      </c>
      <c r="X10" s="26">
        <f t="shared" si="2"/>
        <v>3.8388136396804665E-3</v>
      </c>
      <c r="Y10" s="26">
        <f t="shared" si="2"/>
        <v>1.236759259259259E-2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1.5998128342095075</v>
      </c>
      <c r="R11" s="101">
        <f t="shared" ref="R11:Y11" si="3">SUM(R8:R10)</f>
        <v>5.8760974016937269</v>
      </c>
      <c r="S11" s="101">
        <f t="shared" si="3"/>
        <v>11.058205859478063</v>
      </c>
      <c r="T11" s="101">
        <f t="shared" si="3"/>
        <v>2.1747817867012974E-2</v>
      </c>
      <c r="U11" s="101">
        <f t="shared" si="3"/>
        <v>0.47415318843808657</v>
      </c>
      <c r="V11" s="101">
        <f t="shared" si="3"/>
        <v>0.42199633770989703</v>
      </c>
      <c r="W11" s="101">
        <f t="shared" si="3"/>
        <v>1905.1335600732373</v>
      </c>
      <c r="X11" s="101">
        <f t="shared" si="3"/>
        <v>0.15429568225587528</v>
      </c>
      <c r="Y11" s="101">
        <f t="shared" si="3"/>
        <v>1.0505295566504158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87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7" t="s">
        <v>315</v>
      </c>
      <c r="B13" s="579"/>
      <c r="C13" s="18"/>
      <c r="D13" s="18"/>
      <c r="E13" s="19"/>
      <c r="F13" s="19"/>
      <c r="G13" s="19"/>
      <c r="H13" s="19"/>
      <c r="I13" s="19"/>
      <c r="J13" s="19"/>
      <c r="K13" s="19"/>
      <c r="L13" s="19"/>
      <c r="M13" s="19"/>
      <c r="N13" s="30"/>
      <c r="O13" s="30"/>
      <c r="P13" s="30"/>
      <c r="Q13" s="20"/>
      <c r="R13" s="20"/>
      <c r="S13" s="20"/>
      <c r="T13" s="20"/>
      <c r="U13" s="20"/>
      <c r="V13" s="20"/>
      <c r="W13" s="21"/>
      <c r="X13" s="20"/>
      <c r="Y13" s="20"/>
    </row>
    <row r="14" spans="1:25" s="3" customFormat="1">
      <c r="A14" s="24" t="s">
        <v>119</v>
      </c>
      <c r="B14" s="90" t="s">
        <v>27</v>
      </c>
      <c r="C14" s="22">
        <v>78</v>
      </c>
      <c r="D14" s="22">
        <f>VLOOKUP(A14,'Offroad Tiers LF'!$B$6:$C$40,2,FALSE)</f>
        <v>0.48</v>
      </c>
      <c r="E14" s="102">
        <v>6.2432730803469526E-2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0.30539682539682533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0.38971111111111101</v>
      </c>
      <c r="H14" s="102">
        <v>5.5075019000828571E-4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2.4761904761904759E-2</v>
      </c>
      <c r="J14" s="100">
        <f t="shared" ref="J14:J16" si="4">0.89*I14</f>
        <v>2.2038095238095235E-2</v>
      </c>
      <c r="K14" s="103">
        <v>46.950229824177143</v>
      </c>
      <c r="L14" s="102">
        <v>6.837183977115969E-3</v>
      </c>
      <c r="M14" s="104">
        <f t="shared" ref="M14:M16" si="5">0.095*G14</f>
        <v>3.7022555555555545E-2</v>
      </c>
      <c r="N14" s="98">
        <v>1</v>
      </c>
      <c r="O14" s="98">
        <v>6</v>
      </c>
      <c r="P14" s="88">
        <v>125</v>
      </c>
      <c r="Q14" s="34">
        <f t="shared" ref="Q14:Y16" si="6">(E14*$N14*$O14)</f>
        <v>0.37459638482081714</v>
      </c>
      <c r="R14" s="26">
        <f t="shared" si="6"/>
        <v>1.832380952380952</v>
      </c>
      <c r="S14" s="26">
        <f t="shared" si="6"/>
        <v>2.3382666666666658</v>
      </c>
      <c r="T14" s="26">
        <f t="shared" si="6"/>
        <v>3.3045011400497145E-3</v>
      </c>
      <c r="U14" s="26">
        <f t="shared" si="6"/>
        <v>0.14857142857142855</v>
      </c>
      <c r="V14" s="26">
        <f t="shared" si="6"/>
        <v>0.13222857142857142</v>
      </c>
      <c r="W14" s="26">
        <f t="shared" si="6"/>
        <v>281.70137894506286</v>
      </c>
      <c r="X14" s="26">
        <f t="shared" si="6"/>
        <v>4.1023103862695816E-2</v>
      </c>
      <c r="Y14" s="26">
        <f t="shared" si="6"/>
        <v>0.22213533333333327</v>
      </c>
    </row>
    <row r="15" spans="1:25" s="3" customFormat="1">
      <c r="A15" s="24" t="s">
        <v>305</v>
      </c>
      <c r="B15" s="29" t="s">
        <v>27</v>
      </c>
      <c r="C15" s="22">
        <v>175</v>
      </c>
      <c r="D15" s="22"/>
      <c r="E15" s="102">
        <v>0.11792220738547983</v>
      </c>
      <c r="F15" s="102">
        <v>0.36512193352152528</v>
      </c>
      <c r="G15" s="102">
        <v>0.86781464282266541</v>
      </c>
      <c r="H15" s="102">
        <v>1.8739217498104396E-3</v>
      </c>
      <c r="I15" s="102">
        <v>2.9041712295589866E-2</v>
      </c>
      <c r="J15" s="100">
        <f t="shared" si="4"/>
        <v>2.5847123943074982E-2</v>
      </c>
      <c r="K15" s="103">
        <v>166.54541562452522</v>
      </c>
      <c r="L15" s="102">
        <v>1.063993297769634E-2</v>
      </c>
      <c r="M15" s="104">
        <f t="shared" si="5"/>
        <v>8.2442391068153209E-2</v>
      </c>
      <c r="N15" s="98">
        <v>1</v>
      </c>
      <c r="O15" s="87">
        <v>2</v>
      </c>
      <c r="P15" s="363">
        <v>125</v>
      </c>
      <c r="Q15" s="34">
        <f t="shared" si="6"/>
        <v>0.23584441477095966</v>
      </c>
      <c r="R15" s="26">
        <f t="shared" si="6"/>
        <v>0.73024386704305055</v>
      </c>
      <c r="S15" s="26">
        <f t="shared" si="6"/>
        <v>1.7356292856453308</v>
      </c>
      <c r="T15" s="26">
        <f t="shared" si="6"/>
        <v>3.7478434996208792E-3</v>
      </c>
      <c r="U15" s="26">
        <f t="shared" si="6"/>
        <v>5.8083424591179732E-2</v>
      </c>
      <c r="V15" s="26">
        <f t="shared" si="6"/>
        <v>5.1694247886149965E-2</v>
      </c>
      <c r="W15" s="26">
        <f t="shared" si="6"/>
        <v>333.09083124905044</v>
      </c>
      <c r="X15" s="26">
        <f t="shared" si="6"/>
        <v>2.127986595539268E-2</v>
      </c>
      <c r="Y15" s="26">
        <f t="shared" si="6"/>
        <v>0.16488478213630642</v>
      </c>
    </row>
    <row r="16" spans="1:25" s="3" customFormat="1">
      <c r="A16" s="24" t="s">
        <v>368</v>
      </c>
      <c r="B16" s="29" t="s">
        <v>27</v>
      </c>
      <c r="C16" s="22">
        <v>5</v>
      </c>
      <c r="D16" s="22">
        <v>0.74</v>
      </c>
      <c r="E16" s="102">
        <v>1.3017040437477556E-2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4.8941798941798939E-2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4.3395061728395051E-2</v>
      </c>
      <c r="H16" s="102">
        <v>1.5884019955091081E-4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4.8941798941798936E-3</v>
      </c>
      <c r="J16" s="100">
        <f t="shared" si="4"/>
        <v>4.3558201058201051E-3</v>
      </c>
      <c r="K16" s="103">
        <v>10.20766028636436</v>
      </c>
      <c r="L16" s="102">
        <v>1.2796045465601556E-3</v>
      </c>
      <c r="M16" s="104">
        <f t="shared" si="5"/>
        <v>4.1225308641975296E-3</v>
      </c>
      <c r="N16" s="98">
        <v>1</v>
      </c>
      <c r="O16" s="87">
        <v>8</v>
      </c>
      <c r="P16" s="363">
        <v>125</v>
      </c>
      <c r="Q16" s="34">
        <f t="shared" si="6"/>
        <v>0.10413632349982045</v>
      </c>
      <c r="R16" s="26">
        <f t="shared" si="6"/>
        <v>0.39153439153439151</v>
      </c>
      <c r="S16" s="26">
        <f t="shared" si="6"/>
        <v>0.34716049382716041</v>
      </c>
      <c r="T16" s="26">
        <f t="shared" si="6"/>
        <v>1.2707215964072865E-3</v>
      </c>
      <c r="U16" s="26">
        <f t="shared" si="6"/>
        <v>3.9153439153439148E-2</v>
      </c>
      <c r="V16" s="26">
        <f t="shared" si="6"/>
        <v>3.4846560846560841E-2</v>
      </c>
      <c r="W16" s="26">
        <f t="shared" si="6"/>
        <v>81.661282290914883</v>
      </c>
      <c r="X16" s="26">
        <f t="shared" si="6"/>
        <v>1.0236836372481245E-2</v>
      </c>
      <c r="Y16" s="26">
        <f t="shared" si="6"/>
        <v>3.2980246913580237E-2</v>
      </c>
    </row>
    <row r="17" spans="1:25" s="3" customFormat="1">
      <c r="A17" s="17" t="s">
        <v>28</v>
      </c>
      <c r="B17" s="29"/>
      <c r="C17" s="22"/>
      <c r="D17" s="22"/>
      <c r="E17" s="108"/>
      <c r="F17" s="108"/>
      <c r="G17" s="108"/>
      <c r="H17" s="108"/>
      <c r="I17" s="108"/>
      <c r="J17" s="100"/>
      <c r="K17" s="365"/>
      <c r="L17" s="110"/>
      <c r="M17" s="102"/>
      <c r="N17" s="98"/>
      <c r="O17" s="87"/>
      <c r="P17" s="363"/>
      <c r="Q17" s="101">
        <f>SUM(Q14:Q16)</f>
        <v>0.71457712309159727</v>
      </c>
      <c r="R17" s="101">
        <f t="shared" ref="R17:Y17" si="7">SUM(R14:R16)</f>
        <v>2.9541592109583941</v>
      </c>
      <c r="S17" s="101">
        <f t="shared" si="7"/>
        <v>4.4210564461391568</v>
      </c>
      <c r="T17" s="101">
        <f t="shared" si="7"/>
        <v>8.32306623607788E-3</v>
      </c>
      <c r="U17" s="101">
        <f t="shared" si="7"/>
        <v>0.24580829231604745</v>
      </c>
      <c r="V17" s="101">
        <f t="shared" si="7"/>
        <v>0.21876938016128222</v>
      </c>
      <c r="W17" s="101">
        <f t="shared" si="7"/>
        <v>696.45349248502816</v>
      </c>
      <c r="X17" s="101">
        <f t="shared" si="7"/>
        <v>7.2539806190569739E-2</v>
      </c>
      <c r="Y17" s="101">
        <f t="shared" si="7"/>
        <v>0.42000036238321992</v>
      </c>
    </row>
    <row r="18" spans="1:25" s="3" customFormat="1">
      <c r="A18" s="24"/>
      <c r="B18" s="29"/>
      <c r="C18" s="22"/>
      <c r="D18" s="22"/>
      <c r="E18" s="108"/>
      <c r="F18" s="108"/>
      <c r="G18" s="108"/>
      <c r="H18" s="108"/>
      <c r="I18" s="108"/>
      <c r="J18" s="100"/>
      <c r="K18" s="365"/>
      <c r="L18" s="110"/>
      <c r="M18" s="102"/>
      <c r="N18" s="98"/>
      <c r="O18" s="98"/>
      <c r="P18" s="363"/>
      <c r="Q18" s="34"/>
      <c r="R18" s="26"/>
      <c r="S18" s="26"/>
      <c r="T18" s="26"/>
      <c r="U18" s="26"/>
      <c r="V18" s="26"/>
      <c r="W18" s="26"/>
      <c r="X18" s="26"/>
      <c r="Y18" s="26"/>
    </row>
    <row r="19" spans="1:25" s="3" customFormat="1">
      <c r="A19" s="17" t="s">
        <v>281</v>
      </c>
      <c r="B19" s="90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30"/>
      <c r="O19" s="30"/>
      <c r="P19" s="30"/>
      <c r="Q19" s="20"/>
      <c r="R19" s="20"/>
      <c r="S19" s="27"/>
      <c r="T19" s="20"/>
      <c r="U19" s="20"/>
      <c r="V19" s="20"/>
      <c r="W19" s="21"/>
      <c r="X19" s="20"/>
      <c r="Y19" s="20"/>
    </row>
    <row r="20" spans="1:25" s="3" customFormat="1">
      <c r="A20" s="100" t="s">
        <v>120</v>
      </c>
      <c r="B20" s="29" t="s">
        <v>27</v>
      </c>
      <c r="C20" s="22">
        <v>358</v>
      </c>
      <c r="D20" s="22">
        <v>0.4</v>
      </c>
      <c r="E20" s="108">
        <v>0.27937428148624566</v>
      </c>
      <c r="F20" s="397">
        <f>IF($C20&lt;11,'Offroad Tiers EF (2)'!$AN$4*$C20*$D20,IF($C20&lt;25,'Offroad Tiers EF (2)'!$AN$5*$C20*$D20,IF($C20&lt;50,'Offroad Tiers EF (2)'!$AN$6*$C20*$D20,IF($C20&lt;75,'Offroad Tiers EF (2)'!$AN$7*$C20*$D20,IF($C20&lt;100,'Offroad Tiers EF (2)'!$AN$8*$C20*$D20,IF($C20&lt;175,'Offroad Tiers EF (2)'!$AN$9*$C20*$D20,IF($C20&lt;300,'Offroad Tiers EF (2)'!$AN$10*$C20*$D20,IF($C20&lt;600,'Offroad Tiers EF (2)'!$AN$11*$C20*$D20,"!"))))))))</f>
        <v>0.82081128747795418</v>
      </c>
      <c r="G20" s="397">
        <f>IF($C20&lt;11,'Offroad Tiers EF (2)'!$AM$4*$C20*$D20,IF($C20&lt;25,'Offroad Tiers EF (2)'!$AM$5*$C20*$D20,IF($C20&lt;50,'Offroad Tiers EF (2)'!$AM$6*$C20*$D20,IF($C20&lt;75,'Offroad Tiers EF (2)'!$AM$7*$C20*$D20,IF($C20&lt;100,'Offroad Tiers EF (2)'!$AM$8*$C20*$D20,IF($C20&lt;175,'Offroad Tiers EF (2)'!$AM$9*$C20*$D20,IF($C20&lt;300,'Offroad Tiers EF (2)'!$AM$10*$C20*$D20,IF($C20&lt;600,'Offroad Tiers EF (2)'!$AM$11*$C20*$D20,"!"))))))))</f>
        <v>1.2776243386243384</v>
      </c>
      <c r="H20" s="108">
        <v>2.5998088533883764E-3</v>
      </c>
      <c r="I20" s="397">
        <f>IF($C20&lt;11,'Offroad Tiers EF (2)'!$AO$4*$C20*$D20,IF($C20&lt;25,'Offroad Tiers EF (2)'!$AO$5*$C20*$D20,IF($C20&lt;50,'Offroad Tiers EF (2)'!$AO$6*$C20*$D20,IF($C20&lt;75,'Offroad Tiers EF (2)'!$AO$7*$C20*$D20,IF($C20&lt;100,'Offroad Tiers EF (2)'!$AO$8*$C20*$D20,IF($C20&lt;175,'Offroad Tiers EF (2)'!$AO$9*$C20*$D20,IF($C20&lt;300,'Offroad Tiers EF (2)'!$AO$10*$C20*$D20,IF($C20&lt;600,'Offroad Tiers EF (2)'!$AO$11*$C20*$D20,"!"))))))))</f>
        <v>4.735449735449735E-2</v>
      </c>
      <c r="J20" s="100">
        <f t="shared" ref="J20:J24" si="8">0.89*I20</f>
        <v>4.2145502645502646E-2</v>
      </c>
      <c r="K20" s="108">
        <v>264.8725636721183</v>
      </c>
      <c r="L20" s="108">
        <v>2.6451144743432839E-2</v>
      </c>
      <c r="M20" s="102">
        <f t="shared" ref="M20:M24" si="9">0.095*G20</f>
        <v>0.12137431216931216</v>
      </c>
      <c r="N20" s="98">
        <v>1</v>
      </c>
      <c r="O20" s="87">
        <v>8</v>
      </c>
      <c r="P20" s="363">
        <v>75</v>
      </c>
      <c r="Q20" s="34">
        <f t="shared" ref="Q20:Y24" si="10">(E20*$N20*$O20)</f>
        <v>2.2349942518899653</v>
      </c>
      <c r="R20" s="26">
        <f t="shared" si="10"/>
        <v>6.5664902998236334</v>
      </c>
      <c r="S20" s="26">
        <f t="shared" si="10"/>
        <v>10.220994708994708</v>
      </c>
      <c r="T20" s="26">
        <f t="shared" si="10"/>
        <v>2.0798470827107011E-2</v>
      </c>
      <c r="U20" s="26">
        <f t="shared" si="10"/>
        <v>0.3788359788359788</v>
      </c>
      <c r="V20" s="26">
        <f t="shared" si="10"/>
        <v>0.33716402116402117</v>
      </c>
      <c r="W20" s="26">
        <f t="shared" si="10"/>
        <v>2118.9805093769464</v>
      </c>
      <c r="X20" s="26">
        <f t="shared" si="10"/>
        <v>0.21160915794746271</v>
      </c>
      <c r="Y20" s="26">
        <f t="shared" si="10"/>
        <v>0.97099449735449728</v>
      </c>
    </row>
    <row r="21" spans="1:25" s="3" customFormat="1">
      <c r="A21" s="100" t="s">
        <v>121</v>
      </c>
      <c r="B21" s="29" t="s">
        <v>27</v>
      </c>
      <c r="C21" s="22">
        <v>162</v>
      </c>
      <c r="D21" s="22">
        <v>0.41</v>
      </c>
      <c r="E21" s="108">
        <v>0.12153885438656534</v>
      </c>
      <c r="F21" s="397">
        <f>IF($C21&lt;11,'Offroad Tiers EF (2)'!$AN$4*$C21*$D21,IF($C21&lt;25,'Offroad Tiers EF (2)'!$AN$5*$C21*$D21,IF($C21&lt;50,'Offroad Tiers EF (2)'!$AN$6*$C21*$D21,IF($C21&lt;75,'Offroad Tiers EF (2)'!$AN$7*$C21*$D21,IF($C21&lt;100,'Offroad Tiers EF (2)'!$AN$8*$C21*$D21,IF($C21&lt;175,'Offroad Tiers EF (2)'!$AN$9*$C21*$D21,IF($C21&lt;300,'Offroad Tiers EF (2)'!$AN$10*$C21*$D21,IF($C21&lt;600,'Offroad Tiers EF (2)'!$AN$11*$C21*$D21,"!"))))))))</f>
        <v>0.5417857142857142</v>
      </c>
      <c r="G21" s="397">
        <f>IF($C21&lt;11,'Offroad Tiers EF (2)'!$AM$4*$C21*$D21,IF($C21&lt;25,'Offroad Tiers EF (2)'!$AM$5*$C21*$D21,IF($C21&lt;50,'Offroad Tiers EF (2)'!$AM$6*$C21*$D21,IF($C21&lt;75,'Offroad Tiers EF (2)'!$AM$7*$C21*$D21,IF($C21&lt;100,'Offroad Tiers EF (2)'!$AM$8*$C21*$D21,IF($C21&lt;175,'Offroad Tiers EF (2)'!$AM$9*$C21*$D21,IF($C21&lt;300,'Offroad Tiers EF (2)'!$AM$10*$C21*$D21,IF($C21&lt;600,'Offroad Tiers EF (2)'!$AM$11*$C21*$D21,"!"))))))))</f>
        <v>0.60233392857142853</v>
      </c>
      <c r="H21" s="108">
        <v>1.3943296443626662E-3</v>
      </c>
      <c r="I21" s="397">
        <f>IF($C21&lt;11,'Offroad Tiers EF (2)'!$AO$4*$C21*$D21,IF($C21&lt;25,'Offroad Tiers EF (2)'!$AO$5*$C21*$D21,IF($C21&lt;50,'Offroad Tiers EF (2)'!$AO$6*$C21*$D21,IF($C21&lt;75,'Offroad Tiers EF (2)'!$AO$7*$C21*$D21,IF($C21&lt;100,'Offroad Tiers EF (2)'!$AO$8*$C21*$D21,IF($C21&lt;175,'Offroad Tiers EF (2)'!$AO$9*$C21*$D21,IF($C21&lt;300,'Offroad Tiers EF (2)'!$AO$10*$C21*$D21,IF($C21&lt;600,'Offroad Tiers EF (2)'!$AO$11*$C21*$D21,"!"))))))))</f>
        <v>3.2214285714285709E-2</v>
      </c>
      <c r="J21" s="100">
        <f t="shared" si="8"/>
        <v>2.8670714285714282E-2</v>
      </c>
      <c r="K21" s="365">
        <v>123.92149503712022</v>
      </c>
      <c r="L21" s="23">
        <v>1.1720218383966691E-2</v>
      </c>
      <c r="M21" s="102">
        <f t="shared" si="9"/>
        <v>5.7221723214285709E-2</v>
      </c>
      <c r="N21" s="98">
        <v>1</v>
      </c>
      <c r="O21" s="87">
        <v>8</v>
      </c>
      <c r="P21" s="363">
        <v>75</v>
      </c>
      <c r="Q21" s="34">
        <f t="shared" si="10"/>
        <v>0.9723108350925227</v>
      </c>
      <c r="R21" s="26">
        <f t="shared" si="10"/>
        <v>4.3342857142857136</v>
      </c>
      <c r="S21" s="26">
        <f t="shared" si="10"/>
        <v>4.8186714285714283</v>
      </c>
      <c r="T21" s="26">
        <f t="shared" si="10"/>
        <v>1.115463715490133E-2</v>
      </c>
      <c r="U21" s="26">
        <f t="shared" si="10"/>
        <v>0.25771428571428567</v>
      </c>
      <c r="V21" s="26">
        <f t="shared" si="10"/>
        <v>0.22936571428571426</v>
      </c>
      <c r="W21" s="26">
        <f t="shared" si="10"/>
        <v>991.37196029696179</v>
      </c>
      <c r="X21" s="26">
        <f t="shared" si="10"/>
        <v>9.3761747071733528E-2</v>
      </c>
      <c r="Y21" s="26">
        <f t="shared" si="10"/>
        <v>0.45777378571428567</v>
      </c>
    </row>
    <row r="22" spans="1:25" s="3" customFormat="1">
      <c r="A22" s="100" t="s">
        <v>123</v>
      </c>
      <c r="B22" s="29" t="s">
        <v>27</v>
      </c>
      <c r="C22" s="22">
        <v>84</v>
      </c>
      <c r="D22" s="22">
        <v>0.38</v>
      </c>
      <c r="E22" s="102">
        <v>7.9534395197012789E-2</v>
      </c>
      <c r="F22" s="397">
        <f>IF($C22&lt;11,'Offroad Tiers EF (2)'!$AN$4*$C22*$D22,IF($C22&lt;25,'Offroad Tiers EF (2)'!$AN$5*$C22*$D22,IF($C22&lt;50,'Offroad Tiers EF (2)'!$AN$6*$C22*$D22,IF($C22&lt;75,'Offroad Tiers EF (2)'!$AN$7*$C22*$D22,IF($C22&lt;100,'Offroad Tiers EF (2)'!$AN$8*$C22*$D22,IF($C22&lt;175,'Offroad Tiers EF (2)'!$AN$9*$C22*$D22,IF($C22&lt;300,'Offroad Tiers EF (2)'!$AN$10*$C22*$D22,IF($C22&lt;600,'Offroad Tiers EF (2)'!$AN$11*$C22*$D22,"!"))))))))</f>
        <v>0.26037037037037036</v>
      </c>
      <c r="G22" s="397">
        <f>IF($C22&lt;11,'Offroad Tiers EF (2)'!$AM$4*$C22*$D22,IF($C22&lt;25,'Offroad Tiers EF (2)'!$AM$5*$C22*$D22,IF($C22&lt;50,'Offroad Tiers EF (2)'!$AM$6*$C22*$D22,IF($C22&lt;75,'Offroad Tiers EF (2)'!$AM$7*$C22*$D22,IF($C22&lt;100,'Offroad Tiers EF (2)'!$AM$8*$C22*$D22,IF($C22&lt;175,'Offroad Tiers EF (2)'!$AM$9*$C22*$D22,IF($C22&lt;300,'Offroad Tiers EF (2)'!$AM$10*$C22*$D22,IF($C22&lt;600,'Offroad Tiers EF (2)'!$AM$11*$C22*$D22,"!"))))))))</f>
        <v>0.33225370370370361</v>
      </c>
      <c r="H22" s="102">
        <v>6.9196834691909377E-4</v>
      </c>
      <c r="I22" s="397">
        <f>IF($C22&lt;11,'Offroad Tiers EF (2)'!$AO$4*$C22*$D22,IF($C22&lt;25,'Offroad Tiers EF (2)'!$AO$5*$C22*$D22,IF($C22&lt;50,'Offroad Tiers EF (2)'!$AO$6*$C22*$D22,IF($C22&lt;75,'Offroad Tiers EF (2)'!$AO$7*$C22*$D22,IF($C22&lt;100,'Offroad Tiers EF (2)'!$AO$8*$C22*$D22,IF($C22&lt;175,'Offroad Tiers EF (2)'!$AO$9*$C22*$D22,IF($C22&lt;300,'Offroad Tiers EF (2)'!$AO$10*$C22*$D22,IF($C22&lt;600,'Offroad Tiers EF (2)'!$AO$11*$C22*$D22,"!"))))))))</f>
        <v>2.1111111111111112E-2</v>
      </c>
      <c r="J22" s="100">
        <f t="shared" si="8"/>
        <v>1.878888888888889E-2</v>
      </c>
      <c r="K22" s="103">
        <v>58.988746640295226</v>
      </c>
      <c r="L22" s="102">
        <v>7.7311979659905822E-3</v>
      </c>
      <c r="M22" s="102">
        <f t="shared" si="9"/>
        <v>3.1564101851851843E-2</v>
      </c>
      <c r="N22" s="363">
        <v>1</v>
      </c>
      <c r="O22" s="87">
        <v>8</v>
      </c>
      <c r="P22" s="363">
        <v>75</v>
      </c>
      <c r="Q22" s="34">
        <f t="shared" si="10"/>
        <v>0.63627516157610231</v>
      </c>
      <c r="R22" s="26">
        <f t="shared" si="10"/>
        <v>2.0829629629629629</v>
      </c>
      <c r="S22" s="26">
        <f t="shared" si="10"/>
        <v>2.6580296296296289</v>
      </c>
      <c r="T22" s="26">
        <f t="shared" si="10"/>
        <v>5.5357467753527501E-3</v>
      </c>
      <c r="U22" s="26">
        <f t="shared" si="10"/>
        <v>0.16888888888888889</v>
      </c>
      <c r="V22" s="26">
        <f t="shared" si="10"/>
        <v>0.15031111111111112</v>
      </c>
      <c r="W22" s="26">
        <f t="shared" si="10"/>
        <v>471.90997312236181</v>
      </c>
      <c r="X22" s="26">
        <f t="shared" si="10"/>
        <v>6.1849583727924658E-2</v>
      </c>
      <c r="Y22" s="26">
        <f t="shared" si="10"/>
        <v>0.25251281481481475</v>
      </c>
    </row>
    <row r="23" spans="1:25" s="3" customFormat="1">
      <c r="A23" s="100" t="s">
        <v>282</v>
      </c>
      <c r="B23" s="29" t="s">
        <v>27</v>
      </c>
      <c r="C23" s="97">
        <v>37</v>
      </c>
      <c r="D23" s="22">
        <v>0.37</v>
      </c>
      <c r="E23" s="102">
        <v>3.2313389441625637E-2</v>
      </c>
      <c r="F23" s="397">
        <f>IF($C23&lt;11,'Offroad Tiers EF (2)'!$AN$4*$C23*$D23,IF($C23&lt;25,'Offroad Tiers EF (2)'!$AN$5*$C23*$D23,IF($C23&lt;50,'Offroad Tiers EF (2)'!$AN$6*$C23*$D23,IF($C23&lt;75,'Offroad Tiers EF (2)'!$AN$7*$C23*$D23,IF($C23&lt;100,'Offroad Tiers EF (2)'!$AN$8*$C23*$D23,IF($C23&lt;175,'Offroad Tiers EF (2)'!$AN$9*$C23*$D23,IF($C23&lt;300,'Offroad Tiers EF (2)'!$AN$10*$C23*$D23,IF($C23&lt;600,'Offroad Tiers EF (2)'!$AN$11*$C23*$D23,"!"))))))))</f>
        <v>0.12374118165784832</v>
      </c>
      <c r="G23" s="397">
        <f>IF($C23&lt;11,'Offroad Tiers EF (2)'!$AM$4*$C23*$D23,IF($C23&lt;25,'Offroad Tiers EF (2)'!$AM$5*$C23*$D23,IF($C23&lt;50,'Offroad Tiers EF (2)'!$AM$6*$C23*$D23,IF($C23&lt;75,'Offroad Tiers EF (2)'!$AM$7*$C23*$D23,IF($C23&lt;100,'Offroad Tiers EF (2)'!$AM$8*$C23*$D23,IF($C23&lt;175,'Offroad Tiers EF (2)'!$AM$9*$C23*$D23,IF($C23&lt;300,'Offroad Tiers EF (2)'!$AM$10*$C23*$D23,IF($C23&lt;600,'Offroad Tiers EF (2)'!$AM$11*$C23*$D23,"!"))))))))</f>
        <v>0.16056172839506169</v>
      </c>
      <c r="H23" s="102">
        <v>3.2989906092678058E-4</v>
      </c>
      <c r="I23" s="397">
        <f>IF($C23&lt;11,'Offroad Tiers EF (2)'!$AO$4*$C23*$D23,IF($C23&lt;25,'Offroad Tiers EF (2)'!$AO$5*$C23*$D23,IF($C23&lt;50,'Offroad Tiers EF (2)'!$AO$6*$C23*$D23,IF($C23&lt;75,'Offroad Tiers EF (2)'!$AO$7*$C23*$D23,IF($C23&lt;100,'Offroad Tiers EF (2)'!$AO$8*$C23*$D23,IF($C23&lt;175,'Offroad Tiers EF (2)'!$AO$9*$C23*$D23,IF($C23&lt;300,'Offroad Tiers EF (2)'!$AO$10*$C23*$D23,IF($C23&lt;600,'Offroad Tiers EF (2)'!$AO$11*$C23*$D23,"!"))))))))</f>
        <v>1.3581349206349205E-2</v>
      </c>
      <c r="J23" s="100">
        <f t="shared" si="8"/>
        <v>1.2087400793650793E-2</v>
      </c>
      <c r="K23" s="103">
        <v>25.519156990664225</v>
      </c>
      <c r="L23" s="102">
        <v>3.413848047070189E-3</v>
      </c>
      <c r="M23" s="104">
        <f t="shared" si="9"/>
        <v>1.5253364197530862E-2</v>
      </c>
      <c r="N23" s="87">
        <v>1</v>
      </c>
      <c r="O23" s="87">
        <v>8</v>
      </c>
      <c r="P23" s="363">
        <v>75</v>
      </c>
      <c r="Q23" s="34">
        <f t="shared" si="10"/>
        <v>0.25850711553300509</v>
      </c>
      <c r="R23" s="26">
        <f t="shared" si="10"/>
        <v>0.98992945326278659</v>
      </c>
      <c r="S23" s="26">
        <f t="shared" si="10"/>
        <v>1.2844938271604935</v>
      </c>
      <c r="T23" s="26">
        <f t="shared" si="10"/>
        <v>2.6391924874142447E-3</v>
      </c>
      <c r="U23" s="26">
        <f t="shared" si="10"/>
        <v>0.10865079365079364</v>
      </c>
      <c r="V23" s="26">
        <f t="shared" si="10"/>
        <v>9.669920634920634E-2</v>
      </c>
      <c r="W23" s="26">
        <f t="shared" si="10"/>
        <v>204.1532559253138</v>
      </c>
      <c r="X23" s="26">
        <f t="shared" si="10"/>
        <v>2.7310784376561512E-2</v>
      </c>
      <c r="Y23" s="26">
        <f t="shared" si="10"/>
        <v>0.12202691358024689</v>
      </c>
    </row>
    <row r="24" spans="1:25" s="3" customFormat="1">
      <c r="A24" s="100" t="s">
        <v>126</v>
      </c>
      <c r="B24" s="29" t="s">
        <v>27</v>
      </c>
      <c r="C24" s="22">
        <v>175</v>
      </c>
      <c r="D24" s="22"/>
      <c r="E24" s="102">
        <v>0.11792220738547983</v>
      </c>
      <c r="F24" s="102">
        <v>0.36512193352152528</v>
      </c>
      <c r="G24" s="102">
        <v>0.86781464282266541</v>
      </c>
      <c r="H24" s="102">
        <v>1.8739217498104396E-3</v>
      </c>
      <c r="I24" s="102">
        <v>2.9041712295589866E-2</v>
      </c>
      <c r="J24" s="100">
        <f t="shared" si="8"/>
        <v>2.5847123943074982E-2</v>
      </c>
      <c r="K24" s="103">
        <v>166.54541562452522</v>
      </c>
      <c r="L24" s="102">
        <v>1.063993297769634E-2</v>
      </c>
      <c r="M24" s="104">
        <f t="shared" si="9"/>
        <v>8.2442391068153209E-2</v>
      </c>
      <c r="N24" s="98">
        <v>2</v>
      </c>
      <c r="O24" s="87">
        <v>8</v>
      </c>
      <c r="P24" s="363">
        <v>75</v>
      </c>
      <c r="Q24" s="34">
        <f t="shared" si="10"/>
        <v>1.8867553181676773</v>
      </c>
      <c r="R24" s="26">
        <f t="shared" si="10"/>
        <v>5.8419509363444044</v>
      </c>
      <c r="S24" s="26">
        <f t="shared" si="10"/>
        <v>13.885034285162646</v>
      </c>
      <c r="T24" s="26">
        <f t="shared" si="10"/>
        <v>2.9982747996967034E-2</v>
      </c>
      <c r="U24" s="26">
        <f t="shared" si="10"/>
        <v>0.46466739672943785</v>
      </c>
      <c r="V24" s="26">
        <f t="shared" si="10"/>
        <v>0.41355398308919972</v>
      </c>
      <c r="W24" s="26">
        <f t="shared" si="10"/>
        <v>2664.7266499924035</v>
      </c>
      <c r="X24" s="26">
        <f t="shared" si="10"/>
        <v>0.17023892764314144</v>
      </c>
      <c r="Y24" s="26">
        <f t="shared" si="10"/>
        <v>1.3190782570904513</v>
      </c>
    </row>
    <row r="25" spans="1:25" s="3" customFormat="1">
      <c r="A25" s="11" t="s">
        <v>28</v>
      </c>
      <c r="B25" s="579"/>
      <c r="C25" s="18"/>
      <c r="D25" s="22"/>
      <c r="E25" s="19"/>
      <c r="F25" s="19"/>
      <c r="G25" s="19"/>
      <c r="H25" s="19"/>
      <c r="I25" s="19"/>
      <c r="J25" s="19"/>
      <c r="K25" s="19"/>
      <c r="L25" s="19"/>
      <c r="M25" s="19"/>
      <c r="N25" s="30"/>
      <c r="O25" s="30"/>
      <c r="P25" s="364"/>
      <c r="Q25" s="20">
        <f t="shared" ref="Q25:Y25" si="11">SUM(Q20:Q24)</f>
        <v>5.9888426822592722</v>
      </c>
      <c r="R25" s="20">
        <f t="shared" si="11"/>
        <v>19.815619366679503</v>
      </c>
      <c r="S25" s="27">
        <f t="shared" si="11"/>
        <v>32.867223879518903</v>
      </c>
      <c r="T25" s="20">
        <f t="shared" si="11"/>
        <v>7.011079524174238E-2</v>
      </c>
      <c r="U25" s="20">
        <f t="shared" si="11"/>
        <v>1.378757343819385</v>
      </c>
      <c r="V25" s="20">
        <f t="shared" si="11"/>
        <v>1.2270940359992526</v>
      </c>
      <c r="W25" s="20">
        <f t="shared" si="11"/>
        <v>6451.1423487139873</v>
      </c>
      <c r="X25" s="20">
        <f t="shared" si="11"/>
        <v>0.56477020076682383</v>
      </c>
      <c r="Y25" s="20">
        <f t="shared" si="11"/>
        <v>3.1223862685542958</v>
      </c>
    </row>
    <row r="26" spans="1:25" s="3" customFormat="1">
      <c r="A26" s="11"/>
      <c r="B26" s="579"/>
      <c r="C26" s="18"/>
      <c r="D26" s="22"/>
      <c r="E26" s="19"/>
      <c r="F26" s="19"/>
      <c r="G26" s="19"/>
      <c r="H26" s="19"/>
      <c r="I26" s="19"/>
      <c r="J26" s="19"/>
      <c r="K26" s="19"/>
      <c r="L26" s="19"/>
      <c r="M26" s="19"/>
      <c r="N26" s="30"/>
      <c r="O26" s="375"/>
      <c r="P26" s="364"/>
      <c r="Q26" s="20"/>
      <c r="R26" s="20"/>
      <c r="S26" s="27"/>
      <c r="T26" s="20"/>
      <c r="U26" s="20"/>
      <c r="V26" s="20"/>
      <c r="W26" s="21"/>
      <c r="X26" s="20"/>
      <c r="Y26" s="20"/>
    </row>
    <row r="27" spans="1:25" s="3" customFormat="1">
      <c r="A27" s="17" t="s">
        <v>285</v>
      </c>
      <c r="B27" s="90"/>
      <c r="C27" s="18"/>
      <c r="D27" s="22"/>
      <c r="E27" s="19"/>
      <c r="F27" s="19"/>
      <c r="G27" s="19"/>
      <c r="H27" s="19"/>
      <c r="I27" s="19"/>
      <c r="J27" s="19"/>
      <c r="K27" s="19"/>
      <c r="L27" s="19"/>
      <c r="M27" s="19"/>
      <c r="N27" s="30"/>
      <c r="O27" s="17"/>
      <c r="P27" s="533"/>
      <c r="Q27" s="20"/>
      <c r="R27" s="20"/>
      <c r="S27" s="20"/>
      <c r="T27" s="20"/>
      <c r="U27" s="20"/>
      <c r="V27" s="20"/>
      <c r="W27" s="21"/>
      <c r="X27" s="20"/>
      <c r="Y27" s="20"/>
    </row>
    <row r="28" spans="1:25" s="3" customFormat="1">
      <c r="A28" s="100" t="s">
        <v>124</v>
      </c>
      <c r="B28" s="29" t="s">
        <v>27</v>
      </c>
      <c r="C28" s="97">
        <v>87</v>
      </c>
      <c r="D28" s="22">
        <v>0.37</v>
      </c>
      <c r="E28" s="102">
        <v>7.7253202863558038E-2</v>
      </c>
      <c r="F28" s="397">
        <f>IF($C28&lt;11,'Offroad Tiers EF (2)'!$AN$4*$C28*$D28,IF($C28&lt;25,'Offroad Tiers EF (2)'!$AN$5*$C28*$D28,IF($C28&lt;50,'Offroad Tiers EF (2)'!$AN$6*$C28*$D28,IF($C28&lt;75,'Offroad Tiers EF (2)'!$AN$7*$C28*$D28,IF($C28&lt;100,'Offroad Tiers EF (2)'!$AN$8*$C28*$D28,IF($C28&lt;175,'Offroad Tiers EF (2)'!$AN$9*$C28*$D28,IF($C28&lt;300,'Offroad Tiers EF (2)'!$AN$10*$C28*$D28,IF($C28&lt;600,'Offroad Tiers EF (2)'!$AN$11*$C28*$D28,"!"))))))))</f>
        <v>0.26257275132275132</v>
      </c>
      <c r="G28" s="397">
        <f>IF($C28&lt;11,'Offroad Tiers EF (2)'!$AM$4*$C28*$D28,IF($C28&lt;25,'Offroad Tiers EF (2)'!$AM$5*$C28*$D28,IF($C28&lt;50,'Offroad Tiers EF (2)'!$AM$6*$C28*$D28,IF($C28&lt;75,'Offroad Tiers EF (2)'!$AM$7*$C28*$D28,IF($C28&lt;100,'Offroad Tiers EF (2)'!$AM$8*$C28*$D28,IF($C28&lt;175,'Offroad Tiers EF (2)'!$AM$9*$C28*$D28,IF($C28&lt;300,'Offroad Tiers EF (2)'!$AM$10*$C28*$D28,IF($C28&lt;600,'Offroad Tiers EF (2)'!$AM$11*$C28*$D28,"!"))))))))</f>
        <v>0.33506412037037031</v>
      </c>
      <c r="H28" s="102">
        <v>6.910856115004858E-4</v>
      </c>
      <c r="I28" s="397">
        <f>IF($C28&lt;11,'Offroad Tiers EF (2)'!$AO$4*$C28*$D28,IF($C28&lt;25,'Offroad Tiers EF (2)'!$AO$5*$C28*$D28,IF($C28&lt;50,'Offroad Tiers EF (2)'!$AO$6*$C28*$D28,IF($C28&lt;75,'Offroad Tiers EF (2)'!$AO$7*$C28*$D28,IF($C28&lt;100,'Offroad Tiers EF (2)'!$AO$8*$C28*$D28,IF($C28&lt;175,'Offroad Tiers EF (2)'!$AO$9*$C28*$D28,IF($C28&lt;300,'Offroad Tiers EF (2)'!$AO$10*$C28*$D28,IF($C28&lt;600,'Offroad Tiers EF (2)'!$AO$11*$C28*$D28,"!"))))))))</f>
        <v>2.1289682539682539E-2</v>
      </c>
      <c r="J28" s="100">
        <f t="shared" ref="J28:J31" si="12">0.89*I28</f>
        <v>1.894781746031746E-2</v>
      </c>
      <c r="K28" s="103">
        <v>58.913505111712794</v>
      </c>
      <c r="L28" s="102">
        <v>7.5344751889799754E-3</v>
      </c>
      <c r="M28" s="102">
        <f t="shared" ref="M28:M31" si="13">0.095*G28</f>
        <v>3.1831091435185178E-2</v>
      </c>
      <c r="N28" s="98">
        <v>1</v>
      </c>
      <c r="O28" s="87">
        <v>8</v>
      </c>
      <c r="P28" s="363">
        <v>15</v>
      </c>
      <c r="Q28" s="34">
        <f t="shared" ref="Q28:Y31" si="14">(E28*$N28*$O28)</f>
        <v>0.6180256229084643</v>
      </c>
      <c r="R28" s="26">
        <f t="shared" si="14"/>
        <v>2.1005820105820106</v>
      </c>
      <c r="S28" s="26">
        <f t="shared" si="14"/>
        <v>2.6805129629629625</v>
      </c>
      <c r="T28" s="26">
        <f t="shared" si="14"/>
        <v>5.5286848920038864E-3</v>
      </c>
      <c r="U28" s="26">
        <f t="shared" si="14"/>
        <v>0.17031746031746031</v>
      </c>
      <c r="V28" s="26">
        <f t="shared" si="14"/>
        <v>0.15158253968253968</v>
      </c>
      <c r="W28" s="26">
        <f t="shared" si="14"/>
        <v>471.30804089370235</v>
      </c>
      <c r="X28" s="26">
        <f t="shared" si="14"/>
        <v>6.0275801511839804E-2</v>
      </c>
      <c r="Y28" s="26">
        <f t="shared" si="14"/>
        <v>0.25464873148148143</v>
      </c>
    </row>
    <row r="29" spans="1:25" s="3" customFormat="1">
      <c r="A29" s="100" t="s">
        <v>123</v>
      </c>
      <c r="B29" s="29" t="s">
        <v>27</v>
      </c>
      <c r="C29" s="22">
        <v>84</v>
      </c>
      <c r="D29" s="22">
        <v>0.38</v>
      </c>
      <c r="E29" s="102">
        <v>7.9534395197012789E-2</v>
      </c>
      <c r="F29" s="397">
        <f>IF($C29&lt;11,'Offroad Tiers EF (2)'!$AN$4*$C29*$D29,IF($C29&lt;25,'Offroad Tiers EF (2)'!$AN$5*$C29*$D29,IF($C29&lt;50,'Offroad Tiers EF (2)'!$AN$6*$C29*$D29,IF($C29&lt;75,'Offroad Tiers EF (2)'!$AN$7*$C29*$D29,IF($C29&lt;100,'Offroad Tiers EF (2)'!$AN$8*$C29*$D29,IF($C29&lt;175,'Offroad Tiers EF (2)'!$AN$9*$C29*$D29,IF($C29&lt;300,'Offroad Tiers EF (2)'!$AN$10*$C29*$D29,IF($C29&lt;600,'Offroad Tiers EF (2)'!$AN$11*$C29*$D29,"!"))))))))</f>
        <v>0.26037037037037036</v>
      </c>
      <c r="G29" s="397">
        <f>IF($C29&lt;11,'Offroad Tiers EF (2)'!$AM$4*$C29*$D29,IF($C29&lt;25,'Offroad Tiers EF (2)'!$AM$5*$C29*$D29,IF($C29&lt;50,'Offroad Tiers EF (2)'!$AM$6*$C29*$D29,IF($C29&lt;75,'Offroad Tiers EF (2)'!$AM$7*$C29*$D29,IF($C29&lt;100,'Offroad Tiers EF (2)'!$AM$8*$C29*$D29,IF($C29&lt;175,'Offroad Tiers EF (2)'!$AM$9*$C29*$D29,IF($C29&lt;300,'Offroad Tiers EF (2)'!$AM$10*$C29*$D29,IF($C29&lt;600,'Offroad Tiers EF (2)'!$AM$11*$C29*$D29,"!"))))))))</f>
        <v>0.33225370370370361</v>
      </c>
      <c r="H29" s="102">
        <v>6.9196834691909377E-4</v>
      </c>
      <c r="I29" s="397">
        <f>IF($C29&lt;11,'Offroad Tiers EF (2)'!$AO$4*$C29*$D29,IF($C29&lt;25,'Offroad Tiers EF (2)'!$AO$5*$C29*$D29,IF($C29&lt;50,'Offroad Tiers EF (2)'!$AO$6*$C29*$D29,IF($C29&lt;75,'Offroad Tiers EF (2)'!$AO$7*$C29*$D29,IF($C29&lt;100,'Offroad Tiers EF (2)'!$AO$8*$C29*$D29,IF($C29&lt;175,'Offroad Tiers EF (2)'!$AO$9*$C29*$D29,IF($C29&lt;300,'Offroad Tiers EF (2)'!$AO$10*$C29*$D29,IF($C29&lt;600,'Offroad Tiers EF (2)'!$AO$11*$C29*$D29,"!"))))))))</f>
        <v>2.1111111111111112E-2</v>
      </c>
      <c r="J29" s="100">
        <f t="shared" si="12"/>
        <v>1.878888888888889E-2</v>
      </c>
      <c r="K29" s="103">
        <v>58.988746640295226</v>
      </c>
      <c r="L29" s="102">
        <v>7.7311979659905822E-3</v>
      </c>
      <c r="M29" s="102">
        <f t="shared" si="13"/>
        <v>3.1564101851851843E-2</v>
      </c>
      <c r="N29" s="363">
        <v>1</v>
      </c>
      <c r="O29" s="87">
        <v>8</v>
      </c>
      <c r="P29" s="363">
        <v>75</v>
      </c>
      <c r="Q29" s="34">
        <f t="shared" si="14"/>
        <v>0.63627516157610231</v>
      </c>
      <c r="R29" s="26">
        <f t="shared" si="14"/>
        <v>2.0829629629629629</v>
      </c>
      <c r="S29" s="26">
        <f t="shared" si="14"/>
        <v>2.6580296296296289</v>
      </c>
      <c r="T29" s="26">
        <f t="shared" si="14"/>
        <v>5.5357467753527501E-3</v>
      </c>
      <c r="U29" s="26">
        <f t="shared" si="14"/>
        <v>0.16888888888888889</v>
      </c>
      <c r="V29" s="26">
        <f t="shared" si="14"/>
        <v>0.15031111111111112</v>
      </c>
      <c r="W29" s="26">
        <f t="shared" si="14"/>
        <v>471.90997312236181</v>
      </c>
      <c r="X29" s="26">
        <f t="shared" si="14"/>
        <v>6.1849583727924658E-2</v>
      </c>
      <c r="Y29" s="26">
        <f t="shared" si="14"/>
        <v>0.25251281481481475</v>
      </c>
    </row>
    <row r="30" spans="1:25" s="3" customFormat="1">
      <c r="A30" s="100" t="s">
        <v>126</v>
      </c>
      <c r="B30" s="29" t="s">
        <v>27</v>
      </c>
      <c r="C30" s="22">
        <v>175</v>
      </c>
      <c r="D30" s="22"/>
      <c r="E30" s="102">
        <v>0.11792220738547983</v>
      </c>
      <c r="F30" s="102">
        <v>0.36512193352152528</v>
      </c>
      <c r="G30" s="102">
        <v>0.86781464282266541</v>
      </c>
      <c r="H30" s="102">
        <v>1.8739217498104396E-3</v>
      </c>
      <c r="I30" s="102">
        <v>2.9041712295589866E-2</v>
      </c>
      <c r="J30" s="100">
        <f t="shared" si="12"/>
        <v>2.5847123943074982E-2</v>
      </c>
      <c r="K30" s="103">
        <v>166.54541562452522</v>
      </c>
      <c r="L30" s="102">
        <v>1.063993297769634E-2</v>
      </c>
      <c r="M30" s="104">
        <f t="shared" si="13"/>
        <v>8.2442391068153209E-2</v>
      </c>
      <c r="N30" s="98">
        <v>1</v>
      </c>
      <c r="O30" s="88">
        <v>8</v>
      </c>
      <c r="P30" s="367">
        <v>40</v>
      </c>
      <c r="Q30" s="26">
        <f t="shared" si="14"/>
        <v>0.94337765908383864</v>
      </c>
      <c r="R30" s="26">
        <f t="shared" si="14"/>
        <v>2.9209754681722022</v>
      </c>
      <c r="S30" s="26">
        <f t="shared" si="14"/>
        <v>6.9425171425813232</v>
      </c>
      <c r="T30" s="26">
        <f t="shared" si="14"/>
        <v>1.4991373998483517E-2</v>
      </c>
      <c r="U30" s="26">
        <f t="shared" si="14"/>
        <v>0.23233369836471893</v>
      </c>
      <c r="V30" s="26">
        <f t="shared" si="14"/>
        <v>0.20677699154459986</v>
      </c>
      <c r="W30" s="26">
        <f t="shared" si="14"/>
        <v>1332.3633249962018</v>
      </c>
      <c r="X30" s="26">
        <f t="shared" si="14"/>
        <v>8.5119463821570721E-2</v>
      </c>
      <c r="Y30" s="26">
        <f t="shared" si="14"/>
        <v>0.65953912854522567</v>
      </c>
    </row>
    <row r="31" spans="1:25" s="3" customFormat="1">
      <c r="A31" s="100" t="s">
        <v>128</v>
      </c>
      <c r="B31" s="29" t="s">
        <v>27</v>
      </c>
      <c r="C31" s="22">
        <v>157</v>
      </c>
      <c r="D31" s="22">
        <v>0.38</v>
      </c>
      <c r="E31" s="550">
        <v>9.7211873502789536E-2</v>
      </c>
      <c r="F31" s="397">
        <f>IF($C31&lt;11,'Offroad Tiers EF (2)'!$AN$4*$C31*$D31,IF($C31&lt;25,'Offroad Tiers EF (2)'!$AN$5*$C31*$D31,IF($C31&lt;50,'Offroad Tiers EF (2)'!$AN$6*$C31*$D31,IF($C31&lt;75,'Offroad Tiers EF (2)'!$AN$7*$C31*$D31,IF($C31&lt;100,'Offroad Tiers EF (2)'!$AN$8*$C31*$D31,IF($C31&lt;175,'Offroad Tiers EF (2)'!$AN$9*$C31*$D31,IF($C31&lt;300,'Offroad Tiers EF (2)'!$AN$10*$C31*$D31,IF($C31&lt;600,'Offroad Tiers EF (2)'!$AN$11*$C31*$D31,"!"))))))))</f>
        <v>0.48664462081128745</v>
      </c>
      <c r="G31" s="397">
        <f>IF($C31&lt;11,'Offroad Tiers EF (2)'!$AM$4*$C31*$D31,IF($C31&lt;25,'Offroad Tiers EF (2)'!$AM$5*$C31*$D31,IF($C31&lt;50,'Offroad Tiers EF (2)'!$AM$6*$C31*$D31,IF($C31&lt;75,'Offroad Tiers EF (2)'!$AM$7*$C31*$D31,IF($C31&lt;100,'Offroad Tiers EF (2)'!$AM$8*$C31*$D31,IF($C31&lt;175,'Offroad Tiers EF (2)'!$AM$9*$C31*$D31,IF($C31&lt;300,'Offroad Tiers EF (2)'!$AM$10*$C31*$D31,IF($C31&lt;600,'Offroad Tiers EF (2)'!$AM$11*$C31*$D31,"!"))))))))</f>
        <v>0.54103044532627864</v>
      </c>
      <c r="H31" s="550">
        <v>1.2626852382997586E-3</v>
      </c>
      <c r="I31" s="397">
        <f>IF($C31&lt;11,'Offroad Tiers EF (2)'!$AO$4*$C31*$D31,IF($C31&lt;25,'Offroad Tiers EF (2)'!$AO$5*$C31*$D31,IF($C31&lt;50,'Offroad Tiers EF (2)'!$AO$6*$C31*$D31,IF($C31&lt;75,'Offroad Tiers EF (2)'!$AO$7*$C31*$D31,IF($C31&lt;100,'Offroad Tiers EF (2)'!$AO$8*$C31*$D31,IF($C31&lt;175,'Offroad Tiers EF (2)'!$AO$9*$C31*$D31,IF($C31&lt;300,'Offroad Tiers EF (2)'!$AO$10*$C31*$D31,IF($C31&lt;600,'Offroad Tiers EF (2)'!$AO$11*$C31*$D31,"!"))))))))</f>
        <v>2.8935626102292767E-2</v>
      </c>
      <c r="J31" s="551">
        <f t="shared" si="12"/>
        <v>2.5752707231040561E-2</v>
      </c>
      <c r="K31" s="552">
        <v>112.22156581723891</v>
      </c>
      <c r="L31" s="111">
        <v>9.4890670020510905E-3</v>
      </c>
      <c r="M31" s="553">
        <f t="shared" si="13"/>
        <v>5.1397892305996472E-2</v>
      </c>
      <c r="N31" s="554">
        <v>2</v>
      </c>
      <c r="O31" s="88">
        <v>2</v>
      </c>
      <c r="P31" s="88">
        <v>15</v>
      </c>
      <c r="Q31" s="26">
        <f t="shared" si="14"/>
        <v>0.38884749401115815</v>
      </c>
      <c r="R31" s="26">
        <f t="shared" si="14"/>
        <v>1.9465784832451498</v>
      </c>
      <c r="S31" s="26">
        <f t="shared" si="14"/>
        <v>2.1641217813051146</v>
      </c>
      <c r="T31" s="26">
        <f t="shared" si="14"/>
        <v>5.0507409531990342E-3</v>
      </c>
      <c r="U31" s="26">
        <f t="shared" si="14"/>
        <v>0.11574250440917107</v>
      </c>
      <c r="V31" s="26">
        <f t="shared" si="14"/>
        <v>0.10301082892416225</v>
      </c>
      <c r="W31" s="26">
        <f t="shared" si="14"/>
        <v>448.88626326895564</v>
      </c>
      <c r="X31" s="26">
        <f t="shared" si="14"/>
        <v>3.7956268008204362E-2</v>
      </c>
      <c r="Y31" s="26">
        <f t="shared" si="14"/>
        <v>0.20559156922398589</v>
      </c>
    </row>
    <row r="32" spans="1:25" s="3" customFormat="1">
      <c r="A32" s="17" t="s">
        <v>28</v>
      </c>
      <c r="B32" s="579"/>
      <c r="C32" s="18"/>
      <c r="D32" s="22"/>
      <c r="E32" s="19"/>
      <c r="F32" s="19"/>
      <c r="G32" s="19"/>
      <c r="H32" s="19"/>
      <c r="I32" s="19"/>
      <c r="J32" s="19"/>
      <c r="K32" s="19"/>
      <c r="L32" s="19"/>
      <c r="M32" s="89"/>
      <c r="N32" s="105"/>
      <c r="O32" s="11"/>
      <c r="P32" s="11"/>
      <c r="Q32" s="27">
        <f t="shared" ref="Q32:Y32" si="15">SUM(Q28:Q31)</f>
        <v>2.5865259375795633</v>
      </c>
      <c r="R32" s="101">
        <f t="shared" si="15"/>
        <v>9.051098924962325</v>
      </c>
      <c r="S32" s="101">
        <f t="shared" si="15"/>
        <v>14.44518151647903</v>
      </c>
      <c r="T32" s="101">
        <f t="shared" si="15"/>
        <v>3.110654661903919E-2</v>
      </c>
      <c r="U32" s="101">
        <f t="shared" si="15"/>
        <v>0.68728255198023924</v>
      </c>
      <c r="V32" s="101">
        <f t="shared" si="15"/>
        <v>0.6116814712624129</v>
      </c>
      <c r="W32" s="101">
        <f t="shared" si="15"/>
        <v>2724.4676022812214</v>
      </c>
      <c r="X32" s="101">
        <f t="shared" si="15"/>
        <v>0.24520111706953954</v>
      </c>
      <c r="Y32" s="101">
        <f t="shared" si="15"/>
        <v>1.3722922440655076</v>
      </c>
    </row>
    <row r="33" spans="1:25" s="3" customFormat="1">
      <c r="A33" s="17"/>
      <c r="B33" s="29"/>
      <c r="C33" s="22"/>
      <c r="D33" s="22"/>
      <c r="E33" s="23"/>
      <c r="F33" s="23"/>
      <c r="G33" s="23"/>
      <c r="H33" s="23"/>
      <c r="I33" s="23"/>
      <c r="J33" s="100"/>
      <c r="K33" s="365"/>
      <c r="L33" s="23"/>
      <c r="M33" s="102"/>
      <c r="N33" s="30"/>
      <c r="O33" s="98"/>
      <c r="P33" s="363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>
      <c r="A34" s="17" t="s">
        <v>365</v>
      </c>
      <c r="B34" s="549"/>
      <c r="C34" s="18"/>
      <c r="D34" s="22"/>
      <c r="E34" s="19"/>
      <c r="F34" s="19"/>
      <c r="G34" s="19"/>
      <c r="H34" s="19"/>
      <c r="I34" s="19"/>
      <c r="J34" s="19"/>
      <c r="K34" s="19"/>
      <c r="L34" s="19"/>
      <c r="M34" s="19"/>
      <c r="N34" s="30"/>
      <c r="O34" s="30"/>
      <c r="P34" s="364"/>
      <c r="Q34" s="20">
        <f>Q11+Q17+Q25+Q32</f>
        <v>10.88975857713994</v>
      </c>
      <c r="R34" s="20">
        <f t="shared" ref="R34:Y34" si="16">R11+R17+R25+R32</f>
        <v>37.696974904293953</v>
      </c>
      <c r="S34" s="20">
        <f t="shared" si="16"/>
        <v>62.791667701615154</v>
      </c>
      <c r="T34" s="20">
        <f t="shared" si="16"/>
        <v>0.13128822596387243</v>
      </c>
      <c r="U34" s="20">
        <f t="shared" si="16"/>
        <v>2.7860013765537586</v>
      </c>
      <c r="V34" s="20">
        <f t="shared" si="16"/>
        <v>2.4795412251328446</v>
      </c>
      <c r="W34" s="20">
        <f t="shared" si="16"/>
        <v>11777.197003553474</v>
      </c>
      <c r="X34" s="20">
        <f t="shared" si="16"/>
        <v>1.0368068062828084</v>
      </c>
      <c r="Y34" s="20">
        <f t="shared" si="16"/>
        <v>5.9652084316534388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9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559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C9*(F9)*$B$343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C10*(F10)*$B$343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 ht="25.5">
      <c r="A13" s="114" t="s">
        <v>315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326</v>
      </c>
      <c r="B14" s="76" t="s">
        <v>95</v>
      </c>
      <c r="C14" s="79">
        <v>3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9.9891275533645019E-2</v>
      </c>
      <c r="U14" s="50">
        <f>C14*($F14*$H14)/453.59</f>
        <v>0.18440937782971867</v>
      </c>
      <c r="V14" s="50">
        <f>C14*(($F14*$I14))/453.59</f>
        <v>2.253067276294635E-2</v>
      </c>
      <c r="W14" s="50">
        <f>C14*($F14*$J14)/453.59</f>
        <v>1.3898613406074772E-3</v>
      </c>
      <c r="X14" s="50">
        <f>C14*(($F14*($K14+$L14+$M14)))/453.59</f>
        <v>3.6369464870151122E-2</v>
      </c>
      <c r="Y14" s="50">
        <f>C14*(($F14*($N14+$O14+$P14)))/453.59</f>
        <v>2.4166098982977401E-2</v>
      </c>
      <c r="Z14" s="50">
        <f>C14*(F14)*$B$343</f>
        <v>0</v>
      </c>
      <c r="AA14" s="50">
        <f>Z14*0.21</f>
        <v>0</v>
      </c>
      <c r="AB14" s="50">
        <f>C14*(($F14*($Q14)))/453.59</f>
        <v>96.814105590256631</v>
      </c>
      <c r="AC14" s="50">
        <f>C14*(($F14*($R14)))/453.59</f>
        <v>5.5322484357440338E-3</v>
      </c>
      <c r="AD14" s="50">
        <f>C14*(($F14*($S14)))/453.59</f>
        <v>2.4799901288000137E-3</v>
      </c>
    </row>
    <row r="15" spans="1:30">
      <c r="A15" s="78" t="s">
        <v>327</v>
      </c>
      <c r="B15" s="76" t="s">
        <v>105</v>
      </c>
      <c r="C15" s="374">
        <v>1</v>
      </c>
      <c r="D15" s="77"/>
      <c r="E15" s="77">
        <v>35</v>
      </c>
      <c r="F15" s="77">
        <v>80</v>
      </c>
      <c r="G15" s="106">
        <v>1.08263976628415</v>
      </c>
      <c r="H15" s="106">
        <v>4.9712718909585103</v>
      </c>
      <c r="I15" s="106">
        <v>0.26248012575016899</v>
      </c>
      <c r="J15" s="106">
        <v>1.0711818E-2</v>
      </c>
      <c r="K15" s="106">
        <v>7.1679901072141505E-2</v>
      </c>
      <c r="L15" s="576">
        <v>3.59998119015979E-2</v>
      </c>
      <c r="M15" s="576">
        <v>6.1739677411240299E-2</v>
      </c>
      <c r="N15" s="106">
        <v>6.5945508986370194E-2</v>
      </c>
      <c r="O15" s="576">
        <v>2.9999843251331498E-3</v>
      </c>
      <c r="P15" s="576">
        <v>5.5859708133979398E-2</v>
      </c>
      <c r="Q15" s="106">
        <v>1710.7260798814</v>
      </c>
      <c r="R15" s="47">
        <v>1.5235246282551899E-2</v>
      </c>
      <c r="S15" s="80">
        <f>0.000025616*Q15</f>
        <v>4.3821959262241944E-2</v>
      </c>
      <c r="T15" s="50">
        <f>C15*($F15*$G15)/453.59</f>
        <v>0.19094596728925242</v>
      </c>
      <c r="U15" s="50">
        <f>C15*($F15*$H15)/453.59</f>
        <v>0.87678685878586582</v>
      </c>
      <c r="V15" s="50">
        <f>C15*(($F15*$I15))/453.59</f>
        <v>4.6293811724274173E-2</v>
      </c>
      <c r="W15" s="50">
        <f>C15*($F15*$J15)/453.59</f>
        <v>1.8892511739676801E-3</v>
      </c>
      <c r="X15" s="50">
        <f>C15*(($F15*($K15+$L15+$M15)))/453.59</f>
        <v>2.9880621774726907E-2</v>
      </c>
      <c r="Y15" s="50">
        <f>C15*(($F15*($N15+$O15+$P15)))/453.59</f>
        <v>2.2011984646131133E-2</v>
      </c>
      <c r="Z15" s="50">
        <f>C15*(F15)*$B$343</f>
        <v>0</v>
      </c>
      <c r="AA15" s="50">
        <f>Z15*0.21</f>
        <v>0</v>
      </c>
      <c r="AB15" s="50">
        <f>C15*(($F15*($Q15)))/453.59</f>
        <v>301.72200972356535</v>
      </c>
      <c r="AC15" s="50">
        <f>C15*(($F15*($R15)))/453.59</f>
        <v>2.6870515280410772E-3</v>
      </c>
      <c r="AD15" s="50">
        <f>C15*(($F15*($S15)))/453.59</f>
        <v>7.7289110010788503E-3</v>
      </c>
    </row>
    <row r="16" spans="1:30">
      <c r="A16" s="75" t="s">
        <v>28</v>
      </c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>
        <f t="shared" ref="T16:AD16" si="1">SUM(T14:T15)</f>
        <v>0.29083724282289747</v>
      </c>
      <c r="U16" s="81">
        <f t="shared" si="1"/>
        <v>1.0611962366155845</v>
      </c>
      <c r="V16" s="81">
        <f t="shared" si="1"/>
        <v>6.8824484487220519E-2</v>
      </c>
      <c r="W16" s="81">
        <f t="shared" si="1"/>
        <v>3.2791125145751575E-3</v>
      </c>
      <c r="X16" s="81">
        <f t="shared" si="1"/>
        <v>6.6250086644878026E-2</v>
      </c>
      <c r="Y16" s="81">
        <f t="shared" si="1"/>
        <v>4.6178083629108538E-2</v>
      </c>
      <c r="Z16" s="81">
        <f t="shared" si="1"/>
        <v>0</v>
      </c>
      <c r="AA16" s="81">
        <f t="shared" si="1"/>
        <v>0</v>
      </c>
      <c r="AB16" s="81">
        <f t="shared" si="1"/>
        <v>398.53611531382199</v>
      </c>
      <c r="AC16" s="81">
        <f t="shared" si="1"/>
        <v>8.2192999637851101E-3</v>
      </c>
      <c r="AD16" s="81">
        <f t="shared" si="1"/>
        <v>1.0208901129878864E-2</v>
      </c>
    </row>
    <row r="17" spans="1:30">
      <c r="A17" s="75"/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</row>
    <row r="18" spans="1:30">
      <c r="A18" s="114" t="s">
        <v>330</v>
      </c>
      <c r="B18" s="74"/>
      <c r="C18" s="112"/>
      <c r="D18" s="112"/>
      <c r="E18" s="74"/>
      <c r="F18" s="74"/>
      <c r="G18" s="577"/>
      <c r="H18" s="41"/>
      <c r="I18" s="41"/>
      <c r="J18" s="41"/>
      <c r="K18" s="574"/>
      <c r="L18" s="574"/>
      <c r="M18" s="574"/>
      <c r="N18" s="574"/>
      <c r="O18" s="574"/>
      <c r="P18" s="574"/>
      <c r="Q18" s="41"/>
      <c r="R18" s="574"/>
      <c r="S18" s="574"/>
      <c r="T18" s="61"/>
      <c r="U18" s="61"/>
      <c r="V18" s="61"/>
      <c r="W18" s="61"/>
      <c r="X18" s="61"/>
      <c r="Y18" s="61"/>
      <c r="Z18" s="62"/>
      <c r="AA18" s="62"/>
      <c r="AB18" s="62"/>
      <c r="AC18" s="62"/>
      <c r="AD18" s="62"/>
    </row>
    <row r="19" spans="1:30">
      <c r="A19" s="78" t="s">
        <v>320</v>
      </c>
      <c r="B19" s="76" t="s">
        <v>95</v>
      </c>
      <c r="C19" s="79">
        <v>12</v>
      </c>
      <c r="D19" s="77"/>
      <c r="E19" s="77">
        <v>35</v>
      </c>
      <c r="F19" s="77">
        <v>60</v>
      </c>
      <c r="G19" s="106">
        <v>0.25172046482947802</v>
      </c>
      <c r="H19" s="106">
        <v>0.464701387165456</v>
      </c>
      <c r="I19" s="106">
        <v>5.6776043658582402E-2</v>
      </c>
      <c r="J19" s="106">
        <v>3.5023733638119199E-3</v>
      </c>
      <c r="K19" s="106">
        <v>4.6899256897933901E-2</v>
      </c>
      <c r="L19" s="47">
        <v>7.99995847163921E-3</v>
      </c>
      <c r="M19" s="47">
        <v>3.6749815577381599E-2</v>
      </c>
      <c r="N19" s="106">
        <v>4.3147317248333997E-2</v>
      </c>
      <c r="O19" s="47">
        <v>1.9999896145790402E-3</v>
      </c>
      <c r="P19" s="47">
        <v>1.57499200131354E-2</v>
      </c>
      <c r="Q19" s="106">
        <v>243.966167526025</v>
      </c>
      <c r="R19" s="47">
        <f>0.000057143*Q19</f>
        <v>1.3940958710939646E-2</v>
      </c>
      <c r="S19" s="80">
        <f>0.000025616*Q19</f>
        <v>6.2494373473466567E-3</v>
      </c>
      <c r="T19" s="50">
        <f>C19*($F19*$G19)/453.59</f>
        <v>0.39956510213458007</v>
      </c>
      <c r="U19" s="50">
        <f>C19*($F19*$H19)/453.59</f>
        <v>0.73763751131887467</v>
      </c>
      <c r="V19" s="50">
        <f>C19*(($F19*$I19))/453.59</f>
        <v>9.01226910517854E-2</v>
      </c>
      <c r="W19" s="50">
        <f>C19*($F19*$J19)/453.59</f>
        <v>5.5594453624299087E-3</v>
      </c>
      <c r="X19" s="50">
        <f>C19*(($F19*($K19+$L19+$M19)))/453.59</f>
        <v>0.14547785948060449</v>
      </c>
      <c r="Y19" s="50">
        <f>C19*(($F19*($N19+$O19+$P19)))/453.59</f>
        <v>9.6664395931909605E-2</v>
      </c>
      <c r="Z19" s="50">
        <f>C19*(F19)*$B$343</f>
        <v>0</v>
      </c>
      <c r="AA19" s="50">
        <f>Z19*0.21</f>
        <v>0</v>
      </c>
      <c r="AB19" s="50">
        <f>C19*(($F19*($Q19)))/453.59</f>
        <v>387.25642236102652</v>
      </c>
      <c r="AC19" s="50">
        <f>C19*(($F19*($R19)))/453.59</f>
        <v>2.2128993742976135E-2</v>
      </c>
      <c r="AD19" s="50">
        <f>C19*(($F19*($S19)))/453.59</f>
        <v>9.9199605152000547E-3</v>
      </c>
    </row>
    <row r="20" spans="1:30">
      <c r="A20" s="75" t="s">
        <v>28</v>
      </c>
      <c r="B20" s="74"/>
      <c r="C20" s="112"/>
      <c r="D20" s="112"/>
      <c r="E20" s="74"/>
      <c r="F20" s="74"/>
      <c r="G20" s="577"/>
      <c r="H20" s="41"/>
      <c r="I20" s="41"/>
      <c r="J20" s="41"/>
      <c r="K20" s="574"/>
      <c r="L20" s="574"/>
      <c r="M20" s="574"/>
      <c r="N20" s="574"/>
      <c r="O20" s="574"/>
      <c r="P20" s="574"/>
      <c r="Q20" s="41"/>
      <c r="R20" s="574"/>
      <c r="S20" s="574"/>
      <c r="T20" s="81">
        <f t="shared" ref="T20:AD20" si="2">SUM(T19:T19)</f>
        <v>0.39956510213458007</v>
      </c>
      <c r="U20" s="81">
        <f t="shared" si="2"/>
        <v>0.73763751131887467</v>
      </c>
      <c r="V20" s="81">
        <f t="shared" si="2"/>
        <v>9.01226910517854E-2</v>
      </c>
      <c r="W20" s="81">
        <f t="shared" si="2"/>
        <v>5.5594453624299087E-3</v>
      </c>
      <c r="X20" s="81">
        <f t="shared" si="2"/>
        <v>0.14547785948060449</v>
      </c>
      <c r="Y20" s="81">
        <f t="shared" si="2"/>
        <v>9.6664395931909605E-2</v>
      </c>
      <c r="Z20" s="81">
        <f t="shared" si="2"/>
        <v>0</v>
      </c>
      <c r="AA20" s="81">
        <f t="shared" si="2"/>
        <v>0</v>
      </c>
      <c r="AB20" s="81">
        <f t="shared" si="2"/>
        <v>387.25642236102652</v>
      </c>
      <c r="AC20" s="81">
        <f t="shared" si="2"/>
        <v>2.2128993742976135E-2</v>
      </c>
      <c r="AD20" s="81">
        <f t="shared" si="2"/>
        <v>9.9199605152000547E-3</v>
      </c>
    </row>
    <row r="21" spans="1:30">
      <c r="A21" s="573"/>
      <c r="B21" s="74"/>
      <c r="C21" s="112"/>
      <c r="D21" s="112"/>
      <c r="E21" s="74"/>
      <c r="F21" s="74"/>
      <c r="G21" s="577"/>
      <c r="H21" s="41"/>
      <c r="I21" s="41"/>
      <c r="J21" s="41"/>
      <c r="K21" s="574"/>
      <c r="L21" s="574"/>
      <c r="M21" s="574"/>
      <c r="N21" s="574"/>
      <c r="O21" s="574"/>
      <c r="P21" s="574"/>
      <c r="Q21" s="41"/>
      <c r="R21" s="574"/>
      <c r="S21" s="574"/>
      <c r="T21" s="61"/>
      <c r="U21" s="61"/>
      <c r="V21" s="61"/>
      <c r="W21" s="61"/>
      <c r="X21" s="61"/>
      <c r="Y21" s="61"/>
      <c r="Z21" s="62"/>
      <c r="AA21" s="62"/>
      <c r="AB21" s="62"/>
      <c r="AC21" s="62"/>
      <c r="AD21" s="62"/>
    </row>
    <row r="22" spans="1:30">
      <c r="A22" s="114" t="s">
        <v>426</v>
      </c>
      <c r="B22" s="74"/>
      <c r="C22" s="112"/>
      <c r="D22" s="112"/>
      <c r="E22" s="74"/>
      <c r="F22" s="74"/>
      <c r="G22" s="577"/>
      <c r="H22" s="41"/>
      <c r="I22" s="41"/>
      <c r="J22" s="41"/>
      <c r="K22" s="574"/>
      <c r="L22" s="574"/>
      <c r="M22" s="574"/>
      <c r="N22" s="574"/>
      <c r="O22" s="574"/>
      <c r="P22" s="574"/>
      <c r="Q22" s="41"/>
      <c r="R22" s="574"/>
      <c r="S22" s="574"/>
      <c r="T22" s="61"/>
      <c r="U22" s="61"/>
      <c r="V22" s="61"/>
      <c r="W22" s="61"/>
      <c r="X22" s="61"/>
      <c r="Y22" s="61"/>
      <c r="Z22" s="62"/>
      <c r="AA22" s="62"/>
      <c r="AB22" s="62"/>
      <c r="AC22" s="62"/>
      <c r="AD22" s="62"/>
    </row>
    <row r="23" spans="1:30">
      <c r="A23" s="78" t="s">
        <v>320</v>
      </c>
      <c r="B23" s="76" t="s">
        <v>95</v>
      </c>
      <c r="C23" s="79">
        <v>10</v>
      </c>
      <c r="D23" s="77"/>
      <c r="E23" s="77">
        <v>35</v>
      </c>
      <c r="F23" s="77">
        <v>60</v>
      </c>
      <c r="G23" s="106">
        <v>0.25172046482947802</v>
      </c>
      <c r="H23" s="106">
        <v>0.464701387165456</v>
      </c>
      <c r="I23" s="106">
        <v>5.6776043658582402E-2</v>
      </c>
      <c r="J23" s="106">
        <v>3.5023733638119199E-3</v>
      </c>
      <c r="K23" s="106">
        <v>4.6899256897933901E-2</v>
      </c>
      <c r="L23" s="47">
        <v>7.99995847163921E-3</v>
      </c>
      <c r="M23" s="47">
        <v>3.6749815577381599E-2</v>
      </c>
      <c r="N23" s="106">
        <v>4.3147317248333997E-2</v>
      </c>
      <c r="O23" s="47">
        <v>1.9999896145790402E-3</v>
      </c>
      <c r="P23" s="47">
        <v>1.57499200131354E-2</v>
      </c>
      <c r="Q23" s="106">
        <v>243.966167526025</v>
      </c>
      <c r="R23" s="47">
        <f>0.000057143*Q23</f>
        <v>1.3940958710939646E-2</v>
      </c>
      <c r="S23" s="80">
        <f>0.000025616*Q23</f>
        <v>6.2494373473466567E-3</v>
      </c>
      <c r="T23" s="50">
        <f>C23*($F23*$G23)/453.59</f>
        <v>0.33297091844548338</v>
      </c>
      <c r="U23" s="50">
        <f>C23*($F23*$H23)/453.59</f>
        <v>0.61469792609906215</v>
      </c>
      <c r="V23" s="50">
        <f>C23*(($F23*$I23))/453.59</f>
        <v>7.5102242543154479E-2</v>
      </c>
      <c r="W23" s="50">
        <f>C23*($F23*$J23)/453.59</f>
        <v>4.6328711353582578E-3</v>
      </c>
      <c r="X23" s="50">
        <f>C23*(($F23*($K23+$L23+$M23)))/453.59</f>
        <v>0.12123154956717042</v>
      </c>
      <c r="Y23" s="50">
        <f>C23*(($F23*($N23+$O23+$P23)))/453.59</f>
        <v>8.0553663276591345E-2</v>
      </c>
      <c r="Z23" s="50">
        <f>C23*(F23)*$B$343</f>
        <v>0</v>
      </c>
      <c r="AA23" s="50">
        <f>Z23*0.21</f>
        <v>0</v>
      </c>
      <c r="AB23" s="50">
        <f>C23*(($F23*($Q23)))/453.59</f>
        <v>322.71368530085539</v>
      </c>
      <c r="AC23" s="50">
        <f>C23*(($F23*($R23)))/453.59</f>
        <v>1.8440828119146779E-2</v>
      </c>
      <c r="AD23" s="50">
        <f>C23*(($F23*($S23)))/453.59</f>
        <v>8.2666337626667117E-3</v>
      </c>
    </row>
    <row r="24" spans="1:30">
      <c r="A24" s="75" t="s">
        <v>28</v>
      </c>
      <c r="B24" s="74"/>
      <c r="C24" s="112"/>
      <c r="D24" s="112"/>
      <c r="E24" s="74"/>
      <c r="F24" s="74"/>
      <c r="G24" s="577"/>
      <c r="H24" s="41"/>
      <c r="I24" s="41"/>
      <c r="J24" s="41"/>
      <c r="K24" s="574"/>
      <c r="L24" s="574"/>
      <c r="M24" s="574"/>
      <c r="N24" s="574"/>
      <c r="O24" s="574"/>
      <c r="P24" s="574"/>
      <c r="Q24" s="41"/>
      <c r="R24" s="574"/>
      <c r="S24" s="574"/>
      <c r="T24" s="81">
        <f t="shared" ref="T24:AD24" si="3">SUM(T23:T23)</f>
        <v>0.33297091844548338</v>
      </c>
      <c r="U24" s="81">
        <f t="shared" si="3"/>
        <v>0.61469792609906215</v>
      </c>
      <c r="V24" s="81">
        <f t="shared" si="3"/>
        <v>7.5102242543154479E-2</v>
      </c>
      <c r="W24" s="81">
        <f t="shared" si="3"/>
        <v>4.6328711353582578E-3</v>
      </c>
      <c r="X24" s="81">
        <f t="shared" si="3"/>
        <v>0.12123154956717042</v>
      </c>
      <c r="Y24" s="81">
        <f t="shared" si="3"/>
        <v>8.0553663276591345E-2</v>
      </c>
      <c r="Z24" s="81">
        <f t="shared" si="3"/>
        <v>0</v>
      </c>
      <c r="AA24" s="81">
        <f t="shared" si="3"/>
        <v>0</v>
      </c>
      <c r="AB24" s="81">
        <f t="shared" si="3"/>
        <v>322.71368530085539</v>
      </c>
      <c r="AC24" s="81">
        <f t="shared" si="3"/>
        <v>1.8440828119146779E-2</v>
      </c>
      <c r="AD24" s="81">
        <f t="shared" si="3"/>
        <v>8.2666337626667117E-3</v>
      </c>
    </row>
    <row r="25" spans="1:30">
      <c r="A25" s="75" t="s">
        <v>388</v>
      </c>
      <c r="B25" s="74"/>
      <c r="C25" s="112"/>
      <c r="D25" s="112"/>
      <c r="E25" s="74"/>
      <c r="F25" s="74"/>
      <c r="G25" s="547"/>
      <c r="H25" s="41"/>
      <c r="I25" s="41"/>
      <c r="J25" s="41"/>
      <c r="K25" s="544"/>
      <c r="L25" s="544"/>
      <c r="M25" s="544"/>
      <c r="N25" s="544"/>
      <c r="O25" s="544"/>
      <c r="P25" s="544"/>
      <c r="Q25" s="41"/>
      <c r="R25" s="544"/>
      <c r="S25" s="544"/>
      <c r="T25" s="81">
        <f>T11+T16+T20+T24</f>
        <v>1.3142105062258584</v>
      </c>
      <c r="U25" s="81">
        <f t="shared" ref="U25:AD25" si="4">U11+U16+U20+U24</f>
        <v>3.474727910649106</v>
      </c>
      <c r="V25" s="81">
        <f t="shared" si="4"/>
        <v>0.30287390256938096</v>
      </c>
      <c r="W25" s="81">
        <f t="shared" si="4"/>
        <v>1.675054152693848E-2</v>
      </c>
      <c r="X25" s="81">
        <f t="shared" si="4"/>
        <v>0.39920958233753095</v>
      </c>
      <c r="Y25" s="81">
        <f t="shared" si="4"/>
        <v>0.26957422646671803</v>
      </c>
      <c r="Z25" s="81">
        <f t="shared" si="4"/>
        <v>0</v>
      </c>
      <c r="AA25" s="81">
        <f t="shared" si="4"/>
        <v>0</v>
      </c>
      <c r="AB25" s="81">
        <f t="shared" si="4"/>
        <v>1507.0423382895258</v>
      </c>
      <c r="AC25" s="81">
        <f t="shared" si="4"/>
        <v>5.7008421789693134E-2</v>
      </c>
      <c r="AD25" s="81">
        <f t="shared" si="4"/>
        <v>3.8604396537624493E-2</v>
      </c>
    </row>
    <row r="26" spans="1:30">
      <c r="A26" s="370"/>
      <c r="B26" s="371"/>
      <c r="C26" s="372"/>
      <c r="D26" s="372"/>
      <c r="E26" s="371"/>
      <c r="F26" s="371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</row>
    <row r="27" spans="1:30">
      <c r="A27" s="370"/>
      <c r="B27" s="371"/>
      <c r="C27" s="372"/>
      <c r="D27" s="372"/>
      <c r="E27" s="371"/>
      <c r="F27" s="371"/>
      <c r="G27" s="373"/>
      <c r="H27" s="373"/>
      <c r="I27" s="373"/>
      <c r="J27" s="373"/>
      <c r="K27" s="373"/>
      <c r="L27" s="373"/>
      <c r="M27" s="373"/>
      <c r="N27" s="373"/>
      <c r="O27" s="373"/>
      <c r="P27" s="373"/>
      <c r="Q27" s="373"/>
      <c r="R27" s="373"/>
      <c r="S27" s="373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</row>
    <row r="28" spans="1:30">
      <c r="A28" s="370"/>
      <c r="B28" s="371"/>
      <c r="C28" s="372"/>
      <c r="D28" s="372"/>
      <c r="E28" s="371"/>
      <c r="F28" s="371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</row>
    <row r="29" spans="1:30">
      <c r="A29" s="370"/>
      <c r="B29" s="371"/>
      <c r="C29" s="372"/>
      <c r="D29" s="372"/>
      <c r="E29" s="371"/>
      <c r="F29" s="371"/>
      <c r="G29" s="373"/>
      <c r="H29" s="373"/>
      <c r="I29" s="373"/>
      <c r="J29" s="373"/>
      <c r="K29" s="373"/>
      <c r="L29" s="373"/>
      <c r="M29" s="373"/>
      <c r="N29" s="373"/>
      <c r="O29" s="373"/>
      <c r="P29" s="373"/>
      <c r="Q29" s="373"/>
      <c r="R29" s="373"/>
      <c r="S29" s="373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</row>
    <row r="377" spans="1:1" ht="25.5">
      <c r="A377" s="82" t="s">
        <v>109</v>
      </c>
    </row>
    <row r="379" spans="1:1">
      <c r="A379" s="36" t="s">
        <v>81</v>
      </c>
    </row>
    <row r="380" spans="1:1">
      <c r="A380" s="36" t="s">
        <v>82</v>
      </c>
    </row>
    <row r="381" spans="1:1">
      <c r="A381" s="36" t="s">
        <v>83</v>
      </c>
    </row>
    <row r="382" spans="1:1">
      <c r="A382" s="37" t="s">
        <v>96</v>
      </c>
    </row>
    <row r="383" spans="1:1">
      <c r="A383" s="36" t="s">
        <v>85</v>
      </c>
    </row>
    <row r="384" spans="1:1">
      <c r="A384" s="36" t="s">
        <v>86</v>
      </c>
    </row>
    <row r="385" spans="1:2">
      <c r="A385" s="36" t="s">
        <v>87</v>
      </c>
    </row>
    <row r="386" spans="1:2">
      <c r="A386" s="36" t="s">
        <v>0</v>
      </c>
    </row>
    <row r="387" spans="1:2">
      <c r="A387" s="37" t="s">
        <v>97</v>
      </c>
      <c r="B387" s="36">
        <f>(0.016*(0.03/2)^0.65*(2/3)^1.5)-0.00047</f>
        <v>9.8123053326417428E-5</v>
      </c>
    </row>
    <row r="388" spans="1:2">
      <c r="A388" s="37" t="s">
        <v>98</v>
      </c>
      <c r="B388" s="36">
        <f>(0.016*(0.03/2)^0.65*(13/3)^1.5)-0.00047</f>
        <v>8.9448292388582783E-3</v>
      </c>
    </row>
    <row r="389" spans="1:2">
      <c r="A389" s="37" t="s">
        <v>99</v>
      </c>
      <c r="B389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5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560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346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7" si="0">0.000049261*AA4</f>
        <v>2.2095931710230707E-2</v>
      </c>
      <c r="AD4" s="49">
        <v>3.2599999999999997E-2</v>
      </c>
      <c r="AE4" s="47">
        <f t="shared" ref="AE4:AE7" si="1">0.000021675*AA4</f>
        <v>9.7222817202097123E-3</v>
      </c>
    </row>
    <row r="5" spans="1:67" ht="25.5">
      <c r="A5" s="44" t="s">
        <v>328</v>
      </c>
      <c r="B5" s="45" t="s">
        <v>102</v>
      </c>
      <c r="C5" s="46">
        <v>3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330</v>
      </c>
      <c r="B6" s="45" t="s">
        <v>102</v>
      </c>
      <c r="C6" s="46">
        <v>19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 ht="25.5">
      <c r="A7" s="44" t="s">
        <v>426</v>
      </c>
      <c r="B7" s="45" t="s">
        <v>102</v>
      </c>
      <c r="C7" s="46">
        <v>14</v>
      </c>
      <c r="D7" s="46">
        <v>35</v>
      </c>
      <c r="E7" s="46">
        <v>80</v>
      </c>
      <c r="F7" s="47">
        <v>2.3611622044318601</v>
      </c>
      <c r="G7" s="48">
        <v>31.4244798871777</v>
      </c>
      <c r="H7" s="48">
        <v>0.22493614397154399</v>
      </c>
      <c r="I7" s="48">
        <v>1.8136819244333999</v>
      </c>
      <c r="J7" s="47">
        <v>5.7965153248686403E-2</v>
      </c>
      <c r="K7" s="48">
        <v>2.3946366793705498</v>
      </c>
      <c r="L7" s="48">
        <v>1.62197187247403</v>
      </c>
      <c r="M7" s="48">
        <v>0.70709499821369304</v>
      </c>
      <c r="N7" s="48">
        <v>0.16038404042738499</v>
      </c>
      <c r="O7" s="48">
        <v>0.71464703099800198</v>
      </c>
      <c r="P7" s="48">
        <v>4.0478385316323803E-3</v>
      </c>
      <c r="Q7" s="48">
        <v>5.8407810191933099E-3</v>
      </c>
      <c r="R7" s="47">
        <v>3.2157701660956101E-3</v>
      </c>
      <c r="S7" s="48">
        <v>2.9198634356063399E-2</v>
      </c>
      <c r="T7" s="48">
        <v>7.9999583995993707E-3</v>
      </c>
      <c r="U7" s="48">
        <v>3.6749815874576097E-2</v>
      </c>
      <c r="V7" s="48">
        <v>2.9606446234606999E-3</v>
      </c>
      <c r="W7" s="48">
        <v>2.6884174180557701E-2</v>
      </c>
      <c r="X7" s="48">
        <v>1.9999896010969099E-3</v>
      </c>
      <c r="Y7" s="48">
        <v>1.57499197860352E-2</v>
      </c>
      <c r="Z7" s="48">
        <v>308.63789988642998</v>
      </c>
      <c r="AA7" s="48">
        <v>448.54817624958298</v>
      </c>
      <c r="AB7" s="47">
        <v>1.77E-2</v>
      </c>
      <c r="AC7" s="47">
        <f t="shared" si="0"/>
        <v>2.2095931710230707E-2</v>
      </c>
      <c r="AD7" s="49">
        <v>3.2599999999999997E-2</v>
      </c>
      <c r="AE7" s="47">
        <f t="shared" si="1"/>
        <v>9.7222817202097123E-3</v>
      </c>
    </row>
    <row r="8" spans="1:67">
      <c r="A8" s="52"/>
      <c r="B8" s="52"/>
      <c r="C8" s="53"/>
      <c r="D8" s="54"/>
      <c r="E8" s="54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</row>
    <row r="9" spans="1:67" ht="25.5">
      <c r="A9" s="55" t="s">
        <v>504</v>
      </c>
      <c r="B9" s="37"/>
      <c r="C9" s="37"/>
    </row>
    <row r="10" spans="1:67">
      <c r="A10" s="55" t="s">
        <v>77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84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</row>
    <row r="11" spans="1:67">
      <c r="A11" s="55" t="s">
        <v>78</v>
      </c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t="38.25" hidden="1">
      <c r="A12" s="55" t="s">
        <v>79</v>
      </c>
      <c r="B12" s="37"/>
      <c r="C12" s="37"/>
      <c r="AA12" s="57"/>
      <c r="AB12" s="58" t="s">
        <v>80</v>
      </c>
      <c r="AC12" s="57"/>
      <c r="AD12" s="57"/>
      <c r="AE12" s="57"/>
      <c r="AF12" s="57" t="e">
        <f>#REF!/60</f>
        <v>#REF!</v>
      </c>
      <c r="AG12" s="57" t="e">
        <f>#REF!/60</f>
        <v>#REF!</v>
      </c>
      <c r="AH12" s="57" t="e">
        <f>#REF!/60</f>
        <v>#REF!</v>
      </c>
      <c r="AI12" s="57" t="e">
        <f>#REF!/60</f>
        <v>#REF!</v>
      </c>
      <c r="AJ12" s="57" t="e">
        <f>#REF!/60</f>
        <v>#REF!</v>
      </c>
      <c r="AK12" s="57" t="e">
        <f>#REF!/60</f>
        <v>#REF!</v>
      </c>
      <c r="AL12" s="57" t="e">
        <f>#REF!/60</f>
        <v>#REF!</v>
      </c>
      <c r="AM12" s="57" t="e">
        <f>#REF!/60</f>
        <v>#REF!</v>
      </c>
      <c r="AN12" s="57" t="e">
        <f>#REF!/60</f>
        <v>#REF!</v>
      </c>
      <c r="AO12" s="57" t="e">
        <f>#REF!/60</f>
        <v>#REF!</v>
      </c>
      <c r="AP12" s="57"/>
      <c r="AQ12" s="57"/>
      <c r="AR12" s="57" t="e">
        <f>#REF!/60</f>
        <v>#REF!</v>
      </c>
      <c r="AS12" s="57" t="e">
        <f>#REF!/60</f>
        <v>#REF!</v>
      </c>
      <c r="AT12" s="57" t="e">
        <f>#REF!/60</f>
        <v>#REF!</v>
      </c>
      <c r="AU12" s="57" t="e">
        <f>#REF!/60</f>
        <v>#REF!</v>
      </c>
      <c r="AV12" s="57" t="e">
        <f>#REF!/60</f>
        <v>#REF!</v>
      </c>
      <c r="AW12" s="57" t="e">
        <f>#REF!/60</f>
        <v>#REF!</v>
      </c>
      <c r="AX12" s="57" t="e">
        <f>#REF!/60</f>
        <v>#REF!</v>
      </c>
      <c r="AY12" s="57" t="e">
        <f>#REF!/60</f>
        <v>#REF!</v>
      </c>
      <c r="AZ12" s="57" t="e">
        <f>#REF!/60</f>
        <v>#REF!</v>
      </c>
      <c r="BA12" s="57" t="e">
        <f>#REF!/60</f>
        <v>#REF!</v>
      </c>
    </row>
    <row r="13" spans="1:67" hidden="1">
      <c r="A13" s="55"/>
      <c r="B13" s="37"/>
      <c r="C13" s="3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9"/>
      <c r="AS13" s="59"/>
      <c r="AT13" s="59"/>
      <c r="AU13" s="59"/>
      <c r="AV13" s="59"/>
      <c r="AW13" s="59"/>
      <c r="AX13" s="59"/>
      <c r="AY13" s="59"/>
      <c r="AZ13" s="60"/>
      <c r="BA13" s="59"/>
    </row>
    <row r="14" spans="1:67" hidden="1">
      <c r="A14" s="37"/>
      <c r="B14" s="37"/>
      <c r="C14" s="37"/>
      <c r="AF14" s="596" t="s">
        <v>64</v>
      </c>
      <c r="AG14" s="596"/>
      <c r="AH14" s="596"/>
      <c r="AI14" s="596"/>
      <c r="AJ14" s="596"/>
      <c r="AK14" s="597"/>
      <c r="AL14" s="597"/>
      <c r="AM14" s="597"/>
      <c r="AN14" s="597"/>
      <c r="AO14" s="597"/>
      <c r="AP14" s="546"/>
      <c r="AQ14" s="56"/>
      <c r="AR14" s="596" t="s">
        <v>65</v>
      </c>
      <c r="AS14" s="596"/>
      <c r="AT14" s="596"/>
      <c r="AU14" s="596"/>
      <c r="AV14" s="596"/>
      <c r="AW14" s="597"/>
      <c r="AX14" s="597"/>
      <c r="AY14" s="597"/>
      <c r="AZ14" s="597"/>
      <c r="BA14" s="597"/>
    </row>
    <row r="15" spans="1:67" ht="63.75" hidden="1">
      <c r="A15" s="37"/>
      <c r="B15" s="37"/>
      <c r="C15" s="37"/>
      <c r="AF15" s="61" t="s">
        <v>55</v>
      </c>
      <c r="AG15" s="61" t="s">
        <v>73</v>
      </c>
      <c r="AH15" s="61" t="s">
        <v>74</v>
      </c>
      <c r="AI15" s="61" t="s">
        <v>58</v>
      </c>
      <c r="AJ15" s="61" t="s">
        <v>59</v>
      </c>
      <c r="AK15" s="61" t="s">
        <v>60</v>
      </c>
      <c r="AL15" s="62" t="s">
        <v>75</v>
      </c>
      <c r="AM15" s="62" t="s">
        <v>76</v>
      </c>
      <c r="AN15" s="62" t="s">
        <v>61</v>
      </c>
      <c r="AO15" s="62" t="s">
        <v>62</v>
      </c>
      <c r="AP15" s="62"/>
      <c r="AQ15" s="43"/>
      <c r="AR15" s="61" t="s">
        <v>55</v>
      </c>
      <c r="AS15" s="61" t="s">
        <v>73</v>
      </c>
      <c r="AT15" s="61" t="s">
        <v>74</v>
      </c>
      <c r="AU15" s="61" t="s">
        <v>58</v>
      </c>
      <c r="AV15" s="61" t="s">
        <v>59</v>
      </c>
      <c r="AW15" s="61" t="s">
        <v>60</v>
      </c>
      <c r="AX15" s="62" t="s">
        <v>75</v>
      </c>
      <c r="AY15" s="62" t="s">
        <v>76</v>
      </c>
      <c r="AZ15" s="63" t="s">
        <v>61</v>
      </c>
      <c r="BA15" s="61" t="s">
        <v>62</v>
      </c>
    </row>
    <row r="16" spans="1:67" hidden="1">
      <c r="A16" s="37" t="s">
        <v>81</v>
      </c>
      <c r="B16" s="37"/>
      <c r="C16" s="37"/>
      <c r="AA16" s="64" t="s">
        <v>29</v>
      </c>
      <c r="AB16" s="65" t="s">
        <v>30</v>
      </c>
      <c r="AC16" s="65" t="s">
        <v>31</v>
      </c>
      <c r="AD16" s="65"/>
      <c r="AE16" s="65"/>
      <c r="AQ16" s="38"/>
    </row>
    <row r="17" spans="1:53" hidden="1">
      <c r="A17" s="37" t="s">
        <v>82</v>
      </c>
      <c r="B17" s="37"/>
      <c r="C17" s="37"/>
      <c r="AA17" s="64"/>
      <c r="AB17" s="65" t="s">
        <v>32</v>
      </c>
      <c r="AC17" s="65">
        <v>13.25</v>
      </c>
      <c r="AD17" s="65"/>
      <c r="AE17" s="65"/>
      <c r="AF17" s="36" t="e">
        <f>AF$12*$AC17</f>
        <v>#REF!</v>
      </c>
      <c r="AG17" s="36" t="e">
        <f t="shared" ref="AG17:AO25" si="2">AG$12*$AC17</f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>AR$12*$AC17</f>
        <v>#REF!</v>
      </c>
      <c r="AS17" s="36" t="e">
        <f t="shared" ref="AS17:BA25" si="3">AS$12*$AC17</f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83</v>
      </c>
      <c r="B18" s="37"/>
      <c r="C18" s="37"/>
      <c r="AA18" s="64"/>
      <c r="AB18" s="65" t="s">
        <v>33</v>
      </c>
      <c r="AC18" s="65">
        <v>20.298999999999999</v>
      </c>
      <c r="AD18" s="65"/>
      <c r="AE18" s="65"/>
      <c r="AF18" s="36" t="e">
        <f t="shared" ref="AF18:AF25" si="4">AF$12*$AC18</f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ref="AR18:AR25" si="5">AR$12*$AC18</f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84</v>
      </c>
      <c r="B19" s="37"/>
      <c r="C19" s="37"/>
      <c r="AA19" s="64"/>
      <c r="AB19" s="65" t="s">
        <v>34</v>
      </c>
      <c r="AC19" s="65">
        <v>21.68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85</v>
      </c>
      <c r="B20" s="37"/>
      <c r="C20" s="37"/>
      <c r="AA20" s="64"/>
      <c r="AB20" s="65" t="s">
        <v>35</v>
      </c>
      <c r="AC20" s="65">
        <v>9.3046500000000005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86</v>
      </c>
      <c r="B21" s="37"/>
      <c r="C21" s="37"/>
      <c r="AA21" s="64"/>
      <c r="AB21" s="65" t="s">
        <v>36</v>
      </c>
      <c r="AC21" s="65">
        <v>5.0347999999999997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87</v>
      </c>
      <c r="B22" s="37"/>
      <c r="C22" s="37"/>
      <c r="AA22" s="64"/>
      <c r="AB22" s="65" t="s">
        <v>37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0</v>
      </c>
      <c r="B23" s="37"/>
      <c r="C23" s="37"/>
      <c r="AA23" s="64"/>
      <c r="AB23" s="65" t="s">
        <v>38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 t="s">
        <v>59</v>
      </c>
      <c r="B24" s="37">
        <f>(0.016*(0.03/2)^0.65*(2/3)^1.5)-0.00047</f>
        <v>9.8123053326417428E-5</v>
      </c>
      <c r="C24" s="37"/>
      <c r="AA24" s="64"/>
      <c r="AB24" s="65" t="s">
        <v>39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 t="s">
        <v>40</v>
      </c>
      <c r="AC25" s="65">
        <v>0</v>
      </c>
      <c r="AD25" s="65"/>
      <c r="AE25" s="65"/>
      <c r="AF25" s="36" t="e">
        <f t="shared" si="4"/>
        <v>#REF!</v>
      </c>
      <c r="AG25" s="36" t="e">
        <f t="shared" si="2"/>
        <v>#REF!</v>
      </c>
      <c r="AH25" s="36" t="e">
        <f t="shared" si="2"/>
        <v>#REF!</v>
      </c>
      <c r="AI25" s="36" t="e">
        <f t="shared" si="2"/>
        <v>#REF!</v>
      </c>
      <c r="AJ25" s="36" t="e">
        <f t="shared" si="2"/>
        <v>#REF!</v>
      </c>
      <c r="AK25" s="36" t="e">
        <f t="shared" si="2"/>
        <v>#REF!</v>
      </c>
      <c r="AL25" s="36" t="e">
        <f t="shared" si="2"/>
        <v>#REF!</v>
      </c>
      <c r="AM25" s="36" t="e">
        <f t="shared" si="2"/>
        <v>#REF!</v>
      </c>
      <c r="AN25" s="36" t="e">
        <f t="shared" si="2"/>
        <v>#REF!</v>
      </c>
      <c r="AO25" s="36" t="e">
        <f t="shared" si="2"/>
        <v>#REF!</v>
      </c>
      <c r="AQ25" s="38"/>
      <c r="AR25" s="36" t="e">
        <f t="shared" si="5"/>
        <v>#REF!</v>
      </c>
      <c r="AS25" s="36" t="e">
        <f t="shared" si="3"/>
        <v>#REF!</v>
      </c>
      <c r="AT25" s="36" t="e">
        <f t="shared" si="3"/>
        <v>#REF!</v>
      </c>
      <c r="AU25" s="36" t="e">
        <f t="shared" si="3"/>
        <v>#REF!</v>
      </c>
      <c r="AV25" s="36" t="e">
        <f t="shared" si="3"/>
        <v>#REF!</v>
      </c>
      <c r="AW25" s="36" t="e">
        <f t="shared" si="3"/>
        <v>#REF!</v>
      </c>
      <c r="AX25" s="36" t="e">
        <f t="shared" si="3"/>
        <v>#REF!</v>
      </c>
      <c r="AY25" s="36" t="e">
        <f t="shared" si="3"/>
        <v>#REF!</v>
      </c>
      <c r="AZ25" s="36" t="e">
        <f t="shared" si="3"/>
        <v>#REF!</v>
      </c>
      <c r="BA25" s="36" t="e">
        <f t="shared" si="3"/>
        <v>#REF!</v>
      </c>
    </row>
    <row r="26" spans="1:53" hidden="1">
      <c r="A26" s="37"/>
      <c r="B26" s="37"/>
      <c r="C26" s="37"/>
      <c r="AA26" s="64"/>
      <c r="AB26" s="65"/>
      <c r="AC26" s="65"/>
      <c r="AD26" s="65"/>
      <c r="AE26" s="65"/>
      <c r="AQ26" s="38"/>
    </row>
    <row r="27" spans="1:53" hidden="1">
      <c r="A27" s="37"/>
      <c r="B27" s="37"/>
      <c r="C27" s="37"/>
      <c r="AA27" s="64" t="s">
        <v>41</v>
      </c>
      <c r="AB27" s="65" t="s">
        <v>30</v>
      </c>
      <c r="AC27" s="65" t="s">
        <v>31</v>
      </c>
      <c r="AD27" s="65"/>
      <c r="AE27" s="65"/>
      <c r="AQ27" s="38"/>
    </row>
    <row r="28" spans="1:53" hidden="1">
      <c r="A28" s="37" t="s">
        <v>88</v>
      </c>
      <c r="B28" s="37"/>
      <c r="C28" s="37"/>
      <c r="AA28" s="64"/>
      <c r="AB28" s="65" t="s">
        <v>32</v>
      </c>
      <c r="AC28" s="65">
        <v>0</v>
      </c>
      <c r="AD28" s="65"/>
      <c r="AE28" s="65"/>
      <c r="AF28" s="36" t="e">
        <f t="shared" ref="AF28:AO36" si="6">AF$12*$AC28</f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ref="AR28:BA36" si="7">AR$12*$AC28</f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89</v>
      </c>
      <c r="B29" s="37"/>
      <c r="C29" s="37"/>
      <c r="AA29" s="64"/>
      <c r="AB29" s="65" t="s">
        <v>33</v>
      </c>
      <c r="AC29" s="65">
        <v>6.2010000000000005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90</v>
      </c>
      <c r="B30" s="37"/>
      <c r="C30" s="37"/>
      <c r="AA30" s="64"/>
      <c r="AB30" s="65" t="s">
        <v>34</v>
      </c>
      <c r="AC30" s="65">
        <v>0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91</v>
      </c>
      <c r="B31" s="37"/>
      <c r="C31" s="37"/>
      <c r="AA31" s="64"/>
      <c r="AB31" s="65" t="s">
        <v>35</v>
      </c>
      <c r="AC31" s="65">
        <v>9.8037500000000009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92</v>
      </c>
      <c r="B32" s="37"/>
      <c r="C32" s="37"/>
      <c r="AA32" s="64"/>
      <c r="AB32" s="65" t="s">
        <v>36</v>
      </c>
      <c r="AC32" s="65">
        <v>7.2451999999999996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84</v>
      </c>
      <c r="B33" s="37"/>
      <c r="C33" s="37"/>
      <c r="AA33" s="64"/>
      <c r="AB33" s="65" t="s">
        <v>37</v>
      </c>
      <c r="AC33" s="65">
        <v>3.6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93</v>
      </c>
      <c r="B34" s="37"/>
      <c r="C34" s="37"/>
      <c r="AA34" s="64"/>
      <c r="AB34" s="65" t="s">
        <v>38</v>
      </c>
      <c r="AC34" s="65">
        <v>6.1984000000000004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94</v>
      </c>
      <c r="B35" s="37"/>
      <c r="C35" s="37"/>
      <c r="AA35" s="64"/>
      <c r="AB35" s="65" t="s">
        <v>39</v>
      </c>
      <c r="AC35" s="65">
        <v>5.1995100000000001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0</v>
      </c>
      <c r="B36" s="37"/>
      <c r="C36" s="37"/>
      <c r="AA36" s="64"/>
      <c r="AB36" s="65" t="s">
        <v>40</v>
      </c>
      <c r="AC36" s="65">
        <v>17.71416</v>
      </c>
      <c r="AD36" s="65"/>
      <c r="AE36" s="65"/>
      <c r="AF36" s="36" t="e">
        <f t="shared" si="6"/>
        <v>#REF!</v>
      </c>
      <c r="AG36" s="36" t="e">
        <f t="shared" si="6"/>
        <v>#REF!</v>
      </c>
      <c r="AH36" s="36" t="e">
        <f t="shared" si="6"/>
        <v>#REF!</v>
      </c>
      <c r="AI36" s="36" t="e">
        <f t="shared" si="6"/>
        <v>#REF!</v>
      </c>
      <c r="AJ36" s="36" t="e">
        <f t="shared" si="6"/>
        <v>#REF!</v>
      </c>
      <c r="AK36" s="36" t="e">
        <f t="shared" si="6"/>
        <v>#REF!</v>
      </c>
      <c r="AL36" s="36" t="e">
        <f t="shared" si="6"/>
        <v>#REF!</v>
      </c>
      <c r="AM36" s="36" t="e">
        <f t="shared" si="6"/>
        <v>#REF!</v>
      </c>
      <c r="AN36" s="36" t="e">
        <f t="shared" si="6"/>
        <v>#REF!</v>
      </c>
      <c r="AO36" s="36" t="e">
        <f t="shared" si="6"/>
        <v>#REF!</v>
      </c>
      <c r="AQ36" s="38"/>
      <c r="AR36" s="36" t="e">
        <f t="shared" si="7"/>
        <v>#REF!</v>
      </c>
      <c r="AS36" s="36" t="e">
        <f t="shared" si="7"/>
        <v>#REF!</v>
      </c>
      <c r="AT36" s="36" t="e">
        <f t="shared" si="7"/>
        <v>#REF!</v>
      </c>
      <c r="AU36" s="36" t="e">
        <f t="shared" si="7"/>
        <v>#REF!</v>
      </c>
      <c r="AV36" s="36" t="e">
        <f t="shared" si="7"/>
        <v>#REF!</v>
      </c>
      <c r="AW36" s="36" t="e">
        <f t="shared" si="7"/>
        <v>#REF!</v>
      </c>
      <c r="AX36" s="36" t="e">
        <f t="shared" si="7"/>
        <v>#REF!</v>
      </c>
      <c r="AY36" s="36" t="e">
        <f t="shared" si="7"/>
        <v>#REF!</v>
      </c>
      <c r="AZ36" s="36" t="e">
        <f t="shared" si="7"/>
        <v>#REF!</v>
      </c>
      <c r="BA36" s="36" t="e">
        <f t="shared" si="7"/>
        <v>#REF!</v>
      </c>
    </row>
    <row r="37" spans="1:53" hidden="1">
      <c r="A37" s="37" t="s">
        <v>59</v>
      </c>
      <c r="B37" s="37">
        <f>0.39*1.5*(8.5/12)^0.9*(2/3)^0.45</f>
        <v>0.35737873826145539</v>
      </c>
      <c r="C37" s="37"/>
      <c r="AA37" s="64"/>
      <c r="AB37" s="65"/>
      <c r="AC37" s="65"/>
      <c r="AD37" s="65"/>
      <c r="AE37" s="65"/>
      <c r="AQ37" s="38"/>
    </row>
    <row r="38" spans="1:53" hidden="1">
      <c r="A38" s="37" t="s">
        <v>60</v>
      </c>
      <c r="B38" s="37">
        <f>0.39*0.15*(8.5/12)^0.9*(2/3)^0.45</f>
        <v>3.5737873826145544E-2</v>
      </c>
      <c r="C38" s="37"/>
      <c r="AA38" s="64" t="s">
        <v>42</v>
      </c>
      <c r="AB38" s="65" t="s">
        <v>30</v>
      </c>
      <c r="AC38" s="65" t="s">
        <v>31</v>
      </c>
      <c r="AD38" s="65"/>
      <c r="AE38" s="65"/>
      <c r="AQ38" s="38"/>
    </row>
    <row r="39" spans="1:53" hidden="1">
      <c r="AA39" s="64"/>
      <c r="AB39" s="65" t="s">
        <v>32</v>
      </c>
      <c r="AC39" s="65">
        <v>0</v>
      </c>
      <c r="AD39" s="65"/>
      <c r="AE39" s="65"/>
      <c r="AF39" s="36" t="e">
        <f t="shared" ref="AF39:AO47" si="8">AF$12*$AC39</f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ref="AR39:BA47" si="9">AR$12*$AC39</f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33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34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35</v>
      </c>
      <c r="AC42" s="65">
        <v>16.541599999999999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36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37</v>
      </c>
      <c r="AC44" s="65">
        <v>0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38</v>
      </c>
      <c r="AC45" s="65">
        <v>14.601599999999999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39</v>
      </c>
      <c r="AC46" s="65">
        <v>14.570489999999999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A47" s="64"/>
      <c r="AB47" s="65" t="s">
        <v>40</v>
      </c>
      <c r="AC47" s="65">
        <v>14.14584</v>
      </c>
      <c r="AD47" s="65"/>
      <c r="AE47" s="65"/>
      <c r="AF47" s="36" t="e">
        <f t="shared" si="8"/>
        <v>#REF!</v>
      </c>
      <c r="AG47" s="36" t="e">
        <f t="shared" si="8"/>
        <v>#REF!</v>
      </c>
      <c r="AH47" s="36" t="e">
        <f t="shared" si="8"/>
        <v>#REF!</v>
      </c>
      <c r="AI47" s="36" t="e">
        <f t="shared" si="8"/>
        <v>#REF!</v>
      </c>
      <c r="AJ47" s="36" t="e">
        <f t="shared" si="8"/>
        <v>#REF!</v>
      </c>
      <c r="AK47" s="36" t="e">
        <f t="shared" si="8"/>
        <v>#REF!</v>
      </c>
      <c r="AL47" s="36" t="e">
        <f t="shared" si="8"/>
        <v>#REF!</v>
      </c>
      <c r="AM47" s="36" t="e">
        <f t="shared" si="8"/>
        <v>#REF!</v>
      </c>
      <c r="AN47" s="36" t="e">
        <f t="shared" si="8"/>
        <v>#REF!</v>
      </c>
      <c r="AO47" s="36" t="e">
        <f t="shared" si="8"/>
        <v>#REF!</v>
      </c>
      <c r="AQ47" s="38"/>
      <c r="AR47" s="36" t="e">
        <f t="shared" si="9"/>
        <v>#REF!</v>
      </c>
      <c r="AS47" s="36" t="e">
        <f t="shared" si="9"/>
        <v>#REF!</v>
      </c>
      <c r="AT47" s="36" t="e">
        <f t="shared" si="9"/>
        <v>#REF!</v>
      </c>
      <c r="AU47" s="36" t="e">
        <f t="shared" si="9"/>
        <v>#REF!</v>
      </c>
      <c r="AV47" s="36" t="e">
        <f t="shared" si="9"/>
        <v>#REF!</v>
      </c>
      <c r="AW47" s="36" t="e">
        <f t="shared" si="9"/>
        <v>#REF!</v>
      </c>
      <c r="AX47" s="36" t="e">
        <f t="shared" si="9"/>
        <v>#REF!</v>
      </c>
      <c r="AY47" s="36" t="e">
        <f t="shared" si="9"/>
        <v>#REF!</v>
      </c>
      <c r="AZ47" s="36" t="e">
        <f t="shared" si="9"/>
        <v>#REF!</v>
      </c>
      <c r="BA47" s="36" t="e">
        <f t="shared" si="9"/>
        <v>#REF!</v>
      </c>
    </row>
    <row r="48" spans="1:53" hidden="1">
      <c r="AQ48" s="38"/>
    </row>
    <row r="49" spans="27:53" hidden="1">
      <c r="AQ49" s="38"/>
    </row>
    <row r="50" spans="27:53" ht="63.75" hidden="1">
      <c r="AA50" s="66" t="s">
        <v>43</v>
      </c>
      <c r="AB50" s="67"/>
      <c r="AC50" s="68"/>
      <c r="AD50" s="68"/>
      <c r="AE50" s="68"/>
      <c r="AF50" s="61" t="s">
        <v>55</v>
      </c>
      <c r="AG50" s="61" t="s">
        <v>73</v>
      </c>
      <c r="AH50" s="61" t="s">
        <v>57</v>
      </c>
      <c r="AI50" s="61" t="s">
        <v>58</v>
      </c>
      <c r="AJ50" s="61" t="s">
        <v>59</v>
      </c>
      <c r="AK50" s="61" t="s">
        <v>60</v>
      </c>
      <c r="AL50" s="62" t="s">
        <v>75</v>
      </c>
      <c r="AM50" s="62" t="s">
        <v>76</v>
      </c>
      <c r="AN50" s="62" t="s">
        <v>61</v>
      </c>
      <c r="AO50" s="62" t="s">
        <v>62</v>
      </c>
      <c r="AP50" s="62"/>
      <c r="AQ50" s="43"/>
      <c r="AR50" s="61" t="s">
        <v>55</v>
      </c>
      <c r="AS50" s="61" t="s">
        <v>73</v>
      </c>
      <c r="AT50" s="61" t="s">
        <v>74</v>
      </c>
      <c r="AU50" s="61" t="s">
        <v>58</v>
      </c>
      <c r="AV50" s="61" t="s">
        <v>59</v>
      </c>
      <c r="AW50" s="61" t="s">
        <v>60</v>
      </c>
      <c r="AX50" s="62" t="s">
        <v>75</v>
      </c>
      <c r="AY50" s="62" t="s">
        <v>76</v>
      </c>
      <c r="AZ50" s="63" t="s">
        <v>61</v>
      </c>
      <c r="BA50" s="61" t="s">
        <v>62</v>
      </c>
    </row>
    <row r="51" spans="27:53" hidden="1">
      <c r="AA51" s="69" t="s">
        <v>44</v>
      </c>
      <c r="AB51" s="35"/>
      <c r="AG51" s="70"/>
      <c r="AQ51" s="38"/>
    </row>
    <row r="52" spans="27:53" hidden="1">
      <c r="AA52" s="71" t="s">
        <v>29</v>
      </c>
      <c r="AB52" s="35"/>
      <c r="AF52" s="70" t="e">
        <f t="shared" ref="AF52:AO52" si="10">AF17+AF19+AF20</f>
        <v>#REF!</v>
      </c>
      <c r="AG52" s="70" t="e">
        <f t="shared" si="10"/>
        <v>#REF!</v>
      </c>
      <c r="AH52" s="70" t="e">
        <f t="shared" si="10"/>
        <v>#REF!</v>
      </c>
      <c r="AI52" s="70" t="e">
        <f t="shared" si="10"/>
        <v>#REF!</v>
      </c>
      <c r="AJ52" s="70" t="e">
        <f t="shared" si="10"/>
        <v>#REF!</v>
      </c>
      <c r="AK52" s="70" t="e">
        <f t="shared" si="10"/>
        <v>#REF!</v>
      </c>
      <c r="AL52" s="70" t="e">
        <f t="shared" si="10"/>
        <v>#REF!</v>
      </c>
      <c r="AM52" s="70" t="e">
        <f t="shared" si="10"/>
        <v>#REF!</v>
      </c>
      <c r="AN52" s="70" t="e">
        <f t="shared" si="10"/>
        <v>#REF!</v>
      </c>
      <c r="AO52" s="70" t="e">
        <f t="shared" si="10"/>
        <v>#REF!</v>
      </c>
      <c r="AP52" s="70"/>
      <c r="AQ52" s="70"/>
      <c r="AR52" s="70" t="e">
        <f t="shared" ref="AR52:BA52" si="11">AR17+AR19+AR20</f>
        <v>#REF!</v>
      </c>
      <c r="AS52" s="70" t="e">
        <f t="shared" si="11"/>
        <v>#REF!</v>
      </c>
      <c r="AT52" s="70" t="e">
        <f t="shared" si="11"/>
        <v>#REF!</v>
      </c>
      <c r="AU52" s="70" t="e">
        <f t="shared" si="11"/>
        <v>#REF!</v>
      </c>
      <c r="AV52" s="70" t="e">
        <f t="shared" si="11"/>
        <v>#REF!</v>
      </c>
      <c r="AW52" s="70" t="e">
        <f t="shared" si="11"/>
        <v>#REF!</v>
      </c>
      <c r="AX52" s="70" t="e">
        <f t="shared" si="11"/>
        <v>#REF!</v>
      </c>
      <c r="AY52" s="70" t="e">
        <f t="shared" si="11"/>
        <v>#REF!</v>
      </c>
      <c r="AZ52" s="70" t="e">
        <f t="shared" si="11"/>
        <v>#REF!</v>
      </c>
      <c r="BA52" s="70" t="e">
        <f t="shared" si="11"/>
        <v>#REF!</v>
      </c>
    </row>
    <row r="53" spans="27:53" hidden="1">
      <c r="AA53" s="71" t="s">
        <v>41</v>
      </c>
      <c r="AB53" s="35"/>
      <c r="AF53" s="70" t="e">
        <f t="shared" ref="AF53:AO53" si="12">AF28+AF30+AF31</f>
        <v>#REF!</v>
      </c>
      <c r="AG53" s="70" t="e">
        <f t="shared" si="12"/>
        <v>#REF!</v>
      </c>
      <c r="AH53" s="70" t="e">
        <f t="shared" si="12"/>
        <v>#REF!</v>
      </c>
      <c r="AI53" s="70" t="e">
        <f t="shared" si="12"/>
        <v>#REF!</v>
      </c>
      <c r="AJ53" s="70" t="e">
        <f t="shared" si="12"/>
        <v>#REF!</v>
      </c>
      <c r="AK53" s="70" t="e">
        <f t="shared" si="12"/>
        <v>#REF!</v>
      </c>
      <c r="AL53" s="70" t="e">
        <f t="shared" si="12"/>
        <v>#REF!</v>
      </c>
      <c r="AM53" s="70" t="e">
        <f t="shared" si="12"/>
        <v>#REF!</v>
      </c>
      <c r="AN53" s="70" t="e">
        <f t="shared" si="12"/>
        <v>#REF!</v>
      </c>
      <c r="AO53" s="70" t="e">
        <f t="shared" si="12"/>
        <v>#REF!</v>
      </c>
      <c r="AP53" s="70"/>
      <c r="AQ53" s="70"/>
      <c r="AR53" s="70" t="e">
        <f t="shared" ref="AR53:BA53" si="13">AR28+AR30+AR31</f>
        <v>#REF!</v>
      </c>
      <c r="AS53" s="70" t="e">
        <f t="shared" si="13"/>
        <v>#REF!</v>
      </c>
      <c r="AT53" s="70" t="e">
        <f t="shared" si="13"/>
        <v>#REF!</v>
      </c>
      <c r="AU53" s="70" t="e">
        <f t="shared" si="13"/>
        <v>#REF!</v>
      </c>
      <c r="AV53" s="70" t="e">
        <f t="shared" si="13"/>
        <v>#REF!</v>
      </c>
      <c r="AW53" s="70" t="e">
        <f t="shared" si="13"/>
        <v>#REF!</v>
      </c>
      <c r="AX53" s="70" t="e">
        <f t="shared" si="13"/>
        <v>#REF!</v>
      </c>
      <c r="AY53" s="70" t="e">
        <f t="shared" si="13"/>
        <v>#REF!</v>
      </c>
      <c r="AZ53" s="70" t="e">
        <f t="shared" si="13"/>
        <v>#REF!</v>
      </c>
      <c r="BA53" s="70" t="e">
        <f t="shared" si="13"/>
        <v>#REF!</v>
      </c>
    </row>
    <row r="54" spans="27:53" hidden="1">
      <c r="AA54" s="71" t="s">
        <v>42</v>
      </c>
      <c r="AB54" s="35"/>
      <c r="AF54" s="70" t="e">
        <f t="shared" ref="AF54:AO54" si="14">AF39+AF41+AF42</f>
        <v>#REF!</v>
      </c>
      <c r="AG54" s="70" t="e">
        <f t="shared" si="14"/>
        <v>#REF!</v>
      </c>
      <c r="AH54" s="70" t="e">
        <f t="shared" si="14"/>
        <v>#REF!</v>
      </c>
      <c r="AI54" s="70" t="e">
        <f t="shared" si="14"/>
        <v>#REF!</v>
      </c>
      <c r="AJ54" s="70" t="e">
        <f t="shared" si="14"/>
        <v>#REF!</v>
      </c>
      <c r="AK54" s="70" t="e">
        <f t="shared" si="14"/>
        <v>#REF!</v>
      </c>
      <c r="AL54" s="70" t="e">
        <f t="shared" si="14"/>
        <v>#REF!</v>
      </c>
      <c r="AM54" s="70" t="e">
        <f t="shared" si="14"/>
        <v>#REF!</v>
      </c>
      <c r="AN54" s="70" t="e">
        <f t="shared" si="14"/>
        <v>#REF!</v>
      </c>
      <c r="AO54" s="70" t="e">
        <f t="shared" si="14"/>
        <v>#REF!</v>
      </c>
      <c r="AP54" s="70"/>
      <c r="AQ54" s="70"/>
      <c r="AR54" s="70" t="e">
        <f t="shared" ref="AR54:BA54" si="15">AR39+AR41+AR42</f>
        <v>#REF!</v>
      </c>
      <c r="AS54" s="70" t="e">
        <f t="shared" si="15"/>
        <v>#REF!</v>
      </c>
      <c r="AT54" s="70" t="e">
        <f t="shared" si="15"/>
        <v>#REF!</v>
      </c>
      <c r="AU54" s="70" t="e">
        <f t="shared" si="15"/>
        <v>#REF!</v>
      </c>
      <c r="AV54" s="70" t="e">
        <f t="shared" si="15"/>
        <v>#REF!</v>
      </c>
      <c r="AW54" s="70" t="e">
        <f t="shared" si="15"/>
        <v>#REF!</v>
      </c>
      <c r="AX54" s="70" t="e">
        <f t="shared" si="15"/>
        <v>#REF!</v>
      </c>
      <c r="AY54" s="70" t="e">
        <f t="shared" si="15"/>
        <v>#REF!</v>
      </c>
      <c r="AZ54" s="70" t="e">
        <f t="shared" si="15"/>
        <v>#REF!</v>
      </c>
      <c r="BA54" s="70" t="e">
        <f t="shared" si="15"/>
        <v>#REF!</v>
      </c>
    </row>
    <row r="55" spans="27:53" hidden="1">
      <c r="AA55" s="69" t="s">
        <v>45</v>
      </c>
      <c r="AB55" s="35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</row>
    <row r="56" spans="27:53" hidden="1">
      <c r="AA56" s="71" t="s">
        <v>29</v>
      </c>
      <c r="AB56" s="35"/>
      <c r="AF56" s="70" t="e">
        <f t="shared" ref="AF56:AO56" si="16">AF17+AF19+AF21+AF23</f>
        <v>#REF!</v>
      </c>
      <c r="AG56" s="70" t="e">
        <f t="shared" si="16"/>
        <v>#REF!</v>
      </c>
      <c r="AH56" s="70" t="e">
        <f t="shared" si="16"/>
        <v>#REF!</v>
      </c>
      <c r="AI56" s="70" t="e">
        <f t="shared" si="16"/>
        <v>#REF!</v>
      </c>
      <c r="AJ56" s="70" t="e">
        <f t="shared" si="16"/>
        <v>#REF!</v>
      </c>
      <c r="AK56" s="70" t="e">
        <f t="shared" si="16"/>
        <v>#REF!</v>
      </c>
      <c r="AL56" s="70" t="e">
        <f t="shared" si="16"/>
        <v>#REF!</v>
      </c>
      <c r="AM56" s="70" t="e">
        <f t="shared" si="16"/>
        <v>#REF!</v>
      </c>
      <c r="AN56" s="70" t="e">
        <f t="shared" si="16"/>
        <v>#REF!</v>
      </c>
      <c r="AO56" s="70" t="e">
        <f t="shared" si="16"/>
        <v>#REF!</v>
      </c>
      <c r="AP56" s="70"/>
      <c r="AQ56" s="70"/>
      <c r="AR56" s="70" t="e">
        <f t="shared" ref="AR56:BA56" si="17">AR17+AR19+AR21+AR23</f>
        <v>#REF!</v>
      </c>
      <c r="AS56" s="70" t="e">
        <f t="shared" si="17"/>
        <v>#REF!</v>
      </c>
      <c r="AT56" s="70" t="e">
        <f t="shared" si="17"/>
        <v>#REF!</v>
      </c>
      <c r="AU56" s="70" t="e">
        <f t="shared" si="17"/>
        <v>#REF!</v>
      </c>
      <c r="AV56" s="70" t="e">
        <f t="shared" si="17"/>
        <v>#REF!</v>
      </c>
      <c r="AW56" s="70" t="e">
        <f t="shared" si="17"/>
        <v>#REF!</v>
      </c>
      <c r="AX56" s="70" t="e">
        <f t="shared" si="17"/>
        <v>#REF!</v>
      </c>
      <c r="AY56" s="70" t="e">
        <f t="shared" si="17"/>
        <v>#REF!</v>
      </c>
      <c r="AZ56" s="70" t="e">
        <f t="shared" si="17"/>
        <v>#REF!</v>
      </c>
      <c r="BA56" s="70" t="e">
        <f t="shared" si="17"/>
        <v>#REF!</v>
      </c>
    </row>
    <row r="57" spans="27:53" hidden="1">
      <c r="AA57" s="71" t="s">
        <v>41</v>
      </c>
      <c r="AB57" s="35"/>
      <c r="AF57" s="70" t="e">
        <f t="shared" ref="AF57:AO57" si="18">AF28+AF30+AF32+AF34</f>
        <v>#REF!</v>
      </c>
      <c r="AG57" s="70" t="e">
        <f t="shared" si="18"/>
        <v>#REF!</v>
      </c>
      <c r="AH57" s="70" t="e">
        <f t="shared" si="18"/>
        <v>#REF!</v>
      </c>
      <c r="AI57" s="70" t="e">
        <f t="shared" si="18"/>
        <v>#REF!</v>
      </c>
      <c r="AJ57" s="70" t="e">
        <f t="shared" si="18"/>
        <v>#REF!</v>
      </c>
      <c r="AK57" s="70" t="e">
        <f t="shared" si="18"/>
        <v>#REF!</v>
      </c>
      <c r="AL57" s="70" t="e">
        <f t="shared" si="18"/>
        <v>#REF!</v>
      </c>
      <c r="AM57" s="70" t="e">
        <f t="shared" si="18"/>
        <v>#REF!</v>
      </c>
      <c r="AN57" s="70" t="e">
        <f t="shared" si="18"/>
        <v>#REF!</v>
      </c>
      <c r="AO57" s="70" t="e">
        <f t="shared" si="18"/>
        <v>#REF!</v>
      </c>
      <c r="AP57" s="70"/>
      <c r="AQ57" s="70"/>
      <c r="AR57" s="70" t="e">
        <f t="shared" ref="AR57:BA57" si="19">AR28+AR30+AR32+AR34</f>
        <v>#REF!</v>
      </c>
      <c r="AS57" s="70" t="e">
        <f t="shared" si="19"/>
        <v>#REF!</v>
      </c>
      <c r="AT57" s="70" t="e">
        <f t="shared" si="19"/>
        <v>#REF!</v>
      </c>
      <c r="AU57" s="70" t="e">
        <f t="shared" si="19"/>
        <v>#REF!</v>
      </c>
      <c r="AV57" s="70" t="e">
        <f t="shared" si="19"/>
        <v>#REF!</v>
      </c>
      <c r="AW57" s="70" t="e">
        <f t="shared" si="19"/>
        <v>#REF!</v>
      </c>
      <c r="AX57" s="70" t="e">
        <f t="shared" si="19"/>
        <v>#REF!</v>
      </c>
      <c r="AY57" s="70" t="e">
        <f t="shared" si="19"/>
        <v>#REF!</v>
      </c>
      <c r="AZ57" s="70" t="e">
        <f t="shared" si="19"/>
        <v>#REF!</v>
      </c>
      <c r="BA57" s="70" t="e">
        <f t="shared" si="19"/>
        <v>#REF!</v>
      </c>
    </row>
    <row r="58" spans="27:53" hidden="1">
      <c r="AA58" s="71" t="s">
        <v>42</v>
      </c>
      <c r="AB58" s="35"/>
      <c r="AF58" s="70" t="e">
        <f t="shared" ref="AF58:AO58" si="20">AF39+AF41+AF43+AF45</f>
        <v>#REF!</v>
      </c>
      <c r="AG58" s="70" t="e">
        <f t="shared" si="20"/>
        <v>#REF!</v>
      </c>
      <c r="AH58" s="70" t="e">
        <f t="shared" si="20"/>
        <v>#REF!</v>
      </c>
      <c r="AI58" s="70" t="e">
        <f t="shared" si="20"/>
        <v>#REF!</v>
      </c>
      <c r="AJ58" s="70" t="e">
        <f t="shared" si="20"/>
        <v>#REF!</v>
      </c>
      <c r="AK58" s="70" t="e">
        <f t="shared" si="20"/>
        <v>#REF!</v>
      </c>
      <c r="AL58" s="70" t="e">
        <f t="shared" si="20"/>
        <v>#REF!</v>
      </c>
      <c r="AM58" s="70" t="e">
        <f t="shared" si="20"/>
        <v>#REF!</v>
      </c>
      <c r="AN58" s="70" t="e">
        <f t="shared" si="20"/>
        <v>#REF!</v>
      </c>
      <c r="AO58" s="70" t="e">
        <f t="shared" si="20"/>
        <v>#REF!</v>
      </c>
      <c r="AP58" s="70"/>
      <c r="AQ58" s="70"/>
      <c r="AR58" s="70" t="e">
        <f t="shared" ref="AR58:BA58" si="21">AR39+AR41+AR43+AR45</f>
        <v>#REF!</v>
      </c>
      <c r="AS58" s="70" t="e">
        <f t="shared" si="21"/>
        <v>#REF!</v>
      </c>
      <c r="AT58" s="70" t="e">
        <f t="shared" si="21"/>
        <v>#REF!</v>
      </c>
      <c r="AU58" s="70" t="e">
        <f t="shared" si="21"/>
        <v>#REF!</v>
      </c>
      <c r="AV58" s="70" t="e">
        <f t="shared" si="21"/>
        <v>#REF!</v>
      </c>
      <c r="AW58" s="70" t="e">
        <f t="shared" si="21"/>
        <v>#REF!</v>
      </c>
      <c r="AX58" s="70" t="e">
        <f t="shared" si="21"/>
        <v>#REF!</v>
      </c>
      <c r="AY58" s="70" t="e">
        <f t="shared" si="21"/>
        <v>#REF!</v>
      </c>
      <c r="AZ58" s="70" t="e">
        <f t="shared" si="21"/>
        <v>#REF!</v>
      </c>
      <c r="BA58" s="70" t="e">
        <f t="shared" si="21"/>
        <v>#REF!</v>
      </c>
    </row>
    <row r="59" spans="27:53" hidden="1">
      <c r="AA59" s="69" t="s">
        <v>46</v>
      </c>
      <c r="AB59" s="35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</row>
    <row r="60" spans="27:53" hidden="1">
      <c r="AA60" s="71" t="s">
        <v>29</v>
      </c>
      <c r="AB60" s="35"/>
      <c r="AF60" s="70" t="e">
        <f t="shared" ref="AF60:AO60" si="22">AF17+AF19+AF21+AF22+AF24</f>
        <v>#REF!</v>
      </c>
      <c r="AG60" s="70" t="e">
        <f t="shared" si="22"/>
        <v>#REF!</v>
      </c>
      <c r="AH60" s="70" t="e">
        <f t="shared" si="22"/>
        <v>#REF!</v>
      </c>
      <c r="AI60" s="70" t="e">
        <f t="shared" si="22"/>
        <v>#REF!</v>
      </c>
      <c r="AJ60" s="70" t="e">
        <f t="shared" si="22"/>
        <v>#REF!</v>
      </c>
      <c r="AK60" s="70" t="e">
        <f t="shared" si="22"/>
        <v>#REF!</v>
      </c>
      <c r="AL60" s="70" t="e">
        <f t="shared" si="22"/>
        <v>#REF!</v>
      </c>
      <c r="AM60" s="70" t="e">
        <f t="shared" si="22"/>
        <v>#REF!</v>
      </c>
      <c r="AN60" s="70" t="e">
        <f t="shared" si="22"/>
        <v>#REF!</v>
      </c>
      <c r="AO60" s="70" t="e">
        <f t="shared" si="22"/>
        <v>#REF!</v>
      </c>
      <c r="AP60" s="70"/>
      <c r="AQ60" s="70"/>
      <c r="AR60" s="70" t="e">
        <f t="shared" ref="AR60:BA60" si="23">AR17+AR19+AR21+AR22+AR24</f>
        <v>#REF!</v>
      </c>
      <c r="AS60" s="70" t="e">
        <f t="shared" si="23"/>
        <v>#REF!</v>
      </c>
      <c r="AT60" s="70" t="e">
        <f t="shared" si="23"/>
        <v>#REF!</v>
      </c>
      <c r="AU60" s="70" t="e">
        <f t="shared" si="23"/>
        <v>#REF!</v>
      </c>
      <c r="AV60" s="70" t="e">
        <f t="shared" si="23"/>
        <v>#REF!</v>
      </c>
      <c r="AW60" s="70" t="e">
        <f t="shared" si="23"/>
        <v>#REF!</v>
      </c>
      <c r="AX60" s="70" t="e">
        <f t="shared" si="23"/>
        <v>#REF!</v>
      </c>
      <c r="AY60" s="70" t="e">
        <f t="shared" si="23"/>
        <v>#REF!</v>
      </c>
      <c r="AZ60" s="70" t="e">
        <f t="shared" si="23"/>
        <v>#REF!</v>
      </c>
      <c r="BA60" s="70" t="e">
        <f t="shared" si="23"/>
        <v>#REF!</v>
      </c>
    </row>
    <row r="61" spans="27:53" hidden="1">
      <c r="AA61" s="71" t="s">
        <v>41</v>
      </c>
      <c r="AB61" s="35"/>
      <c r="AF61" s="70" t="e">
        <f t="shared" ref="AF61:AO61" si="24">AF28+AF30+AF32+AF33+AF35</f>
        <v>#REF!</v>
      </c>
      <c r="AG61" s="70" t="e">
        <f t="shared" si="24"/>
        <v>#REF!</v>
      </c>
      <c r="AH61" s="70" t="e">
        <f t="shared" si="24"/>
        <v>#REF!</v>
      </c>
      <c r="AI61" s="70" t="e">
        <f t="shared" si="24"/>
        <v>#REF!</v>
      </c>
      <c r="AJ61" s="70" t="e">
        <f t="shared" si="24"/>
        <v>#REF!</v>
      </c>
      <c r="AK61" s="70" t="e">
        <f t="shared" si="24"/>
        <v>#REF!</v>
      </c>
      <c r="AL61" s="70" t="e">
        <f t="shared" si="24"/>
        <v>#REF!</v>
      </c>
      <c r="AM61" s="70" t="e">
        <f t="shared" si="24"/>
        <v>#REF!</v>
      </c>
      <c r="AN61" s="70" t="e">
        <f t="shared" si="24"/>
        <v>#REF!</v>
      </c>
      <c r="AO61" s="70" t="e">
        <f t="shared" si="24"/>
        <v>#REF!</v>
      </c>
      <c r="AP61" s="70"/>
      <c r="AQ61" s="70"/>
      <c r="AR61" s="70" t="e">
        <f t="shared" ref="AR61:BA61" si="25">AR28+AR30+AR32+AR33+AR35</f>
        <v>#REF!</v>
      </c>
      <c r="AS61" s="70" t="e">
        <f t="shared" si="25"/>
        <v>#REF!</v>
      </c>
      <c r="AT61" s="70" t="e">
        <f t="shared" si="25"/>
        <v>#REF!</v>
      </c>
      <c r="AU61" s="70" t="e">
        <f t="shared" si="25"/>
        <v>#REF!</v>
      </c>
      <c r="AV61" s="70" t="e">
        <f t="shared" si="25"/>
        <v>#REF!</v>
      </c>
      <c r="AW61" s="70" t="e">
        <f t="shared" si="25"/>
        <v>#REF!</v>
      </c>
      <c r="AX61" s="70" t="e">
        <f t="shared" si="25"/>
        <v>#REF!</v>
      </c>
      <c r="AY61" s="70" t="e">
        <f t="shared" si="25"/>
        <v>#REF!</v>
      </c>
      <c r="AZ61" s="70" t="e">
        <f t="shared" si="25"/>
        <v>#REF!</v>
      </c>
      <c r="BA61" s="70" t="e">
        <f t="shared" si="25"/>
        <v>#REF!</v>
      </c>
    </row>
    <row r="62" spans="27:53" hidden="1">
      <c r="AA62" s="71" t="s">
        <v>42</v>
      </c>
      <c r="AB62" s="35"/>
      <c r="AF62" s="70" t="e">
        <f t="shared" ref="AF62:AO62" si="26">AF39+AF41+AF43+AF44+AF46</f>
        <v>#REF!</v>
      </c>
      <c r="AG62" s="70" t="e">
        <f t="shared" si="26"/>
        <v>#REF!</v>
      </c>
      <c r="AH62" s="70" t="e">
        <f t="shared" si="26"/>
        <v>#REF!</v>
      </c>
      <c r="AI62" s="70" t="e">
        <f t="shared" si="26"/>
        <v>#REF!</v>
      </c>
      <c r="AJ62" s="70" t="e">
        <f t="shared" si="26"/>
        <v>#REF!</v>
      </c>
      <c r="AK62" s="70" t="e">
        <f t="shared" si="26"/>
        <v>#REF!</v>
      </c>
      <c r="AL62" s="70" t="e">
        <f t="shared" si="26"/>
        <v>#REF!</v>
      </c>
      <c r="AM62" s="70" t="e">
        <f t="shared" si="26"/>
        <v>#REF!</v>
      </c>
      <c r="AN62" s="70" t="e">
        <f t="shared" si="26"/>
        <v>#REF!</v>
      </c>
      <c r="AO62" s="70" t="e">
        <f t="shared" si="26"/>
        <v>#REF!</v>
      </c>
      <c r="AP62" s="70"/>
      <c r="AQ62" s="70"/>
      <c r="AR62" s="70" t="e">
        <f t="shared" ref="AR62:BA62" si="27">AR39+AR41+AR43+AR44+AR46</f>
        <v>#REF!</v>
      </c>
      <c r="AS62" s="70" t="e">
        <f t="shared" si="27"/>
        <v>#REF!</v>
      </c>
      <c r="AT62" s="70" t="e">
        <f t="shared" si="27"/>
        <v>#REF!</v>
      </c>
      <c r="AU62" s="70" t="e">
        <f t="shared" si="27"/>
        <v>#REF!</v>
      </c>
      <c r="AV62" s="70" t="e">
        <f t="shared" si="27"/>
        <v>#REF!</v>
      </c>
      <c r="AW62" s="70" t="e">
        <f t="shared" si="27"/>
        <v>#REF!</v>
      </c>
      <c r="AX62" s="70" t="e">
        <f t="shared" si="27"/>
        <v>#REF!</v>
      </c>
      <c r="AY62" s="70" t="e">
        <f t="shared" si="27"/>
        <v>#REF!</v>
      </c>
      <c r="AZ62" s="70" t="e">
        <f t="shared" si="27"/>
        <v>#REF!</v>
      </c>
      <c r="BA62" s="70" t="e">
        <f t="shared" si="27"/>
        <v>#REF!</v>
      </c>
    </row>
    <row r="63" spans="27:53" hidden="1">
      <c r="AA63" s="69" t="s">
        <v>47</v>
      </c>
      <c r="AB63" s="35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</row>
    <row r="64" spans="27:53" hidden="1">
      <c r="AA64" s="71" t="s">
        <v>29</v>
      </c>
      <c r="AB64" s="35"/>
      <c r="AF64" s="70" t="e">
        <f t="shared" ref="AF64:AO64" si="28">AF17+AF19+AF21+AF22+AF25</f>
        <v>#REF!</v>
      </c>
      <c r="AG64" s="70" t="e">
        <f t="shared" si="28"/>
        <v>#REF!</v>
      </c>
      <c r="AH64" s="70" t="e">
        <f t="shared" si="28"/>
        <v>#REF!</v>
      </c>
      <c r="AI64" s="70" t="e">
        <f t="shared" si="28"/>
        <v>#REF!</v>
      </c>
      <c r="AJ64" s="70" t="e">
        <f t="shared" si="28"/>
        <v>#REF!</v>
      </c>
      <c r="AK64" s="70" t="e">
        <f t="shared" si="28"/>
        <v>#REF!</v>
      </c>
      <c r="AL64" s="70" t="e">
        <f t="shared" si="28"/>
        <v>#REF!</v>
      </c>
      <c r="AM64" s="70" t="e">
        <f t="shared" si="28"/>
        <v>#REF!</v>
      </c>
      <c r="AN64" s="70" t="e">
        <f t="shared" si="28"/>
        <v>#REF!</v>
      </c>
      <c r="AO64" s="70" t="e">
        <f t="shared" si="28"/>
        <v>#REF!</v>
      </c>
      <c r="AP64" s="70"/>
      <c r="AQ64" s="70"/>
      <c r="AR64" s="70" t="e">
        <f t="shared" ref="AR64:BA64" si="29">AR17+AR19+AR21+AR22+AR25</f>
        <v>#REF!</v>
      </c>
      <c r="AS64" s="70" t="e">
        <f t="shared" si="29"/>
        <v>#REF!</v>
      </c>
      <c r="AT64" s="70" t="e">
        <f t="shared" si="29"/>
        <v>#REF!</v>
      </c>
      <c r="AU64" s="70" t="e">
        <f t="shared" si="29"/>
        <v>#REF!</v>
      </c>
      <c r="AV64" s="70" t="e">
        <f t="shared" si="29"/>
        <v>#REF!</v>
      </c>
      <c r="AW64" s="70" t="e">
        <f t="shared" si="29"/>
        <v>#REF!</v>
      </c>
      <c r="AX64" s="70" t="e">
        <f t="shared" si="29"/>
        <v>#REF!</v>
      </c>
      <c r="AY64" s="70" t="e">
        <f t="shared" si="29"/>
        <v>#REF!</v>
      </c>
      <c r="AZ64" s="70" t="e">
        <f t="shared" si="29"/>
        <v>#REF!</v>
      </c>
      <c r="BA64" s="70" t="e">
        <f t="shared" si="29"/>
        <v>#REF!</v>
      </c>
    </row>
    <row r="65" spans="27:53" hidden="1">
      <c r="AA65" s="71" t="s">
        <v>41</v>
      </c>
      <c r="AB65" s="35"/>
      <c r="AF65" s="70" t="e">
        <f t="shared" ref="AF65:AO65" si="30">AF28+AF30+AF32+AF33+AF36</f>
        <v>#REF!</v>
      </c>
      <c r="AG65" s="70" t="e">
        <f t="shared" si="30"/>
        <v>#REF!</v>
      </c>
      <c r="AH65" s="70" t="e">
        <f t="shared" si="30"/>
        <v>#REF!</v>
      </c>
      <c r="AI65" s="70" t="e">
        <f t="shared" si="30"/>
        <v>#REF!</v>
      </c>
      <c r="AJ65" s="70" t="e">
        <f t="shared" si="30"/>
        <v>#REF!</v>
      </c>
      <c r="AK65" s="70" t="e">
        <f t="shared" si="30"/>
        <v>#REF!</v>
      </c>
      <c r="AL65" s="70" t="e">
        <f t="shared" si="30"/>
        <v>#REF!</v>
      </c>
      <c r="AM65" s="70" t="e">
        <f t="shared" si="30"/>
        <v>#REF!</v>
      </c>
      <c r="AN65" s="70" t="e">
        <f t="shared" si="30"/>
        <v>#REF!</v>
      </c>
      <c r="AO65" s="70" t="e">
        <f t="shared" si="30"/>
        <v>#REF!</v>
      </c>
      <c r="AP65" s="70"/>
      <c r="AQ65" s="70"/>
      <c r="AR65" s="70" t="e">
        <f t="shared" ref="AR65:BA65" si="31">AR28+AR30+AR32+AR33+AR36</f>
        <v>#REF!</v>
      </c>
      <c r="AS65" s="70" t="e">
        <f t="shared" si="31"/>
        <v>#REF!</v>
      </c>
      <c r="AT65" s="70" t="e">
        <f t="shared" si="31"/>
        <v>#REF!</v>
      </c>
      <c r="AU65" s="70" t="e">
        <f t="shared" si="31"/>
        <v>#REF!</v>
      </c>
      <c r="AV65" s="70" t="e">
        <f t="shared" si="31"/>
        <v>#REF!</v>
      </c>
      <c r="AW65" s="70" t="e">
        <f t="shared" si="31"/>
        <v>#REF!</v>
      </c>
      <c r="AX65" s="70" t="e">
        <f t="shared" si="31"/>
        <v>#REF!</v>
      </c>
      <c r="AY65" s="70" t="e">
        <f t="shared" si="31"/>
        <v>#REF!</v>
      </c>
      <c r="AZ65" s="70" t="e">
        <f t="shared" si="31"/>
        <v>#REF!</v>
      </c>
      <c r="BA65" s="70" t="e">
        <f t="shared" si="31"/>
        <v>#REF!</v>
      </c>
    </row>
    <row r="66" spans="27:53" hidden="1">
      <c r="AA66" s="71" t="s">
        <v>42</v>
      </c>
      <c r="AB66" s="35"/>
      <c r="AF66" s="70" t="e">
        <f t="shared" ref="AF66:AO66" si="32">AF39+AF41+AF43+AF44+AF47</f>
        <v>#REF!</v>
      </c>
      <c r="AG66" s="70" t="e">
        <f t="shared" si="32"/>
        <v>#REF!</v>
      </c>
      <c r="AH66" s="70" t="e">
        <f t="shared" si="32"/>
        <v>#REF!</v>
      </c>
      <c r="AI66" s="70" t="e">
        <f t="shared" si="32"/>
        <v>#REF!</v>
      </c>
      <c r="AJ66" s="70" t="e">
        <f t="shared" si="32"/>
        <v>#REF!</v>
      </c>
      <c r="AK66" s="70" t="e">
        <f t="shared" si="32"/>
        <v>#REF!</v>
      </c>
      <c r="AL66" s="70" t="e">
        <f t="shared" si="32"/>
        <v>#REF!</v>
      </c>
      <c r="AM66" s="70" t="e">
        <f t="shared" si="32"/>
        <v>#REF!</v>
      </c>
      <c r="AN66" s="70" t="e">
        <f t="shared" si="32"/>
        <v>#REF!</v>
      </c>
      <c r="AO66" s="70" t="e">
        <f t="shared" si="32"/>
        <v>#REF!</v>
      </c>
      <c r="AP66" s="70"/>
      <c r="AQ66" s="70"/>
      <c r="AR66" s="70" t="e">
        <f t="shared" ref="AR66:BA66" si="33">AR39+AR41+AR43+AR44+AR47</f>
        <v>#REF!</v>
      </c>
      <c r="AS66" s="70" t="e">
        <f t="shared" si="33"/>
        <v>#REF!</v>
      </c>
      <c r="AT66" s="70" t="e">
        <f t="shared" si="33"/>
        <v>#REF!</v>
      </c>
      <c r="AU66" s="70" t="e">
        <f t="shared" si="33"/>
        <v>#REF!</v>
      </c>
      <c r="AV66" s="70" t="e">
        <f t="shared" si="33"/>
        <v>#REF!</v>
      </c>
      <c r="AW66" s="70" t="e">
        <f t="shared" si="33"/>
        <v>#REF!</v>
      </c>
      <c r="AX66" s="70" t="e">
        <f t="shared" si="33"/>
        <v>#REF!</v>
      </c>
      <c r="AY66" s="70" t="e">
        <f t="shared" si="33"/>
        <v>#REF!</v>
      </c>
      <c r="AZ66" s="70" t="e">
        <f t="shared" si="33"/>
        <v>#REF!</v>
      </c>
      <c r="BA66" s="70" t="e">
        <f t="shared" si="33"/>
        <v>#REF!</v>
      </c>
    </row>
    <row r="67" spans="27:53" hidden="1">
      <c r="AA67" s="69" t="s">
        <v>48</v>
      </c>
      <c r="AB67" s="35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</row>
    <row r="68" spans="27:53" hidden="1">
      <c r="AA68" s="71" t="s">
        <v>29</v>
      </c>
      <c r="AB68" s="35"/>
      <c r="AF68" s="70" t="e">
        <f t="shared" ref="AF68:AO68" si="34">AF17+AF18+AF23</f>
        <v>#REF!</v>
      </c>
      <c r="AG68" s="70" t="e">
        <f t="shared" si="34"/>
        <v>#REF!</v>
      </c>
      <c r="AH68" s="70" t="e">
        <f t="shared" si="34"/>
        <v>#REF!</v>
      </c>
      <c r="AI68" s="70" t="e">
        <f t="shared" si="34"/>
        <v>#REF!</v>
      </c>
      <c r="AJ68" s="70" t="e">
        <f t="shared" si="34"/>
        <v>#REF!</v>
      </c>
      <c r="AK68" s="70" t="e">
        <f t="shared" si="34"/>
        <v>#REF!</v>
      </c>
      <c r="AL68" s="70" t="e">
        <f t="shared" si="34"/>
        <v>#REF!</v>
      </c>
      <c r="AM68" s="70" t="e">
        <f t="shared" si="34"/>
        <v>#REF!</v>
      </c>
      <c r="AN68" s="70" t="e">
        <f t="shared" si="34"/>
        <v>#REF!</v>
      </c>
      <c r="AO68" s="70" t="e">
        <f t="shared" si="34"/>
        <v>#REF!</v>
      </c>
      <c r="AP68" s="70"/>
      <c r="AQ68" s="70"/>
      <c r="AR68" s="70" t="e">
        <f t="shared" ref="AR68:BA68" si="35">AR17+AR18+AR23</f>
        <v>#REF!</v>
      </c>
      <c r="AS68" s="70" t="e">
        <f t="shared" si="35"/>
        <v>#REF!</v>
      </c>
      <c r="AT68" s="70" t="e">
        <f t="shared" si="35"/>
        <v>#REF!</v>
      </c>
      <c r="AU68" s="70" t="e">
        <f t="shared" si="35"/>
        <v>#REF!</v>
      </c>
      <c r="AV68" s="70" t="e">
        <f t="shared" si="35"/>
        <v>#REF!</v>
      </c>
      <c r="AW68" s="70" t="e">
        <f t="shared" si="35"/>
        <v>#REF!</v>
      </c>
      <c r="AX68" s="70" t="e">
        <f t="shared" si="35"/>
        <v>#REF!</v>
      </c>
      <c r="AY68" s="70" t="e">
        <f t="shared" si="35"/>
        <v>#REF!</v>
      </c>
      <c r="AZ68" s="70" t="e">
        <f t="shared" si="35"/>
        <v>#REF!</v>
      </c>
      <c r="BA68" s="70" t="e">
        <f t="shared" si="35"/>
        <v>#REF!</v>
      </c>
    </row>
    <row r="69" spans="27:53" hidden="1">
      <c r="AA69" s="71" t="s">
        <v>41</v>
      </c>
      <c r="AB69" s="35"/>
      <c r="AF69" s="70" t="e">
        <f t="shared" ref="AF69:AO69" si="36">AF28+AF29+AF34</f>
        <v>#REF!</v>
      </c>
      <c r="AG69" s="70" t="e">
        <f t="shared" si="36"/>
        <v>#REF!</v>
      </c>
      <c r="AH69" s="70" t="e">
        <f t="shared" si="36"/>
        <v>#REF!</v>
      </c>
      <c r="AI69" s="70" t="e">
        <f t="shared" si="36"/>
        <v>#REF!</v>
      </c>
      <c r="AJ69" s="70" t="e">
        <f t="shared" si="36"/>
        <v>#REF!</v>
      </c>
      <c r="AK69" s="70" t="e">
        <f t="shared" si="36"/>
        <v>#REF!</v>
      </c>
      <c r="AL69" s="70" t="e">
        <f t="shared" si="36"/>
        <v>#REF!</v>
      </c>
      <c r="AM69" s="70" t="e">
        <f t="shared" si="36"/>
        <v>#REF!</v>
      </c>
      <c r="AN69" s="70" t="e">
        <f t="shared" si="36"/>
        <v>#REF!</v>
      </c>
      <c r="AO69" s="70" t="e">
        <f t="shared" si="36"/>
        <v>#REF!</v>
      </c>
      <c r="AP69" s="70"/>
      <c r="AQ69" s="70"/>
      <c r="AR69" s="70" t="e">
        <f t="shared" ref="AR69:BA69" si="37">AR28+AR29+AR34</f>
        <v>#REF!</v>
      </c>
      <c r="AS69" s="70" t="e">
        <f t="shared" si="37"/>
        <v>#REF!</v>
      </c>
      <c r="AT69" s="70" t="e">
        <f t="shared" si="37"/>
        <v>#REF!</v>
      </c>
      <c r="AU69" s="70" t="e">
        <f t="shared" si="37"/>
        <v>#REF!</v>
      </c>
      <c r="AV69" s="70" t="e">
        <f t="shared" si="37"/>
        <v>#REF!</v>
      </c>
      <c r="AW69" s="70" t="e">
        <f t="shared" si="37"/>
        <v>#REF!</v>
      </c>
      <c r="AX69" s="70" t="e">
        <f t="shared" si="37"/>
        <v>#REF!</v>
      </c>
      <c r="AY69" s="70" t="e">
        <f t="shared" si="37"/>
        <v>#REF!</v>
      </c>
      <c r="AZ69" s="70" t="e">
        <f t="shared" si="37"/>
        <v>#REF!</v>
      </c>
      <c r="BA69" s="70" t="e">
        <f t="shared" si="37"/>
        <v>#REF!</v>
      </c>
    </row>
    <row r="70" spans="27:53" hidden="1">
      <c r="AA70" s="71" t="s">
        <v>42</v>
      </c>
      <c r="AB70" s="35"/>
      <c r="AF70" s="70" t="e">
        <f t="shared" ref="AF70:AO70" si="38">AF39+AF40+AF45</f>
        <v>#REF!</v>
      </c>
      <c r="AG70" s="70" t="e">
        <f t="shared" si="38"/>
        <v>#REF!</v>
      </c>
      <c r="AH70" s="70" t="e">
        <f t="shared" si="38"/>
        <v>#REF!</v>
      </c>
      <c r="AI70" s="70" t="e">
        <f t="shared" si="38"/>
        <v>#REF!</v>
      </c>
      <c r="AJ70" s="70" t="e">
        <f t="shared" si="38"/>
        <v>#REF!</v>
      </c>
      <c r="AK70" s="70" t="e">
        <f t="shared" si="38"/>
        <v>#REF!</v>
      </c>
      <c r="AL70" s="70" t="e">
        <f t="shared" si="38"/>
        <v>#REF!</v>
      </c>
      <c r="AM70" s="70" t="e">
        <f t="shared" si="38"/>
        <v>#REF!</v>
      </c>
      <c r="AN70" s="70" t="e">
        <f t="shared" si="38"/>
        <v>#REF!</v>
      </c>
      <c r="AO70" s="70" t="e">
        <f t="shared" si="38"/>
        <v>#REF!</v>
      </c>
      <c r="AP70" s="70"/>
      <c r="AQ70" s="70"/>
      <c r="AR70" s="70" t="e">
        <f t="shared" ref="AR70:BA70" si="39">AR39+AR40+AR45</f>
        <v>#REF!</v>
      </c>
      <c r="AS70" s="70" t="e">
        <f t="shared" si="39"/>
        <v>#REF!</v>
      </c>
      <c r="AT70" s="70" t="e">
        <f t="shared" si="39"/>
        <v>#REF!</v>
      </c>
      <c r="AU70" s="70" t="e">
        <f t="shared" si="39"/>
        <v>#REF!</v>
      </c>
      <c r="AV70" s="70" t="e">
        <f t="shared" si="39"/>
        <v>#REF!</v>
      </c>
      <c r="AW70" s="70" t="e">
        <f t="shared" si="39"/>
        <v>#REF!</v>
      </c>
      <c r="AX70" s="70" t="e">
        <f t="shared" si="39"/>
        <v>#REF!</v>
      </c>
      <c r="AY70" s="70" t="e">
        <f t="shared" si="39"/>
        <v>#REF!</v>
      </c>
      <c r="AZ70" s="70" t="e">
        <f t="shared" si="39"/>
        <v>#REF!</v>
      </c>
      <c r="BA70" s="70" t="e">
        <f t="shared" si="39"/>
        <v>#REF!</v>
      </c>
    </row>
    <row r="71" spans="27:53" hidden="1">
      <c r="AA71" s="72" t="s">
        <v>49</v>
      </c>
      <c r="AB71" s="35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</row>
    <row r="72" spans="27:53" hidden="1">
      <c r="AA72" s="71" t="s">
        <v>29</v>
      </c>
      <c r="AB72" s="35"/>
      <c r="AF72" s="70" t="e">
        <f t="shared" ref="AF72:AO72" si="40">AF17+AF18+AF22+AF24</f>
        <v>#REF!</v>
      </c>
      <c r="AG72" s="70" t="e">
        <f t="shared" si="40"/>
        <v>#REF!</v>
      </c>
      <c r="AH72" s="70" t="e">
        <f t="shared" si="40"/>
        <v>#REF!</v>
      </c>
      <c r="AI72" s="70" t="e">
        <f t="shared" si="40"/>
        <v>#REF!</v>
      </c>
      <c r="AJ72" s="70" t="e">
        <f t="shared" si="40"/>
        <v>#REF!</v>
      </c>
      <c r="AK72" s="70" t="e">
        <f t="shared" si="40"/>
        <v>#REF!</v>
      </c>
      <c r="AL72" s="70" t="e">
        <f t="shared" si="40"/>
        <v>#REF!</v>
      </c>
      <c r="AM72" s="70" t="e">
        <f t="shared" si="40"/>
        <v>#REF!</v>
      </c>
      <c r="AN72" s="70" t="e">
        <f t="shared" si="40"/>
        <v>#REF!</v>
      </c>
      <c r="AO72" s="70" t="e">
        <f t="shared" si="40"/>
        <v>#REF!</v>
      </c>
      <c r="AP72" s="70"/>
      <c r="AQ72" s="70"/>
      <c r="AR72" s="70" t="e">
        <f t="shared" ref="AR72:BA72" si="41">AR17+AR18+AR22+AR24</f>
        <v>#REF!</v>
      </c>
      <c r="AS72" s="70" t="e">
        <f t="shared" si="41"/>
        <v>#REF!</v>
      </c>
      <c r="AT72" s="70" t="e">
        <f t="shared" si="41"/>
        <v>#REF!</v>
      </c>
      <c r="AU72" s="70" t="e">
        <f t="shared" si="41"/>
        <v>#REF!</v>
      </c>
      <c r="AV72" s="70" t="e">
        <f t="shared" si="41"/>
        <v>#REF!</v>
      </c>
      <c r="AW72" s="70" t="e">
        <f t="shared" si="41"/>
        <v>#REF!</v>
      </c>
      <c r="AX72" s="70" t="e">
        <f t="shared" si="41"/>
        <v>#REF!</v>
      </c>
      <c r="AY72" s="70" t="e">
        <f t="shared" si="41"/>
        <v>#REF!</v>
      </c>
      <c r="AZ72" s="70" t="e">
        <f t="shared" si="41"/>
        <v>#REF!</v>
      </c>
      <c r="BA72" s="70" t="e">
        <f t="shared" si="41"/>
        <v>#REF!</v>
      </c>
    </row>
    <row r="73" spans="27:53" hidden="1">
      <c r="AA73" s="71" t="s">
        <v>41</v>
      </c>
      <c r="AB73" s="35"/>
      <c r="AF73" s="70" t="e">
        <f t="shared" ref="AF73:AO73" si="42">AF28+AF29+AF33+AF35</f>
        <v>#REF!</v>
      </c>
      <c r="AG73" s="70" t="e">
        <f t="shared" si="42"/>
        <v>#REF!</v>
      </c>
      <c r="AH73" s="70" t="e">
        <f t="shared" si="42"/>
        <v>#REF!</v>
      </c>
      <c r="AI73" s="70" t="e">
        <f t="shared" si="42"/>
        <v>#REF!</v>
      </c>
      <c r="AJ73" s="70" t="e">
        <f t="shared" si="42"/>
        <v>#REF!</v>
      </c>
      <c r="AK73" s="70" t="e">
        <f t="shared" si="42"/>
        <v>#REF!</v>
      </c>
      <c r="AL73" s="70" t="e">
        <f t="shared" si="42"/>
        <v>#REF!</v>
      </c>
      <c r="AM73" s="70" t="e">
        <f t="shared" si="42"/>
        <v>#REF!</v>
      </c>
      <c r="AN73" s="70" t="e">
        <f t="shared" si="42"/>
        <v>#REF!</v>
      </c>
      <c r="AO73" s="70" t="e">
        <f t="shared" si="42"/>
        <v>#REF!</v>
      </c>
      <c r="AP73" s="70"/>
      <c r="AQ73" s="70"/>
      <c r="AR73" s="70" t="e">
        <f t="shared" ref="AR73:BA73" si="43">AR28+AR29+AR33+AR35</f>
        <v>#REF!</v>
      </c>
      <c r="AS73" s="70" t="e">
        <f t="shared" si="43"/>
        <v>#REF!</v>
      </c>
      <c r="AT73" s="70" t="e">
        <f t="shared" si="43"/>
        <v>#REF!</v>
      </c>
      <c r="AU73" s="70" t="e">
        <f t="shared" si="43"/>
        <v>#REF!</v>
      </c>
      <c r="AV73" s="70" t="e">
        <f t="shared" si="43"/>
        <v>#REF!</v>
      </c>
      <c r="AW73" s="70" t="e">
        <f t="shared" si="43"/>
        <v>#REF!</v>
      </c>
      <c r="AX73" s="70" t="e">
        <f t="shared" si="43"/>
        <v>#REF!</v>
      </c>
      <c r="AY73" s="70" t="e">
        <f t="shared" si="43"/>
        <v>#REF!</v>
      </c>
      <c r="AZ73" s="70" t="e">
        <f t="shared" si="43"/>
        <v>#REF!</v>
      </c>
      <c r="BA73" s="70" t="e">
        <f t="shared" si="43"/>
        <v>#REF!</v>
      </c>
    </row>
    <row r="74" spans="27:53" hidden="1">
      <c r="AA74" s="71" t="s">
        <v>42</v>
      </c>
      <c r="AB74" s="35"/>
      <c r="AF74" s="70" t="e">
        <f t="shared" ref="AF74:AO74" si="44">AF39+AF40+AF44+AF46</f>
        <v>#REF!</v>
      </c>
      <c r="AG74" s="70" t="e">
        <f t="shared" si="44"/>
        <v>#REF!</v>
      </c>
      <c r="AH74" s="70" t="e">
        <f t="shared" si="44"/>
        <v>#REF!</v>
      </c>
      <c r="AI74" s="70" t="e">
        <f t="shared" si="44"/>
        <v>#REF!</v>
      </c>
      <c r="AJ74" s="70" t="e">
        <f t="shared" si="44"/>
        <v>#REF!</v>
      </c>
      <c r="AK74" s="70" t="e">
        <f t="shared" si="44"/>
        <v>#REF!</v>
      </c>
      <c r="AL74" s="70" t="e">
        <f t="shared" si="44"/>
        <v>#REF!</v>
      </c>
      <c r="AM74" s="70" t="e">
        <f t="shared" si="44"/>
        <v>#REF!</v>
      </c>
      <c r="AN74" s="70" t="e">
        <f t="shared" si="44"/>
        <v>#REF!</v>
      </c>
      <c r="AO74" s="70" t="e">
        <f t="shared" si="44"/>
        <v>#REF!</v>
      </c>
      <c r="AP74" s="70"/>
      <c r="AQ74" s="70"/>
      <c r="AR74" s="70" t="e">
        <f t="shared" ref="AR74:BA74" si="45">AR39+AR40+AR44+AR46</f>
        <v>#REF!</v>
      </c>
      <c r="AS74" s="70" t="e">
        <f t="shared" si="45"/>
        <v>#REF!</v>
      </c>
      <c r="AT74" s="70" t="e">
        <f t="shared" si="45"/>
        <v>#REF!</v>
      </c>
      <c r="AU74" s="70" t="e">
        <f t="shared" si="45"/>
        <v>#REF!</v>
      </c>
      <c r="AV74" s="70" t="e">
        <f t="shared" si="45"/>
        <v>#REF!</v>
      </c>
      <c r="AW74" s="70" t="e">
        <f t="shared" si="45"/>
        <v>#REF!</v>
      </c>
      <c r="AX74" s="70" t="e">
        <f t="shared" si="45"/>
        <v>#REF!</v>
      </c>
      <c r="AY74" s="70" t="e">
        <f t="shared" si="45"/>
        <v>#REF!</v>
      </c>
      <c r="AZ74" s="70" t="e">
        <f t="shared" si="45"/>
        <v>#REF!</v>
      </c>
      <c r="BA74" s="70" t="e">
        <f t="shared" si="45"/>
        <v>#REF!</v>
      </c>
    </row>
    <row r="75" spans="27:53" hidden="1">
      <c r="AA75" s="69" t="s">
        <v>50</v>
      </c>
      <c r="AB75" s="35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</row>
    <row r="76" spans="27:53" hidden="1">
      <c r="AA76" s="71" t="s">
        <v>29</v>
      </c>
      <c r="AB76" s="35"/>
      <c r="AF76" s="70" t="e">
        <f t="shared" ref="AF76:AO76" si="46">AF17+AF18+AF22+AF25</f>
        <v>#REF!</v>
      </c>
      <c r="AG76" s="70" t="e">
        <f t="shared" si="46"/>
        <v>#REF!</v>
      </c>
      <c r="AH76" s="70" t="e">
        <f t="shared" si="46"/>
        <v>#REF!</v>
      </c>
      <c r="AI76" s="70" t="e">
        <f t="shared" si="46"/>
        <v>#REF!</v>
      </c>
      <c r="AJ76" s="70" t="e">
        <f t="shared" si="46"/>
        <v>#REF!</v>
      </c>
      <c r="AK76" s="70" t="e">
        <f t="shared" si="46"/>
        <v>#REF!</v>
      </c>
      <c r="AL76" s="70" t="e">
        <f t="shared" si="46"/>
        <v>#REF!</v>
      </c>
      <c r="AM76" s="70" t="e">
        <f t="shared" si="46"/>
        <v>#REF!</v>
      </c>
      <c r="AN76" s="70" t="e">
        <f t="shared" si="46"/>
        <v>#REF!</v>
      </c>
      <c r="AO76" s="70" t="e">
        <f t="shared" si="46"/>
        <v>#REF!</v>
      </c>
      <c r="AP76" s="70"/>
      <c r="AQ76" s="70"/>
      <c r="AR76" s="70" t="e">
        <f t="shared" ref="AR76:BA76" si="47">AR17+AR18+AR22+AR25</f>
        <v>#REF!</v>
      </c>
      <c r="AS76" s="70" t="e">
        <f t="shared" si="47"/>
        <v>#REF!</v>
      </c>
      <c r="AT76" s="70" t="e">
        <f t="shared" si="47"/>
        <v>#REF!</v>
      </c>
      <c r="AU76" s="70" t="e">
        <f t="shared" si="47"/>
        <v>#REF!</v>
      </c>
      <c r="AV76" s="70" t="e">
        <f t="shared" si="47"/>
        <v>#REF!</v>
      </c>
      <c r="AW76" s="70" t="e">
        <f t="shared" si="47"/>
        <v>#REF!</v>
      </c>
      <c r="AX76" s="70" t="e">
        <f t="shared" si="47"/>
        <v>#REF!</v>
      </c>
      <c r="AY76" s="70" t="e">
        <f t="shared" si="47"/>
        <v>#REF!</v>
      </c>
      <c r="AZ76" s="70" t="e">
        <f t="shared" si="47"/>
        <v>#REF!</v>
      </c>
      <c r="BA76" s="70" t="e">
        <f t="shared" si="47"/>
        <v>#REF!</v>
      </c>
    </row>
    <row r="77" spans="27:53" hidden="1">
      <c r="AA77" s="71" t="s">
        <v>41</v>
      </c>
      <c r="AB77" s="35"/>
      <c r="AF77" s="70" t="e">
        <f t="shared" ref="AF77:AO77" si="48">AF28+AF29+AF33+AF36</f>
        <v>#REF!</v>
      </c>
      <c r="AG77" s="70" t="e">
        <f t="shared" si="48"/>
        <v>#REF!</v>
      </c>
      <c r="AH77" s="70" t="e">
        <f t="shared" si="48"/>
        <v>#REF!</v>
      </c>
      <c r="AI77" s="70" t="e">
        <f t="shared" si="48"/>
        <v>#REF!</v>
      </c>
      <c r="AJ77" s="70" t="e">
        <f t="shared" si="48"/>
        <v>#REF!</v>
      </c>
      <c r="AK77" s="70" t="e">
        <f t="shared" si="48"/>
        <v>#REF!</v>
      </c>
      <c r="AL77" s="70" t="e">
        <f t="shared" si="48"/>
        <v>#REF!</v>
      </c>
      <c r="AM77" s="70" t="e">
        <f t="shared" si="48"/>
        <v>#REF!</v>
      </c>
      <c r="AN77" s="70" t="e">
        <f t="shared" si="48"/>
        <v>#REF!</v>
      </c>
      <c r="AO77" s="70" t="e">
        <f t="shared" si="48"/>
        <v>#REF!</v>
      </c>
      <c r="AP77" s="70"/>
      <c r="AQ77" s="70"/>
      <c r="AR77" s="70" t="e">
        <f t="shared" ref="AR77:BA77" si="49">AR28+AR29+AR33+AR36</f>
        <v>#REF!</v>
      </c>
      <c r="AS77" s="70" t="e">
        <f t="shared" si="49"/>
        <v>#REF!</v>
      </c>
      <c r="AT77" s="70" t="e">
        <f t="shared" si="49"/>
        <v>#REF!</v>
      </c>
      <c r="AU77" s="70" t="e">
        <f t="shared" si="49"/>
        <v>#REF!</v>
      </c>
      <c r="AV77" s="70" t="e">
        <f t="shared" si="49"/>
        <v>#REF!</v>
      </c>
      <c r="AW77" s="70" t="e">
        <f t="shared" si="49"/>
        <v>#REF!</v>
      </c>
      <c r="AX77" s="70" t="e">
        <f t="shared" si="49"/>
        <v>#REF!</v>
      </c>
      <c r="AY77" s="70" t="e">
        <f t="shared" si="49"/>
        <v>#REF!</v>
      </c>
      <c r="AZ77" s="70" t="e">
        <f t="shared" si="49"/>
        <v>#REF!</v>
      </c>
      <c r="BA77" s="70" t="e">
        <f t="shared" si="49"/>
        <v>#REF!</v>
      </c>
    </row>
    <row r="78" spans="27:53" hidden="1">
      <c r="AA78" s="71" t="s">
        <v>42</v>
      </c>
      <c r="AB78" s="35"/>
      <c r="AF78" s="70" t="e">
        <f t="shared" ref="AF78:AO78" si="50">AF39+AF40+AF44+AF47</f>
        <v>#REF!</v>
      </c>
      <c r="AG78" s="70" t="e">
        <f t="shared" si="50"/>
        <v>#REF!</v>
      </c>
      <c r="AH78" s="70" t="e">
        <f t="shared" si="50"/>
        <v>#REF!</v>
      </c>
      <c r="AI78" s="70" t="e">
        <f t="shared" si="50"/>
        <v>#REF!</v>
      </c>
      <c r="AJ78" s="70" t="e">
        <f t="shared" si="50"/>
        <v>#REF!</v>
      </c>
      <c r="AK78" s="70" t="e">
        <f t="shared" si="50"/>
        <v>#REF!</v>
      </c>
      <c r="AL78" s="70" t="e">
        <f t="shared" si="50"/>
        <v>#REF!</v>
      </c>
      <c r="AM78" s="70" t="e">
        <f t="shared" si="50"/>
        <v>#REF!</v>
      </c>
      <c r="AN78" s="70" t="e">
        <f t="shared" si="50"/>
        <v>#REF!</v>
      </c>
      <c r="AO78" s="70" t="e">
        <f t="shared" si="50"/>
        <v>#REF!</v>
      </c>
      <c r="AP78" s="70"/>
      <c r="AQ78" s="70"/>
      <c r="AR78" s="70" t="e">
        <f t="shared" ref="AR78:BA78" si="51">AR39+AR40+AR44+AR47</f>
        <v>#REF!</v>
      </c>
      <c r="AS78" s="70" t="e">
        <f t="shared" si="51"/>
        <v>#REF!</v>
      </c>
      <c r="AT78" s="70" t="e">
        <f t="shared" si="51"/>
        <v>#REF!</v>
      </c>
      <c r="AU78" s="70" t="e">
        <f t="shared" si="51"/>
        <v>#REF!</v>
      </c>
      <c r="AV78" s="70" t="e">
        <f t="shared" si="51"/>
        <v>#REF!</v>
      </c>
      <c r="AW78" s="70" t="e">
        <f t="shared" si="51"/>
        <v>#REF!</v>
      </c>
      <c r="AX78" s="70" t="e">
        <f t="shared" si="51"/>
        <v>#REF!</v>
      </c>
      <c r="AY78" s="70" t="e">
        <f t="shared" si="51"/>
        <v>#REF!</v>
      </c>
      <c r="AZ78" s="70" t="e">
        <f t="shared" si="51"/>
        <v>#REF!</v>
      </c>
      <c r="BA78" s="70" t="e">
        <f t="shared" si="51"/>
        <v>#REF!</v>
      </c>
    </row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7" spans="1:52" hidden="1"/>
    <row r="89" spans="1:52">
      <c r="A89" s="598" t="s">
        <v>108</v>
      </c>
      <c r="B89" s="598" t="s">
        <v>52</v>
      </c>
      <c r="C89" s="39" t="s">
        <v>101</v>
      </c>
      <c r="D89" s="39" t="s">
        <v>53</v>
      </c>
      <c r="E89" s="39" t="s">
        <v>54</v>
      </c>
      <c r="F89" s="587" t="s">
        <v>64</v>
      </c>
      <c r="G89" s="600"/>
      <c r="H89" s="600"/>
      <c r="I89" s="600"/>
      <c r="J89" s="600"/>
      <c r="K89" s="600"/>
      <c r="L89" s="600"/>
      <c r="M89" s="600"/>
      <c r="N89" s="600"/>
      <c r="O89" s="600"/>
      <c r="P89" s="590"/>
      <c r="AN89" s="38"/>
      <c r="AZ89" s="36"/>
    </row>
    <row r="90" spans="1:52" ht="63.75">
      <c r="A90" s="599"/>
      <c r="B90" s="599"/>
      <c r="C90" s="41" t="s">
        <v>66</v>
      </c>
      <c r="D90" s="41" t="s">
        <v>67</v>
      </c>
      <c r="E90" s="41" t="s">
        <v>68</v>
      </c>
      <c r="F90" s="545" t="s">
        <v>55</v>
      </c>
      <c r="G90" s="545" t="s">
        <v>73</v>
      </c>
      <c r="H90" s="545" t="s">
        <v>74</v>
      </c>
      <c r="I90" s="545" t="s">
        <v>58</v>
      </c>
      <c r="J90" s="545" t="s">
        <v>59</v>
      </c>
      <c r="K90" s="545" t="s">
        <v>60</v>
      </c>
      <c r="L90" s="544" t="s">
        <v>75</v>
      </c>
      <c r="M90" s="544" t="s">
        <v>76</v>
      </c>
      <c r="N90" s="544" t="s">
        <v>61</v>
      </c>
      <c r="O90" s="544" t="s">
        <v>62</v>
      </c>
      <c r="P90" s="544" t="s">
        <v>63</v>
      </c>
      <c r="AN90" s="38"/>
      <c r="AZ90" s="36"/>
    </row>
    <row r="91" spans="1:52" ht="25.5">
      <c r="A91" s="44" t="str">
        <f t="shared" ref="A91:C94" si="52">A4</f>
        <v>General Construction</v>
      </c>
      <c r="B91" s="45" t="str">
        <f t="shared" si="52"/>
        <v>Light-Duty Truck, catalyst</v>
      </c>
      <c r="C91" s="46">
        <f t="shared" si="52"/>
        <v>3</v>
      </c>
      <c r="D91" s="46">
        <v>35</v>
      </c>
      <c r="E91" s="46">
        <v>80</v>
      </c>
      <c r="F91" s="50">
        <f>C4*($E4*$F4+($G4))/453.59</f>
        <v>1.4571581576427601</v>
      </c>
      <c r="G91" s="50">
        <f>C4*($E4*$H4+($I4))/453.59</f>
        <v>0.13101197188313402</v>
      </c>
      <c r="H91" s="50">
        <f>C4*(($E4*$J4)+($K4)+($L4)+($E4*$N4)+(($M4+$O4)))/453.59</f>
        <v>0.15149994097185998</v>
      </c>
      <c r="I91" s="50">
        <f>C4*($E4*$P4+($Q4))/453.59</f>
        <v>2.1803910814818476E-3</v>
      </c>
      <c r="J91" s="50">
        <f>C4*(($E4*($R4+$T4+$U4))+($S4))/453.59</f>
        <v>2.5572271365623688E-2</v>
      </c>
      <c r="K91" s="50">
        <f>$C4*(($E4*($V4+$X4+$Y4))+($W4))/453.59</f>
        <v>1.1136015972759426E-2</v>
      </c>
      <c r="L91" s="50">
        <f>$B$24*C4*(E4+6)</f>
        <v>2.5315747758215698E-2</v>
      </c>
      <c r="M91" s="50">
        <f t="shared" ref="M91:M94" si="53">0.41*L91</f>
        <v>1.0379456580868435E-2</v>
      </c>
      <c r="N91" s="50">
        <f>C4*($E4*$Z4+($AA4))/453.59</f>
        <v>166.27073017811671</v>
      </c>
      <c r="O91" s="50">
        <f>C4*($E4*$AB4+($AC4))/453.59</f>
        <v>9.5114261670907474E-3</v>
      </c>
      <c r="P91" s="50">
        <f>C4*($E4*$AD4+($AE4))/453.59</f>
        <v>1.7313359741530081E-2</v>
      </c>
      <c r="AN91" s="38"/>
      <c r="AZ91" s="36"/>
    </row>
    <row r="92" spans="1:52" ht="25.5">
      <c r="A92" s="44" t="str">
        <f t="shared" si="52"/>
        <v>Substation General Construction</v>
      </c>
      <c r="B92" s="45" t="str">
        <f t="shared" si="52"/>
        <v>Light-Duty Truck, catalyst</v>
      </c>
      <c r="C92" s="46">
        <f t="shared" si="52"/>
        <v>3</v>
      </c>
      <c r="D92" s="46">
        <v>35</v>
      </c>
      <c r="E92" s="46">
        <v>80</v>
      </c>
      <c r="F92" s="50">
        <f>C5*($E5*$F5+($G5))/453.59</f>
        <v>1.4571581576427601</v>
      </c>
      <c r="G92" s="50">
        <f>C5*($E5*$H5+($I5))/453.59</f>
        <v>0.13101197188313402</v>
      </c>
      <c r="H92" s="50">
        <f>C5*(($E5*$J5)+($K5)+($L5)+($E5*$N5)+(($M5+$O5)))/453.59</f>
        <v>0.15149994097185998</v>
      </c>
      <c r="I92" s="50">
        <f>C5*($E5*$P5+($Q5))/453.59</f>
        <v>2.1803910814818476E-3</v>
      </c>
      <c r="J92" s="50">
        <f>C5*(($E5*($R5+$T5+$U5))+($S5))/453.59</f>
        <v>2.5572271365623688E-2</v>
      </c>
      <c r="K92" s="50">
        <f>$C5*(($E5*($V5+$X5+$Y5))+($W5))/453.59</f>
        <v>1.1136015972759426E-2</v>
      </c>
      <c r="L92" s="50">
        <f>$B$24*C5*(E5+6)</f>
        <v>2.5315747758215698E-2</v>
      </c>
      <c r="M92" s="50">
        <f t="shared" si="53"/>
        <v>1.0379456580868435E-2</v>
      </c>
      <c r="N92" s="50">
        <f>C5*($E5*$Z5+($AA5))/453.59</f>
        <v>166.27073017811671</v>
      </c>
      <c r="O92" s="50">
        <f>C5*($E5*$AB5+($AC5))/453.59</f>
        <v>9.5114261670907474E-3</v>
      </c>
      <c r="P92" s="50">
        <f>C5*($E5*$AD5+($AE5))/453.59</f>
        <v>1.7313359741530081E-2</v>
      </c>
      <c r="AN92" s="38"/>
      <c r="AZ92" s="36"/>
    </row>
    <row r="93" spans="1:52" ht="25.5">
      <c r="A93" s="44" t="str">
        <f t="shared" si="52"/>
        <v>Site and Access Road Grading</v>
      </c>
      <c r="B93" s="45" t="str">
        <f t="shared" si="52"/>
        <v>Light-Duty Truck, catalyst</v>
      </c>
      <c r="C93" s="46">
        <f t="shared" si="52"/>
        <v>19</v>
      </c>
      <c r="D93" s="46">
        <v>35</v>
      </c>
      <c r="E93" s="46">
        <v>80</v>
      </c>
      <c r="F93" s="50">
        <f>C6*($E6*$F6+($G6))/453.59</f>
        <v>9.2286683317374809</v>
      </c>
      <c r="G93" s="50">
        <f>C6*($E6*$H6+($I6))/453.59</f>
        <v>0.82974248859318211</v>
      </c>
      <c r="H93" s="50">
        <f>C6*(($E6*$J6)+($K6)+($L6)+($E6*$N6)+(($M6+$O6)))/453.59</f>
        <v>0.95949962615511319</v>
      </c>
      <c r="I93" s="50">
        <f>C6*($E6*$P6+($Q6))/453.59</f>
        <v>1.3809143516051703E-2</v>
      </c>
      <c r="J93" s="50">
        <f>C6*(($E6*($R6+$T6+$U6))+($S6))/453.59</f>
        <v>0.16195771864895006</v>
      </c>
      <c r="K93" s="50">
        <f>$C6*(($E6*($V6+$X6+$Y6))+($W6))/453.59</f>
        <v>7.0528101160809695E-2</v>
      </c>
      <c r="L93" s="50">
        <f>$B$24*C6*(E6+6)</f>
        <v>0.16033306913536607</v>
      </c>
      <c r="M93" s="50">
        <f t="shared" si="53"/>
        <v>6.5736558345500087E-2</v>
      </c>
      <c r="N93" s="50">
        <f>C6*($E6*$Z6+($AA6))/453.59</f>
        <v>1053.047957794739</v>
      </c>
      <c r="O93" s="50">
        <f>C6*($E6*$AB6+($AC6))/453.59</f>
        <v>6.0239032391574736E-2</v>
      </c>
      <c r="P93" s="50">
        <f>C6*($E6*$AD6+($AE6))/453.59</f>
        <v>0.10965127836302384</v>
      </c>
      <c r="AN93" s="38"/>
      <c r="AZ93" s="36"/>
    </row>
    <row r="94" spans="1:52" ht="25.5">
      <c r="A94" s="44" t="str">
        <f t="shared" si="52"/>
        <v>Storm Drain and Erosion Control</v>
      </c>
      <c r="B94" s="45" t="str">
        <f t="shared" si="52"/>
        <v>Light-Duty Truck, catalyst</v>
      </c>
      <c r="C94" s="46">
        <f t="shared" si="52"/>
        <v>14</v>
      </c>
      <c r="D94" s="46">
        <v>35</v>
      </c>
      <c r="E94" s="46">
        <v>80</v>
      </c>
      <c r="F94" s="50">
        <f>C7*($E7*$F7+($G7))/453.59</f>
        <v>6.8000714023328808</v>
      </c>
      <c r="G94" s="50">
        <f>C7*($E7*$H7+($I7))/453.59</f>
        <v>0.61138920212129211</v>
      </c>
      <c r="H94" s="50">
        <f>C7*(($E7*$J7)+($K7)+($L7)+($E7*$N7)+(($M7+$O7)))/453.59</f>
        <v>0.70699972453534654</v>
      </c>
      <c r="I94" s="50">
        <f>C7*($E7*$P7+($Q7))/453.59</f>
        <v>1.0175158380248623E-2</v>
      </c>
      <c r="J94" s="50">
        <f>C7*(($E7*($R7+$T7+$U7))+($S7))/453.59</f>
        <v>0.11933726637291055</v>
      </c>
      <c r="K94" s="50">
        <f>$C7*(($E7*($V7+$X7+$Y7))+($W7))/453.59</f>
        <v>5.1968074539543989E-2</v>
      </c>
      <c r="L94" s="50">
        <f>$B$24*C7*(E7+6)</f>
        <v>0.11814015620500659</v>
      </c>
      <c r="M94" s="50">
        <f t="shared" si="53"/>
        <v>4.8437464044052699E-2</v>
      </c>
      <c r="N94" s="50">
        <f>C7*($E7*$Z7+($AA7))/453.59</f>
        <v>775.93007416454452</v>
      </c>
      <c r="O94" s="50">
        <f>C7*($E7*$AB7+($AC7))/453.59</f>
        <v>4.4386655446423486E-2</v>
      </c>
      <c r="P94" s="50">
        <f>C7*($E7*$AD7+($AE7))/453.59</f>
        <v>8.0795678793807044E-2</v>
      </c>
      <c r="AN94" s="38"/>
      <c r="AZ94" s="36"/>
    </row>
    <row r="95" spans="1:52">
      <c r="A95" s="61" t="s">
        <v>389</v>
      </c>
      <c r="B95" s="40"/>
      <c r="C95" s="40"/>
      <c r="D95" s="40"/>
      <c r="E95" s="40"/>
      <c r="F95" s="81">
        <f t="shared" ref="F95:P95" si="54">SUM(F91:F94)</f>
        <v>18.943056049355881</v>
      </c>
      <c r="G95" s="81">
        <f t="shared" si="54"/>
        <v>1.7031556344807424</v>
      </c>
      <c r="H95" s="81">
        <f t="shared" si="54"/>
        <v>1.9694992326341798</v>
      </c>
      <c r="I95" s="81">
        <f t="shared" si="54"/>
        <v>2.8345084059264017E-2</v>
      </c>
      <c r="J95" s="81">
        <f t="shared" si="54"/>
        <v>0.33243952775310798</v>
      </c>
      <c r="K95" s="81">
        <f t="shared" si="54"/>
        <v>0.14476820764587253</v>
      </c>
      <c r="L95" s="81">
        <f t="shared" si="54"/>
        <v>0.32910472085680409</v>
      </c>
      <c r="M95" s="81">
        <f t="shared" si="54"/>
        <v>0.13493293555128966</v>
      </c>
      <c r="N95" s="81">
        <f t="shared" si="54"/>
        <v>2161.5194923155168</v>
      </c>
      <c r="O95" s="81">
        <f t="shared" si="54"/>
        <v>0.12364854017217972</v>
      </c>
      <c r="P95" s="81">
        <f t="shared" si="54"/>
        <v>0.22507367663989103</v>
      </c>
      <c r="AN95" s="38"/>
      <c r="AZ95" s="36"/>
    </row>
  </sheetData>
  <mergeCells count="16">
    <mergeCell ref="AR14:BA14"/>
    <mergeCell ref="A89:A90"/>
    <mergeCell ref="B89:B90"/>
    <mergeCell ref="F89:P89"/>
    <mergeCell ref="R2:U2"/>
    <mergeCell ref="V2:Y2"/>
    <mergeCell ref="Z2:AA2"/>
    <mergeCell ref="AB2:AC2"/>
    <mergeCell ref="AD2:AE2"/>
    <mergeCell ref="AF14:AO14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34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561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314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8</v>
      </c>
      <c r="P8" s="88">
        <v>125</v>
      </c>
      <c r="Q8" s="34">
        <f t="shared" ref="Q8:Y10" si="2">(E8*$N8*$O8)</f>
        <v>0.49946184642775621</v>
      </c>
      <c r="R8" s="26">
        <f t="shared" si="2"/>
        <v>2.4431746031746027</v>
      </c>
      <c r="S8" s="26">
        <f t="shared" si="2"/>
        <v>3.1176888888888881</v>
      </c>
      <c r="T8" s="26">
        <f t="shared" si="2"/>
        <v>4.4060015200662857E-3</v>
      </c>
      <c r="U8" s="26">
        <f t="shared" si="2"/>
        <v>0.19809523809523807</v>
      </c>
      <c r="V8" s="26">
        <f t="shared" si="2"/>
        <v>0.17630476190476188</v>
      </c>
      <c r="W8" s="26">
        <f t="shared" si="2"/>
        <v>375.60183859341714</v>
      </c>
      <c r="X8" s="26">
        <f t="shared" si="2"/>
        <v>5.4697471816927752E-2</v>
      </c>
      <c r="Y8" s="26">
        <f t="shared" si="2"/>
        <v>0.29618044444444436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9</v>
      </c>
      <c r="P9" s="363">
        <v>125</v>
      </c>
      <c r="Q9" s="34">
        <f t="shared" si="2"/>
        <v>1.0612998664693185</v>
      </c>
      <c r="R9" s="26">
        <f t="shared" si="2"/>
        <v>3.2860974016937274</v>
      </c>
      <c r="S9" s="26">
        <f t="shared" si="2"/>
        <v>7.8103317854039886</v>
      </c>
      <c r="T9" s="26">
        <f t="shared" si="2"/>
        <v>1.6865295748293957E-2</v>
      </c>
      <c r="U9" s="26">
        <f t="shared" si="2"/>
        <v>0.26137541066030878</v>
      </c>
      <c r="V9" s="26">
        <f t="shared" si="2"/>
        <v>0.23262411548767484</v>
      </c>
      <c r="W9" s="26">
        <f t="shared" si="2"/>
        <v>1498.908740620727</v>
      </c>
      <c r="X9" s="26">
        <f t="shared" si="2"/>
        <v>9.5759396799267066E-2</v>
      </c>
      <c r="Y9" s="26">
        <f t="shared" si="2"/>
        <v>0.74198151961337888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3</v>
      </c>
      <c r="P10" s="363">
        <v>125</v>
      </c>
      <c r="Q10" s="34">
        <f t="shared" si="2"/>
        <v>3.9051121312432671E-2</v>
      </c>
      <c r="R10" s="26">
        <f t="shared" si="2"/>
        <v>0.1468253968253968</v>
      </c>
      <c r="S10" s="26">
        <f t="shared" si="2"/>
        <v>0.13018518518518515</v>
      </c>
      <c r="T10" s="26">
        <f t="shared" si="2"/>
        <v>4.7652059865273245E-4</v>
      </c>
      <c r="U10" s="26">
        <f t="shared" si="2"/>
        <v>1.4682539682539681E-2</v>
      </c>
      <c r="V10" s="26">
        <f t="shared" si="2"/>
        <v>1.3067460317460314E-2</v>
      </c>
      <c r="W10" s="26">
        <f t="shared" si="2"/>
        <v>30.622980859093083</v>
      </c>
      <c r="X10" s="26">
        <f t="shared" si="2"/>
        <v>3.8388136396804665E-3</v>
      </c>
      <c r="Y10" s="26">
        <f t="shared" si="2"/>
        <v>1.236759259259259E-2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1.5998128342095075</v>
      </c>
      <c r="R11" s="101">
        <f t="shared" ref="R11:Y11" si="3">SUM(R8:R10)</f>
        <v>5.8760974016937269</v>
      </c>
      <c r="S11" s="101">
        <f t="shared" si="3"/>
        <v>11.058205859478063</v>
      </c>
      <c r="T11" s="101">
        <f t="shared" si="3"/>
        <v>2.1747817867012974E-2</v>
      </c>
      <c r="U11" s="101">
        <f t="shared" si="3"/>
        <v>0.47415318843808657</v>
      </c>
      <c r="V11" s="101">
        <f t="shared" si="3"/>
        <v>0.42199633770989703</v>
      </c>
      <c r="W11" s="101">
        <f t="shared" si="3"/>
        <v>1905.1335600732373</v>
      </c>
      <c r="X11" s="101">
        <f t="shared" si="3"/>
        <v>0.15429568225587528</v>
      </c>
      <c r="Y11" s="101">
        <f t="shared" si="3"/>
        <v>1.0505295566504158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87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7" t="s">
        <v>315</v>
      </c>
      <c r="B13" s="579"/>
      <c r="C13" s="18"/>
      <c r="D13" s="18"/>
      <c r="E13" s="19"/>
      <c r="F13" s="19"/>
      <c r="G13" s="19"/>
      <c r="H13" s="19"/>
      <c r="I13" s="19"/>
      <c r="J13" s="19"/>
      <c r="K13" s="19"/>
      <c r="L13" s="19"/>
      <c r="M13" s="19"/>
      <c r="N13" s="30"/>
      <c r="O13" s="30"/>
      <c r="P13" s="30"/>
      <c r="Q13" s="20"/>
      <c r="R13" s="20"/>
      <c r="S13" s="20"/>
      <c r="T13" s="20"/>
      <c r="U13" s="20"/>
      <c r="V13" s="20"/>
      <c r="W13" s="21"/>
      <c r="X13" s="20"/>
      <c r="Y13" s="20"/>
    </row>
    <row r="14" spans="1:25" s="3" customFormat="1">
      <c r="A14" s="24" t="s">
        <v>119</v>
      </c>
      <c r="B14" s="90" t="s">
        <v>27</v>
      </c>
      <c r="C14" s="22">
        <v>78</v>
      </c>
      <c r="D14" s="22">
        <f>VLOOKUP(A14,'Offroad Tiers LF'!$B$6:$C$40,2,FALSE)</f>
        <v>0.48</v>
      </c>
      <c r="E14" s="102">
        <v>6.2432730803469526E-2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0.30539682539682533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0.38971111111111101</v>
      </c>
      <c r="H14" s="102">
        <v>5.5075019000828571E-4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2.4761904761904759E-2</v>
      </c>
      <c r="J14" s="100">
        <f t="shared" ref="J14:J16" si="4">0.89*I14</f>
        <v>2.2038095238095235E-2</v>
      </c>
      <c r="K14" s="103">
        <v>46.950229824177143</v>
      </c>
      <c r="L14" s="102">
        <v>6.837183977115969E-3</v>
      </c>
      <c r="M14" s="104">
        <f t="shared" ref="M14:M16" si="5">0.095*G14</f>
        <v>3.7022555555555545E-2</v>
      </c>
      <c r="N14" s="98">
        <v>1</v>
      </c>
      <c r="O14" s="98">
        <v>6</v>
      </c>
      <c r="P14" s="88">
        <v>125</v>
      </c>
      <c r="Q14" s="34">
        <f t="shared" ref="Q14:Y16" si="6">(E14*$N14*$O14)</f>
        <v>0.37459638482081714</v>
      </c>
      <c r="R14" s="26">
        <f t="shared" si="6"/>
        <v>1.832380952380952</v>
      </c>
      <c r="S14" s="26">
        <f t="shared" si="6"/>
        <v>2.3382666666666658</v>
      </c>
      <c r="T14" s="26">
        <f t="shared" si="6"/>
        <v>3.3045011400497145E-3</v>
      </c>
      <c r="U14" s="26">
        <f t="shared" si="6"/>
        <v>0.14857142857142855</v>
      </c>
      <c r="V14" s="26">
        <f t="shared" si="6"/>
        <v>0.13222857142857142</v>
      </c>
      <c r="W14" s="26">
        <f t="shared" si="6"/>
        <v>281.70137894506286</v>
      </c>
      <c r="X14" s="26">
        <f t="shared" si="6"/>
        <v>4.1023103862695816E-2</v>
      </c>
      <c r="Y14" s="26">
        <f t="shared" si="6"/>
        <v>0.22213533333333327</v>
      </c>
    </row>
    <row r="15" spans="1:25" s="3" customFormat="1">
      <c r="A15" s="24" t="s">
        <v>305</v>
      </c>
      <c r="B15" s="29" t="s">
        <v>27</v>
      </c>
      <c r="C15" s="22">
        <v>175</v>
      </c>
      <c r="D15" s="22"/>
      <c r="E15" s="102">
        <v>0.11792220738547983</v>
      </c>
      <c r="F15" s="102">
        <v>0.36512193352152528</v>
      </c>
      <c r="G15" s="102">
        <v>0.86781464282266541</v>
      </c>
      <c r="H15" s="102">
        <v>1.8739217498104396E-3</v>
      </c>
      <c r="I15" s="102">
        <v>2.9041712295589866E-2</v>
      </c>
      <c r="J15" s="100">
        <f t="shared" si="4"/>
        <v>2.5847123943074982E-2</v>
      </c>
      <c r="K15" s="103">
        <v>166.54541562452522</v>
      </c>
      <c r="L15" s="102">
        <v>1.063993297769634E-2</v>
      </c>
      <c r="M15" s="104">
        <f t="shared" si="5"/>
        <v>8.2442391068153209E-2</v>
      </c>
      <c r="N15" s="98">
        <v>1</v>
      </c>
      <c r="O15" s="87">
        <v>2</v>
      </c>
      <c r="P15" s="363">
        <v>125</v>
      </c>
      <c r="Q15" s="34">
        <f t="shared" si="6"/>
        <v>0.23584441477095966</v>
      </c>
      <c r="R15" s="26">
        <f t="shared" si="6"/>
        <v>0.73024386704305055</v>
      </c>
      <c r="S15" s="26">
        <f t="shared" si="6"/>
        <v>1.7356292856453308</v>
      </c>
      <c r="T15" s="26">
        <f t="shared" si="6"/>
        <v>3.7478434996208792E-3</v>
      </c>
      <c r="U15" s="26">
        <f t="shared" si="6"/>
        <v>5.8083424591179732E-2</v>
      </c>
      <c r="V15" s="26">
        <f t="shared" si="6"/>
        <v>5.1694247886149965E-2</v>
      </c>
      <c r="W15" s="26">
        <f t="shared" si="6"/>
        <v>333.09083124905044</v>
      </c>
      <c r="X15" s="26">
        <f t="shared" si="6"/>
        <v>2.127986595539268E-2</v>
      </c>
      <c r="Y15" s="26">
        <f t="shared" si="6"/>
        <v>0.16488478213630642</v>
      </c>
    </row>
    <row r="16" spans="1:25" s="3" customFormat="1">
      <c r="A16" s="24" t="s">
        <v>368</v>
      </c>
      <c r="B16" s="29" t="s">
        <v>27</v>
      </c>
      <c r="C16" s="22">
        <v>5</v>
      </c>
      <c r="D16" s="22">
        <v>0.74</v>
      </c>
      <c r="E16" s="102">
        <v>1.3017040437477556E-2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4.8941798941798939E-2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4.3395061728395051E-2</v>
      </c>
      <c r="H16" s="102">
        <v>1.5884019955091081E-4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4.8941798941798936E-3</v>
      </c>
      <c r="J16" s="100">
        <f t="shared" si="4"/>
        <v>4.3558201058201051E-3</v>
      </c>
      <c r="K16" s="103">
        <v>10.20766028636436</v>
      </c>
      <c r="L16" s="102">
        <v>1.2796045465601556E-3</v>
      </c>
      <c r="M16" s="104">
        <f t="shared" si="5"/>
        <v>4.1225308641975296E-3</v>
      </c>
      <c r="N16" s="98">
        <v>1</v>
      </c>
      <c r="O16" s="87">
        <v>8</v>
      </c>
      <c r="P16" s="363">
        <v>125</v>
      </c>
      <c r="Q16" s="34">
        <f t="shared" si="6"/>
        <v>0.10413632349982045</v>
      </c>
      <c r="R16" s="26">
        <f t="shared" si="6"/>
        <v>0.39153439153439151</v>
      </c>
      <c r="S16" s="26">
        <f t="shared" si="6"/>
        <v>0.34716049382716041</v>
      </c>
      <c r="T16" s="26">
        <f t="shared" si="6"/>
        <v>1.2707215964072865E-3</v>
      </c>
      <c r="U16" s="26">
        <f t="shared" si="6"/>
        <v>3.9153439153439148E-2</v>
      </c>
      <c r="V16" s="26">
        <f t="shared" si="6"/>
        <v>3.4846560846560841E-2</v>
      </c>
      <c r="W16" s="26">
        <f t="shared" si="6"/>
        <v>81.661282290914883</v>
      </c>
      <c r="X16" s="26">
        <f t="shared" si="6"/>
        <v>1.0236836372481245E-2</v>
      </c>
      <c r="Y16" s="26">
        <f t="shared" si="6"/>
        <v>3.2980246913580237E-2</v>
      </c>
    </row>
    <row r="17" spans="1:25" s="3" customFormat="1">
      <c r="A17" s="17" t="s">
        <v>28</v>
      </c>
      <c r="B17" s="29"/>
      <c r="C17" s="22"/>
      <c r="D17" s="22"/>
      <c r="E17" s="108"/>
      <c r="F17" s="108"/>
      <c r="G17" s="108"/>
      <c r="H17" s="108"/>
      <c r="I17" s="108"/>
      <c r="J17" s="100"/>
      <c r="K17" s="365"/>
      <c r="L17" s="110"/>
      <c r="M17" s="102"/>
      <c r="N17" s="98"/>
      <c r="O17" s="87"/>
      <c r="P17" s="363"/>
      <c r="Q17" s="101">
        <f>SUM(Q14:Q16)</f>
        <v>0.71457712309159727</v>
      </c>
      <c r="R17" s="101">
        <f t="shared" ref="R17:Y17" si="7">SUM(R14:R16)</f>
        <v>2.9541592109583941</v>
      </c>
      <c r="S17" s="101">
        <f t="shared" si="7"/>
        <v>4.4210564461391568</v>
      </c>
      <c r="T17" s="101">
        <f t="shared" si="7"/>
        <v>8.32306623607788E-3</v>
      </c>
      <c r="U17" s="101">
        <f t="shared" si="7"/>
        <v>0.24580829231604745</v>
      </c>
      <c r="V17" s="101">
        <f t="shared" si="7"/>
        <v>0.21876938016128222</v>
      </c>
      <c r="W17" s="101">
        <f t="shared" si="7"/>
        <v>696.45349248502816</v>
      </c>
      <c r="X17" s="101">
        <f t="shared" si="7"/>
        <v>7.2539806190569739E-2</v>
      </c>
      <c r="Y17" s="101">
        <f t="shared" si="7"/>
        <v>0.42000036238321992</v>
      </c>
    </row>
    <row r="18" spans="1:25" s="3" customFormat="1">
      <c r="A18" s="24"/>
      <c r="B18" s="29"/>
      <c r="C18" s="22"/>
      <c r="D18" s="22"/>
      <c r="E18" s="108"/>
      <c r="F18" s="108"/>
      <c r="G18" s="108"/>
      <c r="H18" s="108"/>
      <c r="I18" s="108"/>
      <c r="J18" s="100"/>
      <c r="K18" s="365"/>
      <c r="L18" s="110"/>
      <c r="M18" s="102"/>
      <c r="N18" s="98"/>
      <c r="O18" s="98"/>
      <c r="P18" s="363"/>
      <c r="Q18" s="34"/>
      <c r="R18" s="26"/>
      <c r="S18" s="26"/>
      <c r="T18" s="26"/>
      <c r="U18" s="26"/>
      <c r="V18" s="26"/>
      <c r="W18" s="26"/>
      <c r="X18" s="26"/>
      <c r="Y18" s="26"/>
    </row>
    <row r="19" spans="1:25" s="3" customFormat="1">
      <c r="A19" s="17" t="s">
        <v>281</v>
      </c>
      <c r="B19" s="90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30"/>
      <c r="O19" s="30"/>
      <c r="P19" s="30"/>
      <c r="Q19" s="20"/>
      <c r="R19" s="20"/>
      <c r="S19" s="27"/>
      <c r="T19" s="20"/>
      <c r="U19" s="20"/>
      <c r="V19" s="20"/>
      <c r="W19" s="21"/>
      <c r="X19" s="20"/>
      <c r="Y19" s="20"/>
    </row>
    <row r="20" spans="1:25" s="3" customFormat="1">
      <c r="A20" s="100" t="s">
        <v>120</v>
      </c>
      <c r="B20" s="29" t="s">
        <v>27</v>
      </c>
      <c r="C20" s="22">
        <v>358</v>
      </c>
      <c r="D20" s="22">
        <v>0.4</v>
      </c>
      <c r="E20" s="108">
        <v>0.27937428148624566</v>
      </c>
      <c r="F20" s="397">
        <f>IF($C20&lt;11,'Offroad Tiers EF (2)'!$AN$4*$C20*$D20,IF($C20&lt;25,'Offroad Tiers EF (2)'!$AN$5*$C20*$D20,IF($C20&lt;50,'Offroad Tiers EF (2)'!$AN$6*$C20*$D20,IF($C20&lt;75,'Offroad Tiers EF (2)'!$AN$7*$C20*$D20,IF($C20&lt;100,'Offroad Tiers EF (2)'!$AN$8*$C20*$D20,IF($C20&lt;175,'Offroad Tiers EF (2)'!$AN$9*$C20*$D20,IF($C20&lt;300,'Offroad Tiers EF (2)'!$AN$10*$C20*$D20,IF($C20&lt;600,'Offroad Tiers EF (2)'!$AN$11*$C20*$D20,"!"))))))))</f>
        <v>0.82081128747795418</v>
      </c>
      <c r="G20" s="397">
        <f>IF($C20&lt;11,'Offroad Tiers EF (2)'!$AM$4*$C20*$D20,IF($C20&lt;25,'Offroad Tiers EF (2)'!$AM$5*$C20*$D20,IF($C20&lt;50,'Offroad Tiers EF (2)'!$AM$6*$C20*$D20,IF($C20&lt;75,'Offroad Tiers EF (2)'!$AM$7*$C20*$D20,IF($C20&lt;100,'Offroad Tiers EF (2)'!$AM$8*$C20*$D20,IF($C20&lt;175,'Offroad Tiers EF (2)'!$AM$9*$C20*$D20,IF($C20&lt;300,'Offroad Tiers EF (2)'!$AM$10*$C20*$D20,IF($C20&lt;600,'Offroad Tiers EF (2)'!$AM$11*$C20*$D20,"!"))))))))</f>
        <v>1.2776243386243384</v>
      </c>
      <c r="H20" s="108">
        <v>2.5998088533883764E-3</v>
      </c>
      <c r="I20" s="397">
        <f>IF($C20&lt;11,'Offroad Tiers EF (2)'!$AO$4*$C20*$D20,IF($C20&lt;25,'Offroad Tiers EF (2)'!$AO$5*$C20*$D20,IF($C20&lt;50,'Offroad Tiers EF (2)'!$AO$6*$C20*$D20,IF($C20&lt;75,'Offroad Tiers EF (2)'!$AO$7*$C20*$D20,IF($C20&lt;100,'Offroad Tiers EF (2)'!$AO$8*$C20*$D20,IF($C20&lt;175,'Offroad Tiers EF (2)'!$AO$9*$C20*$D20,IF($C20&lt;300,'Offroad Tiers EF (2)'!$AO$10*$C20*$D20,IF($C20&lt;600,'Offroad Tiers EF (2)'!$AO$11*$C20*$D20,"!"))))))))</f>
        <v>4.735449735449735E-2</v>
      </c>
      <c r="J20" s="100">
        <f t="shared" ref="J20:J24" si="8">0.89*I20</f>
        <v>4.2145502645502646E-2</v>
      </c>
      <c r="K20" s="108">
        <v>264.8725636721183</v>
      </c>
      <c r="L20" s="108">
        <v>2.6451144743432839E-2</v>
      </c>
      <c r="M20" s="102">
        <f t="shared" ref="M20:M24" si="9">0.095*G20</f>
        <v>0.12137431216931216</v>
      </c>
      <c r="N20" s="98">
        <v>1</v>
      </c>
      <c r="O20" s="87">
        <v>8</v>
      </c>
      <c r="P20" s="363">
        <v>75</v>
      </c>
      <c r="Q20" s="34">
        <f t="shared" ref="Q20:Y24" si="10">(E20*$N20*$O20)</f>
        <v>2.2349942518899653</v>
      </c>
      <c r="R20" s="26">
        <f t="shared" si="10"/>
        <v>6.5664902998236334</v>
      </c>
      <c r="S20" s="26">
        <f t="shared" si="10"/>
        <v>10.220994708994708</v>
      </c>
      <c r="T20" s="26">
        <f t="shared" si="10"/>
        <v>2.0798470827107011E-2</v>
      </c>
      <c r="U20" s="26">
        <f t="shared" si="10"/>
        <v>0.3788359788359788</v>
      </c>
      <c r="V20" s="26">
        <f t="shared" si="10"/>
        <v>0.33716402116402117</v>
      </c>
      <c r="W20" s="26">
        <f t="shared" si="10"/>
        <v>2118.9805093769464</v>
      </c>
      <c r="X20" s="26">
        <f t="shared" si="10"/>
        <v>0.21160915794746271</v>
      </c>
      <c r="Y20" s="26">
        <f t="shared" si="10"/>
        <v>0.97099449735449728</v>
      </c>
    </row>
    <row r="21" spans="1:25" s="3" customFormat="1">
      <c r="A21" s="100" t="s">
        <v>121</v>
      </c>
      <c r="B21" s="29" t="s">
        <v>27</v>
      </c>
      <c r="C21" s="22">
        <v>162</v>
      </c>
      <c r="D21" s="22">
        <v>0.41</v>
      </c>
      <c r="E21" s="108">
        <v>0.12153885438656534</v>
      </c>
      <c r="F21" s="397">
        <f>IF($C21&lt;11,'Offroad Tiers EF (2)'!$AN$4*$C21*$D21,IF($C21&lt;25,'Offroad Tiers EF (2)'!$AN$5*$C21*$D21,IF($C21&lt;50,'Offroad Tiers EF (2)'!$AN$6*$C21*$D21,IF($C21&lt;75,'Offroad Tiers EF (2)'!$AN$7*$C21*$D21,IF($C21&lt;100,'Offroad Tiers EF (2)'!$AN$8*$C21*$D21,IF($C21&lt;175,'Offroad Tiers EF (2)'!$AN$9*$C21*$D21,IF($C21&lt;300,'Offroad Tiers EF (2)'!$AN$10*$C21*$D21,IF($C21&lt;600,'Offroad Tiers EF (2)'!$AN$11*$C21*$D21,"!"))))))))</f>
        <v>0.5417857142857142</v>
      </c>
      <c r="G21" s="397">
        <f>IF($C21&lt;11,'Offroad Tiers EF (2)'!$AM$4*$C21*$D21,IF($C21&lt;25,'Offroad Tiers EF (2)'!$AM$5*$C21*$D21,IF($C21&lt;50,'Offroad Tiers EF (2)'!$AM$6*$C21*$D21,IF($C21&lt;75,'Offroad Tiers EF (2)'!$AM$7*$C21*$D21,IF($C21&lt;100,'Offroad Tiers EF (2)'!$AM$8*$C21*$D21,IF($C21&lt;175,'Offroad Tiers EF (2)'!$AM$9*$C21*$D21,IF($C21&lt;300,'Offroad Tiers EF (2)'!$AM$10*$C21*$D21,IF($C21&lt;600,'Offroad Tiers EF (2)'!$AM$11*$C21*$D21,"!"))))))))</f>
        <v>0.60233392857142853</v>
      </c>
      <c r="H21" s="108">
        <v>1.3943296443626662E-3</v>
      </c>
      <c r="I21" s="397">
        <f>IF($C21&lt;11,'Offroad Tiers EF (2)'!$AO$4*$C21*$D21,IF($C21&lt;25,'Offroad Tiers EF (2)'!$AO$5*$C21*$D21,IF($C21&lt;50,'Offroad Tiers EF (2)'!$AO$6*$C21*$D21,IF($C21&lt;75,'Offroad Tiers EF (2)'!$AO$7*$C21*$D21,IF($C21&lt;100,'Offroad Tiers EF (2)'!$AO$8*$C21*$D21,IF($C21&lt;175,'Offroad Tiers EF (2)'!$AO$9*$C21*$D21,IF($C21&lt;300,'Offroad Tiers EF (2)'!$AO$10*$C21*$D21,IF($C21&lt;600,'Offroad Tiers EF (2)'!$AO$11*$C21*$D21,"!"))))))))</f>
        <v>3.2214285714285709E-2</v>
      </c>
      <c r="J21" s="100">
        <f t="shared" si="8"/>
        <v>2.8670714285714282E-2</v>
      </c>
      <c r="K21" s="365">
        <v>123.92149503712022</v>
      </c>
      <c r="L21" s="23">
        <v>1.1720218383966691E-2</v>
      </c>
      <c r="M21" s="102">
        <f t="shared" si="9"/>
        <v>5.7221723214285709E-2</v>
      </c>
      <c r="N21" s="98">
        <v>1</v>
      </c>
      <c r="O21" s="87">
        <v>8</v>
      </c>
      <c r="P21" s="363">
        <v>75</v>
      </c>
      <c r="Q21" s="34">
        <f t="shared" si="10"/>
        <v>0.9723108350925227</v>
      </c>
      <c r="R21" s="26">
        <f t="shared" si="10"/>
        <v>4.3342857142857136</v>
      </c>
      <c r="S21" s="26">
        <f t="shared" si="10"/>
        <v>4.8186714285714283</v>
      </c>
      <c r="T21" s="26">
        <f t="shared" si="10"/>
        <v>1.115463715490133E-2</v>
      </c>
      <c r="U21" s="26">
        <f t="shared" si="10"/>
        <v>0.25771428571428567</v>
      </c>
      <c r="V21" s="26">
        <f t="shared" si="10"/>
        <v>0.22936571428571426</v>
      </c>
      <c r="W21" s="26">
        <f t="shared" si="10"/>
        <v>991.37196029696179</v>
      </c>
      <c r="X21" s="26">
        <f t="shared" si="10"/>
        <v>9.3761747071733528E-2</v>
      </c>
      <c r="Y21" s="26">
        <f t="shared" si="10"/>
        <v>0.45777378571428567</v>
      </c>
    </row>
    <row r="22" spans="1:25" s="3" customFormat="1">
      <c r="A22" s="100" t="s">
        <v>123</v>
      </c>
      <c r="B22" s="29" t="s">
        <v>27</v>
      </c>
      <c r="C22" s="22">
        <v>84</v>
      </c>
      <c r="D22" s="22">
        <v>0.38</v>
      </c>
      <c r="E22" s="102">
        <v>7.9534395197012789E-2</v>
      </c>
      <c r="F22" s="397">
        <f>IF($C22&lt;11,'Offroad Tiers EF (2)'!$AN$4*$C22*$D22,IF($C22&lt;25,'Offroad Tiers EF (2)'!$AN$5*$C22*$D22,IF($C22&lt;50,'Offroad Tiers EF (2)'!$AN$6*$C22*$D22,IF($C22&lt;75,'Offroad Tiers EF (2)'!$AN$7*$C22*$D22,IF($C22&lt;100,'Offroad Tiers EF (2)'!$AN$8*$C22*$D22,IF($C22&lt;175,'Offroad Tiers EF (2)'!$AN$9*$C22*$D22,IF($C22&lt;300,'Offroad Tiers EF (2)'!$AN$10*$C22*$D22,IF($C22&lt;600,'Offroad Tiers EF (2)'!$AN$11*$C22*$D22,"!"))))))))</f>
        <v>0.26037037037037036</v>
      </c>
      <c r="G22" s="397">
        <f>IF($C22&lt;11,'Offroad Tiers EF (2)'!$AM$4*$C22*$D22,IF($C22&lt;25,'Offroad Tiers EF (2)'!$AM$5*$C22*$D22,IF($C22&lt;50,'Offroad Tiers EF (2)'!$AM$6*$C22*$D22,IF($C22&lt;75,'Offroad Tiers EF (2)'!$AM$7*$C22*$D22,IF($C22&lt;100,'Offroad Tiers EF (2)'!$AM$8*$C22*$D22,IF($C22&lt;175,'Offroad Tiers EF (2)'!$AM$9*$C22*$D22,IF($C22&lt;300,'Offroad Tiers EF (2)'!$AM$10*$C22*$D22,IF($C22&lt;600,'Offroad Tiers EF (2)'!$AM$11*$C22*$D22,"!"))))))))</f>
        <v>0.33225370370370361</v>
      </c>
      <c r="H22" s="102">
        <v>6.9196834691909377E-4</v>
      </c>
      <c r="I22" s="397">
        <f>IF($C22&lt;11,'Offroad Tiers EF (2)'!$AO$4*$C22*$D22,IF($C22&lt;25,'Offroad Tiers EF (2)'!$AO$5*$C22*$D22,IF($C22&lt;50,'Offroad Tiers EF (2)'!$AO$6*$C22*$D22,IF($C22&lt;75,'Offroad Tiers EF (2)'!$AO$7*$C22*$D22,IF($C22&lt;100,'Offroad Tiers EF (2)'!$AO$8*$C22*$D22,IF($C22&lt;175,'Offroad Tiers EF (2)'!$AO$9*$C22*$D22,IF($C22&lt;300,'Offroad Tiers EF (2)'!$AO$10*$C22*$D22,IF($C22&lt;600,'Offroad Tiers EF (2)'!$AO$11*$C22*$D22,"!"))))))))</f>
        <v>2.1111111111111112E-2</v>
      </c>
      <c r="J22" s="100">
        <f t="shared" si="8"/>
        <v>1.878888888888889E-2</v>
      </c>
      <c r="K22" s="103">
        <v>58.988746640295226</v>
      </c>
      <c r="L22" s="102">
        <v>7.7311979659905822E-3</v>
      </c>
      <c r="M22" s="102">
        <f t="shared" si="9"/>
        <v>3.1564101851851843E-2</v>
      </c>
      <c r="N22" s="363">
        <v>1</v>
      </c>
      <c r="O22" s="87">
        <v>8</v>
      </c>
      <c r="P22" s="363">
        <v>75</v>
      </c>
      <c r="Q22" s="34">
        <f t="shared" si="10"/>
        <v>0.63627516157610231</v>
      </c>
      <c r="R22" s="26">
        <f t="shared" si="10"/>
        <v>2.0829629629629629</v>
      </c>
      <c r="S22" s="26">
        <f t="shared" si="10"/>
        <v>2.6580296296296289</v>
      </c>
      <c r="T22" s="26">
        <f t="shared" si="10"/>
        <v>5.5357467753527501E-3</v>
      </c>
      <c r="U22" s="26">
        <f t="shared" si="10"/>
        <v>0.16888888888888889</v>
      </c>
      <c r="V22" s="26">
        <f t="shared" si="10"/>
        <v>0.15031111111111112</v>
      </c>
      <c r="W22" s="26">
        <f t="shared" si="10"/>
        <v>471.90997312236181</v>
      </c>
      <c r="X22" s="26">
        <f t="shared" si="10"/>
        <v>6.1849583727924658E-2</v>
      </c>
      <c r="Y22" s="26">
        <f t="shared" si="10"/>
        <v>0.25251281481481475</v>
      </c>
    </row>
    <row r="23" spans="1:25" s="3" customFormat="1">
      <c r="A23" s="100" t="s">
        <v>282</v>
      </c>
      <c r="B23" s="29" t="s">
        <v>27</v>
      </c>
      <c r="C23" s="97">
        <v>37</v>
      </c>
      <c r="D23" s="22">
        <v>0.37</v>
      </c>
      <c r="E23" s="102">
        <v>3.2313389441625637E-2</v>
      </c>
      <c r="F23" s="397">
        <f>IF($C23&lt;11,'Offroad Tiers EF (2)'!$AN$4*$C23*$D23,IF($C23&lt;25,'Offroad Tiers EF (2)'!$AN$5*$C23*$D23,IF($C23&lt;50,'Offroad Tiers EF (2)'!$AN$6*$C23*$D23,IF($C23&lt;75,'Offroad Tiers EF (2)'!$AN$7*$C23*$D23,IF($C23&lt;100,'Offroad Tiers EF (2)'!$AN$8*$C23*$D23,IF($C23&lt;175,'Offroad Tiers EF (2)'!$AN$9*$C23*$D23,IF($C23&lt;300,'Offroad Tiers EF (2)'!$AN$10*$C23*$D23,IF($C23&lt;600,'Offroad Tiers EF (2)'!$AN$11*$C23*$D23,"!"))))))))</f>
        <v>0.12374118165784832</v>
      </c>
      <c r="G23" s="397">
        <f>IF($C23&lt;11,'Offroad Tiers EF (2)'!$AM$4*$C23*$D23,IF($C23&lt;25,'Offroad Tiers EF (2)'!$AM$5*$C23*$D23,IF($C23&lt;50,'Offroad Tiers EF (2)'!$AM$6*$C23*$D23,IF($C23&lt;75,'Offroad Tiers EF (2)'!$AM$7*$C23*$D23,IF($C23&lt;100,'Offroad Tiers EF (2)'!$AM$8*$C23*$D23,IF($C23&lt;175,'Offroad Tiers EF (2)'!$AM$9*$C23*$D23,IF($C23&lt;300,'Offroad Tiers EF (2)'!$AM$10*$C23*$D23,IF($C23&lt;600,'Offroad Tiers EF (2)'!$AM$11*$C23*$D23,"!"))))))))</f>
        <v>0.16056172839506169</v>
      </c>
      <c r="H23" s="102">
        <v>3.2989906092678058E-4</v>
      </c>
      <c r="I23" s="397">
        <f>IF($C23&lt;11,'Offroad Tiers EF (2)'!$AO$4*$C23*$D23,IF($C23&lt;25,'Offroad Tiers EF (2)'!$AO$5*$C23*$D23,IF($C23&lt;50,'Offroad Tiers EF (2)'!$AO$6*$C23*$D23,IF($C23&lt;75,'Offroad Tiers EF (2)'!$AO$7*$C23*$D23,IF($C23&lt;100,'Offroad Tiers EF (2)'!$AO$8*$C23*$D23,IF($C23&lt;175,'Offroad Tiers EF (2)'!$AO$9*$C23*$D23,IF($C23&lt;300,'Offroad Tiers EF (2)'!$AO$10*$C23*$D23,IF($C23&lt;600,'Offroad Tiers EF (2)'!$AO$11*$C23*$D23,"!"))))))))</f>
        <v>1.3581349206349205E-2</v>
      </c>
      <c r="J23" s="100">
        <f t="shared" si="8"/>
        <v>1.2087400793650793E-2</v>
      </c>
      <c r="K23" s="103">
        <v>25.519156990664225</v>
      </c>
      <c r="L23" s="102">
        <v>3.413848047070189E-3</v>
      </c>
      <c r="M23" s="104">
        <f t="shared" si="9"/>
        <v>1.5253364197530862E-2</v>
      </c>
      <c r="N23" s="87">
        <v>1</v>
      </c>
      <c r="O23" s="87">
        <v>8</v>
      </c>
      <c r="P23" s="363">
        <v>75</v>
      </c>
      <c r="Q23" s="34">
        <f t="shared" si="10"/>
        <v>0.25850711553300509</v>
      </c>
      <c r="R23" s="26">
        <f t="shared" si="10"/>
        <v>0.98992945326278659</v>
      </c>
      <c r="S23" s="26">
        <f t="shared" si="10"/>
        <v>1.2844938271604935</v>
      </c>
      <c r="T23" s="26">
        <f t="shared" si="10"/>
        <v>2.6391924874142447E-3</v>
      </c>
      <c r="U23" s="26">
        <f t="shared" si="10"/>
        <v>0.10865079365079364</v>
      </c>
      <c r="V23" s="26">
        <f t="shared" si="10"/>
        <v>9.669920634920634E-2</v>
      </c>
      <c r="W23" s="26">
        <f t="shared" si="10"/>
        <v>204.1532559253138</v>
      </c>
      <c r="X23" s="26">
        <f t="shared" si="10"/>
        <v>2.7310784376561512E-2</v>
      </c>
      <c r="Y23" s="26">
        <f t="shared" si="10"/>
        <v>0.12202691358024689</v>
      </c>
    </row>
    <row r="24" spans="1:25" s="3" customFormat="1">
      <c r="A24" s="100" t="s">
        <v>126</v>
      </c>
      <c r="B24" s="29" t="s">
        <v>27</v>
      </c>
      <c r="C24" s="22">
        <v>175</v>
      </c>
      <c r="D24" s="22"/>
      <c r="E24" s="102">
        <v>0.11792220738547983</v>
      </c>
      <c r="F24" s="102">
        <v>0.36512193352152528</v>
      </c>
      <c r="G24" s="102">
        <v>0.86781464282266541</v>
      </c>
      <c r="H24" s="102">
        <v>1.8739217498104396E-3</v>
      </c>
      <c r="I24" s="102">
        <v>2.9041712295589866E-2</v>
      </c>
      <c r="J24" s="100">
        <f t="shared" si="8"/>
        <v>2.5847123943074982E-2</v>
      </c>
      <c r="K24" s="103">
        <v>166.54541562452522</v>
      </c>
      <c r="L24" s="102">
        <v>1.063993297769634E-2</v>
      </c>
      <c r="M24" s="104">
        <f t="shared" si="9"/>
        <v>8.2442391068153209E-2</v>
      </c>
      <c r="N24" s="98">
        <v>2</v>
      </c>
      <c r="O24" s="87">
        <v>8</v>
      </c>
      <c r="P24" s="363">
        <v>75</v>
      </c>
      <c r="Q24" s="34">
        <f t="shared" si="10"/>
        <v>1.8867553181676773</v>
      </c>
      <c r="R24" s="26">
        <f t="shared" si="10"/>
        <v>5.8419509363444044</v>
      </c>
      <c r="S24" s="26">
        <f t="shared" si="10"/>
        <v>13.885034285162646</v>
      </c>
      <c r="T24" s="26">
        <f t="shared" si="10"/>
        <v>2.9982747996967034E-2</v>
      </c>
      <c r="U24" s="26">
        <f t="shared" si="10"/>
        <v>0.46466739672943785</v>
      </c>
      <c r="V24" s="26">
        <f t="shared" si="10"/>
        <v>0.41355398308919972</v>
      </c>
      <c r="W24" s="26">
        <f t="shared" si="10"/>
        <v>2664.7266499924035</v>
      </c>
      <c r="X24" s="26">
        <f t="shared" si="10"/>
        <v>0.17023892764314144</v>
      </c>
      <c r="Y24" s="26">
        <f t="shared" si="10"/>
        <v>1.3190782570904513</v>
      </c>
    </row>
    <row r="25" spans="1:25" s="3" customFormat="1">
      <c r="A25" s="11" t="s">
        <v>28</v>
      </c>
      <c r="B25" s="579"/>
      <c r="C25" s="18"/>
      <c r="D25" s="22"/>
      <c r="E25" s="19"/>
      <c r="F25" s="19"/>
      <c r="G25" s="19"/>
      <c r="H25" s="19"/>
      <c r="I25" s="19"/>
      <c r="J25" s="19"/>
      <c r="K25" s="19"/>
      <c r="L25" s="19"/>
      <c r="M25" s="19"/>
      <c r="N25" s="30"/>
      <c r="O25" s="30"/>
      <c r="P25" s="364"/>
      <c r="Q25" s="20">
        <f t="shared" ref="Q25:Y25" si="11">SUM(Q20:Q24)</f>
        <v>5.9888426822592722</v>
      </c>
      <c r="R25" s="20">
        <f t="shared" si="11"/>
        <v>19.815619366679503</v>
      </c>
      <c r="S25" s="27">
        <f t="shared" si="11"/>
        <v>32.867223879518903</v>
      </c>
      <c r="T25" s="20">
        <f t="shared" si="11"/>
        <v>7.011079524174238E-2</v>
      </c>
      <c r="U25" s="20">
        <f t="shared" si="11"/>
        <v>1.378757343819385</v>
      </c>
      <c r="V25" s="20">
        <f t="shared" si="11"/>
        <v>1.2270940359992526</v>
      </c>
      <c r="W25" s="20">
        <f t="shared" si="11"/>
        <v>6451.1423487139873</v>
      </c>
      <c r="X25" s="20">
        <f t="shared" si="11"/>
        <v>0.56477020076682383</v>
      </c>
      <c r="Y25" s="20">
        <f t="shared" si="11"/>
        <v>3.1223862685542958</v>
      </c>
    </row>
    <row r="26" spans="1:25" s="3" customFormat="1">
      <c r="A26" s="11"/>
      <c r="B26" s="579"/>
      <c r="C26" s="18"/>
      <c r="D26" s="22"/>
      <c r="E26" s="19"/>
      <c r="F26" s="19"/>
      <c r="G26" s="19"/>
      <c r="H26" s="19"/>
      <c r="I26" s="19"/>
      <c r="J26" s="19"/>
      <c r="K26" s="19"/>
      <c r="L26" s="19"/>
      <c r="M26" s="19"/>
      <c r="N26" s="30"/>
      <c r="O26" s="375"/>
      <c r="P26" s="364"/>
      <c r="Q26" s="20"/>
      <c r="R26" s="20"/>
      <c r="S26" s="27"/>
      <c r="T26" s="20"/>
      <c r="U26" s="20"/>
      <c r="V26" s="20"/>
      <c r="W26" s="21"/>
      <c r="X26" s="20"/>
      <c r="Y26" s="20"/>
    </row>
    <row r="27" spans="1:25" s="3" customFormat="1">
      <c r="A27" s="17" t="s">
        <v>285</v>
      </c>
      <c r="B27" s="90"/>
      <c r="C27" s="18"/>
      <c r="D27" s="22"/>
      <c r="E27" s="19"/>
      <c r="F27" s="19"/>
      <c r="G27" s="19"/>
      <c r="H27" s="19"/>
      <c r="I27" s="19"/>
      <c r="J27" s="19"/>
      <c r="K27" s="19"/>
      <c r="L27" s="19"/>
      <c r="M27" s="19"/>
      <c r="N27" s="30"/>
      <c r="O27" s="17"/>
      <c r="P27" s="533"/>
      <c r="Q27" s="20"/>
      <c r="R27" s="20"/>
      <c r="S27" s="20"/>
      <c r="T27" s="20"/>
      <c r="U27" s="20"/>
      <c r="V27" s="20"/>
      <c r="W27" s="21"/>
      <c r="X27" s="20"/>
      <c r="Y27" s="20"/>
    </row>
    <row r="28" spans="1:25" s="3" customFormat="1">
      <c r="A28" s="100" t="s">
        <v>124</v>
      </c>
      <c r="B28" s="29" t="s">
        <v>27</v>
      </c>
      <c r="C28" s="97">
        <v>87</v>
      </c>
      <c r="D28" s="22">
        <v>0.37</v>
      </c>
      <c r="E28" s="102">
        <v>7.7253202863558038E-2</v>
      </c>
      <c r="F28" s="397">
        <f>IF($C28&lt;11,'Offroad Tiers EF (2)'!$AN$4*$C28*$D28,IF($C28&lt;25,'Offroad Tiers EF (2)'!$AN$5*$C28*$D28,IF($C28&lt;50,'Offroad Tiers EF (2)'!$AN$6*$C28*$D28,IF($C28&lt;75,'Offroad Tiers EF (2)'!$AN$7*$C28*$D28,IF($C28&lt;100,'Offroad Tiers EF (2)'!$AN$8*$C28*$D28,IF($C28&lt;175,'Offroad Tiers EF (2)'!$AN$9*$C28*$D28,IF($C28&lt;300,'Offroad Tiers EF (2)'!$AN$10*$C28*$D28,IF($C28&lt;600,'Offroad Tiers EF (2)'!$AN$11*$C28*$D28,"!"))))))))</f>
        <v>0.26257275132275132</v>
      </c>
      <c r="G28" s="397">
        <f>IF($C28&lt;11,'Offroad Tiers EF (2)'!$AM$4*$C28*$D28,IF($C28&lt;25,'Offroad Tiers EF (2)'!$AM$5*$C28*$D28,IF($C28&lt;50,'Offroad Tiers EF (2)'!$AM$6*$C28*$D28,IF($C28&lt;75,'Offroad Tiers EF (2)'!$AM$7*$C28*$D28,IF($C28&lt;100,'Offroad Tiers EF (2)'!$AM$8*$C28*$D28,IF($C28&lt;175,'Offroad Tiers EF (2)'!$AM$9*$C28*$D28,IF($C28&lt;300,'Offroad Tiers EF (2)'!$AM$10*$C28*$D28,IF($C28&lt;600,'Offroad Tiers EF (2)'!$AM$11*$C28*$D28,"!"))))))))</f>
        <v>0.33506412037037031</v>
      </c>
      <c r="H28" s="102">
        <v>6.910856115004858E-4</v>
      </c>
      <c r="I28" s="397">
        <f>IF($C28&lt;11,'Offroad Tiers EF (2)'!$AO$4*$C28*$D28,IF($C28&lt;25,'Offroad Tiers EF (2)'!$AO$5*$C28*$D28,IF($C28&lt;50,'Offroad Tiers EF (2)'!$AO$6*$C28*$D28,IF($C28&lt;75,'Offroad Tiers EF (2)'!$AO$7*$C28*$D28,IF($C28&lt;100,'Offroad Tiers EF (2)'!$AO$8*$C28*$D28,IF($C28&lt;175,'Offroad Tiers EF (2)'!$AO$9*$C28*$D28,IF($C28&lt;300,'Offroad Tiers EF (2)'!$AO$10*$C28*$D28,IF($C28&lt;600,'Offroad Tiers EF (2)'!$AO$11*$C28*$D28,"!"))))))))</f>
        <v>2.1289682539682539E-2</v>
      </c>
      <c r="J28" s="100">
        <f t="shared" ref="J28:J31" si="12">0.89*I28</f>
        <v>1.894781746031746E-2</v>
      </c>
      <c r="K28" s="103">
        <v>58.913505111712794</v>
      </c>
      <c r="L28" s="102">
        <v>7.5344751889799754E-3</v>
      </c>
      <c r="M28" s="102">
        <f t="shared" ref="M28:M31" si="13">0.095*G28</f>
        <v>3.1831091435185178E-2</v>
      </c>
      <c r="N28" s="98">
        <v>1</v>
      </c>
      <c r="O28" s="87">
        <v>8</v>
      </c>
      <c r="P28" s="363">
        <v>15</v>
      </c>
      <c r="Q28" s="34">
        <f t="shared" ref="Q28:Y31" si="14">(E28*$N28*$O28)</f>
        <v>0.6180256229084643</v>
      </c>
      <c r="R28" s="26">
        <f t="shared" si="14"/>
        <v>2.1005820105820106</v>
      </c>
      <c r="S28" s="26">
        <f t="shared" si="14"/>
        <v>2.6805129629629625</v>
      </c>
      <c r="T28" s="26">
        <f t="shared" si="14"/>
        <v>5.5286848920038864E-3</v>
      </c>
      <c r="U28" s="26">
        <f t="shared" si="14"/>
        <v>0.17031746031746031</v>
      </c>
      <c r="V28" s="26">
        <f t="shared" si="14"/>
        <v>0.15158253968253968</v>
      </c>
      <c r="W28" s="26">
        <f t="shared" si="14"/>
        <v>471.30804089370235</v>
      </c>
      <c r="X28" s="26">
        <f t="shared" si="14"/>
        <v>6.0275801511839804E-2</v>
      </c>
      <c r="Y28" s="26">
        <f t="shared" si="14"/>
        <v>0.25464873148148143</v>
      </c>
    </row>
    <row r="29" spans="1:25" s="3" customFormat="1">
      <c r="A29" s="100" t="s">
        <v>123</v>
      </c>
      <c r="B29" s="29" t="s">
        <v>27</v>
      </c>
      <c r="C29" s="22">
        <v>84</v>
      </c>
      <c r="D29" s="22">
        <v>0.38</v>
      </c>
      <c r="E29" s="102">
        <v>7.9534395197012789E-2</v>
      </c>
      <c r="F29" s="397">
        <f>IF($C29&lt;11,'Offroad Tiers EF (2)'!$AN$4*$C29*$D29,IF($C29&lt;25,'Offroad Tiers EF (2)'!$AN$5*$C29*$D29,IF($C29&lt;50,'Offroad Tiers EF (2)'!$AN$6*$C29*$D29,IF($C29&lt;75,'Offroad Tiers EF (2)'!$AN$7*$C29*$D29,IF($C29&lt;100,'Offroad Tiers EF (2)'!$AN$8*$C29*$D29,IF($C29&lt;175,'Offroad Tiers EF (2)'!$AN$9*$C29*$D29,IF($C29&lt;300,'Offroad Tiers EF (2)'!$AN$10*$C29*$D29,IF($C29&lt;600,'Offroad Tiers EF (2)'!$AN$11*$C29*$D29,"!"))))))))</f>
        <v>0.26037037037037036</v>
      </c>
      <c r="G29" s="397">
        <f>IF($C29&lt;11,'Offroad Tiers EF (2)'!$AM$4*$C29*$D29,IF($C29&lt;25,'Offroad Tiers EF (2)'!$AM$5*$C29*$D29,IF($C29&lt;50,'Offroad Tiers EF (2)'!$AM$6*$C29*$D29,IF($C29&lt;75,'Offroad Tiers EF (2)'!$AM$7*$C29*$D29,IF($C29&lt;100,'Offroad Tiers EF (2)'!$AM$8*$C29*$D29,IF($C29&lt;175,'Offroad Tiers EF (2)'!$AM$9*$C29*$D29,IF($C29&lt;300,'Offroad Tiers EF (2)'!$AM$10*$C29*$D29,IF($C29&lt;600,'Offroad Tiers EF (2)'!$AM$11*$C29*$D29,"!"))))))))</f>
        <v>0.33225370370370361</v>
      </c>
      <c r="H29" s="102">
        <v>6.9196834691909377E-4</v>
      </c>
      <c r="I29" s="397">
        <f>IF($C29&lt;11,'Offroad Tiers EF (2)'!$AO$4*$C29*$D29,IF($C29&lt;25,'Offroad Tiers EF (2)'!$AO$5*$C29*$D29,IF($C29&lt;50,'Offroad Tiers EF (2)'!$AO$6*$C29*$D29,IF($C29&lt;75,'Offroad Tiers EF (2)'!$AO$7*$C29*$D29,IF($C29&lt;100,'Offroad Tiers EF (2)'!$AO$8*$C29*$D29,IF($C29&lt;175,'Offroad Tiers EF (2)'!$AO$9*$C29*$D29,IF($C29&lt;300,'Offroad Tiers EF (2)'!$AO$10*$C29*$D29,IF($C29&lt;600,'Offroad Tiers EF (2)'!$AO$11*$C29*$D29,"!"))))))))</f>
        <v>2.1111111111111112E-2</v>
      </c>
      <c r="J29" s="100">
        <f t="shared" si="12"/>
        <v>1.878888888888889E-2</v>
      </c>
      <c r="K29" s="103">
        <v>58.988746640295226</v>
      </c>
      <c r="L29" s="102">
        <v>7.7311979659905822E-3</v>
      </c>
      <c r="M29" s="102">
        <f t="shared" si="13"/>
        <v>3.1564101851851843E-2</v>
      </c>
      <c r="N29" s="363">
        <v>1</v>
      </c>
      <c r="O29" s="87">
        <v>8</v>
      </c>
      <c r="P29" s="363">
        <v>75</v>
      </c>
      <c r="Q29" s="34">
        <f t="shared" si="14"/>
        <v>0.63627516157610231</v>
      </c>
      <c r="R29" s="26">
        <f t="shared" si="14"/>
        <v>2.0829629629629629</v>
      </c>
      <c r="S29" s="26">
        <f t="shared" si="14"/>
        <v>2.6580296296296289</v>
      </c>
      <c r="T29" s="26">
        <f t="shared" si="14"/>
        <v>5.5357467753527501E-3</v>
      </c>
      <c r="U29" s="26">
        <f t="shared" si="14"/>
        <v>0.16888888888888889</v>
      </c>
      <c r="V29" s="26">
        <f t="shared" si="14"/>
        <v>0.15031111111111112</v>
      </c>
      <c r="W29" s="26">
        <f t="shared" si="14"/>
        <v>471.90997312236181</v>
      </c>
      <c r="X29" s="26">
        <f t="shared" si="14"/>
        <v>6.1849583727924658E-2</v>
      </c>
      <c r="Y29" s="26">
        <f t="shared" si="14"/>
        <v>0.25251281481481475</v>
      </c>
    </row>
    <row r="30" spans="1:25" s="3" customFormat="1">
      <c r="A30" s="100" t="s">
        <v>126</v>
      </c>
      <c r="B30" s="29" t="s">
        <v>27</v>
      </c>
      <c r="C30" s="22">
        <v>175</v>
      </c>
      <c r="D30" s="22"/>
      <c r="E30" s="102">
        <v>0.11792220738547983</v>
      </c>
      <c r="F30" s="102">
        <v>0.36512193352152528</v>
      </c>
      <c r="G30" s="102">
        <v>0.86781464282266541</v>
      </c>
      <c r="H30" s="102">
        <v>1.8739217498104396E-3</v>
      </c>
      <c r="I30" s="102">
        <v>2.9041712295589866E-2</v>
      </c>
      <c r="J30" s="100">
        <f t="shared" si="12"/>
        <v>2.5847123943074982E-2</v>
      </c>
      <c r="K30" s="103">
        <v>166.54541562452522</v>
      </c>
      <c r="L30" s="102">
        <v>1.063993297769634E-2</v>
      </c>
      <c r="M30" s="104">
        <f t="shared" si="13"/>
        <v>8.2442391068153209E-2</v>
      </c>
      <c r="N30" s="98">
        <v>1</v>
      </c>
      <c r="O30" s="88">
        <v>8</v>
      </c>
      <c r="P30" s="367">
        <v>40</v>
      </c>
      <c r="Q30" s="26">
        <f t="shared" si="14"/>
        <v>0.94337765908383864</v>
      </c>
      <c r="R30" s="26">
        <f t="shared" si="14"/>
        <v>2.9209754681722022</v>
      </c>
      <c r="S30" s="26">
        <f t="shared" si="14"/>
        <v>6.9425171425813232</v>
      </c>
      <c r="T30" s="26">
        <f t="shared" si="14"/>
        <v>1.4991373998483517E-2</v>
      </c>
      <c r="U30" s="26">
        <f t="shared" si="14"/>
        <v>0.23233369836471893</v>
      </c>
      <c r="V30" s="26">
        <f t="shared" si="14"/>
        <v>0.20677699154459986</v>
      </c>
      <c r="W30" s="26">
        <f t="shared" si="14"/>
        <v>1332.3633249962018</v>
      </c>
      <c r="X30" s="26">
        <f t="shared" si="14"/>
        <v>8.5119463821570721E-2</v>
      </c>
      <c r="Y30" s="26">
        <f t="shared" si="14"/>
        <v>0.65953912854522567</v>
      </c>
    </row>
    <row r="31" spans="1:25" s="3" customFormat="1">
      <c r="A31" s="100" t="s">
        <v>128</v>
      </c>
      <c r="B31" s="29" t="s">
        <v>27</v>
      </c>
      <c r="C31" s="22">
        <v>157</v>
      </c>
      <c r="D31" s="22">
        <v>0.38</v>
      </c>
      <c r="E31" s="550">
        <v>9.7211873502789536E-2</v>
      </c>
      <c r="F31" s="397">
        <f>IF($C31&lt;11,'Offroad Tiers EF (2)'!$AN$4*$C31*$D31,IF($C31&lt;25,'Offroad Tiers EF (2)'!$AN$5*$C31*$D31,IF($C31&lt;50,'Offroad Tiers EF (2)'!$AN$6*$C31*$D31,IF($C31&lt;75,'Offroad Tiers EF (2)'!$AN$7*$C31*$D31,IF($C31&lt;100,'Offroad Tiers EF (2)'!$AN$8*$C31*$D31,IF($C31&lt;175,'Offroad Tiers EF (2)'!$AN$9*$C31*$D31,IF($C31&lt;300,'Offroad Tiers EF (2)'!$AN$10*$C31*$D31,IF($C31&lt;600,'Offroad Tiers EF (2)'!$AN$11*$C31*$D31,"!"))))))))</f>
        <v>0.48664462081128745</v>
      </c>
      <c r="G31" s="397">
        <f>IF($C31&lt;11,'Offroad Tiers EF (2)'!$AM$4*$C31*$D31,IF($C31&lt;25,'Offroad Tiers EF (2)'!$AM$5*$C31*$D31,IF($C31&lt;50,'Offroad Tiers EF (2)'!$AM$6*$C31*$D31,IF($C31&lt;75,'Offroad Tiers EF (2)'!$AM$7*$C31*$D31,IF($C31&lt;100,'Offroad Tiers EF (2)'!$AM$8*$C31*$D31,IF($C31&lt;175,'Offroad Tiers EF (2)'!$AM$9*$C31*$D31,IF($C31&lt;300,'Offroad Tiers EF (2)'!$AM$10*$C31*$D31,IF($C31&lt;600,'Offroad Tiers EF (2)'!$AM$11*$C31*$D31,"!"))))))))</f>
        <v>0.54103044532627864</v>
      </c>
      <c r="H31" s="550">
        <v>1.2626852382997586E-3</v>
      </c>
      <c r="I31" s="397">
        <f>IF($C31&lt;11,'Offroad Tiers EF (2)'!$AO$4*$C31*$D31,IF($C31&lt;25,'Offroad Tiers EF (2)'!$AO$5*$C31*$D31,IF($C31&lt;50,'Offroad Tiers EF (2)'!$AO$6*$C31*$D31,IF($C31&lt;75,'Offroad Tiers EF (2)'!$AO$7*$C31*$D31,IF($C31&lt;100,'Offroad Tiers EF (2)'!$AO$8*$C31*$D31,IF($C31&lt;175,'Offroad Tiers EF (2)'!$AO$9*$C31*$D31,IF($C31&lt;300,'Offroad Tiers EF (2)'!$AO$10*$C31*$D31,IF($C31&lt;600,'Offroad Tiers EF (2)'!$AO$11*$C31*$D31,"!"))))))))</f>
        <v>2.8935626102292767E-2</v>
      </c>
      <c r="J31" s="551">
        <f t="shared" si="12"/>
        <v>2.5752707231040561E-2</v>
      </c>
      <c r="K31" s="552">
        <v>112.22156581723891</v>
      </c>
      <c r="L31" s="111">
        <v>9.4890670020510905E-3</v>
      </c>
      <c r="M31" s="553">
        <f t="shared" si="13"/>
        <v>5.1397892305996472E-2</v>
      </c>
      <c r="N31" s="554">
        <v>2</v>
      </c>
      <c r="O31" s="88">
        <v>2</v>
      </c>
      <c r="P31" s="88">
        <v>15</v>
      </c>
      <c r="Q31" s="26">
        <f t="shared" si="14"/>
        <v>0.38884749401115815</v>
      </c>
      <c r="R31" s="26">
        <f t="shared" si="14"/>
        <v>1.9465784832451498</v>
      </c>
      <c r="S31" s="26">
        <f t="shared" si="14"/>
        <v>2.1641217813051146</v>
      </c>
      <c r="T31" s="26">
        <f t="shared" si="14"/>
        <v>5.0507409531990342E-3</v>
      </c>
      <c r="U31" s="26">
        <f t="shared" si="14"/>
        <v>0.11574250440917107</v>
      </c>
      <c r="V31" s="26">
        <f t="shared" si="14"/>
        <v>0.10301082892416225</v>
      </c>
      <c r="W31" s="26">
        <f t="shared" si="14"/>
        <v>448.88626326895564</v>
      </c>
      <c r="X31" s="26">
        <f t="shared" si="14"/>
        <v>3.7956268008204362E-2</v>
      </c>
      <c r="Y31" s="26">
        <f t="shared" si="14"/>
        <v>0.20559156922398589</v>
      </c>
    </row>
    <row r="32" spans="1:25" s="3" customFormat="1">
      <c r="A32" s="17" t="s">
        <v>28</v>
      </c>
      <c r="B32" s="579"/>
      <c r="C32" s="18"/>
      <c r="D32" s="22"/>
      <c r="E32" s="19"/>
      <c r="F32" s="19"/>
      <c r="G32" s="19"/>
      <c r="H32" s="19"/>
      <c r="I32" s="19"/>
      <c r="J32" s="19"/>
      <c r="K32" s="19"/>
      <c r="L32" s="19"/>
      <c r="M32" s="89"/>
      <c r="N32" s="105"/>
      <c r="O32" s="11"/>
      <c r="P32" s="11"/>
      <c r="Q32" s="27">
        <f t="shared" ref="Q32:Y32" si="15">SUM(Q28:Q31)</f>
        <v>2.5865259375795633</v>
      </c>
      <c r="R32" s="101">
        <f t="shared" si="15"/>
        <v>9.051098924962325</v>
      </c>
      <c r="S32" s="101">
        <f t="shared" si="15"/>
        <v>14.44518151647903</v>
      </c>
      <c r="T32" s="101">
        <f t="shared" si="15"/>
        <v>3.110654661903919E-2</v>
      </c>
      <c r="U32" s="101">
        <f t="shared" si="15"/>
        <v>0.68728255198023924</v>
      </c>
      <c r="V32" s="101">
        <f t="shared" si="15"/>
        <v>0.6116814712624129</v>
      </c>
      <c r="W32" s="101">
        <f t="shared" si="15"/>
        <v>2724.4676022812214</v>
      </c>
      <c r="X32" s="101">
        <f t="shared" si="15"/>
        <v>0.24520111706953954</v>
      </c>
      <c r="Y32" s="101">
        <f t="shared" si="15"/>
        <v>1.3722922440655076</v>
      </c>
    </row>
    <row r="33" spans="1:25" s="3" customFormat="1">
      <c r="A33" s="17"/>
      <c r="B33" s="29"/>
      <c r="C33" s="22"/>
      <c r="D33" s="22"/>
      <c r="E33" s="23"/>
      <c r="F33" s="23"/>
      <c r="G33" s="23"/>
      <c r="H33" s="23"/>
      <c r="I33" s="23"/>
      <c r="J33" s="100"/>
      <c r="K33" s="365"/>
      <c r="L33" s="23"/>
      <c r="M33" s="102"/>
      <c r="N33" s="30"/>
      <c r="O33" s="98"/>
      <c r="P33" s="363"/>
      <c r="Q33" s="101"/>
      <c r="R33" s="101"/>
      <c r="S33" s="101"/>
      <c r="T33" s="101"/>
      <c r="U33" s="101"/>
      <c r="V33" s="101"/>
      <c r="W33" s="101"/>
      <c r="X33" s="101"/>
      <c r="Y33" s="101"/>
    </row>
    <row r="34" spans="1:25">
      <c r="A34" s="17" t="s">
        <v>365</v>
      </c>
      <c r="B34" s="549"/>
      <c r="C34" s="18"/>
      <c r="D34" s="22"/>
      <c r="E34" s="19"/>
      <c r="F34" s="19"/>
      <c r="G34" s="19"/>
      <c r="H34" s="19"/>
      <c r="I34" s="19"/>
      <c r="J34" s="19"/>
      <c r="K34" s="19"/>
      <c r="L34" s="19"/>
      <c r="M34" s="19"/>
      <c r="N34" s="30"/>
      <c r="O34" s="30"/>
      <c r="P34" s="364"/>
      <c r="Q34" s="20">
        <f>Q11+Q17+Q25+Q32</f>
        <v>10.88975857713994</v>
      </c>
      <c r="R34" s="20">
        <f t="shared" ref="R34:Y34" si="16">R11+R17+R25+R32</f>
        <v>37.696974904293953</v>
      </c>
      <c r="S34" s="20">
        <f t="shared" si="16"/>
        <v>62.791667701615154</v>
      </c>
      <c r="T34" s="20">
        <f t="shared" si="16"/>
        <v>0.13128822596387243</v>
      </c>
      <c r="U34" s="20">
        <f t="shared" si="16"/>
        <v>2.7860013765537586</v>
      </c>
      <c r="V34" s="20">
        <f t="shared" si="16"/>
        <v>2.4795412251328446</v>
      </c>
      <c r="W34" s="20">
        <f t="shared" si="16"/>
        <v>11777.197003553474</v>
      </c>
      <c r="X34" s="20">
        <f t="shared" si="16"/>
        <v>1.0368068062828084</v>
      </c>
      <c r="Y34" s="20">
        <f t="shared" si="16"/>
        <v>5.9652084316534388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9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562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C9*(F9)*$B$327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C10*(F10)*$B$327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 ht="25.5">
      <c r="A13" s="114" t="s">
        <v>315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326</v>
      </c>
      <c r="B14" s="76" t="s">
        <v>95</v>
      </c>
      <c r="C14" s="79">
        <v>3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9.9891275533645019E-2</v>
      </c>
      <c r="U14" s="50">
        <f>C14*($F14*$H14)/453.59</f>
        <v>0.18440937782971867</v>
      </c>
      <c r="V14" s="50">
        <f>C14*(($F14*$I14))/453.59</f>
        <v>2.253067276294635E-2</v>
      </c>
      <c r="W14" s="50">
        <f>C14*($F14*$J14)/453.59</f>
        <v>1.3898613406074772E-3</v>
      </c>
      <c r="X14" s="50">
        <f>C14*(($F14*($K14+$L14+$M14)))/453.59</f>
        <v>3.6369464870151122E-2</v>
      </c>
      <c r="Y14" s="50">
        <f>C14*(($F14*($N14+$O14+$P14)))/453.59</f>
        <v>2.4166098982977401E-2</v>
      </c>
      <c r="Z14" s="50">
        <f>C14*(F14)*$B$327</f>
        <v>0</v>
      </c>
      <c r="AA14" s="50">
        <f>Z14*0.21</f>
        <v>0</v>
      </c>
      <c r="AB14" s="50">
        <f>C14*(($F14*($Q14)))/453.59</f>
        <v>96.814105590256631</v>
      </c>
      <c r="AC14" s="50">
        <f>C14*(($F14*($R14)))/453.59</f>
        <v>5.5322484357440338E-3</v>
      </c>
      <c r="AD14" s="50">
        <f>C14*(($F14*($S14)))/453.59</f>
        <v>2.4799901288000137E-3</v>
      </c>
    </row>
    <row r="15" spans="1:30">
      <c r="A15" s="78" t="s">
        <v>327</v>
      </c>
      <c r="B15" s="76" t="s">
        <v>105</v>
      </c>
      <c r="C15" s="374">
        <v>1</v>
      </c>
      <c r="D15" s="77"/>
      <c r="E15" s="77">
        <v>35</v>
      </c>
      <c r="F15" s="77">
        <v>80</v>
      </c>
      <c r="G15" s="106">
        <v>1.08263976628415</v>
      </c>
      <c r="H15" s="106">
        <v>4.9712718909585103</v>
      </c>
      <c r="I15" s="106">
        <v>0.26248012575016899</v>
      </c>
      <c r="J15" s="106">
        <v>1.0711818E-2</v>
      </c>
      <c r="K15" s="106">
        <v>7.1679901072141505E-2</v>
      </c>
      <c r="L15" s="576">
        <v>3.59998119015979E-2</v>
      </c>
      <c r="M15" s="576">
        <v>6.1739677411240299E-2</v>
      </c>
      <c r="N15" s="106">
        <v>6.5945508986370194E-2</v>
      </c>
      <c r="O15" s="576">
        <v>2.9999843251331498E-3</v>
      </c>
      <c r="P15" s="576">
        <v>5.5859708133979398E-2</v>
      </c>
      <c r="Q15" s="106">
        <v>1710.7260798814</v>
      </c>
      <c r="R15" s="47">
        <v>1.5235246282551899E-2</v>
      </c>
      <c r="S15" s="80">
        <f>0.000025616*Q15</f>
        <v>4.3821959262241944E-2</v>
      </c>
      <c r="T15" s="50">
        <f>C15*($F15*$G15)/453.59</f>
        <v>0.19094596728925242</v>
      </c>
      <c r="U15" s="50">
        <f>C15*($F15*$H15)/453.59</f>
        <v>0.87678685878586582</v>
      </c>
      <c r="V15" s="50">
        <f>C15*(($F15*$I15))/453.59</f>
        <v>4.6293811724274173E-2</v>
      </c>
      <c r="W15" s="50">
        <f>C15*($F15*$J15)/453.59</f>
        <v>1.8892511739676801E-3</v>
      </c>
      <c r="X15" s="50">
        <f>C15*(($F15*($K15+$L15+$M15)))/453.59</f>
        <v>2.9880621774726907E-2</v>
      </c>
      <c r="Y15" s="50">
        <f>C15*(($F15*($N15+$O15+$P15)))/453.59</f>
        <v>2.2011984646131133E-2</v>
      </c>
      <c r="Z15" s="50">
        <f>C15*(F15)*$B$327</f>
        <v>0</v>
      </c>
      <c r="AA15" s="50">
        <f>Z15*0.21</f>
        <v>0</v>
      </c>
      <c r="AB15" s="50">
        <f>C15*(($F15*($Q15)))/453.59</f>
        <v>301.72200972356535</v>
      </c>
      <c r="AC15" s="50">
        <f>C15*(($F15*($R15)))/453.59</f>
        <v>2.6870515280410772E-3</v>
      </c>
      <c r="AD15" s="50">
        <f>C15*(($F15*($S15)))/453.59</f>
        <v>7.7289110010788503E-3</v>
      </c>
    </row>
    <row r="16" spans="1:30">
      <c r="A16" s="75" t="s">
        <v>28</v>
      </c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>
        <f t="shared" ref="T16:AD16" si="1">SUM(T14:T15)</f>
        <v>0.29083724282289747</v>
      </c>
      <c r="U16" s="81">
        <f t="shared" si="1"/>
        <v>1.0611962366155845</v>
      </c>
      <c r="V16" s="81">
        <f t="shared" si="1"/>
        <v>6.8824484487220519E-2</v>
      </c>
      <c r="W16" s="81">
        <f t="shared" si="1"/>
        <v>3.2791125145751575E-3</v>
      </c>
      <c r="X16" s="81">
        <f t="shared" si="1"/>
        <v>6.6250086644878026E-2</v>
      </c>
      <c r="Y16" s="81">
        <f t="shared" si="1"/>
        <v>4.6178083629108538E-2</v>
      </c>
      <c r="Z16" s="81">
        <f t="shared" si="1"/>
        <v>0</v>
      </c>
      <c r="AA16" s="81">
        <f t="shared" si="1"/>
        <v>0</v>
      </c>
      <c r="AB16" s="81">
        <f t="shared" si="1"/>
        <v>398.53611531382199</v>
      </c>
      <c r="AC16" s="81">
        <f t="shared" si="1"/>
        <v>8.2192999637851101E-3</v>
      </c>
      <c r="AD16" s="81">
        <f t="shared" si="1"/>
        <v>1.0208901129878864E-2</v>
      </c>
    </row>
    <row r="17" spans="1:30">
      <c r="A17" s="75"/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</row>
    <row r="18" spans="1:30">
      <c r="A18" s="114" t="s">
        <v>330</v>
      </c>
      <c r="B18" s="74"/>
      <c r="C18" s="112"/>
      <c r="D18" s="112"/>
      <c r="E18" s="74"/>
      <c r="F18" s="74"/>
      <c r="G18" s="577"/>
      <c r="H18" s="41"/>
      <c r="I18" s="41"/>
      <c r="J18" s="41"/>
      <c r="K18" s="574"/>
      <c r="L18" s="574"/>
      <c r="M18" s="574"/>
      <c r="N18" s="574"/>
      <c r="O18" s="574"/>
      <c r="P18" s="574"/>
      <c r="Q18" s="41"/>
      <c r="R18" s="574"/>
      <c r="S18" s="574"/>
      <c r="T18" s="61"/>
      <c r="U18" s="61"/>
      <c r="V18" s="61"/>
      <c r="W18" s="61"/>
      <c r="X18" s="61"/>
      <c r="Y18" s="61"/>
      <c r="Z18" s="62"/>
      <c r="AA18" s="62"/>
      <c r="AB18" s="62"/>
      <c r="AC18" s="62"/>
      <c r="AD18" s="62"/>
    </row>
    <row r="19" spans="1:30">
      <c r="A19" s="78" t="s">
        <v>320</v>
      </c>
      <c r="B19" s="76" t="s">
        <v>95</v>
      </c>
      <c r="C19" s="79">
        <v>12</v>
      </c>
      <c r="D19" s="77"/>
      <c r="E19" s="77">
        <v>35</v>
      </c>
      <c r="F19" s="77">
        <v>60</v>
      </c>
      <c r="G19" s="106">
        <v>0.25172046482947802</v>
      </c>
      <c r="H19" s="106">
        <v>0.464701387165456</v>
      </c>
      <c r="I19" s="106">
        <v>5.6776043658582402E-2</v>
      </c>
      <c r="J19" s="106">
        <v>3.5023733638119199E-3</v>
      </c>
      <c r="K19" s="106">
        <v>4.6899256897933901E-2</v>
      </c>
      <c r="L19" s="47">
        <v>7.99995847163921E-3</v>
      </c>
      <c r="M19" s="47">
        <v>3.6749815577381599E-2</v>
      </c>
      <c r="N19" s="106">
        <v>4.3147317248333997E-2</v>
      </c>
      <c r="O19" s="47">
        <v>1.9999896145790402E-3</v>
      </c>
      <c r="P19" s="47">
        <v>1.57499200131354E-2</v>
      </c>
      <c r="Q19" s="106">
        <v>243.966167526025</v>
      </c>
      <c r="R19" s="47">
        <f>0.000057143*Q19</f>
        <v>1.3940958710939646E-2</v>
      </c>
      <c r="S19" s="80">
        <f>0.000025616*Q19</f>
        <v>6.2494373473466567E-3</v>
      </c>
      <c r="T19" s="50">
        <f>C19*($F19*$G19)/453.59</f>
        <v>0.39956510213458007</v>
      </c>
      <c r="U19" s="50">
        <f>C19*($F19*$H19)/453.59</f>
        <v>0.73763751131887467</v>
      </c>
      <c r="V19" s="50">
        <f>C19*(($F19*$I19))/453.59</f>
        <v>9.01226910517854E-2</v>
      </c>
      <c r="W19" s="50">
        <f>C19*($F19*$J19)/453.59</f>
        <v>5.5594453624299087E-3</v>
      </c>
      <c r="X19" s="50">
        <f>C19*(($F19*($K19+$L19+$M19)))/453.59</f>
        <v>0.14547785948060449</v>
      </c>
      <c r="Y19" s="50">
        <f>C19*(($F19*($N19+$O19+$P19)))/453.59</f>
        <v>9.6664395931909605E-2</v>
      </c>
      <c r="Z19" s="50">
        <f>C19*(F19)*$B$327</f>
        <v>0</v>
      </c>
      <c r="AA19" s="50">
        <f>Z19*0.21</f>
        <v>0</v>
      </c>
      <c r="AB19" s="50">
        <f>C19*(($F19*($Q19)))/453.59</f>
        <v>387.25642236102652</v>
      </c>
      <c r="AC19" s="50">
        <f>C19*(($F19*($R19)))/453.59</f>
        <v>2.2128993742976135E-2</v>
      </c>
      <c r="AD19" s="50">
        <f>C19*(($F19*($S19)))/453.59</f>
        <v>9.9199605152000547E-3</v>
      </c>
    </row>
    <row r="20" spans="1:30">
      <c r="A20" s="75" t="s">
        <v>28</v>
      </c>
      <c r="B20" s="74"/>
      <c r="C20" s="112"/>
      <c r="D20" s="112"/>
      <c r="E20" s="74"/>
      <c r="F20" s="74"/>
      <c r="G20" s="577"/>
      <c r="H20" s="41"/>
      <c r="I20" s="41"/>
      <c r="J20" s="41"/>
      <c r="K20" s="574"/>
      <c r="L20" s="574"/>
      <c r="M20" s="574"/>
      <c r="N20" s="574"/>
      <c r="O20" s="574"/>
      <c r="P20" s="574"/>
      <c r="Q20" s="41"/>
      <c r="R20" s="574"/>
      <c r="S20" s="574"/>
      <c r="T20" s="81">
        <f t="shared" ref="T20:AD20" si="2">SUM(T19:T19)</f>
        <v>0.39956510213458007</v>
      </c>
      <c r="U20" s="81">
        <f t="shared" si="2"/>
        <v>0.73763751131887467</v>
      </c>
      <c r="V20" s="81">
        <f t="shared" si="2"/>
        <v>9.01226910517854E-2</v>
      </c>
      <c r="W20" s="81">
        <f t="shared" si="2"/>
        <v>5.5594453624299087E-3</v>
      </c>
      <c r="X20" s="81">
        <f t="shared" si="2"/>
        <v>0.14547785948060449</v>
      </c>
      <c r="Y20" s="81">
        <f t="shared" si="2"/>
        <v>9.6664395931909605E-2</v>
      </c>
      <c r="Z20" s="81">
        <f t="shared" si="2"/>
        <v>0</v>
      </c>
      <c r="AA20" s="81">
        <f t="shared" si="2"/>
        <v>0</v>
      </c>
      <c r="AB20" s="81">
        <f t="shared" si="2"/>
        <v>387.25642236102652</v>
      </c>
      <c r="AC20" s="81">
        <f t="shared" si="2"/>
        <v>2.2128993742976135E-2</v>
      </c>
      <c r="AD20" s="81">
        <f t="shared" si="2"/>
        <v>9.9199605152000547E-3</v>
      </c>
    </row>
    <row r="21" spans="1:30">
      <c r="A21" s="573"/>
      <c r="B21" s="74"/>
      <c r="C21" s="112"/>
      <c r="D21" s="112"/>
      <c r="E21" s="74"/>
      <c r="F21" s="74"/>
      <c r="G21" s="577"/>
      <c r="H21" s="41"/>
      <c r="I21" s="41"/>
      <c r="J21" s="41"/>
      <c r="K21" s="574"/>
      <c r="L21" s="574"/>
      <c r="M21" s="574"/>
      <c r="N21" s="574"/>
      <c r="O21" s="574"/>
      <c r="P21" s="574"/>
      <c r="Q21" s="41"/>
      <c r="R21" s="574"/>
      <c r="S21" s="574"/>
      <c r="T21" s="61"/>
      <c r="U21" s="61"/>
      <c r="V21" s="61"/>
      <c r="W21" s="61"/>
      <c r="X21" s="61"/>
      <c r="Y21" s="61"/>
      <c r="Z21" s="62"/>
      <c r="AA21" s="62"/>
      <c r="AB21" s="62"/>
      <c r="AC21" s="62"/>
      <c r="AD21" s="62"/>
    </row>
    <row r="22" spans="1:30">
      <c r="A22" s="114" t="s">
        <v>426</v>
      </c>
      <c r="B22" s="74"/>
      <c r="C22" s="112"/>
      <c r="D22" s="112"/>
      <c r="E22" s="74"/>
      <c r="F22" s="74"/>
      <c r="G22" s="577"/>
      <c r="H22" s="41"/>
      <c r="I22" s="41"/>
      <c r="J22" s="41"/>
      <c r="K22" s="574"/>
      <c r="L22" s="574"/>
      <c r="M22" s="574"/>
      <c r="N22" s="574"/>
      <c r="O22" s="574"/>
      <c r="P22" s="574"/>
      <c r="Q22" s="41"/>
      <c r="R22" s="574"/>
      <c r="S22" s="574"/>
      <c r="T22" s="61"/>
      <c r="U22" s="61"/>
      <c r="V22" s="61"/>
      <c r="W22" s="61"/>
      <c r="X22" s="61"/>
      <c r="Y22" s="61"/>
      <c r="Z22" s="62"/>
      <c r="AA22" s="62"/>
      <c r="AB22" s="62"/>
      <c r="AC22" s="62"/>
      <c r="AD22" s="62"/>
    </row>
    <row r="23" spans="1:30">
      <c r="A23" s="78" t="s">
        <v>320</v>
      </c>
      <c r="B23" s="76" t="s">
        <v>95</v>
      </c>
      <c r="C23" s="79">
        <v>10</v>
      </c>
      <c r="D23" s="77"/>
      <c r="E23" s="77">
        <v>35</v>
      </c>
      <c r="F23" s="77">
        <v>60</v>
      </c>
      <c r="G23" s="106">
        <v>0.25172046482947802</v>
      </c>
      <c r="H23" s="106">
        <v>0.464701387165456</v>
      </c>
      <c r="I23" s="106">
        <v>5.6776043658582402E-2</v>
      </c>
      <c r="J23" s="106">
        <v>3.5023733638119199E-3</v>
      </c>
      <c r="K23" s="106">
        <v>4.6899256897933901E-2</v>
      </c>
      <c r="L23" s="47">
        <v>7.99995847163921E-3</v>
      </c>
      <c r="M23" s="47">
        <v>3.6749815577381599E-2</v>
      </c>
      <c r="N23" s="106">
        <v>4.3147317248333997E-2</v>
      </c>
      <c r="O23" s="47">
        <v>1.9999896145790402E-3</v>
      </c>
      <c r="P23" s="47">
        <v>1.57499200131354E-2</v>
      </c>
      <c r="Q23" s="106">
        <v>243.966167526025</v>
      </c>
      <c r="R23" s="47">
        <f>0.000057143*Q23</f>
        <v>1.3940958710939646E-2</v>
      </c>
      <c r="S23" s="80">
        <f>0.000025616*Q23</f>
        <v>6.2494373473466567E-3</v>
      </c>
      <c r="T23" s="50">
        <f>C23*($F23*$G23)/453.59</f>
        <v>0.33297091844548338</v>
      </c>
      <c r="U23" s="50">
        <f>C23*($F23*$H23)/453.59</f>
        <v>0.61469792609906215</v>
      </c>
      <c r="V23" s="50">
        <f>C23*(($F23*$I23))/453.59</f>
        <v>7.5102242543154479E-2</v>
      </c>
      <c r="W23" s="50">
        <f>C23*($F23*$J23)/453.59</f>
        <v>4.6328711353582578E-3</v>
      </c>
      <c r="X23" s="50">
        <f>C23*(($F23*($K23+$L23+$M23)))/453.59</f>
        <v>0.12123154956717042</v>
      </c>
      <c r="Y23" s="50">
        <f>C23*(($F23*($N23+$O23+$P23)))/453.59</f>
        <v>8.0553663276591345E-2</v>
      </c>
      <c r="Z23" s="50">
        <f>C23*(F23)*$B$327</f>
        <v>0</v>
      </c>
      <c r="AA23" s="50">
        <f>Z23*0.21</f>
        <v>0</v>
      </c>
      <c r="AB23" s="50">
        <f>C23*(($F23*($Q23)))/453.59</f>
        <v>322.71368530085539</v>
      </c>
      <c r="AC23" s="50">
        <f>C23*(($F23*($R23)))/453.59</f>
        <v>1.8440828119146779E-2</v>
      </c>
      <c r="AD23" s="50">
        <f>C23*(($F23*($S23)))/453.59</f>
        <v>8.2666337626667117E-3</v>
      </c>
    </row>
    <row r="24" spans="1:30">
      <c r="A24" s="75" t="s">
        <v>28</v>
      </c>
      <c r="B24" s="74"/>
      <c r="C24" s="112"/>
      <c r="D24" s="112"/>
      <c r="E24" s="74"/>
      <c r="F24" s="74"/>
      <c r="G24" s="577"/>
      <c r="H24" s="41"/>
      <c r="I24" s="41"/>
      <c r="J24" s="41"/>
      <c r="K24" s="574"/>
      <c r="L24" s="574"/>
      <c r="M24" s="574"/>
      <c r="N24" s="574"/>
      <c r="O24" s="574"/>
      <c r="P24" s="574"/>
      <c r="Q24" s="41"/>
      <c r="R24" s="574"/>
      <c r="S24" s="574"/>
      <c r="T24" s="81">
        <f t="shared" ref="T24:AD24" si="3">SUM(T23:T23)</f>
        <v>0.33297091844548338</v>
      </c>
      <c r="U24" s="81">
        <f t="shared" si="3"/>
        <v>0.61469792609906215</v>
      </c>
      <c r="V24" s="81">
        <f t="shared" si="3"/>
        <v>7.5102242543154479E-2</v>
      </c>
      <c r="W24" s="81">
        <f t="shared" si="3"/>
        <v>4.6328711353582578E-3</v>
      </c>
      <c r="X24" s="81">
        <f t="shared" si="3"/>
        <v>0.12123154956717042</v>
      </c>
      <c r="Y24" s="81">
        <f t="shared" si="3"/>
        <v>8.0553663276591345E-2</v>
      </c>
      <c r="Z24" s="81">
        <f t="shared" si="3"/>
        <v>0</v>
      </c>
      <c r="AA24" s="81">
        <f t="shared" si="3"/>
        <v>0</v>
      </c>
      <c r="AB24" s="81">
        <f t="shared" si="3"/>
        <v>322.71368530085539</v>
      </c>
      <c r="AC24" s="81">
        <f t="shared" si="3"/>
        <v>1.8440828119146779E-2</v>
      </c>
      <c r="AD24" s="81">
        <f t="shared" si="3"/>
        <v>8.2666337626667117E-3</v>
      </c>
    </row>
    <row r="25" spans="1:30">
      <c r="A25" s="75" t="s">
        <v>388</v>
      </c>
      <c r="B25" s="74"/>
      <c r="C25" s="112"/>
      <c r="D25" s="112"/>
      <c r="E25" s="74"/>
      <c r="F25" s="74"/>
      <c r="G25" s="547"/>
      <c r="H25" s="41"/>
      <c r="I25" s="41"/>
      <c r="J25" s="41"/>
      <c r="K25" s="544"/>
      <c r="L25" s="544"/>
      <c r="M25" s="544"/>
      <c r="N25" s="544"/>
      <c r="O25" s="544"/>
      <c r="P25" s="544"/>
      <c r="Q25" s="41"/>
      <c r="R25" s="544"/>
      <c r="S25" s="544"/>
      <c r="T25" s="81">
        <f>T11+T16+T20+T24</f>
        <v>1.3142105062258584</v>
      </c>
      <c r="U25" s="81">
        <f t="shared" ref="U25:AD25" si="4">U11+U16+U20+U24</f>
        <v>3.474727910649106</v>
      </c>
      <c r="V25" s="81">
        <f t="shared" si="4"/>
        <v>0.30287390256938096</v>
      </c>
      <c r="W25" s="81">
        <f t="shared" si="4"/>
        <v>1.675054152693848E-2</v>
      </c>
      <c r="X25" s="81">
        <f t="shared" si="4"/>
        <v>0.39920958233753095</v>
      </c>
      <c r="Y25" s="81">
        <f t="shared" si="4"/>
        <v>0.26957422646671803</v>
      </c>
      <c r="Z25" s="81">
        <f t="shared" si="4"/>
        <v>0</v>
      </c>
      <c r="AA25" s="81">
        <f t="shared" si="4"/>
        <v>0</v>
      </c>
      <c r="AB25" s="81">
        <f t="shared" si="4"/>
        <v>1507.0423382895258</v>
      </c>
      <c r="AC25" s="81">
        <f t="shared" si="4"/>
        <v>5.7008421789693134E-2</v>
      </c>
      <c r="AD25" s="81">
        <f t="shared" si="4"/>
        <v>3.8604396537624493E-2</v>
      </c>
    </row>
    <row r="26" spans="1:30">
      <c r="A26" s="370"/>
      <c r="B26" s="371"/>
      <c r="C26" s="372"/>
      <c r="D26" s="372"/>
      <c r="E26" s="371"/>
      <c r="F26" s="371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</row>
    <row r="27" spans="1:30">
      <c r="A27" s="370"/>
      <c r="B27" s="371"/>
      <c r="C27" s="372"/>
      <c r="D27" s="372"/>
      <c r="E27" s="371"/>
      <c r="F27" s="371"/>
      <c r="G27" s="373"/>
      <c r="H27" s="373"/>
      <c r="I27" s="373"/>
      <c r="J27" s="373"/>
      <c r="K27" s="373"/>
      <c r="L27" s="373"/>
      <c r="M27" s="373"/>
      <c r="N27" s="373"/>
      <c r="O27" s="373"/>
      <c r="P27" s="373"/>
      <c r="Q27" s="373"/>
      <c r="R27" s="373"/>
      <c r="S27" s="373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</row>
    <row r="28" spans="1:30">
      <c r="A28" s="370"/>
      <c r="B28" s="371"/>
      <c r="C28" s="372"/>
      <c r="D28" s="372"/>
      <c r="E28" s="371"/>
      <c r="F28" s="371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</row>
    <row r="29" spans="1:30">
      <c r="A29" s="370"/>
      <c r="B29" s="371"/>
      <c r="C29" s="372"/>
      <c r="D29" s="372"/>
      <c r="E29" s="371"/>
      <c r="F29" s="371"/>
      <c r="G29" s="373"/>
      <c r="H29" s="373"/>
      <c r="I29" s="373"/>
      <c r="J29" s="373"/>
      <c r="K29" s="373"/>
      <c r="L29" s="373"/>
      <c r="M29" s="373"/>
      <c r="N29" s="373"/>
      <c r="O29" s="373"/>
      <c r="P29" s="373"/>
      <c r="Q29" s="373"/>
      <c r="R29" s="373"/>
      <c r="S29" s="373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</row>
    <row r="377" spans="1:1" ht="25.5">
      <c r="A377" s="82" t="s">
        <v>109</v>
      </c>
    </row>
    <row r="379" spans="1:1">
      <c r="A379" s="36" t="s">
        <v>81</v>
      </c>
    </row>
    <row r="380" spans="1:1">
      <c r="A380" s="36" t="s">
        <v>82</v>
      </c>
    </row>
    <row r="381" spans="1:1">
      <c r="A381" s="36" t="s">
        <v>83</v>
      </c>
    </row>
    <row r="382" spans="1:1">
      <c r="A382" s="37" t="s">
        <v>96</v>
      </c>
    </row>
    <row r="383" spans="1:1">
      <c r="A383" s="36" t="s">
        <v>85</v>
      </c>
    </row>
    <row r="384" spans="1:1">
      <c r="A384" s="36" t="s">
        <v>86</v>
      </c>
    </row>
    <row r="385" spans="1:2">
      <c r="A385" s="36" t="s">
        <v>87</v>
      </c>
    </row>
    <row r="386" spans="1:2">
      <c r="A386" s="36" t="s">
        <v>0</v>
      </c>
    </row>
    <row r="387" spans="1:2">
      <c r="A387" s="37" t="s">
        <v>97</v>
      </c>
      <c r="B387" s="36">
        <f>(0.016*(0.03/2)^0.65*(2/3)^1.5)-0.00047</f>
        <v>9.8123053326417428E-5</v>
      </c>
    </row>
    <row r="388" spans="1:2">
      <c r="A388" s="37" t="s">
        <v>98</v>
      </c>
      <c r="B388" s="36">
        <f>(0.016*(0.03/2)^0.65*(13/3)^1.5)-0.00047</f>
        <v>8.9448292388582783E-3</v>
      </c>
    </row>
    <row r="389" spans="1:2">
      <c r="A389" s="37" t="s">
        <v>99</v>
      </c>
      <c r="B389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5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563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346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7" si="0">0.000049261*AA4</f>
        <v>2.2095931710230707E-2</v>
      </c>
      <c r="AD4" s="49">
        <v>3.2599999999999997E-2</v>
      </c>
      <c r="AE4" s="47">
        <f t="shared" ref="AE4:AE7" si="1">0.000021675*AA4</f>
        <v>9.7222817202097123E-3</v>
      </c>
    </row>
    <row r="5" spans="1:67" ht="25.5">
      <c r="A5" s="44" t="s">
        <v>328</v>
      </c>
      <c r="B5" s="45" t="s">
        <v>102</v>
      </c>
      <c r="C5" s="46">
        <v>3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330</v>
      </c>
      <c r="B6" s="45" t="s">
        <v>102</v>
      </c>
      <c r="C6" s="46">
        <v>19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 ht="25.5">
      <c r="A7" s="44" t="s">
        <v>426</v>
      </c>
      <c r="B7" s="45" t="s">
        <v>102</v>
      </c>
      <c r="C7" s="46">
        <v>14</v>
      </c>
      <c r="D7" s="46">
        <v>35</v>
      </c>
      <c r="E7" s="46">
        <v>80</v>
      </c>
      <c r="F7" s="47">
        <v>2.3611622044318601</v>
      </c>
      <c r="G7" s="48">
        <v>31.4244798871777</v>
      </c>
      <c r="H7" s="48">
        <v>0.22493614397154399</v>
      </c>
      <c r="I7" s="48">
        <v>1.8136819244333999</v>
      </c>
      <c r="J7" s="47">
        <v>5.7965153248686403E-2</v>
      </c>
      <c r="K7" s="48">
        <v>2.3946366793705498</v>
      </c>
      <c r="L7" s="48">
        <v>1.62197187247403</v>
      </c>
      <c r="M7" s="48">
        <v>0.70709499821369304</v>
      </c>
      <c r="N7" s="48">
        <v>0.16038404042738499</v>
      </c>
      <c r="O7" s="48">
        <v>0.71464703099800198</v>
      </c>
      <c r="P7" s="48">
        <v>4.0478385316323803E-3</v>
      </c>
      <c r="Q7" s="48">
        <v>5.8407810191933099E-3</v>
      </c>
      <c r="R7" s="47">
        <v>3.2157701660956101E-3</v>
      </c>
      <c r="S7" s="48">
        <v>2.9198634356063399E-2</v>
      </c>
      <c r="T7" s="48">
        <v>7.9999583995993707E-3</v>
      </c>
      <c r="U7" s="48">
        <v>3.6749815874576097E-2</v>
      </c>
      <c r="V7" s="48">
        <v>2.9606446234606999E-3</v>
      </c>
      <c r="W7" s="48">
        <v>2.6884174180557701E-2</v>
      </c>
      <c r="X7" s="48">
        <v>1.9999896010969099E-3</v>
      </c>
      <c r="Y7" s="48">
        <v>1.57499197860352E-2</v>
      </c>
      <c r="Z7" s="48">
        <v>308.63789988642998</v>
      </c>
      <c r="AA7" s="48">
        <v>448.54817624958298</v>
      </c>
      <c r="AB7" s="47">
        <v>1.77E-2</v>
      </c>
      <c r="AC7" s="47">
        <f t="shared" si="0"/>
        <v>2.2095931710230707E-2</v>
      </c>
      <c r="AD7" s="49">
        <v>3.2599999999999997E-2</v>
      </c>
      <c r="AE7" s="47">
        <f t="shared" si="1"/>
        <v>9.7222817202097123E-3</v>
      </c>
    </row>
    <row r="8" spans="1:67">
      <c r="A8" s="52"/>
      <c r="B8" s="52"/>
      <c r="C8" s="53"/>
      <c r="D8" s="54"/>
      <c r="E8" s="54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</row>
    <row r="9" spans="1:67" ht="25.5">
      <c r="A9" s="55" t="s">
        <v>504</v>
      </c>
      <c r="B9" s="37"/>
      <c r="C9" s="37"/>
    </row>
    <row r="10" spans="1:67">
      <c r="A10" s="55" t="s">
        <v>77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84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</row>
    <row r="11" spans="1:67">
      <c r="A11" s="55" t="s">
        <v>78</v>
      </c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t="38.25" hidden="1">
      <c r="A12" s="55" t="s">
        <v>79</v>
      </c>
      <c r="B12" s="37"/>
      <c r="C12" s="37"/>
      <c r="AA12" s="57"/>
      <c r="AB12" s="58" t="s">
        <v>80</v>
      </c>
      <c r="AC12" s="57"/>
      <c r="AD12" s="57"/>
      <c r="AE12" s="57"/>
      <c r="AF12" s="57" t="e">
        <f>#REF!/60</f>
        <v>#REF!</v>
      </c>
      <c r="AG12" s="57" t="e">
        <f>#REF!/60</f>
        <v>#REF!</v>
      </c>
      <c r="AH12" s="57" t="e">
        <f>#REF!/60</f>
        <v>#REF!</v>
      </c>
      <c r="AI12" s="57" t="e">
        <f>#REF!/60</f>
        <v>#REF!</v>
      </c>
      <c r="AJ12" s="57" t="e">
        <f>#REF!/60</f>
        <v>#REF!</v>
      </c>
      <c r="AK12" s="57" t="e">
        <f>#REF!/60</f>
        <v>#REF!</v>
      </c>
      <c r="AL12" s="57" t="e">
        <f>#REF!/60</f>
        <v>#REF!</v>
      </c>
      <c r="AM12" s="57" t="e">
        <f>#REF!/60</f>
        <v>#REF!</v>
      </c>
      <c r="AN12" s="57" t="e">
        <f>#REF!/60</f>
        <v>#REF!</v>
      </c>
      <c r="AO12" s="57" t="e">
        <f>#REF!/60</f>
        <v>#REF!</v>
      </c>
      <c r="AP12" s="57"/>
      <c r="AQ12" s="57"/>
      <c r="AR12" s="57" t="e">
        <f>#REF!/60</f>
        <v>#REF!</v>
      </c>
      <c r="AS12" s="57" t="e">
        <f>#REF!/60</f>
        <v>#REF!</v>
      </c>
      <c r="AT12" s="57" t="e">
        <f>#REF!/60</f>
        <v>#REF!</v>
      </c>
      <c r="AU12" s="57" t="e">
        <f>#REF!/60</f>
        <v>#REF!</v>
      </c>
      <c r="AV12" s="57" t="e">
        <f>#REF!/60</f>
        <v>#REF!</v>
      </c>
      <c r="AW12" s="57" t="e">
        <f>#REF!/60</f>
        <v>#REF!</v>
      </c>
      <c r="AX12" s="57" t="e">
        <f>#REF!/60</f>
        <v>#REF!</v>
      </c>
      <c r="AY12" s="57" t="e">
        <f>#REF!/60</f>
        <v>#REF!</v>
      </c>
      <c r="AZ12" s="57" t="e">
        <f>#REF!/60</f>
        <v>#REF!</v>
      </c>
      <c r="BA12" s="57" t="e">
        <f>#REF!/60</f>
        <v>#REF!</v>
      </c>
    </row>
    <row r="13" spans="1:67" hidden="1">
      <c r="A13" s="55"/>
      <c r="B13" s="37"/>
      <c r="C13" s="3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9"/>
      <c r="AS13" s="59"/>
      <c r="AT13" s="59"/>
      <c r="AU13" s="59"/>
      <c r="AV13" s="59"/>
      <c r="AW13" s="59"/>
      <c r="AX13" s="59"/>
      <c r="AY13" s="59"/>
      <c r="AZ13" s="60"/>
      <c r="BA13" s="59"/>
    </row>
    <row r="14" spans="1:67" hidden="1">
      <c r="A14" s="37"/>
      <c r="B14" s="37"/>
      <c r="C14" s="37"/>
      <c r="AF14" s="596" t="s">
        <v>64</v>
      </c>
      <c r="AG14" s="596"/>
      <c r="AH14" s="596"/>
      <c r="AI14" s="596"/>
      <c r="AJ14" s="596"/>
      <c r="AK14" s="597"/>
      <c r="AL14" s="597"/>
      <c r="AM14" s="597"/>
      <c r="AN14" s="597"/>
      <c r="AO14" s="597"/>
      <c r="AP14" s="546"/>
      <c r="AQ14" s="56"/>
      <c r="AR14" s="596" t="s">
        <v>65</v>
      </c>
      <c r="AS14" s="596"/>
      <c r="AT14" s="596"/>
      <c r="AU14" s="596"/>
      <c r="AV14" s="596"/>
      <c r="AW14" s="597"/>
      <c r="AX14" s="597"/>
      <c r="AY14" s="597"/>
      <c r="AZ14" s="597"/>
      <c r="BA14" s="597"/>
    </row>
    <row r="15" spans="1:67" ht="63.75" hidden="1">
      <c r="A15" s="37"/>
      <c r="B15" s="37"/>
      <c r="C15" s="37"/>
      <c r="AF15" s="61" t="s">
        <v>55</v>
      </c>
      <c r="AG15" s="61" t="s">
        <v>73</v>
      </c>
      <c r="AH15" s="61" t="s">
        <v>74</v>
      </c>
      <c r="AI15" s="61" t="s">
        <v>58</v>
      </c>
      <c r="AJ15" s="61" t="s">
        <v>59</v>
      </c>
      <c r="AK15" s="61" t="s">
        <v>60</v>
      </c>
      <c r="AL15" s="62" t="s">
        <v>75</v>
      </c>
      <c r="AM15" s="62" t="s">
        <v>76</v>
      </c>
      <c r="AN15" s="62" t="s">
        <v>61</v>
      </c>
      <c r="AO15" s="62" t="s">
        <v>62</v>
      </c>
      <c r="AP15" s="62"/>
      <c r="AQ15" s="43"/>
      <c r="AR15" s="61" t="s">
        <v>55</v>
      </c>
      <c r="AS15" s="61" t="s">
        <v>73</v>
      </c>
      <c r="AT15" s="61" t="s">
        <v>74</v>
      </c>
      <c r="AU15" s="61" t="s">
        <v>58</v>
      </c>
      <c r="AV15" s="61" t="s">
        <v>59</v>
      </c>
      <c r="AW15" s="61" t="s">
        <v>60</v>
      </c>
      <c r="AX15" s="62" t="s">
        <v>75</v>
      </c>
      <c r="AY15" s="62" t="s">
        <v>76</v>
      </c>
      <c r="AZ15" s="63" t="s">
        <v>61</v>
      </c>
      <c r="BA15" s="61" t="s">
        <v>62</v>
      </c>
    </row>
    <row r="16" spans="1:67" hidden="1">
      <c r="A16" s="37" t="s">
        <v>81</v>
      </c>
      <c r="B16" s="37"/>
      <c r="C16" s="37"/>
      <c r="AA16" s="64" t="s">
        <v>29</v>
      </c>
      <c r="AB16" s="65" t="s">
        <v>30</v>
      </c>
      <c r="AC16" s="65" t="s">
        <v>31</v>
      </c>
      <c r="AD16" s="65"/>
      <c r="AE16" s="65"/>
      <c r="AQ16" s="38"/>
    </row>
    <row r="17" spans="1:53" hidden="1">
      <c r="A17" s="37" t="s">
        <v>82</v>
      </c>
      <c r="B17" s="37"/>
      <c r="C17" s="37"/>
      <c r="AA17" s="64"/>
      <c r="AB17" s="65" t="s">
        <v>32</v>
      </c>
      <c r="AC17" s="65">
        <v>13.25</v>
      </c>
      <c r="AD17" s="65"/>
      <c r="AE17" s="65"/>
      <c r="AF17" s="36" t="e">
        <f>AF$12*$AC17</f>
        <v>#REF!</v>
      </c>
      <c r="AG17" s="36" t="e">
        <f t="shared" ref="AG17:AO25" si="2">AG$12*$AC17</f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>AR$12*$AC17</f>
        <v>#REF!</v>
      </c>
      <c r="AS17" s="36" t="e">
        <f t="shared" ref="AS17:BA25" si="3">AS$12*$AC17</f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83</v>
      </c>
      <c r="B18" s="37"/>
      <c r="C18" s="37"/>
      <c r="AA18" s="64"/>
      <c r="AB18" s="65" t="s">
        <v>33</v>
      </c>
      <c r="AC18" s="65">
        <v>20.298999999999999</v>
      </c>
      <c r="AD18" s="65"/>
      <c r="AE18" s="65"/>
      <c r="AF18" s="36" t="e">
        <f t="shared" ref="AF18:AF25" si="4">AF$12*$AC18</f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ref="AR18:AR25" si="5">AR$12*$AC18</f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84</v>
      </c>
      <c r="B19" s="37"/>
      <c r="C19" s="37"/>
      <c r="AA19" s="64"/>
      <c r="AB19" s="65" t="s">
        <v>34</v>
      </c>
      <c r="AC19" s="65">
        <v>21.68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85</v>
      </c>
      <c r="B20" s="37"/>
      <c r="C20" s="37"/>
      <c r="AA20" s="64"/>
      <c r="AB20" s="65" t="s">
        <v>35</v>
      </c>
      <c r="AC20" s="65">
        <v>9.3046500000000005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86</v>
      </c>
      <c r="B21" s="37"/>
      <c r="C21" s="37"/>
      <c r="AA21" s="64"/>
      <c r="AB21" s="65" t="s">
        <v>36</v>
      </c>
      <c r="AC21" s="65">
        <v>5.0347999999999997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87</v>
      </c>
      <c r="B22" s="37"/>
      <c r="C22" s="37"/>
      <c r="AA22" s="64"/>
      <c r="AB22" s="65" t="s">
        <v>37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0</v>
      </c>
      <c r="B23" s="37"/>
      <c r="C23" s="37"/>
      <c r="AA23" s="64"/>
      <c r="AB23" s="65" t="s">
        <v>38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 t="s">
        <v>59</v>
      </c>
      <c r="B24" s="37">
        <f>(0.016*(0.03/2)^0.65*(2/3)^1.5)-0.00047</f>
        <v>9.8123053326417428E-5</v>
      </c>
      <c r="C24" s="37"/>
      <c r="AA24" s="64"/>
      <c r="AB24" s="65" t="s">
        <v>39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 t="s">
        <v>40</v>
      </c>
      <c r="AC25" s="65">
        <v>0</v>
      </c>
      <c r="AD25" s="65"/>
      <c r="AE25" s="65"/>
      <c r="AF25" s="36" t="e">
        <f t="shared" si="4"/>
        <v>#REF!</v>
      </c>
      <c r="AG25" s="36" t="e">
        <f t="shared" si="2"/>
        <v>#REF!</v>
      </c>
      <c r="AH25" s="36" t="e">
        <f t="shared" si="2"/>
        <v>#REF!</v>
      </c>
      <c r="AI25" s="36" t="e">
        <f t="shared" si="2"/>
        <v>#REF!</v>
      </c>
      <c r="AJ25" s="36" t="e">
        <f t="shared" si="2"/>
        <v>#REF!</v>
      </c>
      <c r="AK25" s="36" t="e">
        <f t="shared" si="2"/>
        <v>#REF!</v>
      </c>
      <c r="AL25" s="36" t="e">
        <f t="shared" si="2"/>
        <v>#REF!</v>
      </c>
      <c r="AM25" s="36" t="e">
        <f t="shared" si="2"/>
        <v>#REF!</v>
      </c>
      <c r="AN25" s="36" t="e">
        <f t="shared" si="2"/>
        <v>#REF!</v>
      </c>
      <c r="AO25" s="36" t="e">
        <f t="shared" si="2"/>
        <v>#REF!</v>
      </c>
      <c r="AQ25" s="38"/>
      <c r="AR25" s="36" t="e">
        <f t="shared" si="5"/>
        <v>#REF!</v>
      </c>
      <c r="AS25" s="36" t="e">
        <f t="shared" si="3"/>
        <v>#REF!</v>
      </c>
      <c r="AT25" s="36" t="e">
        <f t="shared" si="3"/>
        <v>#REF!</v>
      </c>
      <c r="AU25" s="36" t="e">
        <f t="shared" si="3"/>
        <v>#REF!</v>
      </c>
      <c r="AV25" s="36" t="e">
        <f t="shared" si="3"/>
        <v>#REF!</v>
      </c>
      <c r="AW25" s="36" t="e">
        <f t="shared" si="3"/>
        <v>#REF!</v>
      </c>
      <c r="AX25" s="36" t="e">
        <f t="shared" si="3"/>
        <v>#REF!</v>
      </c>
      <c r="AY25" s="36" t="e">
        <f t="shared" si="3"/>
        <v>#REF!</v>
      </c>
      <c r="AZ25" s="36" t="e">
        <f t="shared" si="3"/>
        <v>#REF!</v>
      </c>
      <c r="BA25" s="36" t="e">
        <f t="shared" si="3"/>
        <v>#REF!</v>
      </c>
    </row>
    <row r="26" spans="1:53" hidden="1">
      <c r="A26" s="37"/>
      <c r="B26" s="37"/>
      <c r="C26" s="37"/>
      <c r="AA26" s="64"/>
      <c r="AB26" s="65"/>
      <c r="AC26" s="65"/>
      <c r="AD26" s="65"/>
      <c r="AE26" s="65"/>
      <c r="AQ26" s="38"/>
    </row>
    <row r="27" spans="1:53" hidden="1">
      <c r="A27" s="37"/>
      <c r="B27" s="37"/>
      <c r="C27" s="37"/>
      <c r="AA27" s="64" t="s">
        <v>41</v>
      </c>
      <c r="AB27" s="65" t="s">
        <v>30</v>
      </c>
      <c r="AC27" s="65" t="s">
        <v>31</v>
      </c>
      <c r="AD27" s="65"/>
      <c r="AE27" s="65"/>
      <c r="AQ27" s="38"/>
    </row>
    <row r="28" spans="1:53" hidden="1">
      <c r="A28" s="37" t="s">
        <v>88</v>
      </c>
      <c r="B28" s="37"/>
      <c r="C28" s="37"/>
      <c r="AA28" s="64"/>
      <c r="AB28" s="65" t="s">
        <v>32</v>
      </c>
      <c r="AC28" s="65">
        <v>0</v>
      </c>
      <c r="AD28" s="65"/>
      <c r="AE28" s="65"/>
      <c r="AF28" s="36" t="e">
        <f t="shared" ref="AF28:AO36" si="6">AF$12*$AC28</f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ref="AR28:BA36" si="7">AR$12*$AC28</f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89</v>
      </c>
      <c r="B29" s="37"/>
      <c r="C29" s="37"/>
      <c r="AA29" s="64"/>
      <c r="AB29" s="65" t="s">
        <v>33</v>
      </c>
      <c r="AC29" s="65">
        <v>6.2010000000000005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90</v>
      </c>
      <c r="B30" s="37"/>
      <c r="C30" s="37"/>
      <c r="AA30" s="64"/>
      <c r="AB30" s="65" t="s">
        <v>34</v>
      </c>
      <c r="AC30" s="65">
        <v>0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91</v>
      </c>
      <c r="B31" s="37"/>
      <c r="C31" s="37"/>
      <c r="AA31" s="64"/>
      <c r="AB31" s="65" t="s">
        <v>35</v>
      </c>
      <c r="AC31" s="65">
        <v>9.8037500000000009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92</v>
      </c>
      <c r="B32" s="37"/>
      <c r="C32" s="37"/>
      <c r="AA32" s="64"/>
      <c r="AB32" s="65" t="s">
        <v>36</v>
      </c>
      <c r="AC32" s="65">
        <v>7.2451999999999996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84</v>
      </c>
      <c r="B33" s="37"/>
      <c r="C33" s="37"/>
      <c r="AA33" s="64"/>
      <c r="AB33" s="65" t="s">
        <v>37</v>
      </c>
      <c r="AC33" s="65">
        <v>3.6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93</v>
      </c>
      <c r="B34" s="37"/>
      <c r="C34" s="37"/>
      <c r="AA34" s="64"/>
      <c r="AB34" s="65" t="s">
        <v>38</v>
      </c>
      <c r="AC34" s="65">
        <v>6.1984000000000004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94</v>
      </c>
      <c r="B35" s="37"/>
      <c r="C35" s="37"/>
      <c r="AA35" s="64"/>
      <c r="AB35" s="65" t="s">
        <v>39</v>
      </c>
      <c r="AC35" s="65">
        <v>5.1995100000000001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0</v>
      </c>
      <c r="B36" s="37"/>
      <c r="C36" s="37"/>
      <c r="AA36" s="64"/>
      <c r="AB36" s="65" t="s">
        <v>40</v>
      </c>
      <c r="AC36" s="65">
        <v>17.71416</v>
      </c>
      <c r="AD36" s="65"/>
      <c r="AE36" s="65"/>
      <c r="AF36" s="36" t="e">
        <f t="shared" si="6"/>
        <v>#REF!</v>
      </c>
      <c r="AG36" s="36" t="e">
        <f t="shared" si="6"/>
        <v>#REF!</v>
      </c>
      <c r="AH36" s="36" t="e">
        <f t="shared" si="6"/>
        <v>#REF!</v>
      </c>
      <c r="AI36" s="36" t="e">
        <f t="shared" si="6"/>
        <v>#REF!</v>
      </c>
      <c r="AJ36" s="36" t="e">
        <f t="shared" si="6"/>
        <v>#REF!</v>
      </c>
      <c r="AK36" s="36" t="e">
        <f t="shared" si="6"/>
        <v>#REF!</v>
      </c>
      <c r="AL36" s="36" t="e">
        <f t="shared" si="6"/>
        <v>#REF!</v>
      </c>
      <c r="AM36" s="36" t="e">
        <f t="shared" si="6"/>
        <v>#REF!</v>
      </c>
      <c r="AN36" s="36" t="e">
        <f t="shared" si="6"/>
        <v>#REF!</v>
      </c>
      <c r="AO36" s="36" t="e">
        <f t="shared" si="6"/>
        <v>#REF!</v>
      </c>
      <c r="AQ36" s="38"/>
      <c r="AR36" s="36" t="e">
        <f t="shared" si="7"/>
        <v>#REF!</v>
      </c>
      <c r="AS36" s="36" t="e">
        <f t="shared" si="7"/>
        <v>#REF!</v>
      </c>
      <c r="AT36" s="36" t="e">
        <f t="shared" si="7"/>
        <v>#REF!</v>
      </c>
      <c r="AU36" s="36" t="e">
        <f t="shared" si="7"/>
        <v>#REF!</v>
      </c>
      <c r="AV36" s="36" t="e">
        <f t="shared" si="7"/>
        <v>#REF!</v>
      </c>
      <c r="AW36" s="36" t="e">
        <f t="shared" si="7"/>
        <v>#REF!</v>
      </c>
      <c r="AX36" s="36" t="e">
        <f t="shared" si="7"/>
        <v>#REF!</v>
      </c>
      <c r="AY36" s="36" t="e">
        <f t="shared" si="7"/>
        <v>#REF!</v>
      </c>
      <c r="AZ36" s="36" t="e">
        <f t="shared" si="7"/>
        <v>#REF!</v>
      </c>
      <c r="BA36" s="36" t="e">
        <f t="shared" si="7"/>
        <v>#REF!</v>
      </c>
    </row>
    <row r="37" spans="1:53" hidden="1">
      <c r="A37" s="37" t="s">
        <v>59</v>
      </c>
      <c r="B37" s="37">
        <f>0.39*1.5*(8.5/12)^0.9*(2/3)^0.45</f>
        <v>0.35737873826145539</v>
      </c>
      <c r="C37" s="37"/>
      <c r="AA37" s="64"/>
      <c r="AB37" s="65"/>
      <c r="AC37" s="65"/>
      <c r="AD37" s="65"/>
      <c r="AE37" s="65"/>
      <c r="AQ37" s="38"/>
    </row>
    <row r="38" spans="1:53" hidden="1">
      <c r="A38" s="37" t="s">
        <v>60</v>
      </c>
      <c r="B38" s="37">
        <f>0.39*0.15*(8.5/12)^0.9*(2/3)^0.45</f>
        <v>3.5737873826145544E-2</v>
      </c>
      <c r="C38" s="37"/>
      <c r="AA38" s="64" t="s">
        <v>42</v>
      </c>
      <c r="AB38" s="65" t="s">
        <v>30</v>
      </c>
      <c r="AC38" s="65" t="s">
        <v>31</v>
      </c>
      <c r="AD38" s="65"/>
      <c r="AE38" s="65"/>
      <c r="AQ38" s="38"/>
    </row>
    <row r="39" spans="1:53" hidden="1">
      <c r="AA39" s="64"/>
      <c r="AB39" s="65" t="s">
        <v>32</v>
      </c>
      <c r="AC39" s="65">
        <v>0</v>
      </c>
      <c r="AD39" s="65"/>
      <c r="AE39" s="65"/>
      <c r="AF39" s="36" t="e">
        <f t="shared" ref="AF39:AO47" si="8">AF$12*$AC39</f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ref="AR39:BA47" si="9">AR$12*$AC39</f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33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34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35</v>
      </c>
      <c r="AC42" s="65">
        <v>16.541599999999999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36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37</v>
      </c>
      <c r="AC44" s="65">
        <v>0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38</v>
      </c>
      <c r="AC45" s="65">
        <v>14.601599999999999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39</v>
      </c>
      <c r="AC46" s="65">
        <v>14.570489999999999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A47" s="64"/>
      <c r="AB47" s="65" t="s">
        <v>40</v>
      </c>
      <c r="AC47" s="65">
        <v>14.14584</v>
      </c>
      <c r="AD47" s="65"/>
      <c r="AE47" s="65"/>
      <c r="AF47" s="36" t="e">
        <f t="shared" si="8"/>
        <v>#REF!</v>
      </c>
      <c r="AG47" s="36" t="e">
        <f t="shared" si="8"/>
        <v>#REF!</v>
      </c>
      <c r="AH47" s="36" t="e">
        <f t="shared" si="8"/>
        <v>#REF!</v>
      </c>
      <c r="AI47" s="36" t="e">
        <f t="shared" si="8"/>
        <v>#REF!</v>
      </c>
      <c r="AJ47" s="36" t="e">
        <f t="shared" si="8"/>
        <v>#REF!</v>
      </c>
      <c r="AK47" s="36" t="e">
        <f t="shared" si="8"/>
        <v>#REF!</v>
      </c>
      <c r="AL47" s="36" t="e">
        <f t="shared" si="8"/>
        <v>#REF!</v>
      </c>
      <c r="AM47" s="36" t="e">
        <f t="shared" si="8"/>
        <v>#REF!</v>
      </c>
      <c r="AN47" s="36" t="e">
        <f t="shared" si="8"/>
        <v>#REF!</v>
      </c>
      <c r="AO47" s="36" t="e">
        <f t="shared" si="8"/>
        <v>#REF!</v>
      </c>
      <c r="AQ47" s="38"/>
      <c r="AR47" s="36" t="e">
        <f t="shared" si="9"/>
        <v>#REF!</v>
      </c>
      <c r="AS47" s="36" t="e">
        <f t="shared" si="9"/>
        <v>#REF!</v>
      </c>
      <c r="AT47" s="36" t="e">
        <f t="shared" si="9"/>
        <v>#REF!</v>
      </c>
      <c r="AU47" s="36" t="e">
        <f t="shared" si="9"/>
        <v>#REF!</v>
      </c>
      <c r="AV47" s="36" t="e">
        <f t="shared" si="9"/>
        <v>#REF!</v>
      </c>
      <c r="AW47" s="36" t="e">
        <f t="shared" si="9"/>
        <v>#REF!</v>
      </c>
      <c r="AX47" s="36" t="e">
        <f t="shared" si="9"/>
        <v>#REF!</v>
      </c>
      <c r="AY47" s="36" t="e">
        <f t="shared" si="9"/>
        <v>#REF!</v>
      </c>
      <c r="AZ47" s="36" t="e">
        <f t="shared" si="9"/>
        <v>#REF!</v>
      </c>
      <c r="BA47" s="36" t="e">
        <f t="shared" si="9"/>
        <v>#REF!</v>
      </c>
    </row>
    <row r="48" spans="1:53" hidden="1">
      <c r="AQ48" s="38"/>
    </row>
    <row r="49" spans="27:53" hidden="1">
      <c r="AQ49" s="38"/>
    </row>
    <row r="50" spans="27:53" ht="63.75" hidden="1">
      <c r="AA50" s="66" t="s">
        <v>43</v>
      </c>
      <c r="AB50" s="67"/>
      <c r="AC50" s="68"/>
      <c r="AD50" s="68"/>
      <c r="AE50" s="68"/>
      <c r="AF50" s="61" t="s">
        <v>55</v>
      </c>
      <c r="AG50" s="61" t="s">
        <v>73</v>
      </c>
      <c r="AH50" s="61" t="s">
        <v>57</v>
      </c>
      <c r="AI50" s="61" t="s">
        <v>58</v>
      </c>
      <c r="AJ50" s="61" t="s">
        <v>59</v>
      </c>
      <c r="AK50" s="61" t="s">
        <v>60</v>
      </c>
      <c r="AL50" s="62" t="s">
        <v>75</v>
      </c>
      <c r="AM50" s="62" t="s">
        <v>76</v>
      </c>
      <c r="AN50" s="62" t="s">
        <v>61</v>
      </c>
      <c r="AO50" s="62" t="s">
        <v>62</v>
      </c>
      <c r="AP50" s="62"/>
      <c r="AQ50" s="43"/>
      <c r="AR50" s="61" t="s">
        <v>55</v>
      </c>
      <c r="AS50" s="61" t="s">
        <v>73</v>
      </c>
      <c r="AT50" s="61" t="s">
        <v>74</v>
      </c>
      <c r="AU50" s="61" t="s">
        <v>58</v>
      </c>
      <c r="AV50" s="61" t="s">
        <v>59</v>
      </c>
      <c r="AW50" s="61" t="s">
        <v>60</v>
      </c>
      <c r="AX50" s="62" t="s">
        <v>75</v>
      </c>
      <c r="AY50" s="62" t="s">
        <v>76</v>
      </c>
      <c r="AZ50" s="63" t="s">
        <v>61</v>
      </c>
      <c r="BA50" s="61" t="s">
        <v>62</v>
      </c>
    </row>
    <row r="51" spans="27:53" hidden="1">
      <c r="AA51" s="69" t="s">
        <v>44</v>
      </c>
      <c r="AB51" s="35"/>
      <c r="AG51" s="70"/>
      <c r="AQ51" s="38"/>
    </row>
    <row r="52" spans="27:53" hidden="1">
      <c r="AA52" s="71" t="s">
        <v>29</v>
      </c>
      <c r="AB52" s="35"/>
      <c r="AF52" s="70" t="e">
        <f t="shared" ref="AF52:AO52" si="10">AF17+AF19+AF20</f>
        <v>#REF!</v>
      </c>
      <c r="AG52" s="70" t="e">
        <f t="shared" si="10"/>
        <v>#REF!</v>
      </c>
      <c r="AH52" s="70" t="e">
        <f t="shared" si="10"/>
        <v>#REF!</v>
      </c>
      <c r="AI52" s="70" t="e">
        <f t="shared" si="10"/>
        <v>#REF!</v>
      </c>
      <c r="AJ52" s="70" t="e">
        <f t="shared" si="10"/>
        <v>#REF!</v>
      </c>
      <c r="AK52" s="70" t="e">
        <f t="shared" si="10"/>
        <v>#REF!</v>
      </c>
      <c r="AL52" s="70" t="e">
        <f t="shared" si="10"/>
        <v>#REF!</v>
      </c>
      <c r="AM52" s="70" t="e">
        <f t="shared" si="10"/>
        <v>#REF!</v>
      </c>
      <c r="AN52" s="70" t="e">
        <f t="shared" si="10"/>
        <v>#REF!</v>
      </c>
      <c r="AO52" s="70" t="e">
        <f t="shared" si="10"/>
        <v>#REF!</v>
      </c>
      <c r="AP52" s="70"/>
      <c r="AQ52" s="70"/>
      <c r="AR52" s="70" t="e">
        <f t="shared" ref="AR52:BA52" si="11">AR17+AR19+AR20</f>
        <v>#REF!</v>
      </c>
      <c r="AS52" s="70" t="e">
        <f t="shared" si="11"/>
        <v>#REF!</v>
      </c>
      <c r="AT52" s="70" t="e">
        <f t="shared" si="11"/>
        <v>#REF!</v>
      </c>
      <c r="AU52" s="70" t="e">
        <f t="shared" si="11"/>
        <v>#REF!</v>
      </c>
      <c r="AV52" s="70" t="e">
        <f t="shared" si="11"/>
        <v>#REF!</v>
      </c>
      <c r="AW52" s="70" t="e">
        <f t="shared" si="11"/>
        <v>#REF!</v>
      </c>
      <c r="AX52" s="70" t="e">
        <f t="shared" si="11"/>
        <v>#REF!</v>
      </c>
      <c r="AY52" s="70" t="e">
        <f t="shared" si="11"/>
        <v>#REF!</v>
      </c>
      <c r="AZ52" s="70" t="e">
        <f t="shared" si="11"/>
        <v>#REF!</v>
      </c>
      <c r="BA52" s="70" t="e">
        <f t="shared" si="11"/>
        <v>#REF!</v>
      </c>
    </row>
    <row r="53" spans="27:53" hidden="1">
      <c r="AA53" s="71" t="s">
        <v>41</v>
      </c>
      <c r="AB53" s="35"/>
      <c r="AF53" s="70" t="e">
        <f t="shared" ref="AF53:AO53" si="12">AF28+AF30+AF31</f>
        <v>#REF!</v>
      </c>
      <c r="AG53" s="70" t="e">
        <f t="shared" si="12"/>
        <v>#REF!</v>
      </c>
      <c r="AH53" s="70" t="e">
        <f t="shared" si="12"/>
        <v>#REF!</v>
      </c>
      <c r="AI53" s="70" t="e">
        <f t="shared" si="12"/>
        <v>#REF!</v>
      </c>
      <c r="AJ53" s="70" t="e">
        <f t="shared" si="12"/>
        <v>#REF!</v>
      </c>
      <c r="AK53" s="70" t="e">
        <f t="shared" si="12"/>
        <v>#REF!</v>
      </c>
      <c r="AL53" s="70" t="e">
        <f t="shared" si="12"/>
        <v>#REF!</v>
      </c>
      <c r="AM53" s="70" t="e">
        <f t="shared" si="12"/>
        <v>#REF!</v>
      </c>
      <c r="AN53" s="70" t="e">
        <f t="shared" si="12"/>
        <v>#REF!</v>
      </c>
      <c r="AO53" s="70" t="e">
        <f t="shared" si="12"/>
        <v>#REF!</v>
      </c>
      <c r="AP53" s="70"/>
      <c r="AQ53" s="70"/>
      <c r="AR53" s="70" t="e">
        <f t="shared" ref="AR53:BA53" si="13">AR28+AR30+AR31</f>
        <v>#REF!</v>
      </c>
      <c r="AS53" s="70" t="e">
        <f t="shared" si="13"/>
        <v>#REF!</v>
      </c>
      <c r="AT53" s="70" t="e">
        <f t="shared" si="13"/>
        <v>#REF!</v>
      </c>
      <c r="AU53" s="70" t="e">
        <f t="shared" si="13"/>
        <v>#REF!</v>
      </c>
      <c r="AV53" s="70" t="e">
        <f t="shared" si="13"/>
        <v>#REF!</v>
      </c>
      <c r="AW53" s="70" t="e">
        <f t="shared" si="13"/>
        <v>#REF!</v>
      </c>
      <c r="AX53" s="70" t="e">
        <f t="shared" si="13"/>
        <v>#REF!</v>
      </c>
      <c r="AY53" s="70" t="e">
        <f t="shared" si="13"/>
        <v>#REF!</v>
      </c>
      <c r="AZ53" s="70" t="e">
        <f t="shared" si="13"/>
        <v>#REF!</v>
      </c>
      <c r="BA53" s="70" t="e">
        <f t="shared" si="13"/>
        <v>#REF!</v>
      </c>
    </row>
    <row r="54" spans="27:53" hidden="1">
      <c r="AA54" s="71" t="s">
        <v>42</v>
      </c>
      <c r="AB54" s="35"/>
      <c r="AF54" s="70" t="e">
        <f t="shared" ref="AF54:AO54" si="14">AF39+AF41+AF42</f>
        <v>#REF!</v>
      </c>
      <c r="AG54" s="70" t="e">
        <f t="shared" si="14"/>
        <v>#REF!</v>
      </c>
      <c r="AH54" s="70" t="e">
        <f t="shared" si="14"/>
        <v>#REF!</v>
      </c>
      <c r="AI54" s="70" t="e">
        <f t="shared" si="14"/>
        <v>#REF!</v>
      </c>
      <c r="AJ54" s="70" t="e">
        <f t="shared" si="14"/>
        <v>#REF!</v>
      </c>
      <c r="AK54" s="70" t="e">
        <f t="shared" si="14"/>
        <v>#REF!</v>
      </c>
      <c r="AL54" s="70" t="e">
        <f t="shared" si="14"/>
        <v>#REF!</v>
      </c>
      <c r="AM54" s="70" t="e">
        <f t="shared" si="14"/>
        <v>#REF!</v>
      </c>
      <c r="AN54" s="70" t="e">
        <f t="shared" si="14"/>
        <v>#REF!</v>
      </c>
      <c r="AO54" s="70" t="e">
        <f t="shared" si="14"/>
        <v>#REF!</v>
      </c>
      <c r="AP54" s="70"/>
      <c r="AQ54" s="70"/>
      <c r="AR54" s="70" t="e">
        <f t="shared" ref="AR54:BA54" si="15">AR39+AR41+AR42</f>
        <v>#REF!</v>
      </c>
      <c r="AS54" s="70" t="e">
        <f t="shared" si="15"/>
        <v>#REF!</v>
      </c>
      <c r="AT54" s="70" t="e">
        <f t="shared" si="15"/>
        <v>#REF!</v>
      </c>
      <c r="AU54" s="70" t="e">
        <f t="shared" si="15"/>
        <v>#REF!</v>
      </c>
      <c r="AV54" s="70" t="e">
        <f t="shared" si="15"/>
        <v>#REF!</v>
      </c>
      <c r="AW54" s="70" t="e">
        <f t="shared" si="15"/>
        <v>#REF!</v>
      </c>
      <c r="AX54" s="70" t="e">
        <f t="shared" si="15"/>
        <v>#REF!</v>
      </c>
      <c r="AY54" s="70" t="e">
        <f t="shared" si="15"/>
        <v>#REF!</v>
      </c>
      <c r="AZ54" s="70" t="e">
        <f t="shared" si="15"/>
        <v>#REF!</v>
      </c>
      <c r="BA54" s="70" t="e">
        <f t="shared" si="15"/>
        <v>#REF!</v>
      </c>
    </row>
    <row r="55" spans="27:53" hidden="1">
      <c r="AA55" s="69" t="s">
        <v>45</v>
      </c>
      <c r="AB55" s="35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</row>
    <row r="56" spans="27:53" hidden="1">
      <c r="AA56" s="71" t="s">
        <v>29</v>
      </c>
      <c r="AB56" s="35"/>
      <c r="AF56" s="70" t="e">
        <f t="shared" ref="AF56:AO56" si="16">AF17+AF19+AF21+AF23</f>
        <v>#REF!</v>
      </c>
      <c r="AG56" s="70" t="e">
        <f t="shared" si="16"/>
        <v>#REF!</v>
      </c>
      <c r="AH56" s="70" t="e">
        <f t="shared" si="16"/>
        <v>#REF!</v>
      </c>
      <c r="AI56" s="70" t="e">
        <f t="shared" si="16"/>
        <v>#REF!</v>
      </c>
      <c r="AJ56" s="70" t="e">
        <f t="shared" si="16"/>
        <v>#REF!</v>
      </c>
      <c r="AK56" s="70" t="e">
        <f t="shared" si="16"/>
        <v>#REF!</v>
      </c>
      <c r="AL56" s="70" t="e">
        <f t="shared" si="16"/>
        <v>#REF!</v>
      </c>
      <c r="AM56" s="70" t="e">
        <f t="shared" si="16"/>
        <v>#REF!</v>
      </c>
      <c r="AN56" s="70" t="e">
        <f t="shared" si="16"/>
        <v>#REF!</v>
      </c>
      <c r="AO56" s="70" t="e">
        <f t="shared" si="16"/>
        <v>#REF!</v>
      </c>
      <c r="AP56" s="70"/>
      <c r="AQ56" s="70"/>
      <c r="AR56" s="70" t="e">
        <f t="shared" ref="AR56:BA56" si="17">AR17+AR19+AR21+AR23</f>
        <v>#REF!</v>
      </c>
      <c r="AS56" s="70" t="e">
        <f t="shared" si="17"/>
        <v>#REF!</v>
      </c>
      <c r="AT56" s="70" t="e">
        <f t="shared" si="17"/>
        <v>#REF!</v>
      </c>
      <c r="AU56" s="70" t="e">
        <f t="shared" si="17"/>
        <v>#REF!</v>
      </c>
      <c r="AV56" s="70" t="e">
        <f t="shared" si="17"/>
        <v>#REF!</v>
      </c>
      <c r="AW56" s="70" t="e">
        <f t="shared" si="17"/>
        <v>#REF!</v>
      </c>
      <c r="AX56" s="70" t="e">
        <f t="shared" si="17"/>
        <v>#REF!</v>
      </c>
      <c r="AY56" s="70" t="e">
        <f t="shared" si="17"/>
        <v>#REF!</v>
      </c>
      <c r="AZ56" s="70" t="e">
        <f t="shared" si="17"/>
        <v>#REF!</v>
      </c>
      <c r="BA56" s="70" t="e">
        <f t="shared" si="17"/>
        <v>#REF!</v>
      </c>
    </row>
    <row r="57" spans="27:53" hidden="1">
      <c r="AA57" s="71" t="s">
        <v>41</v>
      </c>
      <c r="AB57" s="35"/>
      <c r="AF57" s="70" t="e">
        <f t="shared" ref="AF57:AO57" si="18">AF28+AF30+AF32+AF34</f>
        <v>#REF!</v>
      </c>
      <c r="AG57" s="70" t="e">
        <f t="shared" si="18"/>
        <v>#REF!</v>
      </c>
      <c r="AH57" s="70" t="e">
        <f t="shared" si="18"/>
        <v>#REF!</v>
      </c>
      <c r="AI57" s="70" t="e">
        <f t="shared" si="18"/>
        <v>#REF!</v>
      </c>
      <c r="AJ57" s="70" t="e">
        <f t="shared" si="18"/>
        <v>#REF!</v>
      </c>
      <c r="AK57" s="70" t="e">
        <f t="shared" si="18"/>
        <v>#REF!</v>
      </c>
      <c r="AL57" s="70" t="e">
        <f t="shared" si="18"/>
        <v>#REF!</v>
      </c>
      <c r="AM57" s="70" t="e">
        <f t="shared" si="18"/>
        <v>#REF!</v>
      </c>
      <c r="AN57" s="70" t="e">
        <f t="shared" si="18"/>
        <v>#REF!</v>
      </c>
      <c r="AO57" s="70" t="e">
        <f t="shared" si="18"/>
        <v>#REF!</v>
      </c>
      <c r="AP57" s="70"/>
      <c r="AQ57" s="70"/>
      <c r="AR57" s="70" t="e">
        <f t="shared" ref="AR57:BA57" si="19">AR28+AR30+AR32+AR34</f>
        <v>#REF!</v>
      </c>
      <c r="AS57" s="70" t="e">
        <f t="shared" si="19"/>
        <v>#REF!</v>
      </c>
      <c r="AT57" s="70" t="e">
        <f t="shared" si="19"/>
        <v>#REF!</v>
      </c>
      <c r="AU57" s="70" t="e">
        <f t="shared" si="19"/>
        <v>#REF!</v>
      </c>
      <c r="AV57" s="70" t="e">
        <f t="shared" si="19"/>
        <v>#REF!</v>
      </c>
      <c r="AW57" s="70" t="e">
        <f t="shared" si="19"/>
        <v>#REF!</v>
      </c>
      <c r="AX57" s="70" t="e">
        <f t="shared" si="19"/>
        <v>#REF!</v>
      </c>
      <c r="AY57" s="70" t="e">
        <f t="shared" si="19"/>
        <v>#REF!</v>
      </c>
      <c r="AZ57" s="70" t="e">
        <f t="shared" si="19"/>
        <v>#REF!</v>
      </c>
      <c r="BA57" s="70" t="e">
        <f t="shared" si="19"/>
        <v>#REF!</v>
      </c>
    </row>
    <row r="58" spans="27:53" hidden="1">
      <c r="AA58" s="71" t="s">
        <v>42</v>
      </c>
      <c r="AB58" s="35"/>
      <c r="AF58" s="70" t="e">
        <f t="shared" ref="AF58:AO58" si="20">AF39+AF41+AF43+AF45</f>
        <v>#REF!</v>
      </c>
      <c r="AG58" s="70" t="e">
        <f t="shared" si="20"/>
        <v>#REF!</v>
      </c>
      <c r="AH58" s="70" t="e">
        <f t="shared" si="20"/>
        <v>#REF!</v>
      </c>
      <c r="AI58" s="70" t="e">
        <f t="shared" si="20"/>
        <v>#REF!</v>
      </c>
      <c r="AJ58" s="70" t="e">
        <f t="shared" si="20"/>
        <v>#REF!</v>
      </c>
      <c r="AK58" s="70" t="e">
        <f t="shared" si="20"/>
        <v>#REF!</v>
      </c>
      <c r="AL58" s="70" t="e">
        <f t="shared" si="20"/>
        <v>#REF!</v>
      </c>
      <c r="AM58" s="70" t="e">
        <f t="shared" si="20"/>
        <v>#REF!</v>
      </c>
      <c r="AN58" s="70" t="e">
        <f t="shared" si="20"/>
        <v>#REF!</v>
      </c>
      <c r="AO58" s="70" t="e">
        <f t="shared" si="20"/>
        <v>#REF!</v>
      </c>
      <c r="AP58" s="70"/>
      <c r="AQ58" s="70"/>
      <c r="AR58" s="70" t="e">
        <f t="shared" ref="AR58:BA58" si="21">AR39+AR41+AR43+AR45</f>
        <v>#REF!</v>
      </c>
      <c r="AS58" s="70" t="e">
        <f t="shared" si="21"/>
        <v>#REF!</v>
      </c>
      <c r="AT58" s="70" t="e">
        <f t="shared" si="21"/>
        <v>#REF!</v>
      </c>
      <c r="AU58" s="70" t="e">
        <f t="shared" si="21"/>
        <v>#REF!</v>
      </c>
      <c r="AV58" s="70" t="e">
        <f t="shared" si="21"/>
        <v>#REF!</v>
      </c>
      <c r="AW58" s="70" t="e">
        <f t="shared" si="21"/>
        <v>#REF!</v>
      </c>
      <c r="AX58" s="70" t="e">
        <f t="shared" si="21"/>
        <v>#REF!</v>
      </c>
      <c r="AY58" s="70" t="e">
        <f t="shared" si="21"/>
        <v>#REF!</v>
      </c>
      <c r="AZ58" s="70" t="e">
        <f t="shared" si="21"/>
        <v>#REF!</v>
      </c>
      <c r="BA58" s="70" t="e">
        <f t="shared" si="21"/>
        <v>#REF!</v>
      </c>
    </row>
    <row r="59" spans="27:53" hidden="1">
      <c r="AA59" s="69" t="s">
        <v>46</v>
      </c>
      <c r="AB59" s="35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</row>
    <row r="60" spans="27:53" hidden="1">
      <c r="AA60" s="71" t="s">
        <v>29</v>
      </c>
      <c r="AB60" s="35"/>
      <c r="AF60" s="70" t="e">
        <f t="shared" ref="AF60:AO60" si="22">AF17+AF19+AF21+AF22+AF24</f>
        <v>#REF!</v>
      </c>
      <c r="AG60" s="70" t="e">
        <f t="shared" si="22"/>
        <v>#REF!</v>
      </c>
      <c r="AH60" s="70" t="e">
        <f t="shared" si="22"/>
        <v>#REF!</v>
      </c>
      <c r="AI60" s="70" t="e">
        <f t="shared" si="22"/>
        <v>#REF!</v>
      </c>
      <c r="AJ60" s="70" t="e">
        <f t="shared" si="22"/>
        <v>#REF!</v>
      </c>
      <c r="AK60" s="70" t="e">
        <f t="shared" si="22"/>
        <v>#REF!</v>
      </c>
      <c r="AL60" s="70" t="e">
        <f t="shared" si="22"/>
        <v>#REF!</v>
      </c>
      <c r="AM60" s="70" t="e">
        <f t="shared" si="22"/>
        <v>#REF!</v>
      </c>
      <c r="AN60" s="70" t="e">
        <f t="shared" si="22"/>
        <v>#REF!</v>
      </c>
      <c r="AO60" s="70" t="e">
        <f t="shared" si="22"/>
        <v>#REF!</v>
      </c>
      <c r="AP60" s="70"/>
      <c r="AQ60" s="70"/>
      <c r="AR60" s="70" t="e">
        <f t="shared" ref="AR60:BA60" si="23">AR17+AR19+AR21+AR22+AR24</f>
        <v>#REF!</v>
      </c>
      <c r="AS60" s="70" t="e">
        <f t="shared" si="23"/>
        <v>#REF!</v>
      </c>
      <c r="AT60" s="70" t="e">
        <f t="shared" si="23"/>
        <v>#REF!</v>
      </c>
      <c r="AU60" s="70" t="e">
        <f t="shared" si="23"/>
        <v>#REF!</v>
      </c>
      <c r="AV60" s="70" t="e">
        <f t="shared" si="23"/>
        <v>#REF!</v>
      </c>
      <c r="AW60" s="70" t="e">
        <f t="shared" si="23"/>
        <v>#REF!</v>
      </c>
      <c r="AX60" s="70" t="e">
        <f t="shared" si="23"/>
        <v>#REF!</v>
      </c>
      <c r="AY60" s="70" t="e">
        <f t="shared" si="23"/>
        <v>#REF!</v>
      </c>
      <c r="AZ60" s="70" t="e">
        <f t="shared" si="23"/>
        <v>#REF!</v>
      </c>
      <c r="BA60" s="70" t="e">
        <f t="shared" si="23"/>
        <v>#REF!</v>
      </c>
    </row>
    <row r="61" spans="27:53" hidden="1">
      <c r="AA61" s="71" t="s">
        <v>41</v>
      </c>
      <c r="AB61" s="35"/>
      <c r="AF61" s="70" t="e">
        <f t="shared" ref="AF61:AO61" si="24">AF28+AF30+AF32+AF33+AF35</f>
        <v>#REF!</v>
      </c>
      <c r="AG61" s="70" t="e">
        <f t="shared" si="24"/>
        <v>#REF!</v>
      </c>
      <c r="AH61" s="70" t="e">
        <f t="shared" si="24"/>
        <v>#REF!</v>
      </c>
      <c r="AI61" s="70" t="e">
        <f t="shared" si="24"/>
        <v>#REF!</v>
      </c>
      <c r="AJ61" s="70" t="e">
        <f t="shared" si="24"/>
        <v>#REF!</v>
      </c>
      <c r="AK61" s="70" t="e">
        <f t="shared" si="24"/>
        <v>#REF!</v>
      </c>
      <c r="AL61" s="70" t="e">
        <f t="shared" si="24"/>
        <v>#REF!</v>
      </c>
      <c r="AM61" s="70" t="e">
        <f t="shared" si="24"/>
        <v>#REF!</v>
      </c>
      <c r="AN61" s="70" t="e">
        <f t="shared" si="24"/>
        <v>#REF!</v>
      </c>
      <c r="AO61" s="70" t="e">
        <f t="shared" si="24"/>
        <v>#REF!</v>
      </c>
      <c r="AP61" s="70"/>
      <c r="AQ61" s="70"/>
      <c r="AR61" s="70" t="e">
        <f t="shared" ref="AR61:BA61" si="25">AR28+AR30+AR32+AR33+AR35</f>
        <v>#REF!</v>
      </c>
      <c r="AS61" s="70" t="e">
        <f t="shared" si="25"/>
        <v>#REF!</v>
      </c>
      <c r="AT61" s="70" t="e">
        <f t="shared" si="25"/>
        <v>#REF!</v>
      </c>
      <c r="AU61" s="70" t="e">
        <f t="shared" si="25"/>
        <v>#REF!</v>
      </c>
      <c r="AV61" s="70" t="e">
        <f t="shared" si="25"/>
        <v>#REF!</v>
      </c>
      <c r="AW61" s="70" t="e">
        <f t="shared" si="25"/>
        <v>#REF!</v>
      </c>
      <c r="AX61" s="70" t="e">
        <f t="shared" si="25"/>
        <v>#REF!</v>
      </c>
      <c r="AY61" s="70" t="e">
        <f t="shared" si="25"/>
        <v>#REF!</v>
      </c>
      <c r="AZ61" s="70" t="e">
        <f t="shared" si="25"/>
        <v>#REF!</v>
      </c>
      <c r="BA61" s="70" t="e">
        <f t="shared" si="25"/>
        <v>#REF!</v>
      </c>
    </row>
    <row r="62" spans="27:53" hidden="1">
      <c r="AA62" s="71" t="s">
        <v>42</v>
      </c>
      <c r="AB62" s="35"/>
      <c r="AF62" s="70" t="e">
        <f t="shared" ref="AF62:AO62" si="26">AF39+AF41+AF43+AF44+AF46</f>
        <v>#REF!</v>
      </c>
      <c r="AG62" s="70" t="e">
        <f t="shared" si="26"/>
        <v>#REF!</v>
      </c>
      <c r="AH62" s="70" t="e">
        <f t="shared" si="26"/>
        <v>#REF!</v>
      </c>
      <c r="AI62" s="70" t="e">
        <f t="shared" si="26"/>
        <v>#REF!</v>
      </c>
      <c r="AJ62" s="70" t="e">
        <f t="shared" si="26"/>
        <v>#REF!</v>
      </c>
      <c r="AK62" s="70" t="e">
        <f t="shared" si="26"/>
        <v>#REF!</v>
      </c>
      <c r="AL62" s="70" t="e">
        <f t="shared" si="26"/>
        <v>#REF!</v>
      </c>
      <c r="AM62" s="70" t="e">
        <f t="shared" si="26"/>
        <v>#REF!</v>
      </c>
      <c r="AN62" s="70" t="e">
        <f t="shared" si="26"/>
        <v>#REF!</v>
      </c>
      <c r="AO62" s="70" t="e">
        <f t="shared" si="26"/>
        <v>#REF!</v>
      </c>
      <c r="AP62" s="70"/>
      <c r="AQ62" s="70"/>
      <c r="AR62" s="70" t="e">
        <f t="shared" ref="AR62:BA62" si="27">AR39+AR41+AR43+AR44+AR46</f>
        <v>#REF!</v>
      </c>
      <c r="AS62" s="70" t="e">
        <f t="shared" si="27"/>
        <v>#REF!</v>
      </c>
      <c r="AT62" s="70" t="e">
        <f t="shared" si="27"/>
        <v>#REF!</v>
      </c>
      <c r="AU62" s="70" t="e">
        <f t="shared" si="27"/>
        <v>#REF!</v>
      </c>
      <c r="AV62" s="70" t="e">
        <f t="shared" si="27"/>
        <v>#REF!</v>
      </c>
      <c r="AW62" s="70" t="e">
        <f t="shared" si="27"/>
        <v>#REF!</v>
      </c>
      <c r="AX62" s="70" t="e">
        <f t="shared" si="27"/>
        <v>#REF!</v>
      </c>
      <c r="AY62" s="70" t="e">
        <f t="shared" si="27"/>
        <v>#REF!</v>
      </c>
      <c r="AZ62" s="70" t="e">
        <f t="shared" si="27"/>
        <v>#REF!</v>
      </c>
      <c r="BA62" s="70" t="e">
        <f t="shared" si="27"/>
        <v>#REF!</v>
      </c>
    </row>
    <row r="63" spans="27:53" hidden="1">
      <c r="AA63" s="69" t="s">
        <v>47</v>
      </c>
      <c r="AB63" s="35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</row>
    <row r="64" spans="27:53" hidden="1">
      <c r="AA64" s="71" t="s">
        <v>29</v>
      </c>
      <c r="AB64" s="35"/>
      <c r="AF64" s="70" t="e">
        <f t="shared" ref="AF64:AO64" si="28">AF17+AF19+AF21+AF22+AF25</f>
        <v>#REF!</v>
      </c>
      <c r="AG64" s="70" t="e">
        <f t="shared" si="28"/>
        <v>#REF!</v>
      </c>
      <c r="AH64" s="70" t="e">
        <f t="shared" si="28"/>
        <v>#REF!</v>
      </c>
      <c r="AI64" s="70" t="e">
        <f t="shared" si="28"/>
        <v>#REF!</v>
      </c>
      <c r="AJ64" s="70" t="e">
        <f t="shared" si="28"/>
        <v>#REF!</v>
      </c>
      <c r="AK64" s="70" t="e">
        <f t="shared" si="28"/>
        <v>#REF!</v>
      </c>
      <c r="AL64" s="70" t="e">
        <f t="shared" si="28"/>
        <v>#REF!</v>
      </c>
      <c r="AM64" s="70" t="e">
        <f t="shared" si="28"/>
        <v>#REF!</v>
      </c>
      <c r="AN64" s="70" t="e">
        <f t="shared" si="28"/>
        <v>#REF!</v>
      </c>
      <c r="AO64" s="70" t="e">
        <f t="shared" si="28"/>
        <v>#REF!</v>
      </c>
      <c r="AP64" s="70"/>
      <c r="AQ64" s="70"/>
      <c r="AR64" s="70" t="e">
        <f t="shared" ref="AR64:BA64" si="29">AR17+AR19+AR21+AR22+AR25</f>
        <v>#REF!</v>
      </c>
      <c r="AS64" s="70" t="e">
        <f t="shared" si="29"/>
        <v>#REF!</v>
      </c>
      <c r="AT64" s="70" t="e">
        <f t="shared" si="29"/>
        <v>#REF!</v>
      </c>
      <c r="AU64" s="70" t="e">
        <f t="shared" si="29"/>
        <v>#REF!</v>
      </c>
      <c r="AV64" s="70" t="e">
        <f t="shared" si="29"/>
        <v>#REF!</v>
      </c>
      <c r="AW64" s="70" t="e">
        <f t="shared" si="29"/>
        <v>#REF!</v>
      </c>
      <c r="AX64" s="70" t="e">
        <f t="shared" si="29"/>
        <v>#REF!</v>
      </c>
      <c r="AY64" s="70" t="e">
        <f t="shared" si="29"/>
        <v>#REF!</v>
      </c>
      <c r="AZ64" s="70" t="e">
        <f t="shared" si="29"/>
        <v>#REF!</v>
      </c>
      <c r="BA64" s="70" t="e">
        <f t="shared" si="29"/>
        <v>#REF!</v>
      </c>
    </row>
    <row r="65" spans="27:53" hidden="1">
      <c r="AA65" s="71" t="s">
        <v>41</v>
      </c>
      <c r="AB65" s="35"/>
      <c r="AF65" s="70" t="e">
        <f t="shared" ref="AF65:AO65" si="30">AF28+AF30+AF32+AF33+AF36</f>
        <v>#REF!</v>
      </c>
      <c r="AG65" s="70" t="e">
        <f t="shared" si="30"/>
        <v>#REF!</v>
      </c>
      <c r="AH65" s="70" t="e">
        <f t="shared" si="30"/>
        <v>#REF!</v>
      </c>
      <c r="AI65" s="70" t="e">
        <f t="shared" si="30"/>
        <v>#REF!</v>
      </c>
      <c r="AJ65" s="70" t="e">
        <f t="shared" si="30"/>
        <v>#REF!</v>
      </c>
      <c r="AK65" s="70" t="e">
        <f t="shared" si="30"/>
        <v>#REF!</v>
      </c>
      <c r="AL65" s="70" t="e">
        <f t="shared" si="30"/>
        <v>#REF!</v>
      </c>
      <c r="AM65" s="70" t="e">
        <f t="shared" si="30"/>
        <v>#REF!</v>
      </c>
      <c r="AN65" s="70" t="e">
        <f t="shared" si="30"/>
        <v>#REF!</v>
      </c>
      <c r="AO65" s="70" t="e">
        <f t="shared" si="30"/>
        <v>#REF!</v>
      </c>
      <c r="AP65" s="70"/>
      <c r="AQ65" s="70"/>
      <c r="AR65" s="70" t="e">
        <f t="shared" ref="AR65:BA65" si="31">AR28+AR30+AR32+AR33+AR36</f>
        <v>#REF!</v>
      </c>
      <c r="AS65" s="70" t="e">
        <f t="shared" si="31"/>
        <v>#REF!</v>
      </c>
      <c r="AT65" s="70" t="e">
        <f t="shared" si="31"/>
        <v>#REF!</v>
      </c>
      <c r="AU65" s="70" t="e">
        <f t="shared" si="31"/>
        <v>#REF!</v>
      </c>
      <c r="AV65" s="70" t="e">
        <f t="shared" si="31"/>
        <v>#REF!</v>
      </c>
      <c r="AW65" s="70" t="e">
        <f t="shared" si="31"/>
        <v>#REF!</v>
      </c>
      <c r="AX65" s="70" t="e">
        <f t="shared" si="31"/>
        <v>#REF!</v>
      </c>
      <c r="AY65" s="70" t="e">
        <f t="shared" si="31"/>
        <v>#REF!</v>
      </c>
      <c r="AZ65" s="70" t="e">
        <f t="shared" si="31"/>
        <v>#REF!</v>
      </c>
      <c r="BA65" s="70" t="e">
        <f t="shared" si="31"/>
        <v>#REF!</v>
      </c>
    </row>
    <row r="66" spans="27:53" hidden="1">
      <c r="AA66" s="71" t="s">
        <v>42</v>
      </c>
      <c r="AB66" s="35"/>
      <c r="AF66" s="70" t="e">
        <f t="shared" ref="AF66:AO66" si="32">AF39+AF41+AF43+AF44+AF47</f>
        <v>#REF!</v>
      </c>
      <c r="AG66" s="70" t="e">
        <f t="shared" si="32"/>
        <v>#REF!</v>
      </c>
      <c r="AH66" s="70" t="e">
        <f t="shared" si="32"/>
        <v>#REF!</v>
      </c>
      <c r="AI66" s="70" t="e">
        <f t="shared" si="32"/>
        <v>#REF!</v>
      </c>
      <c r="AJ66" s="70" t="e">
        <f t="shared" si="32"/>
        <v>#REF!</v>
      </c>
      <c r="AK66" s="70" t="e">
        <f t="shared" si="32"/>
        <v>#REF!</v>
      </c>
      <c r="AL66" s="70" t="e">
        <f t="shared" si="32"/>
        <v>#REF!</v>
      </c>
      <c r="AM66" s="70" t="e">
        <f t="shared" si="32"/>
        <v>#REF!</v>
      </c>
      <c r="AN66" s="70" t="e">
        <f t="shared" si="32"/>
        <v>#REF!</v>
      </c>
      <c r="AO66" s="70" t="e">
        <f t="shared" si="32"/>
        <v>#REF!</v>
      </c>
      <c r="AP66" s="70"/>
      <c r="AQ66" s="70"/>
      <c r="AR66" s="70" t="e">
        <f t="shared" ref="AR66:BA66" si="33">AR39+AR41+AR43+AR44+AR47</f>
        <v>#REF!</v>
      </c>
      <c r="AS66" s="70" t="e">
        <f t="shared" si="33"/>
        <v>#REF!</v>
      </c>
      <c r="AT66" s="70" t="e">
        <f t="shared" si="33"/>
        <v>#REF!</v>
      </c>
      <c r="AU66" s="70" t="e">
        <f t="shared" si="33"/>
        <v>#REF!</v>
      </c>
      <c r="AV66" s="70" t="e">
        <f t="shared" si="33"/>
        <v>#REF!</v>
      </c>
      <c r="AW66" s="70" t="e">
        <f t="shared" si="33"/>
        <v>#REF!</v>
      </c>
      <c r="AX66" s="70" t="e">
        <f t="shared" si="33"/>
        <v>#REF!</v>
      </c>
      <c r="AY66" s="70" t="e">
        <f t="shared" si="33"/>
        <v>#REF!</v>
      </c>
      <c r="AZ66" s="70" t="e">
        <f t="shared" si="33"/>
        <v>#REF!</v>
      </c>
      <c r="BA66" s="70" t="e">
        <f t="shared" si="33"/>
        <v>#REF!</v>
      </c>
    </row>
    <row r="67" spans="27:53" hidden="1">
      <c r="AA67" s="69" t="s">
        <v>48</v>
      </c>
      <c r="AB67" s="35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</row>
    <row r="68" spans="27:53" hidden="1">
      <c r="AA68" s="71" t="s">
        <v>29</v>
      </c>
      <c r="AB68" s="35"/>
      <c r="AF68" s="70" t="e">
        <f t="shared" ref="AF68:AO68" si="34">AF17+AF18+AF23</f>
        <v>#REF!</v>
      </c>
      <c r="AG68" s="70" t="e">
        <f t="shared" si="34"/>
        <v>#REF!</v>
      </c>
      <c r="AH68" s="70" t="e">
        <f t="shared" si="34"/>
        <v>#REF!</v>
      </c>
      <c r="AI68" s="70" t="e">
        <f t="shared" si="34"/>
        <v>#REF!</v>
      </c>
      <c r="AJ68" s="70" t="e">
        <f t="shared" si="34"/>
        <v>#REF!</v>
      </c>
      <c r="AK68" s="70" t="e">
        <f t="shared" si="34"/>
        <v>#REF!</v>
      </c>
      <c r="AL68" s="70" t="e">
        <f t="shared" si="34"/>
        <v>#REF!</v>
      </c>
      <c r="AM68" s="70" t="e">
        <f t="shared" si="34"/>
        <v>#REF!</v>
      </c>
      <c r="AN68" s="70" t="e">
        <f t="shared" si="34"/>
        <v>#REF!</v>
      </c>
      <c r="AO68" s="70" t="e">
        <f t="shared" si="34"/>
        <v>#REF!</v>
      </c>
      <c r="AP68" s="70"/>
      <c r="AQ68" s="70"/>
      <c r="AR68" s="70" t="e">
        <f t="shared" ref="AR68:BA68" si="35">AR17+AR18+AR23</f>
        <v>#REF!</v>
      </c>
      <c r="AS68" s="70" t="e">
        <f t="shared" si="35"/>
        <v>#REF!</v>
      </c>
      <c r="AT68" s="70" t="e">
        <f t="shared" si="35"/>
        <v>#REF!</v>
      </c>
      <c r="AU68" s="70" t="e">
        <f t="shared" si="35"/>
        <v>#REF!</v>
      </c>
      <c r="AV68" s="70" t="e">
        <f t="shared" si="35"/>
        <v>#REF!</v>
      </c>
      <c r="AW68" s="70" t="e">
        <f t="shared" si="35"/>
        <v>#REF!</v>
      </c>
      <c r="AX68" s="70" t="e">
        <f t="shared" si="35"/>
        <v>#REF!</v>
      </c>
      <c r="AY68" s="70" t="e">
        <f t="shared" si="35"/>
        <v>#REF!</v>
      </c>
      <c r="AZ68" s="70" t="e">
        <f t="shared" si="35"/>
        <v>#REF!</v>
      </c>
      <c r="BA68" s="70" t="e">
        <f t="shared" si="35"/>
        <v>#REF!</v>
      </c>
    </row>
    <row r="69" spans="27:53" hidden="1">
      <c r="AA69" s="71" t="s">
        <v>41</v>
      </c>
      <c r="AB69" s="35"/>
      <c r="AF69" s="70" t="e">
        <f t="shared" ref="AF69:AO69" si="36">AF28+AF29+AF34</f>
        <v>#REF!</v>
      </c>
      <c r="AG69" s="70" t="e">
        <f t="shared" si="36"/>
        <v>#REF!</v>
      </c>
      <c r="AH69" s="70" t="e">
        <f t="shared" si="36"/>
        <v>#REF!</v>
      </c>
      <c r="AI69" s="70" t="e">
        <f t="shared" si="36"/>
        <v>#REF!</v>
      </c>
      <c r="AJ69" s="70" t="e">
        <f t="shared" si="36"/>
        <v>#REF!</v>
      </c>
      <c r="AK69" s="70" t="e">
        <f t="shared" si="36"/>
        <v>#REF!</v>
      </c>
      <c r="AL69" s="70" t="e">
        <f t="shared" si="36"/>
        <v>#REF!</v>
      </c>
      <c r="AM69" s="70" t="e">
        <f t="shared" si="36"/>
        <v>#REF!</v>
      </c>
      <c r="AN69" s="70" t="e">
        <f t="shared" si="36"/>
        <v>#REF!</v>
      </c>
      <c r="AO69" s="70" t="e">
        <f t="shared" si="36"/>
        <v>#REF!</v>
      </c>
      <c r="AP69" s="70"/>
      <c r="AQ69" s="70"/>
      <c r="AR69" s="70" t="e">
        <f t="shared" ref="AR69:BA69" si="37">AR28+AR29+AR34</f>
        <v>#REF!</v>
      </c>
      <c r="AS69" s="70" t="e">
        <f t="shared" si="37"/>
        <v>#REF!</v>
      </c>
      <c r="AT69" s="70" t="e">
        <f t="shared" si="37"/>
        <v>#REF!</v>
      </c>
      <c r="AU69" s="70" t="e">
        <f t="shared" si="37"/>
        <v>#REF!</v>
      </c>
      <c r="AV69" s="70" t="e">
        <f t="shared" si="37"/>
        <v>#REF!</v>
      </c>
      <c r="AW69" s="70" t="e">
        <f t="shared" si="37"/>
        <v>#REF!</v>
      </c>
      <c r="AX69" s="70" t="e">
        <f t="shared" si="37"/>
        <v>#REF!</v>
      </c>
      <c r="AY69" s="70" t="e">
        <f t="shared" si="37"/>
        <v>#REF!</v>
      </c>
      <c r="AZ69" s="70" t="e">
        <f t="shared" si="37"/>
        <v>#REF!</v>
      </c>
      <c r="BA69" s="70" t="e">
        <f t="shared" si="37"/>
        <v>#REF!</v>
      </c>
    </row>
    <row r="70" spans="27:53" hidden="1">
      <c r="AA70" s="71" t="s">
        <v>42</v>
      </c>
      <c r="AB70" s="35"/>
      <c r="AF70" s="70" t="e">
        <f t="shared" ref="AF70:AO70" si="38">AF39+AF40+AF45</f>
        <v>#REF!</v>
      </c>
      <c r="AG70" s="70" t="e">
        <f t="shared" si="38"/>
        <v>#REF!</v>
      </c>
      <c r="AH70" s="70" t="e">
        <f t="shared" si="38"/>
        <v>#REF!</v>
      </c>
      <c r="AI70" s="70" t="e">
        <f t="shared" si="38"/>
        <v>#REF!</v>
      </c>
      <c r="AJ70" s="70" t="e">
        <f t="shared" si="38"/>
        <v>#REF!</v>
      </c>
      <c r="AK70" s="70" t="e">
        <f t="shared" si="38"/>
        <v>#REF!</v>
      </c>
      <c r="AL70" s="70" t="e">
        <f t="shared" si="38"/>
        <v>#REF!</v>
      </c>
      <c r="AM70" s="70" t="e">
        <f t="shared" si="38"/>
        <v>#REF!</v>
      </c>
      <c r="AN70" s="70" t="e">
        <f t="shared" si="38"/>
        <v>#REF!</v>
      </c>
      <c r="AO70" s="70" t="e">
        <f t="shared" si="38"/>
        <v>#REF!</v>
      </c>
      <c r="AP70" s="70"/>
      <c r="AQ70" s="70"/>
      <c r="AR70" s="70" t="e">
        <f t="shared" ref="AR70:BA70" si="39">AR39+AR40+AR45</f>
        <v>#REF!</v>
      </c>
      <c r="AS70" s="70" t="e">
        <f t="shared" si="39"/>
        <v>#REF!</v>
      </c>
      <c r="AT70" s="70" t="e">
        <f t="shared" si="39"/>
        <v>#REF!</v>
      </c>
      <c r="AU70" s="70" t="e">
        <f t="shared" si="39"/>
        <v>#REF!</v>
      </c>
      <c r="AV70" s="70" t="e">
        <f t="shared" si="39"/>
        <v>#REF!</v>
      </c>
      <c r="AW70" s="70" t="e">
        <f t="shared" si="39"/>
        <v>#REF!</v>
      </c>
      <c r="AX70" s="70" t="e">
        <f t="shared" si="39"/>
        <v>#REF!</v>
      </c>
      <c r="AY70" s="70" t="e">
        <f t="shared" si="39"/>
        <v>#REF!</v>
      </c>
      <c r="AZ70" s="70" t="e">
        <f t="shared" si="39"/>
        <v>#REF!</v>
      </c>
      <c r="BA70" s="70" t="e">
        <f t="shared" si="39"/>
        <v>#REF!</v>
      </c>
    </row>
    <row r="71" spans="27:53" hidden="1">
      <c r="AA71" s="72" t="s">
        <v>49</v>
      </c>
      <c r="AB71" s="35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</row>
    <row r="72" spans="27:53" hidden="1">
      <c r="AA72" s="71" t="s">
        <v>29</v>
      </c>
      <c r="AB72" s="35"/>
      <c r="AF72" s="70" t="e">
        <f t="shared" ref="AF72:AO72" si="40">AF17+AF18+AF22+AF24</f>
        <v>#REF!</v>
      </c>
      <c r="AG72" s="70" t="e">
        <f t="shared" si="40"/>
        <v>#REF!</v>
      </c>
      <c r="AH72" s="70" t="e">
        <f t="shared" si="40"/>
        <v>#REF!</v>
      </c>
      <c r="AI72" s="70" t="e">
        <f t="shared" si="40"/>
        <v>#REF!</v>
      </c>
      <c r="AJ72" s="70" t="e">
        <f t="shared" si="40"/>
        <v>#REF!</v>
      </c>
      <c r="AK72" s="70" t="e">
        <f t="shared" si="40"/>
        <v>#REF!</v>
      </c>
      <c r="AL72" s="70" t="e">
        <f t="shared" si="40"/>
        <v>#REF!</v>
      </c>
      <c r="AM72" s="70" t="e">
        <f t="shared" si="40"/>
        <v>#REF!</v>
      </c>
      <c r="AN72" s="70" t="e">
        <f t="shared" si="40"/>
        <v>#REF!</v>
      </c>
      <c r="AO72" s="70" t="e">
        <f t="shared" si="40"/>
        <v>#REF!</v>
      </c>
      <c r="AP72" s="70"/>
      <c r="AQ72" s="70"/>
      <c r="AR72" s="70" t="e">
        <f t="shared" ref="AR72:BA72" si="41">AR17+AR18+AR22+AR24</f>
        <v>#REF!</v>
      </c>
      <c r="AS72" s="70" t="e">
        <f t="shared" si="41"/>
        <v>#REF!</v>
      </c>
      <c r="AT72" s="70" t="e">
        <f t="shared" si="41"/>
        <v>#REF!</v>
      </c>
      <c r="AU72" s="70" t="e">
        <f t="shared" si="41"/>
        <v>#REF!</v>
      </c>
      <c r="AV72" s="70" t="e">
        <f t="shared" si="41"/>
        <v>#REF!</v>
      </c>
      <c r="AW72" s="70" t="e">
        <f t="shared" si="41"/>
        <v>#REF!</v>
      </c>
      <c r="AX72" s="70" t="e">
        <f t="shared" si="41"/>
        <v>#REF!</v>
      </c>
      <c r="AY72" s="70" t="e">
        <f t="shared" si="41"/>
        <v>#REF!</v>
      </c>
      <c r="AZ72" s="70" t="e">
        <f t="shared" si="41"/>
        <v>#REF!</v>
      </c>
      <c r="BA72" s="70" t="e">
        <f t="shared" si="41"/>
        <v>#REF!</v>
      </c>
    </row>
    <row r="73" spans="27:53" hidden="1">
      <c r="AA73" s="71" t="s">
        <v>41</v>
      </c>
      <c r="AB73" s="35"/>
      <c r="AF73" s="70" t="e">
        <f t="shared" ref="AF73:AO73" si="42">AF28+AF29+AF33+AF35</f>
        <v>#REF!</v>
      </c>
      <c r="AG73" s="70" t="e">
        <f t="shared" si="42"/>
        <v>#REF!</v>
      </c>
      <c r="AH73" s="70" t="e">
        <f t="shared" si="42"/>
        <v>#REF!</v>
      </c>
      <c r="AI73" s="70" t="e">
        <f t="shared" si="42"/>
        <v>#REF!</v>
      </c>
      <c r="AJ73" s="70" t="e">
        <f t="shared" si="42"/>
        <v>#REF!</v>
      </c>
      <c r="AK73" s="70" t="e">
        <f t="shared" si="42"/>
        <v>#REF!</v>
      </c>
      <c r="AL73" s="70" t="e">
        <f t="shared" si="42"/>
        <v>#REF!</v>
      </c>
      <c r="AM73" s="70" t="e">
        <f t="shared" si="42"/>
        <v>#REF!</v>
      </c>
      <c r="AN73" s="70" t="e">
        <f t="shared" si="42"/>
        <v>#REF!</v>
      </c>
      <c r="AO73" s="70" t="e">
        <f t="shared" si="42"/>
        <v>#REF!</v>
      </c>
      <c r="AP73" s="70"/>
      <c r="AQ73" s="70"/>
      <c r="AR73" s="70" t="e">
        <f t="shared" ref="AR73:BA73" si="43">AR28+AR29+AR33+AR35</f>
        <v>#REF!</v>
      </c>
      <c r="AS73" s="70" t="e">
        <f t="shared" si="43"/>
        <v>#REF!</v>
      </c>
      <c r="AT73" s="70" t="e">
        <f t="shared" si="43"/>
        <v>#REF!</v>
      </c>
      <c r="AU73" s="70" t="e">
        <f t="shared" si="43"/>
        <v>#REF!</v>
      </c>
      <c r="AV73" s="70" t="e">
        <f t="shared" si="43"/>
        <v>#REF!</v>
      </c>
      <c r="AW73" s="70" t="e">
        <f t="shared" si="43"/>
        <v>#REF!</v>
      </c>
      <c r="AX73" s="70" t="e">
        <f t="shared" si="43"/>
        <v>#REF!</v>
      </c>
      <c r="AY73" s="70" t="e">
        <f t="shared" si="43"/>
        <v>#REF!</v>
      </c>
      <c r="AZ73" s="70" t="e">
        <f t="shared" si="43"/>
        <v>#REF!</v>
      </c>
      <c r="BA73" s="70" t="e">
        <f t="shared" si="43"/>
        <v>#REF!</v>
      </c>
    </row>
    <row r="74" spans="27:53" hidden="1">
      <c r="AA74" s="71" t="s">
        <v>42</v>
      </c>
      <c r="AB74" s="35"/>
      <c r="AF74" s="70" t="e">
        <f t="shared" ref="AF74:AO74" si="44">AF39+AF40+AF44+AF46</f>
        <v>#REF!</v>
      </c>
      <c r="AG74" s="70" t="e">
        <f t="shared" si="44"/>
        <v>#REF!</v>
      </c>
      <c r="AH74" s="70" t="e">
        <f t="shared" si="44"/>
        <v>#REF!</v>
      </c>
      <c r="AI74" s="70" t="e">
        <f t="shared" si="44"/>
        <v>#REF!</v>
      </c>
      <c r="AJ74" s="70" t="e">
        <f t="shared" si="44"/>
        <v>#REF!</v>
      </c>
      <c r="AK74" s="70" t="e">
        <f t="shared" si="44"/>
        <v>#REF!</v>
      </c>
      <c r="AL74" s="70" t="e">
        <f t="shared" si="44"/>
        <v>#REF!</v>
      </c>
      <c r="AM74" s="70" t="e">
        <f t="shared" si="44"/>
        <v>#REF!</v>
      </c>
      <c r="AN74" s="70" t="e">
        <f t="shared" si="44"/>
        <v>#REF!</v>
      </c>
      <c r="AO74" s="70" t="e">
        <f t="shared" si="44"/>
        <v>#REF!</v>
      </c>
      <c r="AP74" s="70"/>
      <c r="AQ74" s="70"/>
      <c r="AR74" s="70" t="e">
        <f t="shared" ref="AR74:BA74" si="45">AR39+AR40+AR44+AR46</f>
        <v>#REF!</v>
      </c>
      <c r="AS74" s="70" t="e">
        <f t="shared" si="45"/>
        <v>#REF!</v>
      </c>
      <c r="AT74" s="70" t="e">
        <f t="shared" si="45"/>
        <v>#REF!</v>
      </c>
      <c r="AU74" s="70" t="e">
        <f t="shared" si="45"/>
        <v>#REF!</v>
      </c>
      <c r="AV74" s="70" t="e">
        <f t="shared" si="45"/>
        <v>#REF!</v>
      </c>
      <c r="AW74" s="70" t="e">
        <f t="shared" si="45"/>
        <v>#REF!</v>
      </c>
      <c r="AX74" s="70" t="e">
        <f t="shared" si="45"/>
        <v>#REF!</v>
      </c>
      <c r="AY74" s="70" t="e">
        <f t="shared" si="45"/>
        <v>#REF!</v>
      </c>
      <c r="AZ74" s="70" t="e">
        <f t="shared" si="45"/>
        <v>#REF!</v>
      </c>
      <c r="BA74" s="70" t="e">
        <f t="shared" si="45"/>
        <v>#REF!</v>
      </c>
    </row>
    <row r="75" spans="27:53" hidden="1">
      <c r="AA75" s="69" t="s">
        <v>50</v>
      </c>
      <c r="AB75" s="35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</row>
    <row r="76" spans="27:53" hidden="1">
      <c r="AA76" s="71" t="s">
        <v>29</v>
      </c>
      <c r="AB76" s="35"/>
      <c r="AF76" s="70" t="e">
        <f t="shared" ref="AF76:AO76" si="46">AF17+AF18+AF22+AF25</f>
        <v>#REF!</v>
      </c>
      <c r="AG76" s="70" t="e">
        <f t="shared" si="46"/>
        <v>#REF!</v>
      </c>
      <c r="AH76" s="70" t="e">
        <f t="shared" si="46"/>
        <v>#REF!</v>
      </c>
      <c r="AI76" s="70" t="e">
        <f t="shared" si="46"/>
        <v>#REF!</v>
      </c>
      <c r="AJ76" s="70" t="e">
        <f t="shared" si="46"/>
        <v>#REF!</v>
      </c>
      <c r="AK76" s="70" t="e">
        <f t="shared" si="46"/>
        <v>#REF!</v>
      </c>
      <c r="AL76" s="70" t="e">
        <f t="shared" si="46"/>
        <v>#REF!</v>
      </c>
      <c r="AM76" s="70" t="e">
        <f t="shared" si="46"/>
        <v>#REF!</v>
      </c>
      <c r="AN76" s="70" t="e">
        <f t="shared" si="46"/>
        <v>#REF!</v>
      </c>
      <c r="AO76" s="70" t="e">
        <f t="shared" si="46"/>
        <v>#REF!</v>
      </c>
      <c r="AP76" s="70"/>
      <c r="AQ76" s="70"/>
      <c r="AR76" s="70" t="e">
        <f t="shared" ref="AR76:BA76" si="47">AR17+AR18+AR22+AR25</f>
        <v>#REF!</v>
      </c>
      <c r="AS76" s="70" t="e">
        <f t="shared" si="47"/>
        <v>#REF!</v>
      </c>
      <c r="AT76" s="70" t="e">
        <f t="shared" si="47"/>
        <v>#REF!</v>
      </c>
      <c r="AU76" s="70" t="e">
        <f t="shared" si="47"/>
        <v>#REF!</v>
      </c>
      <c r="AV76" s="70" t="e">
        <f t="shared" si="47"/>
        <v>#REF!</v>
      </c>
      <c r="AW76" s="70" t="e">
        <f t="shared" si="47"/>
        <v>#REF!</v>
      </c>
      <c r="AX76" s="70" t="e">
        <f t="shared" si="47"/>
        <v>#REF!</v>
      </c>
      <c r="AY76" s="70" t="e">
        <f t="shared" si="47"/>
        <v>#REF!</v>
      </c>
      <c r="AZ76" s="70" t="e">
        <f t="shared" si="47"/>
        <v>#REF!</v>
      </c>
      <c r="BA76" s="70" t="e">
        <f t="shared" si="47"/>
        <v>#REF!</v>
      </c>
    </row>
    <row r="77" spans="27:53" hidden="1">
      <c r="AA77" s="71" t="s">
        <v>41</v>
      </c>
      <c r="AB77" s="35"/>
      <c r="AF77" s="70" t="e">
        <f t="shared" ref="AF77:AO77" si="48">AF28+AF29+AF33+AF36</f>
        <v>#REF!</v>
      </c>
      <c r="AG77" s="70" t="e">
        <f t="shared" si="48"/>
        <v>#REF!</v>
      </c>
      <c r="AH77" s="70" t="e">
        <f t="shared" si="48"/>
        <v>#REF!</v>
      </c>
      <c r="AI77" s="70" t="e">
        <f t="shared" si="48"/>
        <v>#REF!</v>
      </c>
      <c r="AJ77" s="70" t="e">
        <f t="shared" si="48"/>
        <v>#REF!</v>
      </c>
      <c r="AK77" s="70" t="e">
        <f t="shared" si="48"/>
        <v>#REF!</v>
      </c>
      <c r="AL77" s="70" t="e">
        <f t="shared" si="48"/>
        <v>#REF!</v>
      </c>
      <c r="AM77" s="70" t="e">
        <f t="shared" si="48"/>
        <v>#REF!</v>
      </c>
      <c r="AN77" s="70" t="e">
        <f t="shared" si="48"/>
        <v>#REF!</v>
      </c>
      <c r="AO77" s="70" t="e">
        <f t="shared" si="48"/>
        <v>#REF!</v>
      </c>
      <c r="AP77" s="70"/>
      <c r="AQ77" s="70"/>
      <c r="AR77" s="70" t="e">
        <f t="shared" ref="AR77:BA77" si="49">AR28+AR29+AR33+AR36</f>
        <v>#REF!</v>
      </c>
      <c r="AS77" s="70" t="e">
        <f t="shared" si="49"/>
        <v>#REF!</v>
      </c>
      <c r="AT77" s="70" t="e">
        <f t="shared" si="49"/>
        <v>#REF!</v>
      </c>
      <c r="AU77" s="70" t="e">
        <f t="shared" si="49"/>
        <v>#REF!</v>
      </c>
      <c r="AV77" s="70" t="e">
        <f t="shared" si="49"/>
        <v>#REF!</v>
      </c>
      <c r="AW77" s="70" t="e">
        <f t="shared" si="49"/>
        <v>#REF!</v>
      </c>
      <c r="AX77" s="70" t="e">
        <f t="shared" si="49"/>
        <v>#REF!</v>
      </c>
      <c r="AY77" s="70" t="e">
        <f t="shared" si="49"/>
        <v>#REF!</v>
      </c>
      <c r="AZ77" s="70" t="e">
        <f t="shared" si="49"/>
        <v>#REF!</v>
      </c>
      <c r="BA77" s="70" t="e">
        <f t="shared" si="49"/>
        <v>#REF!</v>
      </c>
    </row>
    <row r="78" spans="27:53" hidden="1">
      <c r="AA78" s="71" t="s">
        <v>42</v>
      </c>
      <c r="AB78" s="35"/>
      <c r="AF78" s="70" t="e">
        <f t="shared" ref="AF78:AO78" si="50">AF39+AF40+AF44+AF47</f>
        <v>#REF!</v>
      </c>
      <c r="AG78" s="70" t="e">
        <f t="shared" si="50"/>
        <v>#REF!</v>
      </c>
      <c r="AH78" s="70" t="e">
        <f t="shared" si="50"/>
        <v>#REF!</v>
      </c>
      <c r="AI78" s="70" t="e">
        <f t="shared" si="50"/>
        <v>#REF!</v>
      </c>
      <c r="AJ78" s="70" t="e">
        <f t="shared" si="50"/>
        <v>#REF!</v>
      </c>
      <c r="AK78" s="70" t="e">
        <f t="shared" si="50"/>
        <v>#REF!</v>
      </c>
      <c r="AL78" s="70" t="e">
        <f t="shared" si="50"/>
        <v>#REF!</v>
      </c>
      <c r="AM78" s="70" t="e">
        <f t="shared" si="50"/>
        <v>#REF!</v>
      </c>
      <c r="AN78" s="70" t="e">
        <f t="shared" si="50"/>
        <v>#REF!</v>
      </c>
      <c r="AO78" s="70" t="e">
        <f t="shared" si="50"/>
        <v>#REF!</v>
      </c>
      <c r="AP78" s="70"/>
      <c r="AQ78" s="70"/>
      <c r="AR78" s="70" t="e">
        <f t="shared" ref="AR78:BA78" si="51">AR39+AR40+AR44+AR47</f>
        <v>#REF!</v>
      </c>
      <c r="AS78" s="70" t="e">
        <f t="shared" si="51"/>
        <v>#REF!</v>
      </c>
      <c r="AT78" s="70" t="e">
        <f t="shared" si="51"/>
        <v>#REF!</v>
      </c>
      <c r="AU78" s="70" t="e">
        <f t="shared" si="51"/>
        <v>#REF!</v>
      </c>
      <c r="AV78" s="70" t="e">
        <f t="shared" si="51"/>
        <v>#REF!</v>
      </c>
      <c r="AW78" s="70" t="e">
        <f t="shared" si="51"/>
        <v>#REF!</v>
      </c>
      <c r="AX78" s="70" t="e">
        <f t="shared" si="51"/>
        <v>#REF!</v>
      </c>
      <c r="AY78" s="70" t="e">
        <f t="shared" si="51"/>
        <v>#REF!</v>
      </c>
      <c r="AZ78" s="70" t="e">
        <f t="shared" si="51"/>
        <v>#REF!</v>
      </c>
      <c r="BA78" s="70" t="e">
        <f t="shared" si="51"/>
        <v>#REF!</v>
      </c>
    </row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7" spans="1:52" hidden="1"/>
    <row r="89" spans="1:52">
      <c r="A89" s="598" t="s">
        <v>108</v>
      </c>
      <c r="B89" s="598" t="s">
        <v>52</v>
      </c>
      <c r="C89" s="39" t="s">
        <v>101</v>
      </c>
      <c r="D89" s="39" t="s">
        <v>53</v>
      </c>
      <c r="E89" s="39" t="s">
        <v>54</v>
      </c>
      <c r="F89" s="587" t="s">
        <v>64</v>
      </c>
      <c r="G89" s="600"/>
      <c r="H89" s="600"/>
      <c r="I89" s="600"/>
      <c r="J89" s="600"/>
      <c r="K89" s="600"/>
      <c r="L89" s="600"/>
      <c r="M89" s="600"/>
      <c r="N89" s="600"/>
      <c r="O89" s="600"/>
      <c r="P89" s="590"/>
      <c r="AN89" s="38"/>
      <c r="AZ89" s="36"/>
    </row>
    <row r="90" spans="1:52" ht="63.75">
      <c r="A90" s="599"/>
      <c r="B90" s="599"/>
      <c r="C90" s="41" t="s">
        <v>66</v>
      </c>
      <c r="D90" s="41" t="s">
        <v>67</v>
      </c>
      <c r="E90" s="41" t="s">
        <v>68</v>
      </c>
      <c r="F90" s="545" t="s">
        <v>55</v>
      </c>
      <c r="G90" s="545" t="s">
        <v>73</v>
      </c>
      <c r="H90" s="545" t="s">
        <v>74</v>
      </c>
      <c r="I90" s="545" t="s">
        <v>58</v>
      </c>
      <c r="J90" s="545" t="s">
        <v>59</v>
      </c>
      <c r="K90" s="545" t="s">
        <v>60</v>
      </c>
      <c r="L90" s="544" t="s">
        <v>75</v>
      </c>
      <c r="M90" s="544" t="s">
        <v>76</v>
      </c>
      <c r="N90" s="544" t="s">
        <v>61</v>
      </c>
      <c r="O90" s="544" t="s">
        <v>62</v>
      </c>
      <c r="P90" s="544" t="s">
        <v>63</v>
      </c>
      <c r="AN90" s="38"/>
      <c r="AZ90" s="36"/>
    </row>
    <row r="91" spans="1:52" ht="25.5">
      <c r="A91" s="44" t="str">
        <f t="shared" ref="A91:C94" si="52">A4</f>
        <v>General Construction</v>
      </c>
      <c r="B91" s="45" t="str">
        <f t="shared" si="52"/>
        <v>Light-Duty Truck, catalyst</v>
      </c>
      <c r="C91" s="46">
        <f t="shared" si="52"/>
        <v>3</v>
      </c>
      <c r="D91" s="46">
        <v>35</v>
      </c>
      <c r="E91" s="46">
        <v>80</v>
      </c>
      <c r="F91" s="50">
        <f>C4*($E4*$F4+($G4))/453.59</f>
        <v>1.4571581576427601</v>
      </c>
      <c r="G91" s="50">
        <f>C4*($E4*$H4+($I4))/453.59</f>
        <v>0.13101197188313402</v>
      </c>
      <c r="H91" s="50">
        <f>C4*(($E4*$J4)+($K4)+($L4)+($E4*$N4)+(($M4+$O4)))/453.59</f>
        <v>0.15149994097185998</v>
      </c>
      <c r="I91" s="50">
        <f>C4*($E4*$P4+($Q4))/453.59</f>
        <v>2.1803910814818476E-3</v>
      </c>
      <c r="J91" s="50">
        <f>C4*(($E4*($R4+$T4+$U4))+($S4))/453.59</f>
        <v>2.5572271365623688E-2</v>
      </c>
      <c r="K91" s="50">
        <f>$C4*(($E4*($V4+$X4+$Y4))+($W4))/453.59</f>
        <v>1.1136015972759426E-2</v>
      </c>
      <c r="L91" s="50">
        <f>$B$24*C4*(E4+6)</f>
        <v>2.5315747758215698E-2</v>
      </c>
      <c r="M91" s="50">
        <f t="shared" ref="M91:M94" si="53">0.41*L91</f>
        <v>1.0379456580868435E-2</v>
      </c>
      <c r="N91" s="50">
        <f>C4*($E4*$Z4+($AA4))/453.59</f>
        <v>166.27073017811671</v>
      </c>
      <c r="O91" s="50">
        <f>C4*($E4*$AB4+($AC4))/453.59</f>
        <v>9.5114261670907474E-3</v>
      </c>
      <c r="P91" s="50">
        <f>C4*($E4*$AD4+($AE4))/453.59</f>
        <v>1.7313359741530081E-2</v>
      </c>
      <c r="AN91" s="38"/>
      <c r="AZ91" s="36"/>
    </row>
    <row r="92" spans="1:52" ht="25.5">
      <c r="A92" s="44" t="str">
        <f t="shared" si="52"/>
        <v>Substation General Construction</v>
      </c>
      <c r="B92" s="45" t="str">
        <f t="shared" si="52"/>
        <v>Light-Duty Truck, catalyst</v>
      </c>
      <c r="C92" s="46">
        <f t="shared" si="52"/>
        <v>3</v>
      </c>
      <c r="D92" s="46">
        <v>35</v>
      </c>
      <c r="E92" s="46">
        <v>80</v>
      </c>
      <c r="F92" s="50">
        <f>C5*($E5*$F5+($G5))/453.59</f>
        <v>1.4571581576427601</v>
      </c>
      <c r="G92" s="50">
        <f>C5*($E5*$H5+($I5))/453.59</f>
        <v>0.13101197188313402</v>
      </c>
      <c r="H92" s="50">
        <f>C5*(($E5*$J5)+($K5)+($L5)+($E5*$N5)+(($M5+$O5)))/453.59</f>
        <v>0.15149994097185998</v>
      </c>
      <c r="I92" s="50">
        <f>C5*($E5*$P5+($Q5))/453.59</f>
        <v>2.1803910814818476E-3</v>
      </c>
      <c r="J92" s="50">
        <f>C5*(($E5*($R5+$T5+$U5))+($S5))/453.59</f>
        <v>2.5572271365623688E-2</v>
      </c>
      <c r="K92" s="50">
        <f>$C5*(($E5*($V5+$X5+$Y5))+($W5))/453.59</f>
        <v>1.1136015972759426E-2</v>
      </c>
      <c r="L92" s="50">
        <f>$B$24*C5*(E5+6)</f>
        <v>2.5315747758215698E-2</v>
      </c>
      <c r="M92" s="50">
        <f t="shared" si="53"/>
        <v>1.0379456580868435E-2</v>
      </c>
      <c r="N92" s="50">
        <f>C5*($E5*$Z5+($AA5))/453.59</f>
        <v>166.27073017811671</v>
      </c>
      <c r="O92" s="50">
        <f>C5*($E5*$AB5+($AC5))/453.59</f>
        <v>9.5114261670907474E-3</v>
      </c>
      <c r="P92" s="50">
        <f>C5*($E5*$AD5+($AE5))/453.59</f>
        <v>1.7313359741530081E-2</v>
      </c>
      <c r="AN92" s="38"/>
      <c r="AZ92" s="36"/>
    </row>
    <row r="93" spans="1:52" ht="25.5">
      <c r="A93" s="44" t="str">
        <f t="shared" si="52"/>
        <v>Site and Access Road Grading</v>
      </c>
      <c r="B93" s="45" t="str">
        <f t="shared" si="52"/>
        <v>Light-Duty Truck, catalyst</v>
      </c>
      <c r="C93" s="46">
        <f t="shared" si="52"/>
        <v>19</v>
      </c>
      <c r="D93" s="46">
        <v>35</v>
      </c>
      <c r="E93" s="46">
        <v>80</v>
      </c>
      <c r="F93" s="50">
        <f>C6*($E6*$F6+($G6))/453.59</f>
        <v>9.2286683317374809</v>
      </c>
      <c r="G93" s="50">
        <f>C6*($E6*$H6+($I6))/453.59</f>
        <v>0.82974248859318211</v>
      </c>
      <c r="H93" s="50">
        <f>C6*(($E6*$J6)+($K6)+($L6)+($E6*$N6)+(($M6+$O6)))/453.59</f>
        <v>0.95949962615511319</v>
      </c>
      <c r="I93" s="50">
        <f>C6*($E6*$P6+($Q6))/453.59</f>
        <v>1.3809143516051703E-2</v>
      </c>
      <c r="J93" s="50">
        <f>C6*(($E6*($R6+$T6+$U6))+($S6))/453.59</f>
        <v>0.16195771864895006</v>
      </c>
      <c r="K93" s="50">
        <f>$C6*(($E6*($V6+$X6+$Y6))+($W6))/453.59</f>
        <v>7.0528101160809695E-2</v>
      </c>
      <c r="L93" s="50">
        <f>$B$24*C6*(E6+6)</f>
        <v>0.16033306913536607</v>
      </c>
      <c r="M93" s="50">
        <f t="shared" si="53"/>
        <v>6.5736558345500087E-2</v>
      </c>
      <c r="N93" s="50">
        <f>C6*($E6*$Z6+($AA6))/453.59</f>
        <v>1053.047957794739</v>
      </c>
      <c r="O93" s="50">
        <f>C6*($E6*$AB6+($AC6))/453.59</f>
        <v>6.0239032391574736E-2</v>
      </c>
      <c r="P93" s="50">
        <f>C6*($E6*$AD6+($AE6))/453.59</f>
        <v>0.10965127836302384</v>
      </c>
      <c r="AN93" s="38"/>
      <c r="AZ93" s="36"/>
    </row>
    <row r="94" spans="1:52" ht="25.5">
      <c r="A94" s="44" t="str">
        <f t="shared" si="52"/>
        <v>Storm Drain and Erosion Control</v>
      </c>
      <c r="B94" s="45" t="str">
        <f t="shared" si="52"/>
        <v>Light-Duty Truck, catalyst</v>
      </c>
      <c r="C94" s="46">
        <f t="shared" si="52"/>
        <v>14</v>
      </c>
      <c r="D94" s="46">
        <v>35</v>
      </c>
      <c r="E94" s="46">
        <v>80</v>
      </c>
      <c r="F94" s="50">
        <f>C7*($E7*$F7+($G7))/453.59</f>
        <v>6.8000714023328808</v>
      </c>
      <c r="G94" s="50">
        <f>C7*($E7*$H7+($I7))/453.59</f>
        <v>0.61138920212129211</v>
      </c>
      <c r="H94" s="50">
        <f>C7*(($E7*$J7)+($K7)+($L7)+($E7*$N7)+(($M7+$O7)))/453.59</f>
        <v>0.70699972453534654</v>
      </c>
      <c r="I94" s="50">
        <f>C7*($E7*$P7+($Q7))/453.59</f>
        <v>1.0175158380248623E-2</v>
      </c>
      <c r="J94" s="50">
        <f>C7*(($E7*($R7+$T7+$U7))+($S7))/453.59</f>
        <v>0.11933726637291055</v>
      </c>
      <c r="K94" s="50">
        <f>$C7*(($E7*($V7+$X7+$Y7))+($W7))/453.59</f>
        <v>5.1968074539543989E-2</v>
      </c>
      <c r="L94" s="50">
        <f>$B$24*C7*(E7+6)</f>
        <v>0.11814015620500659</v>
      </c>
      <c r="M94" s="50">
        <f t="shared" si="53"/>
        <v>4.8437464044052699E-2</v>
      </c>
      <c r="N94" s="50">
        <f>C7*($E7*$Z7+($AA7))/453.59</f>
        <v>775.93007416454452</v>
      </c>
      <c r="O94" s="50">
        <f>C7*($E7*$AB7+($AC7))/453.59</f>
        <v>4.4386655446423486E-2</v>
      </c>
      <c r="P94" s="50">
        <f>C7*($E7*$AD7+($AE7))/453.59</f>
        <v>8.0795678793807044E-2</v>
      </c>
      <c r="AN94" s="38"/>
      <c r="AZ94" s="36"/>
    </row>
    <row r="95" spans="1:52">
      <c r="A95" s="61" t="s">
        <v>389</v>
      </c>
      <c r="B95" s="40"/>
      <c r="C95" s="40"/>
      <c r="D95" s="40"/>
      <c r="E95" s="40"/>
      <c r="F95" s="81">
        <f t="shared" ref="F95:P95" si="54">SUM(F91:F94)</f>
        <v>18.943056049355881</v>
      </c>
      <c r="G95" s="81">
        <f t="shared" si="54"/>
        <v>1.7031556344807424</v>
      </c>
      <c r="H95" s="81">
        <f t="shared" si="54"/>
        <v>1.9694992326341798</v>
      </c>
      <c r="I95" s="81">
        <f t="shared" si="54"/>
        <v>2.8345084059264017E-2</v>
      </c>
      <c r="J95" s="81">
        <f t="shared" si="54"/>
        <v>0.33243952775310798</v>
      </c>
      <c r="K95" s="81">
        <f t="shared" si="54"/>
        <v>0.14476820764587253</v>
      </c>
      <c r="L95" s="81">
        <f t="shared" si="54"/>
        <v>0.32910472085680409</v>
      </c>
      <c r="M95" s="81">
        <f t="shared" si="54"/>
        <v>0.13493293555128966</v>
      </c>
      <c r="N95" s="81">
        <f t="shared" si="54"/>
        <v>2161.5194923155168</v>
      </c>
      <c r="O95" s="81">
        <f t="shared" si="54"/>
        <v>0.12364854017217972</v>
      </c>
      <c r="P95" s="81">
        <f t="shared" si="54"/>
        <v>0.22507367663989103</v>
      </c>
      <c r="AN95" s="38"/>
      <c r="AZ95" s="36"/>
    </row>
  </sheetData>
  <mergeCells count="16">
    <mergeCell ref="AR14:BA14"/>
    <mergeCell ref="A89:A90"/>
    <mergeCell ref="B89:B90"/>
    <mergeCell ref="F89:P89"/>
    <mergeCell ref="R2:U2"/>
    <mergeCell ref="V2:Y2"/>
    <mergeCell ref="Z2:AA2"/>
    <mergeCell ref="AB2:AC2"/>
    <mergeCell ref="AD2:AE2"/>
    <mergeCell ref="AF14:AO14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31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564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314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8</v>
      </c>
      <c r="P8" s="88">
        <v>125</v>
      </c>
      <c r="Q8" s="34">
        <f t="shared" ref="Q8:Y10" si="2">(E8*$N8*$O8)</f>
        <v>0.49946184642775621</v>
      </c>
      <c r="R8" s="26">
        <f t="shared" si="2"/>
        <v>2.4431746031746027</v>
      </c>
      <c r="S8" s="26">
        <f t="shared" si="2"/>
        <v>3.1176888888888881</v>
      </c>
      <c r="T8" s="26">
        <f t="shared" si="2"/>
        <v>4.4060015200662857E-3</v>
      </c>
      <c r="U8" s="26">
        <f t="shared" si="2"/>
        <v>0.19809523809523807</v>
      </c>
      <c r="V8" s="26">
        <f t="shared" si="2"/>
        <v>0.17630476190476188</v>
      </c>
      <c r="W8" s="26">
        <f t="shared" si="2"/>
        <v>375.60183859341714</v>
      </c>
      <c r="X8" s="26">
        <f t="shared" si="2"/>
        <v>5.4697471816927752E-2</v>
      </c>
      <c r="Y8" s="26">
        <f t="shared" si="2"/>
        <v>0.29618044444444436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9</v>
      </c>
      <c r="P9" s="363">
        <v>125</v>
      </c>
      <c r="Q9" s="34">
        <f t="shared" si="2"/>
        <v>1.0612998664693185</v>
      </c>
      <c r="R9" s="26">
        <f t="shared" si="2"/>
        <v>3.2860974016937274</v>
      </c>
      <c r="S9" s="26">
        <f t="shared" si="2"/>
        <v>7.8103317854039886</v>
      </c>
      <c r="T9" s="26">
        <f t="shared" si="2"/>
        <v>1.6865295748293957E-2</v>
      </c>
      <c r="U9" s="26">
        <f t="shared" si="2"/>
        <v>0.26137541066030878</v>
      </c>
      <c r="V9" s="26">
        <f t="shared" si="2"/>
        <v>0.23262411548767484</v>
      </c>
      <c r="W9" s="26">
        <f t="shared" si="2"/>
        <v>1498.908740620727</v>
      </c>
      <c r="X9" s="26">
        <f t="shared" si="2"/>
        <v>9.5759396799267066E-2</v>
      </c>
      <c r="Y9" s="26">
        <f t="shared" si="2"/>
        <v>0.74198151961337888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3</v>
      </c>
      <c r="P10" s="363">
        <v>125</v>
      </c>
      <c r="Q10" s="34">
        <f t="shared" si="2"/>
        <v>3.9051121312432671E-2</v>
      </c>
      <c r="R10" s="26">
        <f t="shared" si="2"/>
        <v>0.1468253968253968</v>
      </c>
      <c r="S10" s="26">
        <f t="shared" si="2"/>
        <v>0.13018518518518515</v>
      </c>
      <c r="T10" s="26">
        <f t="shared" si="2"/>
        <v>4.7652059865273245E-4</v>
      </c>
      <c r="U10" s="26">
        <f t="shared" si="2"/>
        <v>1.4682539682539681E-2</v>
      </c>
      <c r="V10" s="26">
        <f t="shared" si="2"/>
        <v>1.3067460317460314E-2</v>
      </c>
      <c r="W10" s="26">
        <f t="shared" si="2"/>
        <v>30.622980859093083</v>
      </c>
      <c r="X10" s="26">
        <f t="shared" si="2"/>
        <v>3.8388136396804665E-3</v>
      </c>
      <c r="Y10" s="26">
        <f t="shared" si="2"/>
        <v>1.236759259259259E-2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1.5998128342095075</v>
      </c>
      <c r="R11" s="101">
        <f t="shared" ref="R11:Y11" si="3">SUM(R8:R10)</f>
        <v>5.8760974016937269</v>
      </c>
      <c r="S11" s="101">
        <f t="shared" si="3"/>
        <v>11.058205859478063</v>
      </c>
      <c r="T11" s="101">
        <f t="shared" si="3"/>
        <v>2.1747817867012974E-2</v>
      </c>
      <c r="U11" s="101">
        <f t="shared" si="3"/>
        <v>0.47415318843808657</v>
      </c>
      <c r="V11" s="101">
        <f t="shared" si="3"/>
        <v>0.42199633770989703</v>
      </c>
      <c r="W11" s="101">
        <f t="shared" si="3"/>
        <v>1905.1335600732373</v>
      </c>
      <c r="X11" s="101">
        <f t="shared" si="3"/>
        <v>0.15429568225587528</v>
      </c>
      <c r="Y11" s="101">
        <f t="shared" si="3"/>
        <v>1.0505295566504158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87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7" t="s">
        <v>315</v>
      </c>
      <c r="B13" s="579"/>
      <c r="C13" s="18"/>
      <c r="D13" s="18"/>
      <c r="E13" s="19"/>
      <c r="F13" s="19"/>
      <c r="G13" s="19"/>
      <c r="H13" s="19"/>
      <c r="I13" s="19"/>
      <c r="J13" s="19"/>
      <c r="K13" s="19"/>
      <c r="L13" s="19"/>
      <c r="M13" s="19"/>
      <c r="N13" s="30"/>
      <c r="O13" s="30"/>
      <c r="P13" s="30"/>
      <c r="Q13" s="20"/>
      <c r="R13" s="20"/>
      <c r="S13" s="20"/>
      <c r="T13" s="20"/>
      <c r="U13" s="20"/>
      <c r="V13" s="20"/>
      <c r="W13" s="21"/>
      <c r="X13" s="20"/>
      <c r="Y13" s="20"/>
    </row>
    <row r="14" spans="1:25" s="3" customFormat="1">
      <c r="A14" s="24" t="s">
        <v>119</v>
      </c>
      <c r="B14" s="90" t="s">
        <v>27</v>
      </c>
      <c r="C14" s="22">
        <v>78</v>
      </c>
      <c r="D14" s="22">
        <f>VLOOKUP(A14,'Offroad Tiers LF'!$B$6:$C$40,2,FALSE)</f>
        <v>0.48</v>
      </c>
      <c r="E14" s="102">
        <v>6.2432730803469526E-2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0.30539682539682533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0.38971111111111101</v>
      </c>
      <c r="H14" s="102">
        <v>5.5075019000828571E-4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2.4761904761904759E-2</v>
      </c>
      <c r="J14" s="100">
        <f t="shared" ref="J14:J16" si="4">0.89*I14</f>
        <v>2.2038095238095235E-2</v>
      </c>
      <c r="K14" s="103">
        <v>46.950229824177143</v>
      </c>
      <c r="L14" s="102">
        <v>6.837183977115969E-3</v>
      </c>
      <c r="M14" s="104">
        <f t="shared" ref="M14:M16" si="5">0.095*G14</f>
        <v>3.7022555555555545E-2</v>
      </c>
      <c r="N14" s="98">
        <v>1</v>
      </c>
      <c r="O14" s="98">
        <v>6</v>
      </c>
      <c r="P14" s="88">
        <v>125</v>
      </c>
      <c r="Q14" s="34">
        <f t="shared" ref="Q14:Y16" si="6">(E14*$N14*$O14)</f>
        <v>0.37459638482081714</v>
      </c>
      <c r="R14" s="26">
        <f t="shared" si="6"/>
        <v>1.832380952380952</v>
      </c>
      <c r="S14" s="26">
        <f t="shared" si="6"/>
        <v>2.3382666666666658</v>
      </c>
      <c r="T14" s="26">
        <f t="shared" si="6"/>
        <v>3.3045011400497145E-3</v>
      </c>
      <c r="U14" s="26">
        <f t="shared" si="6"/>
        <v>0.14857142857142855</v>
      </c>
      <c r="V14" s="26">
        <f t="shared" si="6"/>
        <v>0.13222857142857142</v>
      </c>
      <c r="W14" s="26">
        <f t="shared" si="6"/>
        <v>281.70137894506286</v>
      </c>
      <c r="X14" s="26">
        <f t="shared" si="6"/>
        <v>4.1023103862695816E-2</v>
      </c>
      <c r="Y14" s="26">
        <f t="shared" si="6"/>
        <v>0.22213533333333327</v>
      </c>
    </row>
    <row r="15" spans="1:25" s="3" customFormat="1">
      <c r="A15" s="24" t="s">
        <v>305</v>
      </c>
      <c r="B15" s="29" t="s">
        <v>27</v>
      </c>
      <c r="C15" s="22">
        <v>175</v>
      </c>
      <c r="D15" s="22"/>
      <c r="E15" s="102">
        <v>0.11792220738547983</v>
      </c>
      <c r="F15" s="102">
        <v>0.36512193352152528</v>
      </c>
      <c r="G15" s="102">
        <v>0.86781464282266541</v>
      </c>
      <c r="H15" s="102">
        <v>1.8739217498104396E-3</v>
      </c>
      <c r="I15" s="102">
        <v>2.9041712295589866E-2</v>
      </c>
      <c r="J15" s="100">
        <f t="shared" si="4"/>
        <v>2.5847123943074982E-2</v>
      </c>
      <c r="K15" s="103">
        <v>166.54541562452522</v>
      </c>
      <c r="L15" s="102">
        <v>1.063993297769634E-2</v>
      </c>
      <c r="M15" s="104">
        <f t="shared" si="5"/>
        <v>8.2442391068153209E-2</v>
      </c>
      <c r="N15" s="98">
        <v>1</v>
      </c>
      <c r="O15" s="87">
        <v>2</v>
      </c>
      <c r="P15" s="363">
        <v>125</v>
      </c>
      <c r="Q15" s="34">
        <f t="shared" si="6"/>
        <v>0.23584441477095966</v>
      </c>
      <c r="R15" s="26">
        <f t="shared" si="6"/>
        <v>0.73024386704305055</v>
      </c>
      <c r="S15" s="26">
        <f t="shared" si="6"/>
        <v>1.7356292856453308</v>
      </c>
      <c r="T15" s="26">
        <f t="shared" si="6"/>
        <v>3.7478434996208792E-3</v>
      </c>
      <c r="U15" s="26">
        <f t="shared" si="6"/>
        <v>5.8083424591179732E-2</v>
      </c>
      <c r="V15" s="26">
        <f t="shared" si="6"/>
        <v>5.1694247886149965E-2</v>
      </c>
      <c r="W15" s="26">
        <f t="shared" si="6"/>
        <v>333.09083124905044</v>
      </c>
      <c r="X15" s="26">
        <f t="shared" si="6"/>
        <v>2.127986595539268E-2</v>
      </c>
      <c r="Y15" s="26">
        <f t="shared" si="6"/>
        <v>0.16488478213630642</v>
      </c>
    </row>
    <row r="16" spans="1:25" s="3" customFormat="1">
      <c r="A16" s="24" t="s">
        <v>368</v>
      </c>
      <c r="B16" s="29" t="s">
        <v>27</v>
      </c>
      <c r="C16" s="22">
        <v>5</v>
      </c>
      <c r="D16" s="22">
        <v>0.74</v>
      </c>
      <c r="E16" s="102">
        <v>1.3017040437477556E-2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4.8941798941798939E-2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4.3395061728395051E-2</v>
      </c>
      <c r="H16" s="102">
        <v>1.5884019955091081E-4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4.8941798941798936E-3</v>
      </c>
      <c r="J16" s="100">
        <f t="shared" si="4"/>
        <v>4.3558201058201051E-3</v>
      </c>
      <c r="K16" s="103">
        <v>10.20766028636436</v>
      </c>
      <c r="L16" s="102">
        <v>1.2796045465601556E-3</v>
      </c>
      <c r="M16" s="104">
        <f t="shared" si="5"/>
        <v>4.1225308641975296E-3</v>
      </c>
      <c r="N16" s="98">
        <v>1</v>
      </c>
      <c r="O16" s="87">
        <v>8</v>
      </c>
      <c r="P16" s="363">
        <v>125</v>
      </c>
      <c r="Q16" s="34">
        <f t="shared" si="6"/>
        <v>0.10413632349982045</v>
      </c>
      <c r="R16" s="26">
        <f t="shared" si="6"/>
        <v>0.39153439153439151</v>
      </c>
      <c r="S16" s="26">
        <f t="shared" si="6"/>
        <v>0.34716049382716041</v>
      </c>
      <c r="T16" s="26">
        <f t="shared" si="6"/>
        <v>1.2707215964072865E-3</v>
      </c>
      <c r="U16" s="26">
        <f t="shared" si="6"/>
        <v>3.9153439153439148E-2</v>
      </c>
      <c r="V16" s="26">
        <f t="shared" si="6"/>
        <v>3.4846560846560841E-2</v>
      </c>
      <c r="W16" s="26">
        <f t="shared" si="6"/>
        <v>81.661282290914883</v>
      </c>
      <c r="X16" s="26">
        <f t="shared" si="6"/>
        <v>1.0236836372481245E-2</v>
      </c>
      <c r="Y16" s="26">
        <f t="shared" si="6"/>
        <v>3.2980246913580237E-2</v>
      </c>
    </row>
    <row r="17" spans="1:25" s="3" customFormat="1">
      <c r="A17" s="17" t="s">
        <v>28</v>
      </c>
      <c r="B17" s="29"/>
      <c r="C17" s="22"/>
      <c r="D17" s="22"/>
      <c r="E17" s="108"/>
      <c r="F17" s="108"/>
      <c r="G17" s="108"/>
      <c r="H17" s="108"/>
      <c r="I17" s="108"/>
      <c r="J17" s="100"/>
      <c r="K17" s="365"/>
      <c r="L17" s="110"/>
      <c r="M17" s="102"/>
      <c r="N17" s="98"/>
      <c r="O17" s="87"/>
      <c r="P17" s="363"/>
      <c r="Q17" s="101">
        <f>SUM(Q14:Q16)</f>
        <v>0.71457712309159727</v>
      </c>
      <c r="R17" s="101">
        <f t="shared" ref="R17:Y17" si="7">SUM(R14:R16)</f>
        <v>2.9541592109583941</v>
      </c>
      <c r="S17" s="101">
        <f t="shared" si="7"/>
        <v>4.4210564461391568</v>
      </c>
      <c r="T17" s="101">
        <f t="shared" si="7"/>
        <v>8.32306623607788E-3</v>
      </c>
      <c r="U17" s="101">
        <f t="shared" si="7"/>
        <v>0.24580829231604745</v>
      </c>
      <c r="V17" s="101">
        <f t="shared" si="7"/>
        <v>0.21876938016128222</v>
      </c>
      <c r="W17" s="101">
        <f t="shared" si="7"/>
        <v>696.45349248502816</v>
      </c>
      <c r="X17" s="101">
        <f t="shared" si="7"/>
        <v>7.2539806190569739E-2</v>
      </c>
      <c r="Y17" s="101">
        <f t="shared" si="7"/>
        <v>0.42000036238321992</v>
      </c>
    </row>
    <row r="18" spans="1:25" s="3" customFormat="1">
      <c r="A18" s="24"/>
      <c r="B18" s="29"/>
      <c r="C18" s="22"/>
      <c r="D18" s="22"/>
      <c r="E18" s="108"/>
      <c r="F18" s="108"/>
      <c r="G18" s="108"/>
      <c r="H18" s="108"/>
      <c r="I18" s="108"/>
      <c r="J18" s="100"/>
      <c r="K18" s="365"/>
      <c r="L18" s="110"/>
      <c r="M18" s="102"/>
      <c r="N18" s="98"/>
      <c r="O18" s="98"/>
      <c r="P18" s="363"/>
      <c r="Q18" s="34"/>
      <c r="R18" s="26"/>
      <c r="S18" s="26"/>
      <c r="T18" s="26"/>
      <c r="U18" s="26"/>
      <c r="V18" s="26"/>
      <c r="W18" s="26"/>
      <c r="X18" s="26"/>
      <c r="Y18" s="26"/>
    </row>
    <row r="19" spans="1:25" s="3" customFormat="1">
      <c r="A19" s="17" t="s">
        <v>281</v>
      </c>
      <c r="B19" s="90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30"/>
      <c r="O19" s="30"/>
      <c r="P19" s="30"/>
      <c r="Q19" s="20"/>
      <c r="R19" s="20"/>
      <c r="S19" s="27"/>
      <c r="T19" s="20"/>
      <c r="U19" s="20"/>
      <c r="V19" s="20"/>
      <c r="W19" s="21"/>
      <c r="X19" s="20"/>
      <c r="Y19" s="20"/>
    </row>
    <row r="20" spans="1:25" s="3" customFormat="1">
      <c r="A20" s="100" t="s">
        <v>121</v>
      </c>
      <c r="B20" s="29" t="s">
        <v>27</v>
      </c>
      <c r="C20" s="22">
        <v>162</v>
      </c>
      <c r="D20" s="22">
        <v>0.41</v>
      </c>
      <c r="E20" s="108">
        <v>0.12153885438656534</v>
      </c>
      <c r="F20" s="397">
        <f>IF($C20&lt;11,'Offroad Tiers EF (2)'!$AN$4*$C20*$D20,IF($C20&lt;25,'Offroad Tiers EF (2)'!$AN$5*$C20*$D20,IF($C20&lt;50,'Offroad Tiers EF (2)'!$AN$6*$C20*$D20,IF($C20&lt;75,'Offroad Tiers EF (2)'!$AN$7*$C20*$D20,IF($C20&lt;100,'Offroad Tiers EF (2)'!$AN$8*$C20*$D20,IF($C20&lt;175,'Offroad Tiers EF (2)'!$AN$9*$C20*$D20,IF($C20&lt;300,'Offroad Tiers EF (2)'!$AN$10*$C20*$D20,IF($C20&lt;600,'Offroad Tiers EF (2)'!$AN$11*$C20*$D20,"!"))))))))</f>
        <v>0.5417857142857142</v>
      </c>
      <c r="G20" s="397">
        <f>IF($C20&lt;11,'Offroad Tiers EF (2)'!$AM$4*$C20*$D20,IF($C20&lt;25,'Offroad Tiers EF (2)'!$AM$5*$C20*$D20,IF($C20&lt;50,'Offroad Tiers EF (2)'!$AM$6*$C20*$D20,IF($C20&lt;75,'Offroad Tiers EF (2)'!$AM$7*$C20*$D20,IF($C20&lt;100,'Offroad Tiers EF (2)'!$AM$8*$C20*$D20,IF($C20&lt;175,'Offroad Tiers EF (2)'!$AM$9*$C20*$D20,IF($C20&lt;300,'Offroad Tiers EF (2)'!$AM$10*$C20*$D20,IF($C20&lt;600,'Offroad Tiers EF (2)'!$AM$11*$C20*$D20,"!"))))))))</f>
        <v>0.60233392857142853</v>
      </c>
      <c r="H20" s="108">
        <v>1.3943296443626662E-3</v>
      </c>
      <c r="I20" s="397">
        <f>IF($C20&lt;11,'Offroad Tiers EF (2)'!$AO$4*$C20*$D20,IF($C20&lt;25,'Offroad Tiers EF (2)'!$AO$5*$C20*$D20,IF($C20&lt;50,'Offroad Tiers EF (2)'!$AO$6*$C20*$D20,IF($C20&lt;75,'Offroad Tiers EF (2)'!$AO$7*$C20*$D20,IF($C20&lt;100,'Offroad Tiers EF (2)'!$AO$8*$C20*$D20,IF($C20&lt;175,'Offroad Tiers EF (2)'!$AO$9*$C20*$D20,IF($C20&lt;300,'Offroad Tiers EF (2)'!$AO$10*$C20*$D20,IF($C20&lt;600,'Offroad Tiers EF (2)'!$AO$11*$C20*$D20,"!"))))))))</f>
        <v>3.2214285714285709E-2</v>
      </c>
      <c r="J20" s="100">
        <f t="shared" ref="J20:J21" si="8">0.89*I20</f>
        <v>2.8670714285714282E-2</v>
      </c>
      <c r="K20" s="365">
        <v>123.92149503712022</v>
      </c>
      <c r="L20" s="23">
        <v>1.1720218383966691E-2</v>
      </c>
      <c r="M20" s="102">
        <f t="shared" ref="M20:M21" si="9">0.095*G20</f>
        <v>5.7221723214285709E-2</v>
      </c>
      <c r="N20" s="98">
        <v>1</v>
      </c>
      <c r="O20" s="87">
        <v>8</v>
      </c>
      <c r="P20" s="363">
        <v>75</v>
      </c>
      <c r="Q20" s="34">
        <f t="shared" ref="Q20:Y21" si="10">(E20*$N20*$O20)</f>
        <v>0.9723108350925227</v>
      </c>
      <c r="R20" s="26">
        <f t="shared" si="10"/>
        <v>4.3342857142857136</v>
      </c>
      <c r="S20" s="26">
        <f t="shared" si="10"/>
        <v>4.8186714285714283</v>
      </c>
      <c r="T20" s="26">
        <f t="shared" si="10"/>
        <v>1.115463715490133E-2</v>
      </c>
      <c r="U20" s="26">
        <f t="shared" si="10"/>
        <v>0.25771428571428567</v>
      </c>
      <c r="V20" s="26">
        <f t="shared" si="10"/>
        <v>0.22936571428571426</v>
      </c>
      <c r="W20" s="26">
        <f t="shared" si="10"/>
        <v>991.37196029696179</v>
      </c>
      <c r="X20" s="26">
        <f t="shared" si="10"/>
        <v>9.3761747071733528E-2</v>
      </c>
      <c r="Y20" s="26">
        <f t="shared" si="10"/>
        <v>0.45777378571428567</v>
      </c>
    </row>
    <row r="21" spans="1:25">
      <c r="A21" s="100" t="s">
        <v>126</v>
      </c>
      <c r="B21" s="29" t="s">
        <v>27</v>
      </c>
      <c r="C21" s="22">
        <v>175</v>
      </c>
      <c r="D21" s="22"/>
      <c r="E21" s="102">
        <v>0.11792220738547983</v>
      </c>
      <c r="F21" s="102">
        <v>0.36512193352152528</v>
      </c>
      <c r="G21" s="102">
        <v>0.86781464282266541</v>
      </c>
      <c r="H21" s="102">
        <v>1.8739217498104396E-3</v>
      </c>
      <c r="I21" s="102">
        <v>2.9041712295589866E-2</v>
      </c>
      <c r="J21" s="100">
        <f t="shared" si="8"/>
        <v>2.5847123943074982E-2</v>
      </c>
      <c r="K21" s="103">
        <v>166.54541562452522</v>
      </c>
      <c r="L21" s="102">
        <v>1.063993297769634E-2</v>
      </c>
      <c r="M21" s="104">
        <f t="shared" si="9"/>
        <v>8.2442391068153209E-2</v>
      </c>
      <c r="N21" s="98">
        <v>2</v>
      </c>
      <c r="O21" s="87">
        <v>8</v>
      </c>
      <c r="P21" s="363">
        <v>75</v>
      </c>
      <c r="Q21" s="34">
        <f t="shared" si="10"/>
        <v>1.8867553181676773</v>
      </c>
      <c r="R21" s="26">
        <f t="shared" si="10"/>
        <v>5.8419509363444044</v>
      </c>
      <c r="S21" s="26">
        <f t="shared" si="10"/>
        <v>13.885034285162646</v>
      </c>
      <c r="T21" s="26">
        <f t="shared" si="10"/>
        <v>2.9982747996967034E-2</v>
      </c>
      <c r="U21" s="26">
        <f t="shared" si="10"/>
        <v>0.46466739672943785</v>
      </c>
      <c r="V21" s="26">
        <f t="shared" si="10"/>
        <v>0.41355398308919972</v>
      </c>
      <c r="W21" s="26">
        <f t="shared" si="10"/>
        <v>2664.7266499924035</v>
      </c>
      <c r="X21" s="26">
        <f t="shared" si="10"/>
        <v>0.17023892764314144</v>
      </c>
      <c r="Y21" s="26">
        <f t="shared" si="10"/>
        <v>1.3190782570904513</v>
      </c>
    </row>
    <row r="22" spans="1:25">
      <c r="A22" s="11" t="s">
        <v>28</v>
      </c>
      <c r="B22" s="579"/>
      <c r="C22" s="18"/>
      <c r="D22" s="22"/>
      <c r="E22" s="19"/>
      <c r="F22" s="19"/>
      <c r="G22" s="19"/>
      <c r="H22" s="19"/>
      <c r="I22" s="19"/>
      <c r="J22" s="19"/>
      <c r="K22" s="19"/>
      <c r="L22" s="19"/>
      <c r="M22" s="19"/>
      <c r="N22" s="30"/>
      <c r="O22" s="30"/>
      <c r="P22" s="364"/>
      <c r="Q22" s="20">
        <f t="shared" ref="Q22:Y22" si="11">SUM(Q20:Q21)</f>
        <v>2.8590661532602</v>
      </c>
      <c r="R22" s="20">
        <f t="shared" si="11"/>
        <v>10.176236650630118</v>
      </c>
      <c r="S22" s="27">
        <f t="shared" si="11"/>
        <v>18.703705713734074</v>
      </c>
      <c r="T22" s="20">
        <f t="shared" si="11"/>
        <v>4.1137385151868364E-2</v>
      </c>
      <c r="U22" s="20">
        <f t="shared" si="11"/>
        <v>0.72238168244372347</v>
      </c>
      <c r="V22" s="20">
        <f t="shared" si="11"/>
        <v>0.64291969737491395</v>
      </c>
      <c r="W22" s="20">
        <f t="shared" si="11"/>
        <v>3656.0986102893653</v>
      </c>
      <c r="X22" s="20">
        <f t="shared" si="11"/>
        <v>0.26400067471487498</v>
      </c>
      <c r="Y22" s="20">
        <f t="shared" si="11"/>
        <v>1.776852042804737</v>
      </c>
    </row>
    <row r="23" spans="1:25">
      <c r="A23" s="11"/>
      <c r="B23" s="579"/>
      <c r="C23" s="18"/>
      <c r="D23" s="22"/>
      <c r="E23" s="19"/>
      <c r="F23" s="19"/>
      <c r="G23" s="19"/>
      <c r="H23" s="19"/>
      <c r="I23" s="19"/>
      <c r="J23" s="19"/>
      <c r="K23" s="19"/>
      <c r="L23" s="19"/>
      <c r="M23" s="19"/>
      <c r="N23" s="30"/>
      <c r="O23" s="30"/>
      <c r="P23" s="364"/>
      <c r="Q23" s="20"/>
      <c r="R23" s="20"/>
      <c r="S23" s="27"/>
      <c r="T23" s="20"/>
      <c r="U23" s="20"/>
      <c r="V23" s="20"/>
      <c r="W23" s="20"/>
      <c r="X23" s="20"/>
      <c r="Y23" s="20"/>
    </row>
    <row r="24" spans="1:25">
      <c r="A24" s="11" t="s">
        <v>286</v>
      </c>
      <c r="B24" s="22"/>
      <c r="C24" s="18"/>
      <c r="D24" s="22"/>
      <c r="E24" s="19"/>
      <c r="F24" s="19"/>
      <c r="G24" s="19"/>
      <c r="H24" s="19"/>
      <c r="I24" s="19"/>
      <c r="J24" s="19"/>
      <c r="K24" s="19"/>
      <c r="L24" s="19"/>
      <c r="M24" s="19"/>
      <c r="N24" s="11"/>
      <c r="O24" s="11"/>
      <c r="P24" s="11"/>
      <c r="Q24" s="27"/>
      <c r="R24" s="27"/>
      <c r="S24" s="27"/>
      <c r="T24" s="27"/>
      <c r="U24" s="27"/>
      <c r="V24" s="27"/>
      <c r="W24" s="28"/>
      <c r="X24" s="27"/>
      <c r="Y24" s="27"/>
    </row>
    <row r="25" spans="1:25">
      <c r="A25" s="100" t="s">
        <v>287</v>
      </c>
      <c r="B25" s="97" t="s">
        <v>27</v>
      </c>
      <c r="C25" s="97">
        <v>37</v>
      </c>
      <c r="D25" s="22">
        <v>0.37</v>
      </c>
      <c r="E25" s="102">
        <v>3.2313389441625637E-2</v>
      </c>
      <c r="F25" s="397">
        <f>IF($C25&lt;11,'Offroad Tiers EF (2)'!$AN$4*$C25*$D25,IF($C25&lt;25,'Offroad Tiers EF (2)'!$AN$5*$C25*$D25,IF($C25&lt;50,'Offroad Tiers EF (2)'!$AN$6*$C25*$D25,IF($C25&lt;75,'Offroad Tiers EF (2)'!$AN$7*$C25*$D25,IF($C25&lt;100,'Offroad Tiers EF (2)'!$AN$8*$C25*$D25,IF($C25&lt;175,'Offroad Tiers EF (2)'!$AN$9*$C25*$D25,IF($C25&lt;300,'Offroad Tiers EF (2)'!$AN$10*$C25*$D25,IF($C25&lt;600,'Offroad Tiers EF (2)'!$AN$11*$C25*$D25,"!"))))))))</f>
        <v>0.12374118165784832</v>
      </c>
      <c r="G25" s="397">
        <f>IF($C25&lt;11,'Offroad Tiers EF (2)'!$AM$4*$C25*$D25,IF($C25&lt;25,'Offroad Tiers EF (2)'!$AM$5*$C25*$D25,IF($C25&lt;50,'Offroad Tiers EF (2)'!$AM$6*$C25*$D25,IF($C25&lt;75,'Offroad Tiers EF (2)'!$AM$7*$C25*$D25,IF($C25&lt;100,'Offroad Tiers EF (2)'!$AM$8*$C25*$D25,IF($C25&lt;175,'Offroad Tiers EF (2)'!$AM$9*$C25*$D25,IF($C25&lt;300,'Offroad Tiers EF (2)'!$AM$10*$C25*$D25,IF($C25&lt;600,'Offroad Tiers EF (2)'!$AM$11*$C25*$D25,"!"))))))))</f>
        <v>0.16056172839506169</v>
      </c>
      <c r="H25" s="102">
        <v>3.2989906092678058E-4</v>
      </c>
      <c r="I25" s="397">
        <f>IF($C25&lt;11,'Offroad Tiers EF (2)'!$AO$4*$C25*$D25,IF($C25&lt;25,'Offroad Tiers EF (2)'!$AO$5*$C25*$D25,IF($C25&lt;50,'Offroad Tiers EF (2)'!$AO$6*$C25*$D25,IF($C25&lt;75,'Offroad Tiers EF (2)'!$AO$7*$C25*$D25,IF($C25&lt;100,'Offroad Tiers EF (2)'!$AO$8*$C25*$D25,IF($C25&lt;175,'Offroad Tiers EF (2)'!$AO$9*$C25*$D25,IF($C25&lt;300,'Offroad Tiers EF (2)'!$AO$10*$C25*$D25,IF($C25&lt;600,'Offroad Tiers EF (2)'!$AO$11*$C25*$D25,"!"))))))))</f>
        <v>1.3581349206349205E-2</v>
      </c>
      <c r="J25" s="100">
        <f t="shared" ref="J25:J28" si="12">0.89*I25</f>
        <v>1.2087400793650793E-2</v>
      </c>
      <c r="K25" s="103">
        <v>25.519156990664225</v>
      </c>
      <c r="L25" s="102">
        <v>3.413848047070189E-3</v>
      </c>
      <c r="M25" s="104">
        <f t="shared" ref="M25:M28" si="13">0.095*G25</f>
        <v>1.5253364197530862E-2</v>
      </c>
      <c r="N25" s="88">
        <v>1</v>
      </c>
      <c r="O25" s="88">
        <v>1</v>
      </c>
      <c r="P25" s="367">
        <v>75</v>
      </c>
      <c r="Q25" s="26">
        <f t="shared" ref="Q25:Y28" si="14">(E25*$N25*$O25)</f>
        <v>3.2313389441625637E-2</v>
      </c>
      <c r="R25" s="26">
        <f t="shared" si="14"/>
        <v>0.12374118165784832</v>
      </c>
      <c r="S25" s="26">
        <f t="shared" si="14"/>
        <v>0.16056172839506169</v>
      </c>
      <c r="T25" s="26">
        <f t="shared" si="14"/>
        <v>3.2989906092678058E-4</v>
      </c>
      <c r="U25" s="26">
        <f t="shared" si="14"/>
        <v>1.3581349206349205E-2</v>
      </c>
      <c r="V25" s="26">
        <f t="shared" si="14"/>
        <v>1.2087400793650793E-2</v>
      </c>
      <c r="W25" s="26">
        <f t="shared" si="14"/>
        <v>25.519156990664225</v>
      </c>
      <c r="X25" s="26">
        <f t="shared" si="14"/>
        <v>3.413848047070189E-3</v>
      </c>
      <c r="Y25" s="26">
        <f t="shared" si="14"/>
        <v>1.5253364197530862E-2</v>
      </c>
    </row>
    <row r="26" spans="1:25">
      <c r="A26" s="100" t="s">
        <v>121</v>
      </c>
      <c r="B26" s="29" t="s">
        <v>27</v>
      </c>
      <c r="C26" s="22">
        <v>162</v>
      </c>
      <c r="D26" s="22">
        <v>0.41</v>
      </c>
      <c r="E26" s="108">
        <v>0.12153885438656534</v>
      </c>
      <c r="F26" s="397">
        <f>IF($C26&lt;11,'Offroad Tiers EF (2)'!$AN$4*$C26*$D26,IF($C26&lt;25,'Offroad Tiers EF (2)'!$AN$5*$C26*$D26,IF($C26&lt;50,'Offroad Tiers EF (2)'!$AN$6*$C26*$D26,IF($C26&lt;75,'Offroad Tiers EF (2)'!$AN$7*$C26*$D26,IF($C26&lt;100,'Offroad Tiers EF (2)'!$AN$8*$C26*$D26,IF($C26&lt;175,'Offroad Tiers EF (2)'!$AN$9*$C26*$D26,IF($C26&lt;300,'Offroad Tiers EF (2)'!$AN$10*$C26*$D26,IF($C26&lt;600,'Offroad Tiers EF (2)'!$AN$11*$C26*$D26,"!"))))))))</f>
        <v>0.5417857142857142</v>
      </c>
      <c r="G26" s="397">
        <f>IF($C26&lt;11,'Offroad Tiers EF (2)'!$AM$4*$C26*$D26,IF($C26&lt;25,'Offroad Tiers EF (2)'!$AM$5*$C26*$D26,IF($C26&lt;50,'Offroad Tiers EF (2)'!$AM$6*$C26*$D26,IF($C26&lt;75,'Offroad Tiers EF (2)'!$AM$7*$C26*$D26,IF($C26&lt;100,'Offroad Tiers EF (2)'!$AM$8*$C26*$D26,IF($C26&lt;175,'Offroad Tiers EF (2)'!$AM$9*$C26*$D26,IF($C26&lt;300,'Offroad Tiers EF (2)'!$AM$10*$C26*$D26,IF($C26&lt;600,'Offroad Tiers EF (2)'!$AM$11*$C26*$D26,"!"))))))))</f>
        <v>0.60233392857142853</v>
      </c>
      <c r="H26" s="108">
        <v>1.3943296443626662E-3</v>
      </c>
      <c r="I26" s="397">
        <f>IF($C26&lt;11,'Offroad Tiers EF (2)'!$AO$4*$C26*$D26,IF($C26&lt;25,'Offroad Tiers EF (2)'!$AO$5*$C26*$D26,IF($C26&lt;50,'Offroad Tiers EF (2)'!$AO$6*$C26*$D26,IF($C26&lt;75,'Offroad Tiers EF (2)'!$AO$7*$C26*$D26,IF($C26&lt;100,'Offroad Tiers EF (2)'!$AO$8*$C26*$D26,IF($C26&lt;175,'Offroad Tiers EF (2)'!$AO$9*$C26*$D26,IF($C26&lt;300,'Offroad Tiers EF (2)'!$AO$10*$C26*$D26,IF($C26&lt;600,'Offroad Tiers EF (2)'!$AO$11*$C26*$D26,"!"))))))))</f>
        <v>3.2214285714285709E-2</v>
      </c>
      <c r="J26" s="100">
        <f t="shared" si="12"/>
        <v>2.8670714285714282E-2</v>
      </c>
      <c r="K26" s="365">
        <v>123.92149503712022</v>
      </c>
      <c r="L26" s="23">
        <v>1.1720218383966691E-2</v>
      </c>
      <c r="M26" s="102">
        <f t="shared" si="13"/>
        <v>5.7221723214285709E-2</v>
      </c>
      <c r="N26" s="98">
        <v>1</v>
      </c>
      <c r="O26" s="87">
        <v>8</v>
      </c>
      <c r="P26" s="363">
        <v>75</v>
      </c>
      <c r="Q26" s="34">
        <f t="shared" si="14"/>
        <v>0.9723108350925227</v>
      </c>
      <c r="R26" s="26">
        <f t="shared" si="14"/>
        <v>4.3342857142857136</v>
      </c>
      <c r="S26" s="26">
        <f t="shared" si="14"/>
        <v>4.8186714285714283</v>
      </c>
      <c r="T26" s="26">
        <f t="shared" si="14"/>
        <v>1.115463715490133E-2</v>
      </c>
      <c r="U26" s="26">
        <f t="shared" si="14"/>
        <v>0.25771428571428567</v>
      </c>
      <c r="V26" s="26">
        <f t="shared" si="14"/>
        <v>0.22936571428571426</v>
      </c>
      <c r="W26" s="26">
        <f t="shared" si="14"/>
        <v>991.37196029696179</v>
      </c>
      <c r="X26" s="26">
        <f t="shared" si="14"/>
        <v>9.3761747071733528E-2</v>
      </c>
      <c r="Y26" s="26">
        <f t="shared" si="14"/>
        <v>0.45777378571428567</v>
      </c>
    </row>
    <row r="27" spans="1:25">
      <c r="A27" s="100" t="s">
        <v>124</v>
      </c>
      <c r="B27" s="29" t="s">
        <v>27</v>
      </c>
      <c r="C27" s="97">
        <v>87</v>
      </c>
      <c r="D27" s="22">
        <v>0.37</v>
      </c>
      <c r="E27" s="102">
        <v>7.7253202863558038E-2</v>
      </c>
      <c r="F27" s="397">
        <f>IF($C27&lt;11,'Offroad Tiers EF (2)'!$AN$4*$C27*$D27,IF($C27&lt;25,'Offroad Tiers EF (2)'!$AN$5*$C27*$D27,IF($C27&lt;50,'Offroad Tiers EF (2)'!$AN$6*$C27*$D27,IF($C27&lt;75,'Offroad Tiers EF (2)'!$AN$7*$C27*$D27,IF($C27&lt;100,'Offroad Tiers EF (2)'!$AN$8*$C27*$D27,IF($C27&lt;175,'Offroad Tiers EF (2)'!$AN$9*$C27*$D27,IF($C27&lt;300,'Offroad Tiers EF (2)'!$AN$10*$C27*$D27,IF($C27&lt;600,'Offroad Tiers EF (2)'!$AN$11*$C27*$D27,"!"))))))))</f>
        <v>0.26257275132275132</v>
      </c>
      <c r="G27" s="397">
        <f>IF($C27&lt;11,'Offroad Tiers EF (2)'!$AM$4*$C27*$D27,IF($C27&lt;25,'Offroad Tiers EF (2)'!$AM$5*$C27*$D27,IF($C27&lt;50,'Offroad Tiers EF (2)'!$AM$6*$C27*$D27,IF($C27&lt;75,'Offroad Tiers EF (2)'!$AM$7*$C27*$D27,IF($C27&lt;100,'Offroad Tiers EF (2)'!$AM$8*$C27*$D27,IF($C27&lt;175,'Offroad Tiers EF (2)'!$AM$9*$C27*$D27,IF($C27&lt;300,'Offroad Tiers EF (2)'!$AM$10*$C27*$D27,IF($C27&lt;600,'Offroad Tiers EF (2)'!$AM$11*$C27*$D27,"!"))))))))</f>
        <v>0.33506412037037031</v>
      </c>
      <c r="H27" s="102">
        <v>6.910856115004858E-4</v>
      </c>
      <c r="I27" s="397">
        <f>IF($C27&lt;11,'Offroad Tiers EF (2)'!$AO$4*$C27*$D27,IF($C27&lt;25,'Offroad Tiers EF (2)'!$AO$5*$C27*$D27,IF($C27&lt;50,'Offroad Tiers EF (2)'!$AO$6*$C27*$D27,IF($C27&lt;75,'Offroad Tiers EF (2)'!$AO$7*$C27*$D27,IF($C27&lt;100,'Offroad Tiers EF (2)'!$AO$8*$C27*$D27,IF($C27&lt;175,'Offroad Tiers EF (2)'!$AO$9*$C27*$D27,IF($C27&lt;300,'Offroad Tiers EF (2)'!$AO$10*$C27*$D27,IF($C27&lt;600,'Offroad Tiers EF (2)'!$AO$11*$C27*$D27,"!"))))))))</f>
        <v>2.1289682539682539E-2</v>
      </c>
      <c r="J27" s="100">
        <f t="shared" si="12"/>
        <v>1.894781746031746E-2</v>
      </c>
      <c r="K27" s="103">
        <v>58.913505111712794</v>
      </c>
      <c r="L27" s="102">
        <v>7.5344751889799754E-3</v>
      </c>
      <c r="M27" s="102">
        <f t="shared" si="13"/>
        <v>3.1831091435185178E-2</v>
      </c>
      <c r="N27" s="98">
        <v>1</v>
      </c>
      <c r="O27" s="87">
        <v>8</v>
      </c>
      <c r="P27" s="363">
        <v>15</v>
      </c>
      <c r="Q27" s="34">
        <f t="shared" si="14"/>
        <v>0.6180256229084643</v>
      </c>
      <c r="R27" s="26">
        <f t="shared" si="14"/>
        <v>2.1005820105820106</v>
      </c>
      <c r="S27" s="26">
        <f t="shared" si="14"/>
        <v>2.6805129629629625</v>
      </c>
      <c r="T27" s="26">
        <f t="shared" si="14"/>
        <v>5.5286848920038864E-3</v>
      </c>
      <c r="U27" s="26">
        <f t="shared" si="14"/>
        <v>0.17031746031746031</v>
      </c>
      <c r="V27" s="26">
        <f t="shared" si="14"/>
        <v>0.15158253968253968</v>
      </c>
      <c r="W27" s="26">
        <f t="shared" si="14"/>
        <v>471.30804089370235</v>
      </c>
      <c r="X27" s="26">
        <f t="shared" si="14"/>
        <v>6.0275801511839804E-2</v>
      </c>
      <c r="Y27" s="26">
        <f t="shared" si="14"/>
        <v>0.25464873148148143</v>
      </c>
    </row>
    <row r="28" spans="1:25">
      <c r="A28" s="100" t="s">
        <v>126</v>
      </c>
      <c r="B28" s="22" t="s">
        <v>27</v>
      </c>
      <c r="C28" s="22">
        <v>175</v>
      </c>
      <c r="D28" s="22"/>
      <c r="E28" s="102">
        <v>0.11792220738547983</v>
      </c>
      <c r="F28" s="102">
        <v>0.36512193352152528</v>
      </c>
      <c r="G28" s="102">
        <v>0.86781464282266541</v>
      </c>
      <c r="H28" s="102">
        <v>1.8739217498104396E-3</v>
      </c>
      <c r="I28" s="102">
        <v>2.9041712295589866E-2</v>
      </c>
      <c r="J28" s="100">
        <f t="shared" si="12"/>
        <v>2.5847123943074982E-2</v>
      </c>
      <c r="K28" s="103">
        <v>166.54541562452522</v>
      </c>
      <c r="L28" s="102">
        <v>1.063993297769634E-2</v>
      </c>
      <c r="M28" s="104">
        <f t="shared" si="13"/>
        <v>8.2442391068153209E-2</v>
      </c>
      <c r="N28" s="88">
        <v>1</v>
      </c>
      <c r="O28" s="88">
        <v>3</v>
      </c>
      <c r="P28" s="367">
        <v>40</v>
      </c>
      <c r="Q28" s="26">
        <f t="shared" si="14"/>
        <v>0.3537666221564395</v>
      </c>
      <c r="R28" s="26">
        <f t="shared" si="14"/>
        <v>1.0953658005645759</v>
      </c>
      <c r="S28" s="26">
        <f t="shared" si="14"/>
        <v>2.6034439284679962</v>
      </c>
      <c r="T28" s="26">
        <f t="shared" si="14"/>
        <v>5.6217652494313184E-3</v>
      </c>
      <c r="U28" s="26">
        <f t="shared" si="14"/>
        <v>8.7125136886769594E-2</v>
      </c>
      <c r="V28" s="26">
        <f t="shared" si="14"/>
        <v>7.754137182922495E-2</v>
      </c>
      <c r="W28" s="26">
        <f t="shared" si="14"/>
        <v>499.63624687357566</v>
      </c>
      <c r="X28" s="26">
        <f t="shared" si="14"/>
        <v>3.1919798933089022E-2</v>
      </c>
      <c r="Y28" s="26">
        <f t="shared" si="14"/>
        <v>0.24732717320445963</v>
      </c>
    </row>
    <row r="29" spans="1:25">
      <c r="A29" s="17" t="s">
        <v>28</v>
      </c>
      <c r="B29" s="97"/>
      <c r="C29" s="22"/>
      <c r="D29" s="22"/>
      <c r="E29" s="23"/>
      <c r="F29" s="23"/>
      <c r="G29" s="23"/>
      <c r="H29" s="23"/>
      <c r="I29" s="23"/>
      <c r="J29" s="24"/>
      <c r="K29" s="25"/>
      <c r="L29" s="23"/>
      <c r="M29" s="23"/>
      <c r="N29" s="88"/>
      <c r="O29" s="88"/>
      <c r="P29" s="88"/>
      <c r="Q29" s="27">
        <f t="shared" ref="Q29:Y29" si="15">SUM(Q25:Q28)</f>
        <v>1.976416469599052</v>
      </c>
      <c r="R29" s="27">
        <f t="shared" si="15"/>
        <v>7.653974707090148</v>
      </c>
      <c r="S29" s="27">
        <f t="shared" si="15"/>
        <v>10.263190048397449</v>
      </c>
      <c r="T29" s="27">
        <f t="shared" si="15"/>
        <v>2.2634986357263312E-2</v>
      </c>
      <c r="U29" s="27">
        <f t="shared" si="15"/>
        <v>0.52873823212486482</v>
      </c>
      <c r="V29" s="27">
        <f t="shared" si="15"/>
        <v>0.47057702659112965</v>
      </c>
      <c r="W29" s="27">
        <f t="shared" si="15"/>
        <v>1987.835405054904</v>
      </c>
      <c r="X29" s="27">
        <f t="shared" si="15"/>
        <v>0.18937119556373255</v>
      </c>
      <c r="Y29" s="27">
        <f t="shared" si="15"/>
        <v>0.9750030545977576</v>
      </c>
    </row>
    <row r="30" spans="1:25">
      <c r="A30" s="11"/>
      <c r="B30" s="579"/>
      <c r="C30" s="18"/>
      <c r="D30" s="22"/>
      <c r="E30" s="19"/>
      <c r="F30" s="19"/>
      <c r="G30" s="19"/>
      <c r="H30" s="19"/>
      <c r="I30" s="19"/>
      <c r="J30" s="19"/>
      <c r="K30" s="19"/>
      <c r="L30" s="19"/>
      <c r="M30" s="19"/>
      <c r="N30" s="30"/>
      <c r="O30" s="375"/>
      <c r="P30" s="364"/>
      <c r="Q30" s="20"/>
      <c r="R30" s="20"/>
      <c r="S30" s="27"/>
      <c r="T30" s="20"/>
      <c r="U30" s="20"/>
      <c r="V30" s="20"/>
      <c r="W30" s="21"/>
      <c r="X30" s="20"/>
      <c r="Y30" s="20"/>
    </row>
    <row r="31" spans="1:25">
      <c r="A31" s="17" t="s">
        <v>365</v>
      </c>
      <c r="B31" s="549"/>
      <c r="C31" s="18"/>
      <c r="D31" s="22"/>
      <c r="E31" s="19"/>
      <c r="F31" s="19"/>
      <c r="G31" s="19"/>
      <c r="H31" s="19"/>
      <c r="I31" s="19"/>
      <c r="J31" s="19"/>
      <c r="K31" s="19"/>
      <c r="L31" s="19"/>
      <c r="M31" s="19"/>
      <c r="N31" s="30"/>
      <c r="O31" s="30"/>
      <c r="P31" s="364"/>
      <c r="Q31" s="20">
        <f>Q11+Q17+Q22+Q29</f>
        <v>7.1498725801603573</v>
      </c>
      <c r="R31" s="20">
        <f t="shared" ref="R31:Y31" si="16">R11+R17+R22+R29</f>
        <v>26.660467970372387</v>
      </c>
      <c r="S31" s="20">
        <f t="shared" si="16"/>
        <v>44.44615806774874</v>
      </c>
      <c r="T31" s="20">
        <f t="shared" si="16"/>
        <v>9.3843255612222523E-2</v>
      </c>
      <c r="U31" s="20">
        <f t="shared" si="16"/>
        <v>1.9710813953227224</v>
      </c>
      <c r="V31" s="20">
        <f t="shared" si="16"/>
        <v>1.754262441837223</v>
      </c>
      <c r="W31" s="20">
        <f t="shared" si="16"/>
        <v>8245.5210679025349</v>
      </c>
      <c r="X31" s="20">
        <f t="shared" si="16"/>
        <v>0.68020735872505256</v>
      </c>
      <c r="Y31" s="20">
        <f t="shared" si="16"/>
        <v>4.2223850164361307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90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565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C9*(F9)*$B$319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C10*(F10)*$B$319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 ht="25.5">
      <c r="A13" s="114" t="s">
        <v>315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326</v>
      </c>
      <c r="B14" s="76" t="s">
        <v>95</v>
      </c>
      <c r="C14" s="79">
        <v>3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9.9891275533645019E-2</v>
      </c>
      <c r="U14" s="50">
        <f>C14*($F14*$H14)/453.59</f>
        <v>0.18440937782971867</v>
      </c>
      <c r="V14" s="50">
        <f>C14*(($F14*$I14))/453.59</f>
        <v>2.253067276294635E-2</v>
      </c>
      <c r="W14" s="50">
        <f>C14*($F14*$J14)/453.59</f>
        <v>1.3898613406074772E-3</v>
      </c>
      <c r="X14" s="50">
        <f>C14*(($F14*($K14+$L14+$M14)))/453.59</f>
        <v>3.6369464870151122E-2</v>
      </c>
      <c r="Y14" s="50">
        <f>C14*(($F14*($N14+$O14+$P14)))/453.59</f>
        <v>2.4166098982977401E-2</v>
      </c>
      <c r="Z14" s="50">
        <f>C14*(F14)*$B$319</f>
        <v>0</v>
      </c>
      <c r="AA14" s="50">
        <f>Z14*0.21</f>
        <v>0</v>
      </c>
      <c r="AB14" s="50">
        <f>C14*(($F14*($Q14)))/453.59</f>
        <v>96.814105590256631</v>
      </c>
      <c r="AC14" s="50">
        <f>C14*(($F14*($R14)))/453.59</f>
        <v>5.5322484357440338E-3</v>
      </c>
      <c r="AD14" s="50">
        <f>C14*(($F14*($S14)))/453.59</f>
        <v>2.4799901288000137E-3</v>
      </c>
    </row>
    <row r="15" spans="1:30">
      <c r="A15" s="78" t="s">
        <v>327</v>
      </c>
      <c r="B15" s="76" t="s">
        <v>105</v>
      </c>
      <c r="C15" s="374">
        <v>1</v>
      </c>
      <c r="D15" s="77"/>
      <c r="E15" s="77">
        <v>35</v>
      </c>
      <c r="F15" s="77">
        <v>80</v>
      </c>
      <c r="G15" s="106">
        <v>1.08263976628415</v>
      </c>
      <c r="H15" s="106">
        <v>4.9712718909585103</v>
      </c>
      <c r="I15" s="106">
        <v>0.26248012575016899</v>
      </c>
      <c r="J15" s="106">
        <v>1.0711818E-2</v>
      </c>
      <c r="K15" s="106">
        <v>7.1679901072141505E-2</v>
      </c>
      <c r="L15" s="576">
        <v>3.59998119015979E-2</v>
      </c>
      <c r="M15" s="576">
        <v>6.1739677411240299E-2</v>
      </c>
      <c r="N15" s="106">
        <v>6.5945508986370194E-2</v>
      </c>
      <c r="O15" s="576">
        <v>2.9999843251331498E-3</v>
      </c>
      <c r="P15" s="576">
        <v>5.5859708133979398E-2</v>
      </c>
      <c r="Q15" s="106">
        <v>1710.7260798814</v>
      </c>
      <c r="R15" s="47">
        <v>1.5235246282551899E-2</v>
      </c>
      <c r="S15" s="80">
        <f>0.000025616*Q15</f>
        <v>4.3821959262241944E-2</v>
      </c>
      <c r="T15" s="50">
        <f>C15*($F15*$G15)/453.59</f>
        <v>0.19094596728925242</v>
      </c>
      <c r="U15" s="50">
        <f>C15*($F15*$H15)/453.59</f>
        <v>0.87678685878586582</v>
      </c>
      <c r="V15" s="50">
        <f>C15*(($F15*$I15))/453.59</f>
        <v>4.6293811724274173E-2</v>
      </c>
      <c r="W15" s="50">
        <f>C15*($F15*$J15)/453.59</f>
        <v>1.8892511739676801E-3</v>
      </c>
      <c r="X15" s="50">
        <f>C15*(($F15*($K15+$L15+$M15)))/453.59</f>
        <v>2.9880621774726907E-2</v>
      </c>
      <c r="Y15" s="50">
        <f>C15*(($F15*($N15+$O15+$P15)))/453.59</f>
        <v>2.2011984646131133E-2</v>
      </c>
      <c r="Z15" s="50">
        <f>C15*(F15)*$B$319</f>
        <v>0</v>
      </c>
      <c r="AA15" s="50">
        <f>Z15*0.21</f>
        <v>0</v>
      </c>
      <c r="AB15" s="50">
        <f>C15*(($F15*($Q15)))/453.59</f>
        <v>301.72200972356535</v>
      </c>
      <c r="AC15" s="50">
        <f>C15*(($F15*($R15)))/453.59</f>
        <v>2.6870515280410772E-3</v>
      </c>
      <c r="AD15" s="50">
        <f>C15*(($F15*($S15)))/453.59</f>
        <v>7.7289110010788503E-3</v>
      </c>
    </row>
    <row r="16" spans="1:30">
      <c r="A16" s="75" t="s">
        <v>28</v>
      </c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>
        <f t="shared" ref="T16:AD16" si="1">SUM(T14:T15)</f>
        <v>0.29083724282289747</v>
      </c>
      <c r="U16" s="81">
        <f t="shared" si="1"/>
        <v>1.0611962366155845</v>
      </c>
      <c r="V16" s="81">
        <f t="shared" si="1"/>
        <v>6.8824484487220519E-2</v>
      </c>
      <c r="W16" s="81">
        <f t="shared" si="1"/>
        <v>3.2791125145751575E-3</v>
      </c>
      <c r="X16" s="81">
        <f t="shared" si="1"/>
        <v>6.6250086644878026E-2</v>
      </c>
      <c r="Y16" s="81">
        <f t="shared" si="1"/>
        <v>4.6178083629108538E-2</v>
      </c>
      <c r="Z16" s="81">
        <f t="shared" si="1"/>
        <v>0</v>
      </c>
      <c r="AA16" s="81">
        <f t="shared" si="1"/>
        <v>0</v>
      </c>
      <c r="AB16" s="81">
        <f t="shared" si="1"/>
        <v>398.53611531382199</v>
      </c>
      <c r="AC16" s="81">
        <f t="shared" si="1"/>
        <v>8.2192999637851101E-3</v>
      </c>
      <c r="AD16" s="81">
        <f t="shared" si="1"/>
        <v>1.0208901129878864E-2</v>
      </c>
    </row>
    <row r="17" spans="1:30">
      <c r="A17" s="75"/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</row>
    <row r="18" spans="1:30">
      <c r="A18" s="114" t="s">
        <v>330</v>
      </c>
      <c r="B18" s="74"/>
      <c r="C18" s="112"/>
      <c r="D18" s="112"/>
      <c r="E18" s="74"/>
      <c r="F18" s="74"/>
      <c r="G18" s="577"/>
      <c r="H18" s="41"/>
      <c r="I18" s="41"/>
      <c r="J18" s="41"/>
      <c r="K18" s="574"/>
      <c r="L18" s="574"/>
      <c r="M18" s="574"/>
      <c r="N18" s="574"/>
      <c r="O18" s="574"/>
      <c r="P18" s="574"/>
      <c r="Q18" s="41"/>
      <c r="R18" s="574"/>
      <c r="S18" s="574"/>
      <c r="T18" s="61"/>
      <c r="U18" s="61"/>
      <c r="V18" s="61"/>
      <c r="W18" s="61"/>
      <c r="X18" s="61"/>
      <c r="Y18" s="61"/>
      <c r="Z18" s="62"/>
      <c r="AA18" s="62"/>
      <c r="AB18" s="62"/>
      <c r="AC18" s="62"/>
      <c r="AD18" s="62"/>
    </row>
    <row r="19" spans="1:30">
      <c r="A19" s="78" t="s">
        <v>320</v>
      </c>
      <c r="B19" s="76" t="s">
        <v>95</v>
      </c>
      <c r="C19" s="79">
        <v>12</v>
      </c>
      <c r="D19" s="77"/>
      <c r="E19" s="77">
        <v>35</v>
      </c>
      <c r="F19" s="77">
        <v>60</v>
      </c>
      <c r="G19" s="106">
        <v>0.25172046482947802</v>
      </c>
      <c r="H19" s="106">
        <v>0.464701387165456</v>
      </c>
      <c r="I19" s="106">
        <v>5.6776043658582402E-2</v>
      </c>
      <c r="J19" s="106">
        <v>3.5023733638119199E-3</v>
      </c>
      <c r="K19" s="106">
        <v>4.6899256897933901E-2</v>
      </c>
      <c r="L19" s="47">
        <v>7.99995847163921E-3</v>
      </c>
      <c r="M19" s="47">
        <v>3.6749815577381599E-2</v>
      </c>
      <c r="N19" s="106">
        <v>4.3147317248333997E-2</v>
      </c>
      <c r="O19" s="47">
        <v>1.9999896145790402E-3</v>
      </c>
      <c r="P19" s="47">
        <v>1.57499200131354E-2</v>
      </c>
      <c r="Q19" s="106">
        <v>243.966167526025</v>
      </c>
      <c r="R19" s="47">
        <f>0.000057143*Q19</f>
        <v>1.3940958710939646E-2</v>
      </c>
      <c r="S19" s="80">
        <f>0.000025616*Q19</f>
        <v>6.2494373473466567E-3</v>
      </c>
      <c r="T19" s="50">
        <f>C19*($F19*$G19)/453.59</f>
        <v>0.39956510213458007</v>
      </c>
      <c r="U19" s="50">
        <f>C19*($F19*$H19)/453.59</f>
        <v>0.73763751131887467</v>
      </c>
      <c r="V19" s="50">
        <f>C19*(($F19*$I19))/453.59</f>
        <v>9.01226910517854E-2</v>
      </c>
      <c r="W19" s="50">
        <f>C19*($F19*$J19)/453.59</f>
        <v>5.5594453624299087E-3</v>
      </c>
      <c r="X19" s="50">
        <f>C19*(($F19*($K19+$L19+$M19)))/453.59</f>
        <v>0.14547785948060449</v>
      </c>
      <c r="Y19" s="50">
        <f>C19*(($F19*($N19+$O19+$P19)))/453.59</f>
        <v>9.6664395931909605E-2</v>
      </c>
      <c r="Z19" s="50">
        <f>C19*(F19)*$B$319</f>
        <v>0</v>
      </c>
      <c r="AA19" s="50">
        <f>Z19*0.21</f>
        <v>0</v>
      </c>
      <c r="AB19" s="50">
        <f>C19*(($F19*($Q19)))/453.59</f>
        <v>387.25642236102652</v>
      </c>
      <c r="AC19" s="50">
        <f>C19*(($F19*($R19)))/453.59</f>
        <v>2.2128993742976135E-2</v>
      </c>
      <c r="AD19" s="50">
        <f>C19*(($F19*($S19)))/453.59</f>
        <v>9.9199605152000547E-3</v>
      </c>
    </row>
    <row r="20" spans="1:30">
      <c r="A20" s="75" t="s">
        <v>28</v>
      </c>
      <c r="B20" s="74"/>
      <c r="C20" s="112"/>
      <c r="D20" s="112"/>
      <c r="E20" s="74"/>
      <c r="F20" s="74"/>
      <c r="G20" s="577"/>
      <c r="H20" s="41"/>
      <c r="I20" s="41"/>
      <c r="J20" s="41"/>
      <c r="K20" s="574"/>
      <c r="L20" s="574"/>
      <c r="M20" s="574"/>
      <c r="N20" s="574"/>
      <c r="O20" s="574"/>
      <c r="P20" s="574"/>
      <c r="Q20" s="41"/>
      <c r="R20" s="574"/>
      <c r="S20" s="574"/>
      <c r="T20" s="81">
        <f t="shared" ref="T20:AD20" si="2">SUM(T19:T19)</f>
        <v>0.39956510213458007</v>
      </c>
      <c r="U20" s="81">
        <f t="shared" si="2"/>
        <v>0.73763751131887467</v>
      </c>
      <c r="V20" s="81">
        <f t="shared" si="2"/>
        <v>9.01226910517854E-2</v>
      </c>
      <c r="W20" s="81">
        <f t="shared" si="2"/>
        <v>5.5594453624299087E-3</v>
      </c>
      <c r="X20" s="81">
        <f t="shared" si="2"/>
        <v>0.14547785948060449</v>
      </c>
      <c r="Y20" s="81">
        <f t="shared" si="2"/>
        <v>9.6664395931909605E-2</v>
      </c>
      <c r="Z20" s="81">
        <f t="shared" si="2"/>
        <v>0</v>
      </c>
      <c r="AA20" s="81">
        <f t="shared" si="2"/>
        <v>0</v>
      </c>
      <c r="AB20" s="81">
        <f t="shared" si="2"/>
        <v>387.25642236102652</v>
      </c>
      <c r="AC20" s="81">
        <f t="shared" si="2"/>
        <v>2.2128993742976135E-2</v>
      </c>
      <c r="AD20" s="81">
        <f t="shared" si="2"/>
        <v>9.9199605152000547E-3</v>
      </c>
    </row>
    <row r="21" spans="1:30">
      <c r="A21" s="573"/>
      <c r="B21" s="74"/>
      <c r="C21" s="112"/>
      <c r="D21" s="112"/>
      <c r="E21" s="74"/>
      <c r="F21" s="74"/>
      <c r="G21" s="577"/>
      <c r="H21" s="41"/>
      <c r="I21" s="41"/>
      <c r="J21" s="41"/>
      <c r="K21" s="574"/>
      <c r="L21" s="574"/>
      <c r="M21" s="574"/>
      <c r="N21" s="574"/>
      <c r="O21" s="574"/>
      <c r="P21" s="574"/>
      <c r="Q21" s="41"/>
      <c r="R21" s="574"/>
      <c r="S21" s="574"/>
      <c r="T21" s="61"/>
      <c r="U21" s="61"/>
      <c r="V21" s="61"/>
      <c r="W21" s="61"/>
      <c r="X21" s="61"/>
      <c r="Y21" s="61"/>
      <c r="Z21" s="62"/>
      <c r="AA21" s="62"/>
      <c r="AB21" s="62"/>
      <c r="AC21" s="62"/>
      <c r="AD21" s="62"/>
    </row>
    <row r="22" spans="1:30" ht="25.5">
      <c r="A22" s="114" t="s">
        <v>332</v>
      </c>
      <c r="B22" s="74"/>
      <c r="C22" s="112"/>
      <c r="D22" s="112"/>
      <c r="E22" s="74"/>
      <c r="F22" s="74"/>
      <c r="G22" s="577"/>
      <c r="H22" s="41"/>
      <c r="I22" s="41"/>
      <c r="J22" s="41"/>
      <c r="K22" s="574"/>
      <c r="L22" s="574"/>
      <c r="M22" s="574"/>
      <c r="N22" s="574"/>
      <c r="O22" s="574"/>
      <c r="P22" s="574"/>
      <c r="Q22" s="41"/>
      <c r="R22" s="574"/>
      <c r="S22" s="574"/>
      <c r="T22" s="61"/>
      <c r="U22" s="61"/>
      <c r="V22" s="61"/>
      <c r="W22" s="61"/>
      <c r="X22" s="61"/>
      <c r="Y22" s="61"/>
      <c r="Z22" s="62"/>
      <c r="AA22" s="62"/>
      <c r="AB22" s="62"/>
      <c r="AC22" s="62"/>
      <c r="AD22" s="62"/>
    </row>
    <row r="23" spans="1:30">
      <c r="A23" s="78" t="s">
        <v>320</v>
      </c>
      <c r="B23" s="76" t="s">
        <v>95</v>
      </c>
      <c r="C23" s="79">
        <v>6</v>
      </c>
      <c r="D23" s="77"/>
      <c r="E23" s="77">
        <v>35</v>
      </c>
      <c r="F23" s="77">
        <v>60</v>
      </c>
      <c r="G23" s="106">
        <v>0.25172046482947802</v>
      </c>
      <c r="H23" s="106">
        <v>0.464701387165456</v>
      </c>
      <c r="I23" s="106">
        <v>5.6776043658582402E-2</v>
      </c>
      <c r="J23" s="106">
        <v>3.5023733638119199E-3</v>
      </c>
      <c r="K23" s="106">
        <v>4.6899256897933901E-2</v>
      </c>
      <c r="L23" s="47">
        <v>7.99995847163921E-3</v>
      </c>
      <c r="M23" s="47">
        <v>3.6749815577381599E-2</v>
      </c>
      <c r="N23" s="106">
        <v>4.3147317248333997E-2</v>
      </c>
      <c r="O23" s="47">
        <v>1.9999896145790402E-3</v>
      </c>
      <c r="P23" s="47">
        <v>1.57499200131354E-2</v>
      </c>
      <c r="Q23" s="106">
        <v>243.966167526025</v>
      </c>
      <c r="R23" s="47">
        <f>0.000057143*Q23</f>
        <v>1.3940958710939646E-2</v>
      </c>
      <c r="S23" s="80">
        <f>0.000025616*Q23</f>
        <v>6.2494373473466567E-3</v>
      </c>
      <c r="T23" s="50">
        <f>C23*($F23*$G23)/453.59</f>
        <v>0.19978255106729004</v>
      </c>
      <c r="U23" s="50">
        <f>C23*($F23*$H23)/453.59</f>
        <v>0.36881875565943734</v>
      </c>
      <c r="V23" s="50">
        <f>C23*(($F23*$I23))/453.59</f>
        <v>4.50613455258927E-2</v>
      </c>
      <c r="W23" s="50">
        <f>C23*($F23*$J23)/453.59</f>
        <v>2.7797226812149543E-3</v>
      </c>
      <c r="X23" s="50">
        <f>C23*(($F23*($K23+$L23+$M23)))/453.59</f>
        <v>7.2738929740302244E-2</v>
      </c>
      <c r="Y23" s="50">
        <f>C23*(($F23*($N23+$O23+$P23)))/453.59</f>
        <v>4.8332197965954803E-2</v>
      </c>
      <c r="Z23" s="50">
        <f>C23*(F23)*$B$348</f>
        <v>0</v>
      </c>
      <c r="AA23" s="50">
        <f>Z23*0.21</f>
        <v>0</v>
      </c>
      <c r="AB23" s="50">
        <f>C23*(($F23*($Q23)))/453.59</f>
        <v>193.62821118051326</v>
      </c>
      <c r="AC23" s="50">
        <f>C23*(($F23*($R23)))/453.59</f>
        <v>1.1064496871488068E-2</v>
      </c>
      <c r="AD23" s="50">
        <f>C23*(($F23*($S23)))/453.59</f>
        <v>4.9599802576000274E-3</v>
      </c>
    </row>
    <row r="24" spans="1:30">
      <c r="A24" s="78" t="s">
        <v>331</v>
      </c>
      <c r="B24" s="76" t="s">
        <v>105</v>
      </c>
      <c r="C24" s="77">
        <v>2</v>
      </c>
      <c r="D24" s="77"/>
      <c r="E24" s="77">
        <v>35</v>
      </c>
      <c r="F24" s="77">
        <v>80</v>
      </c>
      <c r="G24" s="106">
        <v>1.08263976628415</v>
      </c>
      <c r="H24" s="106">
        <v>4.9712718909585103</v>
      </c>
      <c r="I24" s="106">
        <v>0.26248012575016899</v>
      </c>
      <c r="J24" s="106">
        <v>1.0711818E-2</v>
      </c>
      <c r="K24" s="106">
        <v>7.1679901072141505E-2</v>
      </c>
      <c r="L24" s="576">
        <v>3.59998119015979E-2</v>
      </c>
      <c r="M24" s="576">
        <v>6.1739677411240299E-2</v>
      </c>
      <c r="N24" s="106">
        <v>6.5945508986370194E-2</v>
      </c>
      <c r="O24" s="576">
        <v>2.9999843251331498E-3</v>
      </c>
      <c r="P24" s="576">
        <v>5.5859708133979398E-2</v>
      </c>
      <c r="Q24" s="106">
        <v>1710.7260798814</v>
      </c>
      <c r="R24" s="47">
        <v>1.5235246282551899E-2</v>
      </c>
      <c r="S24" s="80">
        <f>0.000025616*Q24</f>
        <v>4.3821959262241944E-2</v>
      </c>
      <c r="T24" s="50">
        <f>C24*($F24*$G24)/453.59</f>
        <v>0.38189193457850484</v>
      </c>
      <c r="U24" s="50">
        <f>C24*($F24*$H24)/453.59</f>
        <v>1.7535737175717316</v>
      </c>
      <c r="V24" s="50">
        <f>C24*(($F24*$I24))/453.59</f>
        <v>9.2587623448548345E-2</v>
      </c>
      <c r="W24" s="50">
        <f>C24*($F24*$J24)/453.59</f>
        <v>3.7785023479353602E-3</v>
      </c>
      <c r="X24" s="50">
        <f>C24*(($F24*($K24+$L24+$M24)))/453.59</f>
        <v>5.9761243549453814E-2</v>
      </c>
      <c r="Y24" s="50">
        <f>C24*(($F24*($N24+$O24+$P24)))/453.59</f>
        <v>4.4023969292262266E-2</v>
      </c>
      <c r="Z24" s="50">
        <f>C24*(F24)*$B$348</f>
        <v>0</v>
      </c>
      <c r="AA24" s="50">
        <f>Z24*0.21</f>
        <v>0</v>
      </c>
      <c r="AB24" s="50">
        <f>C24*(($F24*($Q24)))/453.59</f>
        <v>603.4440194471307</v>
      </c>
      <c r="AC24" s="50">
        <f>C24*(($F24*($R24)))/453.59</f>
        <v>5.3741030560821544E-3</v>
      </c>
      <c r="AD24" s="50">
        <f>C24*(($F24*($S24)))/453.59</f>
        <v>1.5457822002157701E-2</v>
      </c>
    </row>
    <row r="25" spans="1:30">
      <c r="A25" s="75" t="s">
        <v>28</v>
      </c>
      <c r="B25" s="74"/>
      <c r="C25" s="112"/>
      <c r="D25" s="112"/>
      <c r="E25" s="74"/>
      <c r="F25" s="74"/>
      <c r="G25" s="577"/>
      <c r="H25" s="41"/>
      <c r="I25" s="41"/>
      <c r="J25" s="41"/>
      <c r="K25" s="574"/>
      <c r="L25" s="574"/>
      <c r="M25" s="574"/>
      <c r="N25" s="574"/>
      <c r="O25" s="574"/>
      <c r="P25" s="574"/>
      <c r="Q25" s="41"/>
      <c r="R25" s="574"/>
      <c r="S25" s="574"/>
      <c r="T25" s="81">
        <f t="shared" ref="T25:AD25" si="3">SUM(T23:T24)</f>
        <v>0.58167448564579494</v>
      </c>
      <c r="U25" s="81">
        <f t="shared" si="3"/>
        <v>2.122392473231169</v>
      </c>
      <c r="V25" s="81">
        <f t="shared" si="3"/>
        <v>0.13764896897444104</v>
      </c>
      <c r="W25" s="81">
        <f t="shared" si="3"/>
        <v>6.558225029150315E-3</v>
      </c>
      <c r="X25" s="81">
        <f t="shared" si="3"/>
        <v>0.13250017328975605</v>
      </c>
      <c r="Y25" s="81">
        <f t="shared" si="3"/>
        <v>9.2356167258217076E-2</v>
      </c>
      <c r="Z25" s="81">
        <f t="shared" si="3"/>
        <v>0</v>
      </c>
      <c r="AA25" s="81">
        <f t="shared" si="3"/>
        <v>0</v>
      </c>
      <c r="AB25" s="81">
        <f t="shared" si="3"/>
        <v>797.07223062764399</v>
      </c>
      <c r="AC25" s="81">
        <f t="shared" si="3"/>
        <v>1.643859992757022E-2</v>
      </c>
      <c r="AD25" s="81">
        <f t="shared" si="3"/>
        <v>2.0417802259757728E-2</v>
      </c>
    </row>
    <row r="26" spans="1:30">
      <c r="A26" s="75" t="s">
        <v>388</v>
      </c>
      <c r="B26" s="74"/>
      <c r="C26" s="112"/>
      <c r="D26" s="112"/>
      <c r="E26" s="74"/>
      <c r="F26" s="74"/>
      <c r="G26" s="547"/>
      <c r="H26" s="41"/>
      <c r="I26" s="41"/>
      <c r="J26" s="41"/>
      <c r="K26" s="544"/>
      <c r="L26" s="544"/>
      <c r="M26" s="544"/>
      <c r="N26" s="544"/>
      <c r="O26" s="544"/>
      <c r="P26" s="544"/>
      <c r="Q26" s="41"/>
      <c r="R26" s="544"/>
      <c r="S26" s="544"/>
      <c r="T26" s="81">
        <f>T11+T16+T20+T25</f>
        <v>1.5629140734261699</v>
      </c>
      <c r="U26" s="81">
        <f t="shared" ref="U26:AD26" si="4">U11+U16+U20+U25</f>
        <v>4.9824224577812126</v>
      </c>
      <c r="V26" s="81">
        <f t="shared" si="4"/>
        <v>0.36542062900066752</v>
      </c>
      <c r="W26" s="81">
        <f t="shared" si="4"/>
        <v>1.8675895420730539E-2</v>
      </c>
      <c r="X26" s="81">
        <f t="shared" si="4"/>
        <v>0.41047820606011659</v>
      </c>
      <c r="Y26" s="81">
        <f t="shared" si="4"/>
        <v>0.28137673044834377</v>
      </c>
      <c r="Z26" s="81">
        <f t="shared" si="4"/>
        <v>0</v>
      </c>
      <c r="AA26" s="81">
        <f t="shared" si="4"/>
        <v>0</v>
      </c>
      <c r="AB26" s="81">
        <f t="shared" si="4"/>
        <v>1981.4008836163143</v>
      </c>
      <c r="AC26" s="81">
        <f t="shared" si="4"/>
        <v>5.5006193598116572E-2</v>
      </c>
      <c r="AD26" s="81">
        <f t="shared" si="4"/>
        <v>5.0755565034715511E-2</v>
      </c>
    </row>
    <row r="27" spans="1:30">
      <c r="A27" s="370"/>
      <c r="B27" s="371"/>
      <c r="C27" s="372"/>
      <c r="D27" s="372"/>
      <c r="E27" s="371"/>
      <c r="F27" s="371"/>
      <c r="G27" s="373"/>
      <c r="H27" s="373"/>
      <c r="I27" s="373"/>
      <c r="J27" s="373"/>
      <c r="K27" s="373"/>
      <c r="L27" s="373"/>
      <c r="M27" s="373"/>
      <c r="N27" s="373"/>
      <c r="O27" s="373"/>
      <c r="P27" s="373"/>
      <c r="Q27" s="373"/>
      <c r="R27" s="373"/>
      <c r="S27" s="373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</row>
    <row r="28" spans="1:30">
      <c r="A28" s="370"/>
      <c r="B28" s="371"/>
      <c r="C28" s="372"/>
      <c r="D28" s="372"/>
      <c r="E28" s="371"/>
      <c r="F28" s="371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</row>
    <row r="29" spans="1:30">
      <c r="A29" s="370"/>
      <c r="B29" s="371"/>
      <c r="C29" s="372"/>
      <c r="D29" s="372"/>
      <c r="E29" s="371"/>
      <c r="F29" s="371"/>
      <c r="G29" s="373"/>
      <c r="H29" s="373"/>
      <c r="I29" s="373"/>
      <c r="J29" s="373"/>
      <c r="K29" s="373"/>
      <c r="L29" s="373"/>
      <c r="M29" s="373"/>
      <c r="N29" s="373"/>
      <c r="O29" s="373"/>
      <c r="P29" s="373"/>
      <c r="Q29" s="373"/>
      <c r="R29" s="373"/>
      <c r="S29" s="373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</row>
    <row r="30" spans="1:30">
      <c r="A30" s="370"/>
      <c r="B30" s="371"/>
      <c r="C30" s="372"/>
      <c r="D30" s="372"/>
      <c r="E30" s="371"/>
      <c r="F30" s="371"/>
      <c r="G30" s="373"/>
      <c r="H30" s="373"/>
      <c r="I30" s="373"/>
      <c r="J30" s="373"/>
      <c r="K30" s="373"/>
      <c r="L30" s="373"/>
      <c r="M30" s="373"/>
      <c r="N30" s="373"/>
      <c r="O30" s="373"/>
      <c r="P30" s="373"/>
      <c r="Q30" s="373"/>
      <c r="R30" s="373"/>
      <c r="S30" s="373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</row>
    <row r="378" spans="1:1" ht="25.5">
      <c r="A378" s="82" t="s">
        <v>109</v>
      </c>
    </row>
    <row r="380" spans="1:1">
      <c r="A380" s="36" t="s">
        <v>81</v>
      </c>
    </row>
    <row r="381" spans="1:1">
      <c r="A381" s="36" t="s">
        <v>82</v>
      </c>
    </row>
    <row r="382" spans="1:1">
      <c r="A382" s="36" t="s">
        <v>83</v>
      </c>
    </row>
    <row r="383" spans="1:1">
      <c r="A383" s="37" t="s">
        <v>96</v>
      </c>
    </row>
    <row r="384" spans="1:1">
      <c r="A384" s="36" t="s">
        <v>85</v>
      </c>
    </row>
    <row r="385" spans="1:2">
      <c r="A385" s="36" t="s">
        <v>86</v>
      </c>
    </row>
    <row r="386" spans="1:2">
      <c r="A386" s="36" t="s">
        <v>87</v>
      </c>
    </row>
    <row r="387" spans="1:2">
      <c r="A387" s="36" t="s">
        <v>0</v>
      </c>
    </row>
    <row r="388" spans="1:2">
      <c r="A388" s="37" t="s">
        <v>97</v>
      </c>
      <c r="B388" s="36">
        <f>(0.016*(0.03/2)^0.65*(2/3)^1.5)-0.00047</f>
        <v>9.8123053326417428E-5</v>
      </c>
    </row>
    <row r="389" spans="1:2">
      <c r="A389" s="37" t="s">
        <v>98</v>
      </c>
      <c r="B389" s="36">
        <f>(0.016*(0.03/2)^0.65*(13/3)^1.5)-0.00047</f>
        <v>8.9448292388582783E-3</v>
      </c>
    </row>
    <row r="390" spans="1:2">
      <c r="A390" s="37" t="s">
        <v>99</v>
      </c>
      <c r="B39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5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566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346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7" si="0">0.000049261*AA4</f>
        <v>2.2095931710230707E-2</v>
      </c>
      <c r="AD4" s="49">
        <v>3.2599999999999997E-2</v>
      </c>
      <c r="AE4" s="47">
        <f t="shared" ref="AE4:AE7" si="1">0.000021675*AA4</f>
        <v>9.7222817202097123E-3</v>
      </c>
    </row>
    <row r="5" spans="1:67" ht="25.5">
      <c r="A5" s="44" t="s">
        <v>328</v>
      </c>
      <c r="B5" s="45" t="s">
        <v>102</v>
      </c>
      <c r="C5" s="46">
        <v>3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ref="AC5:AC6" si="2">0.000049261*AA5</f>
        <v>2.2095931710230707E-2</v>
      </c>
      <c r="AD5" s="49">
        <v>3.2599999999999997E-2</v>
      </c>
      <c r="AE5" s="47">
        <f t="shared" ref="AE5:AE6" si="3">0.000021675*AA5</f>
        <v>9.7222817202097123E-3</v>
      </c>
    </row>
    <row r="6" spans="1:67" ht="25.5">
      <c r="A6" s="44" t="s">
        <v>330</v>
      </c>
      <c r="B6" s="45" t="s">
        <v>102</v>
      </c>
      <c r="C6" s="46">
        <v>19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2"/>
        <v>2.2095931710230707E-2</v>
      </c>
      <c r="AD6" s="49">
        <v>3.2599999999999997E-2</v>
      </c>
      <c r="AE6" s="47">
        <f t="shared" si="3"/>
        <v>9.7222817202097123E-3</v>
      </c>
    </row>
    <row r="7" spans="1:67" ht="25.5">
      <c r="A7" s="44" t="s">
        <v>332</v>
      </c>
      <c r="B7" s="45" t="s">
        <v>102</v>
      </c>
      <c r="C7" s="46">
        <v>12</v>
      </c>
      <c r="D7" s="46">
        <v>35</v>
      </c>
      <c r="E7" s="46">
        <v>80</v>
      </c>
      <c r="F7" s="47">
        <v>2.3611622044318601</v>
      </c>
      <c r="G7" s="48">
        <v>31.4244798871777</v>
      </c>
      <c r="H7" s="48">
        <v>0.22493614397154399</v>
      </c>
      <c r="I7" s="48">
        <v>1.8136819244333999</v>
      </c>
      <c r="J7" s="47">
        <v>5.7965153248686403E-2</v>
      </c>
      <c r="K7" s="48">
        <v>2.3946366793705498</v>
      </c>
      <c r="L7" s="48">
        <v>1.62197187247403</v>
      </c>
      <c r="M7" s="48">
        <v>0.70709499821369304</v>
      </c>
      <c r="N7" s="48">
        <v>0.16038404042738499</v>
      </c>
      <c r="O7" s="48">
        <v>0.71464703099800198</v>
      </c>
      <c r="P7" s="48">
        <v>4.0478385316323803E-3</v>
      </c>
      <c r="Q7" s="48">
        <v>5.8407810191933099E-3</v>
      </c>
      <c r="R7" s="47">
        <v>3.2157701660956101E-3</v>
      </c>
      <c r="S7" s="48">
        <v>2.9198634356063399E-2</v>
      </c>
      <c r="T7" s="48">
        <v>7.9999583995993707E-3</v>
      </c>
      <c r="U7" s="48">
        <v>3.6749815874576097E-2</v>
      </c>
      <c r="V7" s="48">
        <v>2.9606446234606999E-3</v>
      </c>
      <c r="W7" s="48">
        <v>2.6884174180557701E-2</v>
      </c>
      <c r="X7" s="48">
        <v>1.9999896010969099E-3</v>
      </c>
      <c r="Y7" s="48">
        <v>1.57499197860352E-2</v>
      </c>
      <c r="Z7" s="48">
        <v>308.63789988642998</v>
      </c>
      <c r="AA7" s="48">
        <v>448.54817624958298</v>
      </c>
      <c r="AB7" s="47">
        <v>1.77E-2</v>
      </c>
      <c r="AC7" s="47">
        <f t="shared" si="0"/>
        <v>2.2095931710230707E-2</v>
      </c>
      <c r="AD7" s="49">
        <v>3.2599999999999997E-2</v>
      </c>
      <c r="AE7" s="47">
        <f t="shared" si="1"/>
        <v>9.7222817202097123E-3</v>
      </c>
    </row>
    <row r="8" spans="1:67">
      <c r="A8" s="52"/>
      <c r="B8" s="52"/>
      <c r="C8" s="53"/>
      <c r="D8" s="54"/>
      <c r="E8" s="54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</row>
    <row r="9" spans="1:67" ht="25.5">
      <c r="A9" s="55" t="s">
        <v>504</v>
      </c>
      <c r="B9" s="37"/>
      <c r="C9" s="37"/>
    </row>
    <row r="10" spans="1:67">
      <c r="A10" s="55" t="s">
        <v>77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84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</row>
    <row r="11" spans="1:67">
      <c r="A11" s="55" t="s">
        <v>78</v>
      </c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t="38.25" hidden="1">
      <c r="A12" s="55" t="s">
        <v>79</v>
      </c>
      <c r="B12" s="37"/>
      <c r="C12" s="37"/>
      <c r="AA12" s="57"/>
      <c r="AB12" s="58" t="s">
        <v>80</v>
      </c>
      <c r="AC12" s="57"/>
      <c r="AD12" s="57"/>
      <c r="AE12" s="57"/>
      <c r="AF12" s="57" t="e">
        <f>#REF!/60</f>
        <v>#REF!</v>
      </c>
      <c r="AG12" s="57" t="e">
        <f>#REF!/60</f>
        <v>#REF!</v>
      </c>
      <c r="AH12" s="57" t="e">
        <f>#REF!/60</f>
        <v>#REF!</v>
      </c>
      <c r="AI12" s="57" t="e">
        <f>#REF!/60</f>
        <v>#REF!</v>
      </c>
      <c r="AJ12" s="57" t="e">
        <f>#REF!/60</f>
        <v>#REF!</v>
      </c>
      <c r="AK12" s="57" t="e">
        <f>#REF!/60</f>
        <v>#REF!</v>
      </c>
      <c r="AL12" s="57" t="e">
        <f>#REF!/60</f>
        <v>#REF!</v>
      </c>
      <c r="AM12" s="57" t="e">
        <f>#REF!/60</f>
        <v>#REF!</v>
      </c>
      <c r="AN12" s="57" t="e">
        <f>#REF!/60</f>
        <v>#REF!</v>
      </c>
      <c r="AO12" s="57" t="e">
        <f>#REF!/60</f>
        <v>#REF!</v>
      </c>
      <c r="AP12" s="57"/>
      <c r="AQ12" s="57"/>
      <c r="AR12" s="57" t="e">
        <f>#REF!/60</f>
        <v>#REF!</v>
      </c>
      <c r="AS12" s="57" t="e">
        <f>#REF!/60</f>
        <v>#REF!</v>
      </c>
      <c r="AT12" s="57" t="e">
        <f>#REF!/60</f>
        <v>#REF!</v>
      </c>
      <c r="AU12" s="57" t="e">
        <f>#REF!/60</f>
        <v>#REF!</v>
      </c>
      <c r="AV12" s="57" t="e">
        <f>#REF!/60</f>
        <v>#REF!</v>
      </c>
      <c r="AW12" s="57" t="e">
        <f>#REF!/60</f>
        <v>#REF!</v>
      </c>
      <c r="AX12" s="57" t="e">
        <f>#REF!/60</f>
        <v>#REF!</v>
      </c>
      <c r="AY12" s="57" t="e">
        <f>#REF!/60</f>
        <v>#REF!</v>
      </c>
      <c r="AZ12" s="57" t="e">
        <f>#REF!/60</f>
        <v>#REF!</v>
      </c>
      <c r="BA12" s="57" t="e">
        <f>#REF!/60</f>
        <v>#REF!</v>
      </c>
    </row>
    <row r="13" spans="1:67" hidden="1">
      <c r="A13" s="55"/>
      <c r="B13" s="37"/>
      <c r="C13" s="3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9"/>
      <c r="AS13" s="59"/>
      <c r="AT13" s="59"/>
      <c r="AU13" s="59"/>
      <c r="AV13" s="59"/>
      <c r="AW13" s="59"/>
      <c r="AX13" s="59"/>
      <c r="AY13" s="59"/>
      <c r="AZ13" s="60"/>
      <c r="BA13" s="59"/>
    </row>
    <row r="14" spans="1:67" hidden="1">
      <c r="A14" s="37"/>
      <c r="B14" s="37"/>
      <c r="C14" s="37"/>
      <c r="AF14" s="596" t="s">
        <v>64</v>
      </c>
      <c r="AG14" s="596"/>
      <c r="AH14" s="596"/>
      <c r="AI14" s="596"/>
      <c r="AJ14" s="596"/>
      <c r="AK14" s="597"/>
      <c r="AL14" s="597"/>
      <c r="AM14" s="597"/>
      <c r="AN14" s="597"/>
      <c r="AO14" s="597"/>
      <c r="AP14" s="546"/>
      <c r="AQ14" s="56"/>
      <c r="AR14" s="596" t="s">
        <v>65</v>
      </c>
      <c r="AS14" s="596"/>
      <c r="AT14" s="596"/>
      <c r="AU14" s="596"/>
      <c r="AV14" s="596"/>
      <c r="AW14" s="597"/>
      <c r="AX14" s="597"/>
      <c r="AY14" s="597"/>
      <c r="AZ14" s="597"/>
      <c r="BA14" s="597"/>
    </row>
    <row r="15" spans="1:67" ht="63.75" hidden="1">
      <c r="A15" s="37"/>
      <c r="B15" s="37"/>
      <c r="C15" s="37"/>
      <c r="AF15" s="61" t="s">
        <v>55</v>
      </c>
      <c r="AG15" s="61" t="s">
        <v>73</v>
      </c>
      <c r="AH15" s="61" t="s">
        <v>74</v>
      </c>
      <c r="AI15" s="61" t="s">
        <v>58</v>
      </c>
      <c r="AJ15" s="61" t="s">
        <v>59</v>
      </c>
      <c r="AK15" s="61" t="s">
        <v>60</v>
      </c>
      <c r="AL15" s="62" t="s">
        <v>75</v>
      </c>
      <c r="AM15" s="62" t="s">
        <v>76</v>
      </c>
      <c r="AN15" s="62" t="s">
        <v>61</v>
      </c>
      <c r="AO15" s="62" t="s">
        <v>62</v>
      </c>
      <c r="AP15" s="62"/>
      <c r="AQ15" s="43"/>
      <c r="AR15" s="61" t="s">
        <v>55</v>
      </c>
      <c r="AS15" s="61" t="s">
        <v>73</v>
      </c>
      <c r="AT15" s="61" t="s">
        <v>74</v>
      </c>
      <c r="AU15" s="61" t="s">
        <v>58</v>
      </c>
      <c r="AV15" s="61" t="s">
        <v>59</v>
      </c>
      <c r="AW15" s="61" t="s">
        <v>60</v>
      </c>
      <c r="AX15" s="62" t="s">
        <v>75</v>
      </c>
      <c r="AY15" s="62" t="s">
        <v>76</v>
      </c>
      <c r="AZ15" s="63" t="s">
        <v>61</v>
      </c>
      <c r="BA15" s="61" t="s">
        <v>62</v>
      </c>
    </row>
    <row r="16" spans="1:67" hidden="1">
      <c r="A16" s="37" t="s">
        <v>81</v>
      </c>
      <c r="B16" s="37"/>
      <c r="C16" s="37"/>
      <c r="AA16" s="64" t="s">
        <v>29</v>
      </c>
      <c r="AB16" s="65" t="s">
        <v>30</v>
      </c>
      <c r="AC16" s="65" t="s">
        <v>31</v>
      </c>
      <c r="AD16" s="65"/>
      <c r="AE16" s="65"/>
      <c r="AQ16" s="38"/>
    </row>
    <row r="17" spans="1:53" hidden="1">
      <c r="A17" s="37" t="s">
        <v>82</v>
      </c>
      <c r="B17" s="37"/>
      <c r="C17" s="37"/>
      <c r="AA17" s="64"/>
      <c r="AB17" s="65" t="s">
        <v>32</v>
      </c>
      <c r="AC17" s="65">
        <v>13.25</v>
      </c>
      <c r="AD17" s="65"/>
      <c r="AE17" s="65"/>
      <c r="AF17" s="36" t="e">
        <f>AF$12*$AC17</f>
        <v>#REF!</v>
      </c>
      <c r="AG17" s="36" t="e">
        <f t="shared" ref="AG17:AO25" si="4">AG$12*$AC17</f>
        <v>#REF!</v>
      </c>
      <c r="AH17" s="36" t="e">
        <f t="shared" si="4"/>
        <v>#REF!</v>
      </c>
      <c r="AI17" s="36" t="e">
        <f t="shared" si="4"/>
        <v>#REF!</v>
      </c>
      <c r="AJ17" s="36" t="e">
        <f t="shared" si="4"/>
        <v>#REF!</v>
      </c>
      <c r="AK17" s="36" t="e">
        <f t="shared" si="4"/>
        <v>#REF!</v>
      </c>
      <c r="AL17" s="36" t="e">
        <f t="shared" si="4"/>
        <v>#REF!</v>
      </c>
      <c r="AM17" s="36" t="e">
        <f t="shared" si="4"/>
        <v>#REF!</v>
      </c>
      <c r="AN17" s="36" t="e">
        <f t="shared" si="4"/>
        <v>#REF!</v>
      </c>
      <c r="AO17" s="36" t="e">
        <f t="shared" si="4"/>
        <v>#REF!</v>
      </c>
      <c r="AQ17" s="38"/>
      <c r="AR17" s="36" t="e">
        <f>AR$12*$AC17</f>
        <v>#REF!</v>
      </c>
      <c r="AS17" s="36" t="e">
        <f t="shared" ref="AS17:BA25" si="5">AS$12*$AC17</f>
        <v>#REF!</v>
      </c>
      <c r="AT17" s="36" t="e">
        <f t="shared" si="5"/>
        <v>#REF!</v>
      </c>
      <c r="AU17" s="36" t="e">
        <f t="shared" si="5"/>
        <v>#REF!</v>
      </c>
      <c r="AV17" s="36" t="e">
        <f t="shared" si="5"/>
        <v>#REF!</v>
      </c>
      <c r="AW17" s="36" t="e">
        <f t="shared" si="5"/>
        <v>#REF!</v>
      </c>
      <c r="AX17" s="36" t="e">
        <f t="shared" si="5"/>
        <v>#REF!</v>
      </c>
      <c r="AY17" s="36" t="e">
        <f t="shared" si="5"/>
        <v>#REF!</v>
      </c>
      <c r="AZ17" s="36" t="e">
        <f t="shared" si="5"/>
        <v>#REF!</v>
      </c>
      <c r="BA17" s="36" t="e">
        <f t="shared" si="5"/>
        <v>#REF!</v>
      </c>
    </row>
    <row r="18" spans="1:53" hidden="1">
      <c r="A18" s="37" t="s">
        <v>83</v>
      </c>
      <c r="B18" s="37"/>
      <c r="C18" s="37"/>
      <c r="AA18" s="64"/>
      <c r="AB18" s="65" t="s">
        <v>33</v>
      </c>
      <c r="AC18" s="65">
        <v>20.298999999999999</v>
      </c>
      <c r="AD18" s="65"/>
      <c r="AE18" s="65"/>
      <c r="AF18" s="36" t="e">
        <f t="shared" ref="AF18:AF25" si="6">AF$12*$AC18</f>
        <v>#REF!</v>
      </c>
      <c r="AG18" s="36" t="e">
        <f t="shared" si="4"/>
        <v>#REF!</v>
      </c>
      <c r="AH18" s="36" t="e">
        <f t="shared" si="4"/>
        <v>#REF!</v>
      </c>
      <c r="AI18" s="36" t="e">
        <f t="shared" si="4"/>
        <v>#REF!</v>
      </c>
      <c r="AJ18" s="36" t="e">
        <f t="shared" si="4"/>
        <v>#REF!</v>
      </c>
      <c r="AK18" s="36" t="e">
        <f t="shared" si="4"/>
        <v>#REF!</v>
      </c>
      <c r="AL18" s="36" t="e">
        <f t="shared" si="4"/>
        <v>#REF!</v>
      </c>
      <c r="AM18" s="36" t="e">
        <f t="shared" si="4"/>
        <v>#REF!</v>
      </c>
      <c r="AN18" s="36" t="e">
        <f t="shared" si="4"/>
        <v>#REF!</v>
      </c>
      <c r="AO18" s="36" t="e">
        <f t="shared" si="4"/>
        <v>#REF!</v>
      </c>
      <c r="AQ18" s="38"/>
      <c r="AR18" s="36" t="e">
        <f t="shared" ref="AR18:AR25" si="7">AR$12*$AC18</f>
        <v>#REF!</v>
      </c>
      <c r="AS18" s="36" t="e">
        <f t="shared" si="5"/>
        <v>#REF!</v>
      </c>
      <c r="AT18" s="36" t="e">
        <f t="shared" si="5"/>
        <v>#REF!</v>
      </c>
      <c r="AU18" s="36" t="e">
        <f t="shared" si="5"/>
        <v>#REF!</v>
      </c>
      <c r="AV18" s="36" t="e">
        <f t="shared" si="5"/>
        <v>#REF!</v>
      </c>
      <c r="AW18" s="36" t="e">
        <f t="shared" si="5"/>
        <v>#REF!</v>
      </c>
      <c r="AX18" s="36" t="e">
        <f t="shared" si="5"/>
        <v>#REF!</v>
      </c>
      <c r="AY18" s="36" t="e">
        <f t="shared" si="5"/>
        <v>#REF!</v>
      </c>
      <c r="AZ18" s="36" t="e">
        <f t="shared" si="5"/>
        <v>#REF!</v>
      </c>
      <c r="BA18" s="36" t="e">
        <f t="shared" si="5"/>
        <v>#REF!</v>
      </c>
    </row>
    <row r="19" spans="1:53" hidden="1">
      <c r="A19" s="37" t="s">
        <v>84</v>
      </c>
      <c r="B19" s="37"/>
      <c r="C19" s="37"/>
      <c r="AA19" s="64"/>
      <c r="AB19" s="65" t="s">
        <v>34</v>
      </c>
      <c r="AC19" s="65">
        <v>21.68</v>
      </c>
      <c r="AD19" s="65"/>
      <c r="AE19" s="65"/>
      <c r="AF19" s="36" t="e">
        <f t="shared" si="6"/>
        <v>#REF!</v>
      </c>
      <c r="AG19" s="36" t="e">
        <f t="shared" si="4"/>
        <v>#REF!</v>
      </c>
      <c r="AH19" s="36" t="e">
        <f t="shared" si="4"/>
        <v>#REF!</v>
      </c>
      <c r="AI19" s="36" t="e">
        <f t="shared" si="4"/>
        <v>#REF!</v>
      </c>
      <c r="AJ19" s="36" t="e">
        <f t="shared" si="4"/>
        <v>#REF!</v>
      </c>
      <c r="AK19" s="36" t="e">
        <f t="shared" si="4"/>
        <v>#REF!</v>
      </c>
      <c r="AL19" s="36" t="e">
        <f t="shared" si="4"/>
        <v>#REF!</v>
      </c>
      <c r="AM19" s="36" t="e">
        <f t="shared" si="4"/>
        <v>#REF!</v>
      </c>
      <c r="AN19" s="36" t="e">
        <f t="shared" si="4"/>
        <v>#REF!</v>
      </c>
      <c r="AO19" s="36" t="e">
        <f t="shared" si="4"/>
        <v>#REF!</v>
      </c>
      <c r="AQ19" s="38"/>
      <c r="AR19" s="36" t="e">
        <f t="shared" si="7"/>
        <v>#REF!</v>
      </c>
      <c r="AS19" s="36" t="e">
        <f t="shared" si="5"/>
        <v>#REF!</v>
      </c>
      <c r="AT19" s="36" t="e">
        <f t="shared" si="5"/>
        <v>#REF!</v>
      </c>
      <c r="AU19" s="36" t="e">
        <f t="shared" si="5"/>
        <v>#REF!</v>
      </c>
      <c r="AV19" s="36" t="e">
        <f t="shared" si="5"/>
        <v>#REF!</v>
      </c>
      <c r="AW19" s="36" t="e">
        <f t="shared" si="5"/>
        <v>#REF!</v>
      </c>
      <c r="AX19" s="36" t="e">
        <f t="shared" si="5"/>
        <v>#REF!</v>
      </c>
      <c r="AY19" s="36" t="e">
        <f t="shared" si="5"/>
        <v>#REF!</v>
      </c>
      <c r="AZ19" s="36" t="e">
        <f t="shared" si="5"/>
        <v>#REF!</v>
      </c>
      <c r="BA19" s="36" t="e">
        <f t="shared" si="5"/>
        <v>#REF!</v>
      </c>
    </row>
    <row r="20" spans="1:53" hidden="1">
      <c r="A20" s="37" t="s">
        <v>85</v>
      </c>
      <c r="B20" s="37"/>
      <c r="C20" s="37"/>
      <c r="AA20" s="64"/>
      <c r="AB20" s="65" t="s">
        <v>35</v>
      </c>
      <c r="AC20" s="65">
        <v>9.3046500000000005</v>
      </c>
      <c r="AD20" s="65"/>
      <c r="AE20" s="65"/>
      <c r="AF20" s="36" t="e">
        <f t="shared" si="6"/>
        <v>#REF!</v>
      </c>
      <c r="AG20" s="36" t="e">
        <f t="shared" si="4"/>
        <v>#REF!</v>
      </c>
      <c r="AH20" s="36" t="e">
        <f t="shared" si="4"/>
        <v>#REF!</v>
      </c>
      <c r="AI20" s="36" t="e">
        <f t="shared" si="4"/>
        <v>#REF!</v>
      </c>
      <c r="AJ20" s="36" t="e">
        <f t="shared" si="4"/>
        <v>#REF!</v>
      </c>
      <c r="AK20" s="36" t="e">
        <f t="shared" si="4"/>
        <v>#REF!</v>
      </c>
      <c r="AL20" s="36" t="e">
        <f t="shared" si="4"/>
        <v>#REF!</v>
      </c>
      <c r="AM20" s="36" t="e">
        <f t="shared" si="4"/>
        <v>#REF!</v>
      </c>
      <c r="AN20" s="36" t="e">
        <f t="shared" si="4"/>
        <v>#REF!</v>
      </c>
      <c r="AO20" s="36" t="e">
        <f t="shared" si="4"/>
        <v>#REF!</v>
      </c>
      <c r="AQ20" s="38"/>
      <c r="AR20" s="36" t="e">
        <f t="shared" si="7"/>
        <v>#REF!</v>
      </c>
      <c r="AS20" s="36" t="e">
        <f t="shared" si="5"/>
        <v>#REF!</v>
      </c>
      <c r="AT20" s="36" t="e">
        <f t="shared" si="5"/>
        <v>#REF!</v>
      </c>
      <c r="AU20" s="36" t="e">
        <f t="shared" si="5"/>
        <v>#REF!</v>
      </c>
      <c r="AV20" s="36" t="e">
        <f t="shared" si="5"/>
        <v>#REF!</v>
      </c>
      <c r="AW20" s="36" t="e">
        <f t="shared" si="5"/>
        <v>#REF!</v>
      </c>
      <c r="AX20" s="36" t="e">
        <f t="shared" si="5"/>
        <v>#REF!</v>
      </c>
      <c r="AY20" s="36" t="e">
        <f t="shared" si="5"/>
        <v>#REF!</v>
      </c>
      <c r="AZ20" s="36" t="e">
        <f t="shared" si="5"/>
        <v>#REF!</v>
      </c>
      <c r="BA20" s="36" t="e">
        <f t="shared" si="5"/>
        <v>#REF!</v>
      </c>
    </row>
    <row r="21" spans="1:53" hidden="1">
      <c r="A21" s="37" t="s">
        <v>86</v>
      </c>
      <c r="B21" s="37"/>
      <c r="C21" s="37"/>
      <c r="AA21" s="64"/>
      <c r="AB21" s="65" t="s">
        <v>36</v>
      </c>
      <c r="AC21" s="65">
        <v>5.0347999999999997</v>
      </c>
      <c r="AD21" s="65"/>
      <c r="AE21" s="65"/>
      <c r="AF21" s="36" t="e">
        <f t="shared" si="6"/>
        <v>#REF!</v>
      </c>
      <c r="AG21" s="36" t="e">
        <f t="shared" si="4"/>
        <v>#REF!</v>
      </c>
      <c r="AH21" s="36" t="e">
        <f t="shared" si="4"/>
        <v>#REF!</v>
      </c>
      <c r="AI21" s="36" t="e">
        <f t="shared" si="4"/>
        <v>#REF!</v>
      </c>
      <c r="AJ21" s="36" t="e">
        <f t="shared" si="4"/>
        <v>#REF!</v>
      </c>
      <c r="AK21" s="36" t="e">
        <f t="shared" si="4"/>
        <v>#REF!</v>
      </c>
      <c r="AL21" s="36" t="e">
        <f t="shared" si="4"/>
        <v>#REF!</v>
      </c>
      <c r="AM21" s="36" t="e">
        <f t="shared" si="4"/>
        <v>#REF!</v>
      </c>
      <c r="AN21" s="36" t="e">
        <f t="shared" si="4"/>
        <v>#REF!</v>
      </c>
      <c r="AO21" s="36" t="e">
        <f t="shared" si="4"/>
        <v>#REF!</v>
      </c>
      <c r="AQ21" s="38"/>
      <c r="AR21" s="36" t="e">
        <f t="shared" si="7"/>
        <v>#REF!</v>
      </c>
      <c r="AS21" s="36" t="e">
        <f t="shared" si="5"/>
        <v>#REF!</v>
      </c>
      <c r="AT21" s="36" t="e">
        <f t="shared" si="5"/>
        <v>#REF!</v>
      </c>
      <c r="AU21" s="36" t="e">
        <f t="shared" si="5"/>
        <v>#REF!</v>
      </c>
      <c r="AV21" s="36" t="e">
        <f t="shared" si="5"/>
        <v>#REF!</v>
      </c>
      <c r="AW21" s="36" t="e">
        <f t="shared" si="5"/>
        <v>#REF!</v>
      </c>
      <c r="AX21" s="36" t="e">
        <f t="shared" si="5"/>
        <v>#REF!</v>
      </c>
      <c r="AY21" s="36" t="e">
        <f t="shared" si="5"/>
        <v>#REF!</v>
      </c>
      <c r="AZ21" s="36" t="e">
        <f t="shared" si="5"/>
        <v>#REF!</v>
      </c>
      <c r="BA21" s="36" t="e">
        <f t="shared" si="5"/>
        <v>#REF!</v>
      </c>
    </row>
    <row r="22" spans="1:53" hidden="1">
      <c r="A22" s="37" t="s">
        <v>87</v>
      </c>
      <c r="B22" s="37"/>
      <c r="C22" s="37"/>
      <c r="AA22" s="64"/>
      <c r="AB22" s="65" t="s">
        <v>37</v>
      </c>
      <c r="AC22" s="65">
        <v>0</v>
      </c>
      <c r="AD22" s="65"/>
      <c r="AE22" s="65"/>
      <c r="AF22" s="36" t="e">
        <f t="shared" si="6"/>
        <v>#REF!</v>
      </c>
      <c r="AG22" s="36" t="e">
        <f t="shared" si="4"/>
        <v>#REF!</v>
      </c>
      <c r="AH22" s="36" t="e">
        <f t="shared" si="4"/>
        <v>#REF!</v>
      </c>
      <c r="AI22" s="36" t="e">
        <f t="shared" si="4"/>
        <v>#REF!</v>
      </c>
      <c r="AJ22" s="36" t="e">
        <f t="shared" si="4"/>
        <v>#REF!</v>
      </c>
      <c r="AK22" s="36" t="e">
        <f t="shared" si="4"/>
        <v>#REF!</v>
      </c>
      <c r="AL22" s="36" t="e">
        <f t="shared" si="4"/>
        <v>#REF!</v>
      </c>
      <c r="AM22" s="36" t="e">
        <f t="shared" si="4"/>
        <v>#REF!</v>
      </c>
      <c r="AN22" s="36" t="e">
        <f t="shared" si="4"/>
        <v>#REF!</v>
      </c>
      <c r="AO22" s="36" t="e">
        <f t="shared" si="4"/>
        <v>#REF!</v>
      </c>
      <c r="AQ22" s="38"/>
      <c r="AR22" s="36" t="e">
        <f t="shared" si="7"/>
        <v>#REF!</v>
      </c>
      <c r="AS22" s="36" t="e">
        <f t="shared" si="5"/>
        <v>#REF!</v>
      </c>
      <c r="AT22" s="36" t="e">
        <f t="shared" si="5"/>
        <v>#REF!</v>
      </c>
      <c r="AU22" s="36" t="e">
        <f t="shared" si="5"/>
        <v>#REF!</v>
      </c>
      <c r="AV22" s="36" t="e">
        <f t="shared" si="5"/>
        <v>#REF!</v>
      </c>
      <c r="AW22" s="36" t="e">
        <f t="shared" si="5"/>
        <v>#REF!</v>
      </c>
      <c r="AX22" s="36" t="e">
        <f t="shared" si="5"/>
        <v>#REF!</v>
      </c>
      <c r="AY22" s="36" t="e">
        <f t="shared" si="5"/>
        <v>#REF!</v>
      </c>
      <c r="AZ22" s="36" t="e">
        <f t="shared" si="5"/>
        <v>#REF!</v>
      </c>
      <c r="BA22" s="36" t="e">
        <f t="shared" si="5"/>
        <v>#REF!</v>
      </c>
    </row>
    <row r="23" spans="1:53" hidden="1">
      <c r="A23" s="37" t="s">
        <v>0</v>
      </c>
      <c r="B23" s="37"/>
      <c r="C23" s="37"/>
      <c r="AA23" s="64"/>
      <c r="AB23" s="65" t="s">
        <v>38</v>
      </c>
      <c r="AC23" s="65">
        <v>0</v>
      </c>
      <c r="AD23" s="65"/>
      <c r="AE23" s="65"/>
      <c r="AF23" s="36" t="e">
        <f t="shared" si="6"/>
        <v>#REF!</v>
      </c>
      <c r="AG23" s="36" t="e">
        <f t="shared" si="4"/>
        <v>#REF!</v>
      </c>
      <c r="AH23" s="36" t="e">
        <f t="shared" si="4"/>
        <v>#REF!</v>
      </c>
      <c r="AI23" s="36" t="e">
        <f t="shared" si="4"/>
        <v>#REF!</v>
      </c>
      <c r="AJ23" s="36" t="e">
        <f t="shared" si="4"/>
        <v>#REF!</v>
      </c>
      <c r="AK23" s="36" t="e">
        <f t="shared" si="4"/>
        <v>#REF!</v>
      </c>
      <c r="AL23" s="36" t="e">
        <f t="shared" si="4"/>
        <v>#REF!</v>
      </c>
      <c r="AM23" s="36" t="e">
        <f t="shared" si="4"/>
        <v>#REF!</v>
      </c>
      <c r="AN23" s="36" t="e">
        <f t="shared" si="4"/>
        <v>#REF!</v>
      </c>
      <c r="AO23" s="36" t="e">
        <f t="shared" si="4"/>
        <v>#REF!</v>
      </c>
      <c r="AQ23" s="38"/>
      <c r="AR23" s="36" t="e">
        <f t="shared" si="7"/>
        <v>#REF!</v>
      </c>
      <c r="AS23" s="36" t="e">
        <f t="shared" si="5"/>
        <v>#REF!</v>
      </c>
      <c r="AT23" s="36" t="e">
        <f t="shared" si="5"/>
        <v>#REF!</v>
      </c>
      <c r="AU23" s="36" t="e">
        <f t="shared" si="5"/>
        <v>#REF!</v>
      </c>
      <c r="AV23" s="36" t="e">
        <f t="shared" si="5"/>
        <v>#REF!</v>
      </c>
      <c r="AW23" s="36" t="e">
        <f t="shared" si="5"/>
        <v>#REF!</v>
      </c>
      <c r="AX23" s="36" t="e">
        <f t="shared" si="5"/>
        <v>#REF!</v>
      </c>
      <c r="AY23" s="36" t="e">
        <f t="shared" si="5"/>
        <v>#REF!</v>
      </c>
      <c r="AZ23" s="36" t="e">
        <f t="shared" si="5"/>
        <v>#REF!</v>
      </c>
      <c r="BA23" s="36" t="e">
        <f t="shared" si="5"/>
        <v>#REF!</v>
      </c>
    </row>
    <row r="24" spans="1:53" hidden="1">
      <c r="A24" s="37" t="s">
        <v>59</v>
      </c>
      <c r="B24" s="37">
        <f>(0.016*(0.03/2)^0.65*(2/3)^1.5)-0.00047</f>
        <v>9.8123053326417428E-5</v>
      </c>
      <c r="C24" s="37"/>
      <c r="AA24" s="64"/>
      <c r="AB24" s="65" t="s">
        <v>39</v>
      </c>
      <c r="AC24" s="65">
        <v>0</v>
      </c>
      <c r="AD24" s="65"/>
      <c r="AE24" s="65"/>
      <c r="AF24" s="36" t="e">
        <f t="shared" si="6"/>
        <v>#REF!</v>
      </c>
      <c r="AG24" s="36" t="e">
        <f t="shared" si="4"/>
        <v>#REF!</v>
      </c>
      <c r="AH24" s="36" t="e">
        <f t="shared" si="4"/>
        <v>#REF!</v>
      </c>
      <c r="AI24" s="36" t="e">
        <f t="shared" si="4"/>
        <v>#REF!</v>
      </c>
      <c r="AJ24" s="36" t="e">
        <f t="shared" si="4"/>
        <v>#REF!</v>
      </c>
      <c r="AK24" s="36" t="e">
        <f t="shared" si="4"/>
        <v>#REF!</v>
      </c>
      <c r="AL24" s="36" t="e">
        <f t="shared" si="4"/>
        <v>#REF!</v>
      </c>
      <c r="AM24" s="36" t="e">
        <f t="shared" si="4"/>
        <v>#REF!</v>
      </c>
      <c r="AN24" s="36" t="e">
        <f t="shared" si="4"/>
        <v>#REF!</v>
      </c>
      <c r="AO24" s="36" t="e">
        <f t="shared" si="4"/>
        <v>#REF!</v>
      </c>
      <c r="AQ24" s="38"/>
      <c r="AR24" s="36" t="e">
        <f t="shared" si="7"/>
        <v>#REF!</v>
      </c>
      <c r="AS24" s="36" t="e">
        <f t="shared" si="5"/>
        <v>#REF!</v>
      </c>
      <c r="AT24" s="36" t="e">
        <f t="shared" si="5"/>
        <v>#REF!</v>
      </c>
      <c r="AU24" s="36" t="e">
        <f t="shared" si="5"/>
        <v>#REF!</v>
      </c>
      <c r="AV24" s="36" t="e">
        <f t="shared" si="5"/>
        <v>#REF!</v>
      </c>
      <c r="AW24" s="36" t="e">
        <f t="shared" si="5"/>
        <v>#REF!</v>
      </c>
      <c r="AX24" s="36" t="e">
        <f t="shared" si="5"/>
        <v>#REF!</v>
      </c>
      <c r="AY24" s="36" t="e">
        <f t="shared" si="5"/>
        <v>#REF!</v>
      </c>
      <c r="AZ24" s="36" t="e">
        <f t="shared" si="5"/>
        <v>#REF!</v>
      </c>
      <c r="BA24" s="36" t="e">
        <f t="shared" si="5"/>
        <v>#REF!</v>
      </c>
    </row>
    <row r="25" spans="1:53" hidden="1">
      <c r="A25" s="37"/>
      <c r="B25" s="37"/>
      <c r="C25" s="37"/>
      <c r="AA25" s="64"/>
      <c r="AB25" s="65" t="s">
        <v>40</v>
      </c>
      <c r="AC25" s="65">
        <v>0</v>
      </c>
      <c r="AD25" s="65"/>
      <c r="AE25" s="65"/>
      <c r="AF25" s="36" t="e">
        <f t="shared" si="6"/>
        <v>#REF!</v>
      </c>
      <c r="AG25" s="36" t="e">
        <f t="shared" si="4"/>
        <v>#REF!</v>
      </c>
      <c r="AH25" s="36" t="e">
        <f t="shared" si="4"/>
        <v>#REF!</v>
      </c>
      <c r="AI25" s="36" t="e">
        <f t="shared" si="4"/>
        <v>#REF!</v>
      </c>
      <c r="AJ25" s="36" t="e">
        <f t="shared" si="4"/>
        <v>#REF!</v>
      </c>
      <c r="AK25" s="36" t="e">
        <f t="shared" si="4"/>
        <v>#REF!</v>
      </c>
      <c r="AL25" s="36" t="e">
        <f t="shared" si="4"/>
        <v>#REF!</v>
      </c>
      <c r="AM25" s="36" t="e">
        <f t="shared" si="4"/>
        <v>#REF!</v>
      </c>
      <c r="AN25" s="36" t="e">
        <f t="shared" si="4"/>
        <v>#REF!</v>
      </c>
      <c r="AO25" s="36" t="e">
        <f t="shared" si="4"/>
        <v>#REF!</v>
      </c>
      <c r="AQ25" s="38"/>
      <c r="AR25" s="36" t="e">
        <f t="shared" si="7"/>
        <v>#REF!</v>
      </c>
      <c r="AS25" s="36" t="e">
        <f t="shared" si="5"/>
        <v>#REF!</v>
      </c>
      <c r="AT25" s="36" t="e">
        <f t="shared" si="5"/>
        <v>#REF!</v>
      </c>
      <c r="AU25" s="36" t="e">
        <f t="shared" si="5"/>
        <v>#REF!</v>
      </c>
      <c r="AV25" s="36" t="e">
        <f t="shared" si="5"/>
        <v>#REF!</v>
      </c>
      <c r="AW25" s="36" t="e">
        <f t="shared" si="5"/>
        <v>#REF!</v>
      </c>
      <c r="AX25" s="36" t="e">
        <f t="shared" si="5"/>
        <v>#REF!</v>
      </c>
      <c r="AY25" s="36" t="e">
        <f t="shared" si="5"/>
        <v>#REF!</v>
      </c>
      <c r="AZ25" s="36" t="e">
        <f t="shared" si="5"/>
        <v>#REF!</v>
      </c>
      <c r="BA25" s="36" t="e">
        <f t="shared" si="5"/>
        <v>#REF!</v>
      </c>
    </row>
    <row r="26" spans="1:53" hidden="1">
      <c r="A26" s="37"/>
      <c r="B26" s="37"/>
      <c r="C26" s="37"/>
      <c r="AA26" s="64"/>
      <c r="AB26" s="65"/>
      <c r="AC26" s="65"/>
      <c r="AD26" s="65"/>
      <c r="AE26" s="65"/>
      <c r="AQ26" s="38"/>
    </row>
    <row r="27" spans="1:53" hidden="1">
      <c r="A27" s="37"/>
      <c r="B27" s="37"/>
      <c r="C27" s="37"/>
      <c r="AA27" s="64" t="s">
        <v>41</v>
      </c>
      <c r="AB27" s="65" t="s">
        <v>30</v>
      </c>
      <c r="AC27" s="65" t="s">
        <v>31</v>
      </c>
      <c r="AD27" s="65"/>
      <c r="AE27" s="65"/>
      <c r="AQ27" s="38"/>
    </row>
    <row r="28" spans="1:53" hidden="1">
      <c r="A28" s="37" t="s">
        <v>88</v>
      </c>
      <c r="B28" s="37"/>
      <c r="C28" s="37"/>
      <c r="AA28" s="64"/>
      <c r="AB28" s="65" t="s">
        <v>32</v>
      </c>
      <c r="AC28" s="65">
        <v>0</v>
      </c>
      <c r="AD28" s="65"/>
      <c r="AE28" s="65"/>
      <c r="AF28" s="36" t="e">
        <f t="shared" ref="AF28:AO36" si="8">AF$12*$AC28</f>
        <v>#REF!</v>
      </c>
      <c r="AG28" s="36" t="e">
        <f t="shared" si="8"/>
        <v>#REF!</v>
      </c>
      <c r="AH28" s="36" t="e">
        <f t="shared" si="8"/>
        <v>#REF!</v>
      </c>
      <c r="AI28" s="36" t="e">
        <f t="shared" si="8"/>
        <v>#REF!</v>
      </c>
      <c r="AJ28" s="36" t="e">
        <f t="shared" si="8"/>
        <v>#REF!</v>
      </c>
      <c r="AK28" s="36" t="e">
        <f t="shared" si="8"/>
        <v>#REF!</v>
      </c>
      <c r="AL28" s="36" t="e">
        <f t="shared" si="8"/>
        <v>#REF!</v>
      </c>
      <c r="AM28" s="36" t="e">
        <f t="shared" si="8"/>
        <v>#REF!</v>
      </c>
      <c r="AN28" s="36" t="e">
        <f t="shared" si="8"/>
        <v>#REF!</v>
      </c>
      <c r="AO28" s="36" t="e">
        <f t="shared" si="8"/>
        <v>#REF!</v>
      </c>
      <c r="AQ28" s="38"/>
      <c r="AR28" s="36" t="e">
        <f t="shared" ref="AR28:BA36" si="9">AR$12*$AC28</f>
        <v>#REF!</v>
      </c>
      <c r="AS28" s="36" t="e">
        <f t="shared" si="9"/>
        <v>#REF!</v>
      </c>
      <c r="AT28" s="36" t="e">
        <f t="shared" si="9"/>
        <v>#REF!</v>
      </c>
      <c r="AU28" s="36" t="e">
        <f t="shared" si="9"/>
        <v>#REF!</v>
      </c>
      <c r="AV28" s="36" t="e">
        <f t="shared" si="9"/>
        <v>#REF!</v>
      </c>
      <c r="AW28" s="36" t="e">
        <f t="shared" si="9"/>
        <v>#REF!</v>
      </c>
      <c r="AX28" s="36" t="e">
        <f t="shared" si="9"/>
        <v>#REF!</v>
      </c>
      <c r="AY28" s="36" t="e">
        <f t="shared" si="9"/>
        <v>#REF!</v>
      </c>
      <c r="AZ28" s="36" t="e">
        <f t="shared" si="9"/>
        <v>#REF!</v>
      </c>
      <c r="BA28" s="36" t="e">
        <f t="shared" si="9"/>
        <v>#REF!</v>
      </c>
    </row>
    <row r="29" spans="1:53" hidden="1">
      <c r="A29" s="37" t="s">
        <v>89</v>
      </c>
      <c r="B29" s="37"/>
      <c r="C29" s="37"/>
      <c r="AA29" s="64"/>
      <c r="AB29" s="65" t="s">
        <v>33</v>
      </c>
      <c r="AC29" s="65">
        <v>6.2010000000000005</v>
      </c>
      <c r="AD29" s="65"/>
      <c r="AE29" s="65"/>
      <c r="AF29" s="36" t="e">
        <f t="shared" si="8"/>
        <v>#REF!</v>
      </c>
      <c r="AG29" s="36" t="e">
        <f t="shared" si="8"/>
        <v>#REF!</v>
      </c>
      <c r="AH29" s="36" t="e">
        <f t="shared" si="8"/>
        <v>#REF!</v>
      </c>
      <c r="AI29" s="36" t="e">
        <f t="shared" si="8"/>
        <v>#REF!</v>
      </c>
      <c r="AJ29" s="36" t="e">
        <f t="shared" si="8"/>
        <v>#REF!</v>
      </c>
      <c r="AK29" s="36" t="e">
        <f t="shared" si="8"/>
        <v>#REF!</v>
      </c>
      <c r="AL29" s="36" t="e">
        <f t="shared" si="8"/>
        <v>#REF!</v>
      </c>
      <c r="AM29" s="36" t="e">
        <f t="shared" si="8"/>
        <v>#REF!</v>
      </c>
      <c r="AN29" s="36" t="e">
        <f t="shared" si="8"/>
        <v>#REF!</v>
      </c>
      <c r="AO29" s="36" t="e">
        <f t="shared" si="8"/>
        <v>#REF!</v>
      </c>
      <c r="AQ29" s="38"/>
      <c r="AR29" s="36" t="e">
        <f t="shared" si="9"/>
        <v>#REF!</v>
      </c>
      <c r="AS29" s="36" t="e">
        <f t="shared" si="9"/>
        <v>#REF!</v>
      </c>
      <c r="AT29" s="36" t="e">
        <f t="shared" si="9"/>
        <v>#REF!</v>
      </c>
      <c r="AU29" s="36" t="e">
        <f t="shared" si="9"/>
        <v>#REF!</v>
      </c>
      <c r="AV29" s="36" t="e">
        <f t="shared" si="9"/>
        <v>#REF!</v>
      </c>
      <c r="AW29" s="36" t="e">
        <f t="shared" si="9"/>
        <v>#REF!</v>
      </c>
      <c r="AX29" s="36" t="e">
        <f t="shared" si="9"/>
        <v>#REF!</v>
      </c>
      <c r="AY29" s="36" t="e">
        <f t="shared" si="9"/>
        <v>#REF!</v>
      </c>
      <c r="AZ29" s="36" t="e">
        <f t="shared" si="9"/>
        <v>#REF!</v>
      </c>
      <c r="BA29" s="36" t="e">
        <f t="shared" si="9"/>
        <v>#REF!</v>
      </c>
    </row>
    <row r="30" spans="1:53" hidden="1">
      <c r="A30" s="37" t="s">
        <v>90</v>
      </c>
      <c r="B30" s="37"/>
      <c r="C30" s="37"/>
      <c r="AA30" s="64"/>
      <c r="AB30" s="65" t="s">
        <v>34</v>
      </c>
      <c r="AC30" s="65">
        <v>0</v>
      </c>
      <c r="AD30" s="65"/>
      <c r="AE30" s="65"/>
      <c r="AF30" s="36" t="e">
        <f t="shared" si="8"/>
        <v>#REF!</v>
      </c>
      <c r="AG30" s="36" t="e">
        <f t="shared" si="8"/>
        <v>#REF!</v>
      </c>
      <c r="AH30" s="36" t="e">
        <f t="shared" si="8"/>
        <v>#REF!</v>
      </c>
      <c r="AI30" s="36" t="e">
        <f t="shared" si="8"/>
        <v>#REF!</v>
      </c>
      <c r="AJ30" s="36" t="e">
        <f t="shared" si="8"/>
        <v>#REF!</v>
      </c>
      <c r="AK30" s="36" t="e">
        <f t="shared" si="8"/>
        <v>#REF!</v>
      </c>
      <c r="AL30" s="36" t="e">
        <f t="shared" si="8"/>
        <v>#REF!</v>
      </c>
      <c r="AM30" s="36" t="e">
        <f t="shared" si="8"/>
        <v>#REF!</v>
      </c>
      <c r="AN30" s="36" t="e">
        <f t="shared" si="8"/>
        <v>#REF!</v>
      </c>
      <c r="AO30" s="36" t="e">
        <f t="shared" si="8"/>
        <v>#REF!</v>
      </c>
      <c r="AQ30" s="38"/>
      <c r="AR30" s="36" t="e">
        <f t="shared" si="9"/>
        <v>#REF!</v>
      </c>
      <c r="AS30" s="36" t="e">
        <f t="shared" si="9"/>
        <v>#REF!</v>
      </c>
      <c r="AT30" s="36" t="e">
        <f t="shared" si="9"/>
        <v>#REF!</v>
      </c>
      <c r="AU30" s="36" t="e">
        <f t="shared" si="9"/>
        <v>#REF!</v>
      </c>
      <c r="AV30" s="36" t="e">
        <f t="shared" si="9"/>
        <v>#REF!</v>
      </c>
      <c r="AW30" s="36" t="e">
        <f t="shared" si="9"/>
        <v>#REF!</v>
      </c>
      <c r="AX30" s="36" t="e">
        <f t="shared" si="9"/>
        <v>#REF!</v>
      </c>
      <c r="AY30" s="36" t="e">
        <f t="shared" si="9"/>
        <v>#REF!</v>
      </c>
      <c r="AZ30" s="36" t="e">
        <f t="shared" si="9"/>
        <v>#REF!</v>
      </c>
      <c r="BA30" s="36" t="e">
        <f t="shared" si="9"/>
        <v>#REF!</v>
      </c>
    </row>
    <row r="31" spans="1:53" hidden="1">
      <c r="A31" s="37" t="s">
        <v>91</v>
      </c>
      <c r="B31" s="37"/>
      <c r="C31" s="37"/>
      <c r="AA31" s="64"/>
      <c r="AB31" s="65" t="s">
        <v>35</v>
      </c>
      <c r="AC31" s="65">
        <v>9.8037500000000009</v>
      </c>
      <c r="AD31" s="65"/>
      <c r="AE31" s="65"/>
      <c r="AF31" s="36" t="e">
        <f t="shared" si="8"/>
        <v>#REF!</v>
      </c>
      <c r="AG31" s="36" t="e">
        <f t="shared" si="8"/>
        <v>#REF!</v>
      </c>
      <c r="AH31" s="36" t="e">
        <f t="shared" si="8"/>
        <v>#REF!</v>
      </c>
      <c r="AI31" s="36" t="e">
        <f t="shared" si="8"/>
        <v>#REF!</v>
      </c>
      <c r="AJ31" s="36" t="e">
        <f t="shared" si="8"/>
        <v>#REF!</v>
      </c>
      <c r="AK31" s="36" t="e">
        <f t="shared" si="8"/>
        <v>#REF!</v>
      </c>
      <c r="AL31" s="36" t="e">
        <f t="shared" si="8"/>
        <v>#REF!</v>
      </c>
      <c r="AM31" s="36" t="e">
        <f t="shared" si="8"/>
        <v>#REF!</v>
      </c>
      <c r="AN31" s="36" t="e">
        <f t="shared" si="8"/>
        <v>#REF!</v>
      </c>
      <c r="AO31" s="36" t="e">
        <f t="shared" si="8"/>
        <v>#REF!</v>
      </c>
      <c r="AQ31" s="38"/>
      <c r="AR31" s="36" t="e">
        <f t="shared" si="9"/>
        <v>#REF!</v>
      </c>
      <c r="AS31" s="36" t="e">
        <f t="shared" si="9"/>
        <v>#REF!</v>
      </c>
      <c r="AT31" s="36" t="e">
        <f t="shared" si="9"/>
        <v>#REF!</v>
      </c>
      <c r="AU31" s="36" t="e">
        <f t="shared" si="9"/>
        <v>#REF!</v>
      </c>
      <c r="AV31" s="36" t="e">
        <f t="shared" si="9"/>
        <v>#REF!</v>
      </c>
      <c r="AW31" s="36" t="e">
        <f t="shared" si="9"/>
        <v>#REF!</v>
      </c>
      <c r="AX31" s="36" t="e">
        <f t="shared" si="9"/>
        <v>#REF!</v>
      </c>
      <c r="AY31" s="36" t="e">
        <f t="shared" si="9"/>
        <v>#REF!</v>
      </c>
      <c r="AZ31" s="36" t="e">
        <f t="shared" si="9"/>
        <v>#REF!</v>
      </c>
      <c r="BA31" s="36" t="e">
        <f t="shared" si="9"/>
        <v>#REF!</v>
      </c>
    </row>
    <row r="32" spans="1:53" hidden="1">
      <c r="A32" s="37" t="s">
        <v>92</v>
      </c>
      <c r="B32" s="37"/>
      <c r="C32" s="37"/>
      <c r="AA32" s="64"/>
      <c r="AB32" s="65" t="s">
        <v>36</v>
      </c>
      <c r="AC32" s="65">
        <v>7.2451999999999996</v>
      </c>
      <c r="AD32" s="65"/>
      <c r="AE32" s="65"/>
      <c r="AF32" s="36" t="e">
        <f t="shared" si="8"/>
        <v>#REF!</v>
      </c>
      <c r="AG32" s="36" t="e">
        <f t="shared" si="8"/>
        <v>#REF!</v>
      </c>
      <c r="AH32" s="36" t="e">
        <f t="shared" si="8"/>
        <v>#REF!</v>
      </c>
      <c r="AI32" s="36" t="e">
        <f t="shared" si="8"/>
        <v>#REF!</v>
      </c>
      <c r="AJ32" s="36" t="e">
        <f t="shared" si="8"/>
        <v>#REF!</v>
      </c>
      <c r="AK32" s="36" t="e">
        <f t="shared" si="8"/>
        <v>#REF!</v>
      </c>
      <c r="AL32" s="36" t="e">
        <f t="shared" si="8"/>
        <v>#REF!</v>
      </c>
      <c r="AM32" s="36" t="e">
        <f t="shared" si="8"/>
        <v>#REF!</v>
      </c>
      <c r="AN32" s="36" t="e">
        <f t="shared" si="8"/>
        <v>#REF!</v>
      </c>
      <c r="AO32" s="36" t="e">
        <f t="shared" si="8"/>
        <v>#REF!</v>
      </c>
      <c r="AQ32" s="38"/>
      <c r="AR32" s="36" t="e">
        <f t="shared" si="9"/>
        <v>#REF!</v>
      </c>
      <c r="AS32" s="36" t="e">
        <f t="shared" si="9"/>
        <v>#REF!</v>
      </c>
      <c r="AT32" s="36" t="e">
        <f t="shared" si="9"/>
        <v>#REF!</v>
      </c>
      <c r="AU32" s="36" t="e">
        <f t="shared" si="9"/>
        <v>#REF!</v>
      </c>
      <c r="AV32" s="36" t="e">
        <f t="shared" si="9"/>
        <v>#REF!</v>
      </c>
      <c r="AW32" s="36" t="e">
        <f t="shared" si="9"/>
        <v>#REF!</v>
      </c>
      <c r="AX32" s="36" t="e">
        <f t="shared" si="9"/>
        <v>#REF!</v>
      </c>
      <c r="AY32" s="36" t="e">
        <f t="shared" si="9"/>
        <v>#REF!</v>
      </c>
      <c r="AZ32" s="36" t="e">
        <f t="shared" si="9"/>
        <v>#REF!</v>
      </c>
      <c r="BA32" s="36" t="e">
        <f t="shared" si="9"/>
        <v>#REF!</v>
      </c>
    </row>
    <row r="33" spans="1:53" hidden="1">
      <c r="A33" s="37" t="s">
        <v>84</v>
      </c>
      <c r="B33" s="37"/>
      <c r="C33" s="37"/>
      <c r="AA33" s="64"/>
      <c r="AB33" s="65" t="s">
        <v>37</v>
      </c>
      <c r="AC33" s="65">
        <v>3.6</v>
      </c>
      <c r="AD33" s="65"/>
      <c r="AE33" s="65"/>
      <c r="AF33" s="36" t="e">
        <f t="shared" si="8"/>
        <v>#REF!</v>
      </c>
      <c r="AG33" s="36" t="e">
        <f t="shared" si="8"/>
        <v>#REF!</v>
      </c>
      <c r="AH33" s="36" t="e">
        <f t="shared" si="8"/>
        <v>#REF!</v>
      </c>
      <c r="AI33" s="36" t="e">
        <f t="shared" si="8"/>
        <v>#REF!</v>
      </c>
      <c r="AJ33" s="36" t="e">
        <f t="shared" si="8"/>
        <v>#REF!</v>
      </c>
      <c r="AK33" s="36" t="e">
        <f t="shared" si="8"/>
        <v>#REF!</v>
      </c>
      <c r="AL33" s="36" t="e">
        <f t="shared" si="8"/>
        <v>#REF!</v>
      </c>
      <c r="AM33" s="36" t="e">
        <f t="shared" si="8"/>
        <v>#REF!</v>
      </c>
      <c r="AN33" s="36" t="e">
        <f t="shared" si="8"/>
        <v>#REF!</v>
      </c>
      <c r="AO33" s="36" t="e">
        <f t="shared" si="8"/>
        <v>#REF!</v>
      </c>
      <c r="AQ33" s="38"/>
      <c r="AR33" s="36" t="e">
        <f t="shared" si="9"/>
        <v>#REF!</v>
      </c>
      <c r="AS33" s="36" t="e">
        <f t="shared" si="9"/>
        <v>#REF!</v>
      </c>
      <c r="AT33" s="36" t="e">
        <f t="shared" si="9"/>
        <v>#REF!</v>
      </c>
      <c r="AU33" s="36" t="e">
        <f t="shared" si="9"/>
        <v>#REF!</v>
      </c>
      <c r="AV33" s="36" t="e">
        <f t="shared" si="9"/>
        <v>#REF!</v>
      </c>
      <c r="AW33" s="36" t="e">
        <f t="shared" si="9"/>
        <v>#REF!</v>
      </c>
      <c r="AX33" s="36" t="e">
        <f t="shared" si="9"/>
        <v>#REF!</v>
      </c>
      <c r="AY33" s="36" t="e">
        <f t="shared" si="9"/>
        <v>#REF!</v>
      </c>
      <c r="AZ33" s="36" t="e">
        <f t="shared" si="9"/>
        <v>#REF!</v>
      </c>
      <c r="BA33" s="36" t="e">
        <f t="shared" si="9"/>
        <v>#REF!</v>
      </c>
    </row>
    <row r="34" spans="1:53" hidden="1">
      <c r="A34" s="37" t="s">
        <v>93</v>
      </c>
      <c r="B34" s="37"/>
      <c r="C34" s="37"/>
      <c r="AA34" s="64"/>
      <c r="AB34" s="65" t="s">
        <v>38</v>
      </c>
      <c r="AC34" s="65">
        <v>6.1984000000000004</v>
      </c>
      <c r="AD34" s="65"/>
      <c r="AE34" s="65"/>
      <c r="AF34" s="36" t="e">
        <f t="shared" si="8"/>
        <v>#REF!</v>
      </c>
      <c r="AG34" s="36" t="e">
        <f t="shared" si="8"/>
        <v>#REF!</v>
      </c>
      <c r="AH34" s="36" t="e">
        <f t="shared" si="8"/>
        <v>#REF!</v>
      </c>
      <c r="AI34" s="36" t="e">
        <f t="shared" si="8"/>
        <v>#REF!</v>
      </c>
      <c r="AJ34" s="36" t="e">
        <f t="shared" si="8"/>
        <v>#REF!</v>
      </c>
      <c r="AK34" s="36" t="e">
        <f t="shared" si="8"/>
        <v>#REF!</v>
      </c>
      <c r="AL34" s="36" t="e">
        <f t="shared" si="8"/>
        <v>#REF!</v>
      </c>
      <c r="AM34" s="36" t="e">
        <f t="shared" si="8"/>
        <v>#REF!</v>
      </c>
      <c r="AN34" s="36" t="e">
        <f t="shared" si="8"/>
        <v>#REF!</v>
      </c>
      <c r="AO34" s="36" t="e">
        <f t="shared" si="8"/>
        <v>#REF!</v>
      </c>
      <c r="AQ34" s="38"/>
      <c r="AR34" s="36" t="e">
        <f t="shared" si="9"/>
        <v>#REF!</v>
      </c>
      <c r="AS34" s="36" t="e">
        <f t="shared" si="9"/>
        <v>#REF!</v>
      </c>
      <c r="AT34" s="36" t="e">
        <f t="shared" si="9"/>
        <v>#REF!</v>
      </c>
      <c r="AU34" s="36" t="e">
        <f t="shared" si="9"/>
        <v>#REF!</v>
      </c>
      <c r="AV34" s="36" t="e">
        <f t="shared" si="9"/>
        <v>#REF!</v>
      </c>
      <c r="AW34" s="36" t="e">
        <f t="shared" si="9"/>
        <v>#REF!</v>
      </c>
      <c r="AX34" s="36" t="e">
        <f t="shared" si="9"/>
        <v>#REF!</v>
      </c>
      <c r="AY34" s="36" t="e">
        <f t="shared" si="9"/>
        <v>#REF!</v>
      </c>
      <c r="AZ34" s="36" t="e">
        <f t="shared" si="9"/>
        <v>#REF!</v>
      </c>
      <c r="BA34" s="36" t="e">
        <f t="shared" si="9"/>
        <v>#REF!</v>
      </c>
    </row>
    <row r="35" spans="1:53" hidden="1">
      <c r="A35" s="37" t="s">
        <v>94</v>
      </c>
      <c r="B35" s="37"/>
      <c r="C35" s="37"/>
      <c r="AA35" s="64"/>
      <c r="AB35" s="65" t="s">
        <v>39</v>
      </c>
      <c r="AC35" s="65">
        <v>5.1995100000000001</v>
      </c>
      <c r="AD35" s="65"/>
      <c r="AE35" s="65"/>
      <c r="AF35" s="36" t="e">
        <f t="shared" si="8"/>
        <v>#REF!</v>
      </c>
      <c r="AG35" s="36" t="e">
        <f t="shared" si="8"/>
        <v>#REF!</v>
      </c>
      <c r="AH35" s="36" t="e">
        <f t="shared" si="8"/>
        <v>#REF!</v>
      </c>
      <c r="AI35" s="36" t="e">
        <f t="shared" si="8"/>
        <v>#REF!</v>
      </c>
      <c r="AJ35" s="36" t="e">
        <f t="shared" si="8"/>
        <v>#REF!</v>
      </c>
      <c r="AK35" s="36" t="e">
        <f t="shared" si="8"/>
        <v>#REF!</v>
      </c>
      <c r="AL35" s="36" t="e">
        <f t="shared" si="8"/>
        <v>#REF!</v>
      </c>
      <c r="AM35" s="36" t="e">
        <f t="shared" si="8"/>
        <v>#REF!</v>
      </c>
      <c r="AN35" s="36" t="e">
        <f t="shared" si="8"/>
        <v>#REF!</v>
      </c>
      <c r="AO35" s="36" t="e">
        <f t="shared" si="8"/>
        <v>#REF!</v>
      </c>
      <c r="AQ35" s="38"/>
      <c r="AR35" s="36" t="e">
        <f t="shared" si="9"/>
        <v>#REF!</v>
      </c>
      <c r="AS35" s="36" t="e">
        <f t="shared" si="9"/>
        <v>#REF!</v>
      </c>
      <c r="AT35" s="36" t="e">
        <f t="shared" si="9"/>
        <v>#REF!</v>
      </c>
      <c r="AU35" s="36" t="e">
        <f t="shared" si="9"/>
        <v>#REF!</v>
      </c>
      <c r="AV35" s="36" t="e">
        <f t="shared" si="9"/>
        <v>#REF!</v>
      </c>
      <c r="AW35" s="36" t="e">
        <f t="shared" si="9"/>
        <v>#REF!</v>
      </c>
      <c r="AX35" s="36" t="e">
        <f t="shared" si="9"/>
        <v>#REF!</v>
      </c>
      <c r="AY35" s="36" t="e">
        <f t="shared" si="9"/>
        <v>#REF!</v>
      </c>
      <c r="AZ35" s="36" t="e">
        <f t="shared" si="9"/>
        <v>#REF!</v>
      </c>
      <c r="BA35" s="36" t="e">
        <f t="shared" si="9"/>
        <v>#REF!</v>
      </c>
    </row>
    <row r="36" spans="1:53" hidden="1">
      <c r="A36" s="37" t="s">
        <v>0</v>
      </c>
      <c r="B36" s="37"/>
      <c r="C36" s="37"/>
      <c r="AA36" s="64"/>
      <c r="AB36" s="65" t="s">
        <v>40</v>
      </c>
      <c r="AC36" s="65">
        <v>17.71416</v>
      </c>
      <c r="AD36" s="65"/>
      <c r="AE36" s="65"/>
      <c r="AF36" s="36" t="e">
        <f t="shared" si="8"/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si="9"/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37" s="37" t="s">
        <v>59</v>
      </c>
      <c r="B37" s="37">
        <f>0.39*1.5*(8.5/12)^0.9*(2/3)^0.45</f>
        <v>0.35737873826145539</v>
      </c>
      <c r="C37" s="37"/>
      <c r="AA37" s="64"/>
      <c r="AB37" s="65"/>
      <c r="AC37" s="65"/>
      <c r="AD37" s="65"/>
      <c r="AE37" s="65"/>
      <c r="AQ37" s="38"/>
    </row>
    <row r="38" spans="1:53" hidden="1">
      <c r="A38" s="37" t="s">
        <v>60</v>
      </c>
      <c r="B38" s="37">
        <f>0.39*0.15*(8.5/12)^0.9*(2/3)^0.45</f>
        <v>3.5737873826145544E-2</v>
      </c>
      <c r="C38" s="37"/>
      <c r="AA38" s="64" t="s">
        <v>42</v>
      </c>
      <c r="AB38" s="65" t="s">
        <v>30</v>
      </c>
      <c r="AC38" s="65" t="s">
        <v>31</v>
      </c>
      <c r="AD38" s="65"/>
      <c r="AE38" s="65"/>
      <c r="AQ38" s="38"/>
    </row>
    <row r="39" spans="1:53" hidden="1">
      <c r="AA39" s="64"/>
      <c r="AB39" s="65" t="s">
        <v>32</v>
      </c>
      <c r="AC39" s="65">
        <v>0</v>
      </c>
      <c r="AD39" s="65"/>
      <c r="AE39" s="65"/>
      <c r="AF39" s="36" t="e">
        <f t="shared" ref="AF39:AO47" si="10">AF$12*$AC39</f>
        <v>#REF!</v>
      </c>
      <c r="AG39" s="36" t="e">
        <f t="shared" si="10"/>
        <v>#REF!</v>
      </c>
      <c r="AH39" s="36" t="e">
        <f t="shared" si="10"/>
        <v>#REF!</v>
      </c>
      <c r="AI39" s="36" t="e">
        <f t="shared" si="10"/>
        <v>#REF!</v>
      </c>
      <c r="AJ39" s="36" t="e">
        <f t="shared" si="10"/>
        <v>#REF!</v>
      </c>
      <c r="AK39" s="36" t="e">
        <f t="shared" si="10"/>
        <v>#REF!</v>
      </c>
      <c r="AL39" s="36" t="e">
        <f t="shared" si="10"/>
        <v>#REF!</v>
      </c>
      <c r="AM39" s="36" t="e">
        <f t="shared" si="10"/>
        <v>#REF!</v>
      </c>
      <c r="AN39" s="36" t="e">
        <f t="shared" si="10"/>
        <v>#REF!</v>
      </c>
      <c r="AO39" s="36" t="e">
        <f t="shared" si="10"/>
        <v>#REF!</v>
      </c>
      <c r="AQ39" s="38"/>
      <c r="AR39" s="36" t="e">
        <f t="shared" ref="AR39:BA47" si="11">AR$12*$AC39</f>
        <v>#REF!</v>
      </c>
      <c r="AS39" s="36" t="e">
        <f t="shared" si="11"/>
        <v>#REF!</v>
      </c>
      <c r="AT39" s="36" t="e">
        <f t="shared" si="11"/>
        <v>#REF!</v>
      </c>
      <c r="AU39" s="36" t="e">
        <f t="shared" si="11"/>
        <v>#REF!</v>
      </c>
      <c r="AV39" s="36" t="e">
        <f t="shared" si="11"/>
        <v>#REF!</v>
      </c>
      <c r="AW39" s="36" t="e">
        <f t="shared" si="11"/>
        <v>#REF!</v>
      </c>
      <c r="AX39" s="36" t="e">
        <f t="shared" si="11"/>
        <v>#REF!</v>
      </c>
      <c r="AY39" s="36" t="e">
        <f t="shared" si="11"/>
        <v>#REF!</v>
      </c>
      <c r="AZ39" s="36" t="e">
        <f t="shared" si="11"/>
        <v>#REF!</v>
      </c>
      <c r="BA39" s="36" t="e">
        <f t="shared" si="11"/>
        <v>#REF!</v>
      </c>
    </row>
    <row r="40" spans="1:53" hidden="1">
      <c r="AA40" s="64"/>
      <c r="AB40" s="65" t="s">
        <v>33</v>
      </c>
      <c r="AC40" s="65">
        <v>0</v>
      </c>
      <c r="AD40" s="65"/>
      <c r="AE40" s="65"/>
      <c r="AF40" s="36" t="e">
        <f t="shared" si="10"/>
        <v>#REF!</v>
      </c>
      <c r="AG40" s="36" t="e">
        <f t="shared" si="10"/>
        <v>#REF!</v>
      </c>
      <c r="AH40" s="36" t="e">
        <f t="shared" si="10"/>
        <v>#REF!</v>
      </c>
      <c r="AI40" s="36" t="e">
        <f t="shared" si="10"/>
        <v>#REF!</v>
      </c>
      <c r="AJ40" s="36" t="e">
        <f t="shared" si="10"/>
        <v>#REF!</v>
      </c>
      <c r="AK40" s="36" t="e">
        <f t="shared" si="10"/>
        <v>#REF!</v>
      </c>
      <c r="AL40" s="36" t="e">
        <f t="shared" si="10"/>
        <v>#REF!</v>
      </c>
      <c r="AM40" s="36" t="e">
        <f t="shared" si="10"/>
        <v>#REF!</v>
      </c>
      <c r="AN40" s="36" t="e">
        <f t="shared" si="10"/>
        <v>#REF!</v>
      </c>
      <c r="AO40" s="36" t="e">
        <f t="shared" si="10"/>
        <v>#REF!</v>
      </c>
      <c r="AQ40" s="38"/>
      <c r="AR40" s="36" t="e">
        <f t="shared" si="11"/>
        <v>#REF!</v>
      </c>
      <c r="AS40" s="36" t="e">
        <f t="shared" si="11"/>
        <v>#REF!</v>
      </c>
      <c r="AT40" s="36" t="e">
        <f t="shared" si="11"/>
        <v>#REF!</v>
      </c>
      <c r="AU40" s="36" t="e">
        <f t="shared" si="11"/>
        <v>#REF!</v>
      </c>
      <c r="AV40" s="36" t="e">
        <f t="shared" si="11"/>
        <v>#REF!</v>
      </c>
      <c r="AW40" s="36" t="e">
        <f t="shared" si="11"/>
        <v>#REF!</v>
      </c>
      <c r="AX40" s="36" t="e">
        <f t="shared" si="11"/>
        <v>#REF!</v>
      </c>
      <c r="AY40" s="36" t="e">
        <f t="shared" si="11"/>
        <v>#REF!</v>
      </c>
      <c r="AZ40" s="36" t="e">
        <f t="shared" si="11"/>
        <v>#REF!</v>
      </c>
      <c r="BA40" s="36" t="e">
        <f t="shared" si="11"/>
        <v>#REF!</v>
      </c>
    </row>
    <row r="41" spans="1:53" hidden="1">
      <c r="AA41" s="64"/>
      <c r="AB41" s="65" t="s">
        <v>34</v>
      </c>
      <c r="AC41" s="65">
        <v>0</v>
      </c>
      <c r="AD41" s="65"/>
      <c r="AE41" s="65"/>
      <c r="AF41" s="36" t="e">
        <f t="shared" si="10"/>
        <v>#REF!</v>
      </c>
      <c r="AG41" s="36" t="e">
        <f t="shared" si="10"/>
        <v>#REF!</v>
      </c>
      <c r="AH41" s="36" t="e">
        <f t="shared" si="10"/>
        <v>#REF!</v>
      </c>
      <c r="AI41" s="36" t="e">
        <f t="shared" si="10"/>
        <v>#REF!</v>
      </c>
      <c r="AJ41" s="36" t="e">
        <f t="shared" si="10"/>
        <v>#REF!</v>
      </c>
      <c r="AK41" s="36" t="e">
        <f t="shared" si="10"/>
        <v>#REF!</v>
      </c>
      <c r="AL41" s="36" t="e">
        <f t="shared" si="10"/>
        <v>#REF!</v>
      </c>
      <c r="AM41" s="36" t="e">
        <f t="shared" si="10"/>
        <v>#REF!</v>
      </c>
      <c r="AN41" s="36" t="e">
        <f t="shared" si="10"/>
        <v>#REF!</v>
      </c>
      <c r="AO41" s="36" t="e">
        <f t="shared" si="10"/>
        <v>#REF!</v>
      </c>
      <c r="AQ41" s="38"/>
      <c r="AR41" s="36" t="e">
        <f t="shared" si="11"/>
        <v>#REF!</v>
      </c>
      <c r="AS41" s="36" t="e">
        <f t="shared" si="11"/>
        <v>#REF!</v>
      </c>
      <c r="AT41" s="36" t="e">
        <f t="shared" si="11"/>
        <v>#REF!</v>
      </c>
      <c r="AU41" s="36" t="e">
        <f t="shared" si="11"/>
        <v>#REF!</v>
      </c>
      <c r="AV41" s="36" t="e">
        <f t="shared" si="11"/>
        <v>#REF!</v>
      </c>
      <c r="AW41" s="36" t="e">
        <f t="shared" si="11"/>
        <v>#REF!</v>
      </c>
      <c r="AX41" s="36" t="e">
        <f t="shared" si="11"/>
        <v>#REF!</v>
      </c>
      <c r="AY41" s="36" t="e">
        <f t="shared" si="11"/>
        <v>#REF!</v>
      </c>
      <c r="AZ41" s="36" t="e">
        <f t="shared" si="11"/>
        <v>#REF!</v>
      </c>
      <c r="BA41" s="36" t="e">
        <f t="shared" si="11"/>
        <v>#REF!</v>
      </c>
    </row>
    <row r="42" spans="1:53" hidden="1">
      <c r="AA42" s="64"/>
      <c r="AB42" s="65" t="s">
        <v>35</v>
      </c>
      <c r="AC42" s="65">
        <v>16.541599999999999</v>
      </c>
      <c r="AD42" s="65"/>
      <c r="AE42" s="65"/>
      <c r="AF42" s="36" t="e">
        <f t="shared" si="10"/>
        <v>#REF!</v>
      </c>
      <c r="AG42" s="36" t="e">
        <f t="shared" si="10"/>
        <v>#REF!</v>
      </c>
      <c r="AH42" s="36" t="e">
        <f t="shared" si="10"/>
        <v>#REF!</v>
      </c>
      <c r="AI42" s="36" t="e">
        <f t="shared" si="10"/>
        <v>#REF!</v>
      </c>
      <c r="AJ42" s="36" t="e">
        <f t="shared" si="10"/>
        <v>#REF!</v>
      </c>
      <c r="AK42" s="36" t="e">
        <f t="shared" si="10"/>
        <v>#REF!</v>
      </c>
      <c r="AL42" s="36" t="e">
        <f t="shared" si="10"/>
        <v>#REF!</v>
      </c>
      <c r="AM42" s="36" t="e">
        <f t="shared" si="10"/>
        <v>#REF!</v>
      </c>
      <c r="AN42" s="36" t="e">
        <f t="shared" si="10"/>
        <v>#REF!</v>
      </c>
      <c r="AO42" s="36" t="e">
        <f t="shared" si="10"/>
        <v>#REF!</v>
      </c>
      <c r="AQ42" s="38"/>
      <c r="AR42" s="36" t="e">
        <f t="shared" si="11"/>
        <v>#REF!</v>
      </c>
      <c r="AS42" s="36" t="e">
        <f t="shared" si="11"/>
        <v>#REF!</v>
      </c>
      <c r="AT42" s="36" t="e">
        <f t="shared" si="11"/>
        <v>#REF!</v>
      </c>
      <c r="AU42" s="36" t="e">
        <f t="shared" si="11"/>
        <v>#REF!</v>
      </c>
      <c r="AV42" s="36" t="e">
        <f t="shared" si="11"/>
        <v>#REF!</v>
      </c>
      <c r="AW42" s="36" t="e">
        <f t="shared" si="11"/>
        <v>#REF!</v>
      </c>
      <c r="AX42" s="36" t="e">
        <f t="shared" si="11"/>
        <v>#REF!</v>
      </c>
      <c r="AY42" s="36" t="e">
        <f t="shared" si="11"/>
        <v>#REF!</v>
      </c>
      <c r="AZ42" s="36" t="e">
        <f t="shared" si="11"/>
        <v>#REF!</v>
      </c>
      <c r="BA42" s="36" t="e">
        <f t="shared" si="11"/>
        <v>#REF!</v>
      </c>
    </row>
    <row r="43" spans="1:53" hidden="1">
      <c r="AA43" s="64"/>
      <c r="AB43" s="65" t="s">
        <v>36</v>
      </c>
      <c r="AC43" s="65">
        <v>0</v>
      </c>
      <c r="AD43" s="65"/>
      <c r="AE43" s="65"/>
      <c r="AF43" s="36" t="e">
        <f t="shared" si="10"/>
        <v>#REF!</v>
      </c>
      <c r="AG43" s="36" t="e">
        <f t="shared" si="10"/>
        <v>#REF!</v>
      </c>
      <c r="AH43" s="36" t="e">
        <f t="shared" si="10"/>
        <v>#REF!</v>
      </c>
      <c r="AI43" s="36" t="e">
        <f t="shared" si="10"/>
        <v>#REF!</v>
      </c>
      <c r="AJ43" s="36" t="e">
        <f t="shared" si="10"/>
        <v>#REF!</v>
      </c>
      <c r="AK43" s="36" t="e">
        <f t="shared" si="10"/>
        <v>#REF!</v>
      </c>
      <c r="AL43" s="36" t="e">
        <f t="shared" si="10"/>
        <v>#REF!</v>
      </c>
      <c r="AM43" s="36" t="e">
        <f t="shared" si="10"/>
        <v>#REF!</v>
      </c>
      <c r="AN43" s="36" t="e">
        <f t="shared" si="10"/>
        <v>#REF!</v>
      </c>
      <c r="AO43" s="36" t="e">
        <f t="shared" si="10"/>
        <v>#REF!</v>
      </c>
      <c r="AQ43" s="38"/>
      <c r="AR43" s="36" t="e">
        <f t="shared" si="11"/>
        <v>#REF!</v>
      </c>
      <c r="AS43" s="36" t="e">
        <f t="shared" si="11"/>
        <v>#REF!</v>
      </c>
      <c r="AT43" s="36" t="e">
        <f t="shared" si="11"/>
        <v>#REF!</v>
      </c>
      <c r="AU43" s="36" t="e">
        <f t="shared" si="11"/>
        <v>#REF!</v>
      </c>
      <c r="AV43" s="36" t="e">
        <f t="shared" si="11"/>
        <v>#REF!</v>
      </c>
      <c r="AW43" s="36" t="e">
        <f t="shared" si="11"/>
        <v>#REF!</v>
      </c>
      <c r="AX43" s="36" t="e">
        <f t="shared" si="11"/>
        <v>#REF!</v>
      </c>
      <c r="AY43" s="36" t="e">
        <f t="shared" si="11"/>
        <v>#REF!</v>
      </c>
      <c r="AZ43" s="36" t="e">
        <f t="shared" si="11"/>
        <v>#REF!</v>
      </c>
      <c r="BA43" s="36" t="e">
        <f t="shared" si="11"/>
        <v>#REF!</v>
      </c>
    </row>
    <row r="44" spans="1:53" hidden="1">
      <c r="AA44" s="64"/>
      <c r="AB44" s="65" t="s">
        <v>37</v>
      </c>
      <c r="AC44" s="65">
        <v>0</v>
      </c>
      <c r="AD44" s="65"/>
      <c r="AE44" s="65"/>
      <c r="AF44" s="36" t="e">
        <f t="shared" si="10"/>
        <v>#REF!</v>
      </c>
      <c r="AG44" s="36" t="e">
        <f t="shared" si="10"/>
        <v>#REF!</v>
      </c>
      <c r="AH44" s="36" t="e">
        <f t="shared" si="10"/>
        <v>#REF!</v>
      </c>
      <c r="AI44" s="36" t="e">
        <f t="shared" si="10"/>
        <v>#REF!</v>
      </c>
      <c r="AJ44" s="36" t="e">
        <f t="shared" si="10"/>
        <v>#REF!</v>
      </c>
      <c r="AK44" s="36" t="e">
        <f t="shared" si="10"/>
        <v>#REF!</v>
      </c>
      <c r="AL44" s="36" t="e">
        <f t="shared" si="10"/>
        <v>#REF!</v>
      </c>
      <c r="AM44" s="36" t="e">
        <f t="shared" si="10"/>
        <v>#REF!</v>
      </c>
      <c r="AN44" s="36" t="e">
        <f t="shared" si="10"/>
        <v>#REF!</v>
      </c>
      <c r="AO44" s="36" t="e">
        <f t="shared" si="10"/>
        <v>#REF!</v>
      </c>
      <c r="AQ44" s="38"/>
      <c r="AR44" s="36" t="e">
        <f t="shared" si="11"/>
        <v>#REF!</v>
      </c>
      <c r="AS44" s="36" t="e">
        <f t="shared" si="11"/>
        <v>#REF!</v>
      </c>
      <c r="AT44" s="36" t="e">
        <f t="shared" si="11"/>
        <v>#REF!</v>
      </c>
      <c r="AU44" s="36" t="e">
        <f t="shared" si="11"/>
        <v>#REF!</v>
      </c>
      <c r="AV44" s="36" t="e">
        <f t="shared" si="11"/>
        <v>#REF!</v>
      </c>
      <c r="AW44" s="36" t="e">
        <f t="shared" si="11"/>
        <v>#REF!</v>
      </c>
      <c r="AX44" s="36" t="e">
        <f t="shared" si="11"/>
        <v>#REF!</v>
      </c>
      <c r="AY44" s="36" t="e">
        <f t="shared" si="11"/>
        <v>#REF!</v>
      </c>
      <c r="AZ44" s="36" t="e">
        <f t="shared" si="11"/>
        <v>#REF!</v>
      </c>
      <c r="BA44" s="36" t="e">
        <f t="shared" si="11"/>
        <v>#REF!</v>
      </c>
    </row>
    <row r="45" spans="1:53" hidden="1">
      <c r="AA45" s="64"/>
      <c r="AB45" s="65" t="s">
        <v>38</v>
      </c>
      <c r="AC45" s="65">
        <v>14.601599999999999</v>
      </c>
      <c r="AD45" s="65"/>
      <c r="AE45" s="65"/>
      <c r="AF45" s="36" t="e">
        <f t="shared" si="10"/>
        <v>#REF!</v>
      </c>
      <c r="AG45" s="36" t="e">
        <f t="shared" si="10"/>
        <v>#REF!</v>
      </c>
      <c r="AH45" s="36" t="e">
        <f t="shared" si="10"/>
        <v>#REF!</v>
      </c>
      <c r="AI45" s="36" t="e">
        <f t="shared" si="10"/>
        <v>#REF!</v>
      </c>
      <c r="AJ45" s="36" t="e">
        <f t="shared" si="10"/>
        <v>#REF!</v>
      </c>
      <c r="AK45" s="36" t="e">
        <f t="shared" si="10"/>
        <v>#REF!</v>
      </c>
      <c r="AL45" s="36" t="e">
        <f t="shared" si="10"/>
        <v>#REF!</v>
      </c>
      <c r="AM45" s="36" t="e">
        <f t="shared" si="10"/>
        <v>#REF!</v>
      </c>
      <c r="AN45" s="36" t="e">
        <f t="shared" si="10"/>
        <v>#REF!</v>
      </c>
      <c r="AO45" s="36" t="e">
        <f t="shared" si="10"/>
        <v>#REF!</v>
      </c>
      <c r="AQ45" s="38"/>
      <c r="AR45" s="36" t="e">
        <f t="shared" si="11"/>
        <v>#REF!</v>
      </c>
      <c r="AS45" s="36" t="e">
        <f t="shared" si="11"/>
        <v>#REF!</v>
      </c>
      <c r="AT45" s="36" t="e">
        <f t="shared" si="11"/>
        <v>#REF!</v>
      </c>
      <c r="AU45" s="36" t="e">
        <f t="shared" si="11"/>
        <v>#REF!</v>
      </c>
      <c r="AV45" s="36" t="e">
        <f t="shared" si="11"/>
        <v>#REF!</v>
      </c>
      <c r="AW45" s="36" t="e">
        <f t="shared" si="11"/>
        <v>#REF!</v>
      </c>
      <c r="AX45" s="36" t="e">
        <f t="shared" si="11"/>
        <v>#REF!</v>
      </c>
      <c r="AY45" s="36" t="e">
        <f t="shared" si="11"/>
        <v>#REF!</v>
      </c>
      <c r="AZ45" s="36" t="e">
        <f t="shared" si="11"/>
        <v>#REF!</v>
      </c>
      <c r="BA45" s="36" t="e">
        <f t="shared" si="11"/>
        <v>#REF!</v>
      </c>
    </row>
    <row r="46" spans="1:53" hidden="1">
      <c r="AA46" s="64"/>
      <c r="AB46" s="65" t="s">
        <v>39</v>
      </c>
      <c r="AC46" s="65">
        <v>14.570489999999999</v>
      </c>
      <c r="AD46" s="65"/>
      <c r="AE46" s="65"/>
      <c r="AF46" s="36" t="e">
        <f t="shared" si="10"/>
        <v>#REF!</v>
      </c>
      <c r="AG46" s="36" t="e">
        <f t="shared" si="10"/>
        <v>#REF!</v>
      </c>
      <c r="AH46" s="36" t="e">
        <f t="shared" si="10"/>
        <v>#REF!</v>
      </c>
      <c r="AI46" s="36" t="e">
        <f t="shared" si="10"/>
        <v>#REF!</v>
      </c>
      <c r="AJ46" s="36" t="e">
        <f t="shared" si="10"/>
        <v>#REF!</v>
      </c>
      <c r="AK46" s="36" t="e">
        <f t="shared" si="10"/>
        <v>#REF!</v>
      </c>
      <c r="AL46" s="36" t="e">
        <f t="shared" si="10"/>
        <v>#REF!</v>
      </c>
      <c r="AM46" s="36" t="e">
        <f t="shared" si="10"/>
        <v>#REF!</v>
      </c>
      <c r="AN46" s="36" t="e">
        <f t="shared" si="10"/>
        <v>#REF!</v>
      </c>
      <c r="AO46" s="36" t="e">
        <f t="shared" si="10"/>
        <v>#REF!</v>
      </c>
      <c r="AQ46" s="38"/>
      <c r="AR46" s="36" t="e">
        <f t="shared" si="11"/>
        <v>#REF!</v>
      </c>
      <c r="AS46" s="36" t="e">
        <f t="shared" si="11"/>
        <v>#REF!</v>
      </c>
      <c r="AT46" s="36" t="e">
        <f t="shared" si="11"/>
        <v>#REF!</v>
      </c>
      <c r="AU46" s="36" t="e">
        <f t="shared" si="11"/>
        <v>#REF!</v>
      </c>
      <c r="AV46" s="36" t="e">
        <f t="shared" si="11"/>
        <v>#REF!</v>
      </c>
      <c r="AW46" s="36" t="e">
        <f t="shared" si="11"/>
        <v>#REF!</v>
      </c>
      <c r="AX46" s="36" t="e">
        <f t="shared" si="11"/>
        <v>#REF!</v>
      </c>
      <c r="AY46" s="36" t="e">
        <f t="shared" si="11"/>
        <v>#REF!</v>
      </c>
      <c r="AZ46" s="36" t="e">
        <f t="shared" si="11"/>
        <v>#REF!</v>
      </c>
      <c r="BA46" s="36" t="e">
        <f t="shared" si="11"/>
        <v>#REF!</v>
      </c>
    </row>
    <row r="47" spans="1:53" hidden="1">
      <c r="AA47" s="64"/>
      <c r="AB47" s="65" t="s">
        <v>40</v>
      </c>
      <c r="AC47" s="65">
        <v>14.14584</v>
      </c>
      <c r="AD47" s="65"/>
      <c r="AE47" s="65"/>
      <c r="AF47" s="36" t="e">
        <f t="shared" si="10"/>
        <v>#REF!</v>
      </c>
      <c r="AG47" s="36" t="e">
        <f t="shared" si="10"/>
        <v>#REF!</v>
      </c>
      <c r="AH47" s="36" t="e">
        <f t="shared" si="10"/>
        <v>#REF!</v>
      </c>
      <c r="AI47" s="36" t="e">
        <f t="shared" si="10"/>
        <v>#REF!</v>
      </c>
      <c r="AJ47" s="36" t="e">
        <f t="shared" si="10"/>
        <v>#REF!</v>
      </c>
      <c r="AK47" s="36" t="e">
        <f t="shared" si="10"/>
        <v>#REF!</v>
      </c>
      <c r="AL47" s="36" t="e">
        <f t="shared" si="10"/>
        <v>#REF!</v>
      </c>
      <c r="AM47" s="36" t="e">
        <f t="shared" si="10"/>
        <v>#REF!</v>
      </c>
      <c r="AN47" s="36" t="e">
        <f t="shared" si="10"/>
        <v>#REF!</v>
      </c>
      <c r="AO47" s="36" t="e">
        <f t="shared" si="10"/>
        <v>#REF!</v>
      </c>
      <c r="AQ47" s="38"/>
      <c r="AR47" s="36" t="e">
        <f t="shared" si="11"/>
        <v>#REF!</v>
      </c>
      <c r="AS47" s="36" t="e">
        <f t="shared" si="11"/>
        <v>#REF!</v>
      </c>
      <c r="AT47" s="36" t="e">
        <f t="shared" si="11"/>
        <v>#REF!</v>
      </c>
      <c r="AU47" s="36" t="e">
        <f t="shared" si="11"/>
        <v>#REF!</v>
      </c>
      <c r="AV47" s="36" t="e">
        <f t="shared" si="11"/>
        <v>#REF!</v>
      </c>
      <c r="AW47" s="36" t="e">
        <f t="shared" si="11"/>
        <v>#REF!</v>
      </c>
      <c r="AX47" s="36" t="e">
        <f t="shared" si="11"/>
        <v>#REF!</v>
      </c>
      <c r="AY47" s="36" t="e">
        <f t="shared" si="11"/>
        <v>#REF!</v>
      </c>
      <c r="AZ47" s="36" t="e">
        <f t="shared" si="11"/>
        <v>#REF!</v>
      </c>
      <c r="BA47" s="36" t="e">
        <f t="shared" si="11"/>
        <v>#REF!</v>
      </c>
    </row>
    <row r="48" spans="1:53" hidden="1">
      <c r="AQ48" s="38"/>
    </row>
    <row r="49" spans="27:53" hidden="1">
      <c r="AQ49" s="38"/>
    </row>
    <row r="50" spans="27:53" ht="63.75" hidden="1">
      <c r="AA50" s="66" t="s">
        <v>43</v>
      </c>
      <c r="AB50" s="67"/>
      <c r="AC50" s="68"/>
      <c r="AD50" s="68"/>
      <c r="AE50" s="68"/>
      <c r="AF50" s="61" t="s">
        <v>55</v>
      </c>
      <c r="AG50" s="61" t="s">
        <v>73</v>
      </c>
      <c r="AH50" s="61" t="s">
        <v>57</v>
      </c>
      <c r="AI50" s="61" t="s">
        <v>58</v>
      </c>
      <c r="AJ50" s="61" t="s">
        <v>59</v>
      </c>
      <c r="AK50" s="61" t="s">
        <v>60</v>
      </c>
      <c r="AL50" s="62" t="s">
        <v>75</v>
      </c>
      <c r="AM50" s="62" t="s">
        <v>76</v>
      </c>
      <c r="AN50" s="62" t="s">
        <v>61</v>
      </c>
      <c r="AO50" s="62" t="s">
        <v>62</v>
      </c>
      <c r="AP50" s="62"/>
      <c r="AQ50" s="43"/>
      <c r="AR50" s="61" t="s">
        <v>55</v>
      </c>
      <c r="AS50" s="61" t="s">
        <v>73</v>
      </c>
      <c r="AT50" s="61" t="s">
        <v>74</v>
      </c>
      <c r="AU50" s="61" t="s">
        <v>58</v>
      </c>
      <c r="AV50" s="61" t="s">
        <v>59</v>
      </c>
      <c r="AW50" s="61" t="s">
        <v>60</v>
      </c>
      <c r="AX50" s="62" t="s">
        <v>75</v>
      </c>
      <c r="AY50" s="62" t="s">
        <v>76</v>
      </c>
      <c r="AZ50" s="63" t="s">
        <v>61</v>
      </c>
      <c r="BA50" s="61" t="s">
        <v>62</v>
      </c>
    </row>
    <row r="51" spans="27:53" hidden="1">
      <c r="AA51" s="69" t="s">
        <v>44</v>
      </c>
      <c r="AB51" s="35"/>
      <c r="AG51" s="70"/>
      <c r="AQ51" s="38"/>
    </row>
    <row r="52" spans="27:53" hidden="1">
      <c r="AA52" s="71" t="s">
        <v>29</v>
      </c>
      <c r="AB52" s="35"/>
      <c r="AF52" s="70" t="e">
        <f t="shared" ref="AF52:AO52" si="12">AF17+AF19+AF20</f>
        <v>#REF!</v>
      </c>
      <c r="AG52" s="70" t="e">
        <f t="shared" si="12"/>
        <v>#REF!</v>
      </c>
      <c r="AH52" s="70" t="e">
        <f t="shared" si="12"/>
        <v>#REF!</v>
      </c>
      <c r="AI52" s="70" t="e">
        <f t="shared" si="12"/>
        <v>#REF!</v>
      </c>
      <c r="AJ52" s="70" t="e">
        <f t="shared" si="12"/>
        <v>#REF!</v>
      </c>
      <c r="AK52" s="70" t="e">
        <f t="shared" si="12"/>
        <v>#REF!</v>
      </c>
      <c r="AL52" s="70" t="e">
        <f t="shared" si="12"/>
        <v>#REF!</v>
      </c>
      <c r="AM52" s="70" t="e">
        <f t="shared" si="12"/>
        <v>#REF!</v>
      </c>
      <c r="AN52" s="70" t="e">
        <f t="shared" si="12"/>
        <v>#REF!</v>
      </c>
      <c r="AO52" s="70" t="e">
        <f t="shared" si="12"/>
        <v>#REF!</v>
      </c>
      <c r="AP52" s="70"/>
      <c r="AQ52" s="70"/>
      <c r="AR52" s="70" t="e">
        <f t="shared" ref="AR52:BA52" si="13">AR17+AR19+AR20</f>
        <v>#REF!</v>
      </c>
      <c r="AS52" s="70" t="e">
        <f t="shared" si="13"/>
        <v>#REF!</v>
      </c>
      <c r="AT52" s="70" t="e">
        <f t="shared" si="13"/>
        <v>#REF!</v>
      </c>
      <c r="AU52" s="70" t="e">
        <f t="shared" si="13"/>
        <v>#REF!</v>
      </c>
      <c r="AV52" s="70" t="e">
        <f t="shared" si="13"/>
        <v>#REF!</v>
      </c>
      <c r="AW52" s="70" t="e">
        <f t="shared" si="13"/>
        <v>#REF!</v>
      </c>
      <c r="AX52" s="70" t="e">
        <f t="shared" si="13"/>
        <v>#REF!</v>
      </c>
      <c r="AY52" s="70" t="e">
        <f t="shared" si="13"/>
        <v>#REF!</v>
      </c>
      <c r="AZ52" s="70" t="e">
        <f t="shared" si="13"/>
        <v>#REF!</v>
      </c>
      <c r="BA52" s="70" t="e">
        <f t="shared" si="13"/>
        <v>#REF!</v>
      </c>
    </row>
    <row r="53" spans="27:53" hidden="1">
      <c r="AA53" s="71" t="s">
        <v>41</v>
      </c>
      <c r="AB53" s="35"/>
      <c r="AF53" s="70" t="e">
        <f t="shared" ref="AF53:AO53" si="14">AF28+AF30+AF31</f>
        <v>#REF!</v>
      </c>
      <c r="AG53" s="70" t="e">
        <f t="shared" si="14"/>
        <v>#REF!</v>
      </c>
      <c r="AH53" s="70" t="e">
        <f t="shared" si="14"/>
        <v>#REF!</v>
      </c>
      <c r="AI53" s="70" t="e">
        <f t="shared" si="14"/>
        <v>#REF!</v>
      </c>
      <c r="AJ53" s="70" t="e">
        <f t="shared" si="14"/>
        <v>#REF!</v>
      </c>
      <c r="AK53" s="70" t="e">
        <f t="shared" si="14"/>
        <v>#REF!</v>
      </c>
      <c r="AL53" s="70" t="e">
        <f t="shared" si="14"/>
        <v>#REF!</v>
      </c>
      <c r="AM53" s="70" t="e">
        <f t="shared" si="14"/>
        <v>#REF!</v>
      </c>
      <c r="AN53" s="70" t="e">
        <f t="shared" si="14"/>
        <v>#REF!</v>
      </c>
      <c r="AO53" s="70" t="e">
        <f t="shared" si="14"/>
        <v>#REF!</v>
      </c>
      <c r="AP53" s="70"/>
      <c r="AQ53" s="70"/>
      <c r="AR53" s="70" t="e">
        <f t="shared" ref="AR53:BA53" si="15">AR28+AR30+AR31</f>
        <v>#REF!</v>
      </c>
      <c r="AS53" s="70" t="e">
        <f t="shared" si="15"/>
        <v>#REF!</v>
      </c>
      <c r="AT53" s="70" t="e">
        <f t="shared" si="15"/>
        <v>#REF!</v>
      </c>
      <c r="AU53" s="70" t="e">
        <f t="shared" si="15"/>
        <v>#REF!</v>
      </c>
      <c r="AV53" s="70" t="e">
        <f t="shared" si="15"/>
        <v>#REF!</v>
      </c>
      <c r="AW53" s="70" t="e">
        <f t="shared" si="15"/>
        <v>#REF!</v>
      </c>
      <c r="AX53" s="70" t="e">
        <f t="shared" si="15"/>
        <v>#REF!</v>
      </c>
      <c r="AY53" s="70" t="e">
        <f t="shared" si="15"/>
        <v>#REF!</v>
      </c>
      <c r="AZ53" s="70" t="e">
        <f t="shared" si="15"/>
        <v>#REF!</v>
      </c>
      <c r="BA53" s="70" t="e">
        <f t="shared" si="15"/>
        <v>#REF!</v>
      </c>
    </row>
    <row r="54" spans="27:53" hidden="1">
      <c r="AA54" s="71" t="s">
        <v>42</v>
      </c>
      <c r="AB54" s="35"/>
      <c r="AF54" s="70" t="e">
        <f t="shared" ref="AF54:AO54" si="16">AF39+AF41+AF42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AR39+AR41+AR42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69" t="s">
        <v>45</v>
      </c>
      <c r="AB55" s="35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</row>
    <row r="56" spans="27:53" hidden="1">
      <c r="AA56" s="71" t="s">
        <v>29</v>
      </c>
      <c r="AB56" s="35"/>
      <c r="AF56" s="70" t="e">
        <f t="shared" ref="AF56:AO56" si="18">AF17+AF19+AF21+AF23</f>
        <v>#REF!</v>
      </c>
      <c r="AG56" s="70" t="e">
        <f t="shared" si="18"/>
        <v>#REF!</v>
      </c>
      <c r="AH56" s="70" t="e">
        <f t="shared" si="18"/>
        <v>#REF!</v>
      </c>
      <c r="AI56" s="70" t="e">
        <f t="shared" si="18"/>
        <v>#REF!</v>
      </c>
      <c r="AJ56" s="70" t="e">
        <f t="shared" si="18"/>
        <v>#REF!</v>
      </c>
      <c r="AK56" s="70" t="e">
        <f t="shared" si="18"/>
        <v>#REF!</v>
      </c>
      <c r="AL56" s="70" t="e">
        <f t="shared" si="18"/>
        <v>#REF!</v>
      </c>
      <c r="AM56" s="70" t="e">
        <f t="shared" si="18"/>
        <v>#REF!</v>
      </c>
      <c r="AN56" s="70" t="e">
        <f t="shared" si="18"/>
        <v>#REF!</v>
      </c>
      <c r="AO56" s="70" t="e">
        <f t="shared" si="18"/>
        <v>#REF!</v>
      </c>
      <c r="AP56" s="70"/>
      <c r="AQ56" s="70"/>
      <c r="AR56" s="70" t="e">
        <f t="shared" ref="AR56:BA56" si="19">AR17+AR19+AR21+AR23</f>
        <v>#REF!</v>
      </c>
      <c r="AS56" s="70" t="e">
        <f t="shared" si="19"/>
        <v>#REF!</v>
      </c>
      <c r="AT56" s="70" t="e">
        <f t="shared" si="19"/>
        <v>#REF!</v>
      </c>
      <c r="AU56" s="70" t="e">
        <f t="shared" si="19"/>
        <v>#REF!</v>
      </c>
      <c r="AV56" s="70" t="e">
        <f t="shared" si="19"/>
        <v>#REF!</v>
      </c>
      <c r="AW56" s="70" t="e">
        <f t="shared" si="19"/>
        <v>#REF!</v>
      </c>
      <c r="AX56" s="70" t="e">
        <f t="shared" si="19"/>
        <v>#REF!</v>
      </c>
      <c r="AY56" s="70" t="e">
        <f t="shared" si="19"/>
        <v>#REF!</v>
      </c>
      <c r="AZ56" s="70" t="e">
        <f t="shared" si="19"/>
        <v>#REF!</v>
      </c>
      <c r="BA56" s="70" t="e">
        <f t="shared" si="19"/>
        <v>#REF!</v>
      </c>
    </row>
    <row r="57" spans="27:53" hidden="1">
      <c r="AA57" s="71" t="s">
        <v>41</v>
      </c>
      <c r="AB57" s="35"/>
      <c r="AF57" s="70" t="e">
        <f t="shared" ref="AF57:AO57" si="20">AF28+AF30+AF32+AF34</f>
        <v>#REF!</v>
      </c>
      <c r="AG57" s="70" t="e">
        <f t="shared" si="20"/>
        <v>#REF!</v>
      </c>
      <c r="AH57" s="70" t="e">
        <f t="shared" si="20"/>
        <v>#REF!</v>
      </c>
      <c r="AI57" s="70" t="e">
        <f t="shared" si="20"/>
        <v>#REF!</v>
      </c>
      <c r="AJ57" s="70" t="e">
        <f t="shared" si="20"/>
        <v>#REF!</v>
      </c>
      <c r="AK57" s="70" t="e">
        <f t="shared" si="20"/>
        <v>#REF!</v>
      </c>
      <c r="AL57" s="70" t="e">
        <f t="shared" si="20"/>
        <v>#REF!</v>
      </c>
      <c r="AM57" s="70" t="e">
        <f t="shared" si="20"/>
        <v>#REF!</v>
      </c>
      <c r="AN57" s="70" t="e">
        <f t="shared" si="20"/>
        <v>#REF!</v>
      </c>
      <c r="AO57" s="70" t="e">
        <f t="shared" si="20"/>
        <v>#REF!</v>
      </c>
      <c r="AP57" s="70"/>
      <c r="AQ57" s="70"/>
      <c r="AR57" s="70" t="e">
        <f t="shared" ref="AR57:BA57" si="21">AR28+AR30+AR32+AR34</f>
        <v>#REF!</v>
      </c>
      <c r="AS57" s="70" t="e">
        <f t="shared" si="21"/>
        <v>#REF!</v>
      </c>
      <c r="AT57" s="70" t="e">
        <f t="shared" si="21"/>
        <v>#REF!</v>
      </c>
      <c r="AU57" s="70" t="e">
        <f t="shared" si="21"/>
        <v>#REF!</v>
      </c>
      <c r="AV57" s="70" t="e">
        <f t="shared" si="21"/>
        <v>#REF!</v>
      </c>
      <c r="AW57" s="70" t="e">
        <f t="shared" si="21"/>
        <v>#REF!</v>
      </c>
      <c r="AX57" s="70" t="e">
        <f t="shared" si="21"/>
        <v>#REF!</v>
      </c>
      <c r="AY57" s="70" t="e">
        <f t="shared" si="21"/>
        <v>#REF!</v>
      </c>
      <c r="AZ57" s="70" t="e">
        <f t="shared" si="21"/>
        <v>#REF!</v>
      </c>
      <c r="BA57" s="70" t="e">
        <f t="shared" si="21"/>
        <v>#REF!</v>
      </c>
    </row>
    <row r="58" spans="27:53" hidden="1">
      <c r="AA58" s="71" t="s">
        <v>42</v>
      </c>
      <c r="AB58" s="35"/>
      <c r="AF58" s="70" t="e">
        <f t="shared" ref="AF58:AO58" si="22">AF39+AF41+AF43+AF45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AR39+AR41+AR43+AR45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69" t="s">
        <v>46</v>
      </c>
      <c r="AB59" s="35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</row>
    <row r="60" spans="27:53" hidden="1">
      <c r="AA60" s="71" t="s">
        <v>29</v>
      </c>
      <c r="AB60" s="35"/>
      <c r="AF60" s="70" t="e">
        <f t="shared" ref="AF60:AO60" si="24">AF17+AF19+AF21+AF22+AF24</f>
        <v>#REF!</v>
      </c>
      <c r="AG60" s="70" t="e">
        <f t="shared" si="24"/>
        <v>#REF!</v>
      </c>
      <c r="AH60" s="70" t="e">
        <f t="shared" si="24"/>
        <v>#REF!</v>
      </c>
      <c r="AI60" s="70" t="e">
        <f t="shared" si="24"/>
        <v>#REF!</v>
      </c>
      <c r="AJ60" s="70" t="e">
        <f t="shared" si="24"/>
        <v>#REF!</v>
      </c>
      <c r="AK60" s="70" t="e">
        <f t="shared" si="24"/>
        <v>#REF!</v>
      </c>
      <c r="AL60" s="70" t="e">
        <f t="shared" si="24"/>
        <v>#REF!</v>
      </c>
      <c r="AM60" s="70" t="e">
        <f t="shared" si="24"/>
        <v>#REF!</v>
      </c>
      <c r="AN60" s="70" t="e">
        <f t="shared" si="24"/>
        <v>#REF!</v>
      </c>
      <c r="AO60" s="70" t="e">
        <f t="shared" si="24"/>
        <v>#REF!</v>
      </c>
      <c r="AP60" s="70"/>
      <c r="AQ60" s="70"/>
      <c r="AR60" s="70" t="e">
        <f t="shared" ref="AR60:BA60" si="25">AR17+AR19+AR21+AR22+AR24</f>
        <v>#REF!</v>
      </c>
      <c r="AS60" s="70" t="e">
        <f t="shared" si="25"/>
        <v>#REF!</v>
      </c>
      <c r="AT60" s="70" t="e">
        <f t="shared" si="25"/>
        <v>#REF!</v>
      </c>
      <c r="AU60" s="70" t="e">
        <f t="shared" si="25"/>
        <v>#REF!</v>
      </c>
      <c r="AV60" s="70" t="e">
        <f t="shared" si="25"/>
        <v>#REF!</v>
      </c>
      <c r="AW60" s="70" t="e">
        <f t="shared" si="25"/>
        <v>#REF!</v>
      </c>
      <c r="AX60" s="70" t="e">
        <f t="shared" si="25"/>
        <v>#REF!</v>
      </c>
      <c r="AY60" s="70" t="e">
        <f t="shared" si="25"/>
        <v>#REF!</v>
      </c>
      <c r="AZ60" s="70" t="e">
        <f t="shared" si="25"/>
        <v>#REF!</v>
      </c>
      <c r="BA60" s="70" t="e">
        <f t="shared" si="25"/>
        <v>#REF!</v>
      </c>
    </row>
    <row r="61" spans="27:53" hidden="1">
      <c r="AA61" s="71" t="s">
        <v>41</v>
      </c>
      <c r="AB61" s="35"/>
      <c r="AF61" s="70" t="e">
        <f t="shared" ref="AF61:AO61" si="26">AF28+AF30+AF32+AF33+AF35</f>
        <v>#REF!</v>
      </c>
      <c r="AG61" s="70" t="e">
        <f t="shared" si="26"/>
        <v>#REF!</v>
      </c>
      <c r="AH61" s="70" t="e">
        <f t="shared" si="26"/>
        <v>#REF!</v>
      </c>
      <c r="AI61" s="70" t="e">
        <f t="shared" si="26"/>
        <v>#REF!</v>
      </c>
      <c r="AJ61" s="70" t="e">
        <f t="shared" si="26"/>
        <v>#REF!</v>
      </c>
      <c r="AK61" s="70" t="e">
        <f t="shared" si="26"/>
        <v>#REF!</v>
      </c>
      <c r="AL61" s="70" t="e">
        <f t="shared" si="26"/>
        <v>#REF!</v>
      </c>
      <c r="AM61" s="70" t="e">
        <f t="shared" si="26"/>
        <v>#REF!</v>
      </c>
      <c r="AN61" s="70" t="e">
        <f t="shared" si="26"/>
        <v>#REF!</v>
      </c>
      <c r="AO61" s="70" t="e">
        <f t="shared" si="26"/>
        <v>#REF!</v>
      </c>
      <c r="AP61" s="70"/>
      <c r="AQ61" s="70"/>
      <c r="AR61" s="70" t="e">
        <f t="shared" ref="AR61:BA61" si="27">AR28+AR30+AR32+AR33+AR35</f>
        <v>#REF!</v>
      </c>
      <c r="AS61" s="70" t="e">
        <f t="shared" si="27"/>
        <v>#REF!</v>
      </c>
      <c r="AT61" s="70" t="e">
        <f t="shared" si="27"/>
        <v>#REF!</v>
      </c>
      <c r="AU61" s="70" t="e">
        <f t="shared" si="27"/>
        <v>#REF!</v>
      </c>
      <c r="AV61" s="70" t="e">
        <f t="shared" si="27"/>
        <v>#REF!</v>
      </c>
      <c r="AW61" s="70" t="e">
        <f t="shared" si="27"/>
        <v>#REF!</v>
      </c>
      <c r="AX61" s="70" t="e">
        <f t="shared" si="27"/>
        <v>#REF!</v>
      </c>
      <c r="AY61" s="70" t="e">
        <f t="shared" si="27"/>
        <v>#REF!</v>
      </c>
      <c r="AZ61" s="70" t="e">
        <f t="shared" si="27"/>
        <v>#REF!</v>
      </c>
      <c r="BA61" s="70" t="e">
        <f t="shared" si="27"/>
        <v>#REF!</v>
      </c>
    </row>
    <row r="62" spans="27:53" hidden="1">
      <c r="AA62" s="71" t="s">
        <v>42</v>
      </c>
      <c r="AB62" s="35"/>
      <c r="AF62" s="70" t="e">
        <f t="shared" ref="AF62:AO62" si="28">AF39+AF41+AF43+AF44+AF46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AR39+AR41+AR43+AR44+AR46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69" t="s">
        <v>47</v>
      </c>
      <c r="AB63" s="35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</row>
    <row r="64" spans="27:53" hidden="1">
      <c r="AA64" s="71" t="s">
        <v>29</v>
      </c>
      <c r="AB64" s="35"/>
      <c r="AF64" s="70" t="e">
        <f t="shared" ref="AF64:AO64" si="30">AF17+AF19+AF21+AF22+AF25</f>
        <v>#REF!</v>
      </c>
      <c r="AG64" s="70" t="e">
        <f t="shared" si="30"/>
        <v>#REF!</v>
      </c>
      <c r="AH64" s="70" t="e">
        <f t="shared" si="30"/>
        <v>#REF!</v>
      </c>
      <c r="AI64" s="70" t="e">
        <f t="shared" si="30"/>
        <v>#REF!</v>
      </c>
      <c r="AJ64" s="70" t="e">
        <f t="shared" si="30"/>
        <v>#REF!</v>
      </c>
      <c r="AK64" s="70" t="e">
        <f t="shared" si="30"/>
        <v>#REF!</v>
      </c>
      <c r="AL64" s="70" t="e">
        <f t="shared" si="30"/>
        <v>#REF!</v>
      </c>
      <c r="AM64" s="70" t="e">
        <f t="shared" si="30"/>
        <v>#REF!</v>
      </c>
      <c r="AN64" s="70" t="e">
        <f t="shared" si="30"/>
        <v>#REF!</v>
      </c>
      <c r="AO64" s="70" t="e">
        <f t="shared" si="30"/>
        <v>#REF!</v>
      </c>
      <c r="AP64" s="70"/>
      <c r="AQ64" s="70"/>
      <c r="AR64" s="70" t="e">
        <f t="shared" ref="AR64:BA64" si="31">AR17+AR19+AR21+AR22+AR25</f>
        <v>#REF!</v>
      </c>
      <c r="AS64" s="70" t="e">
        <f t="shared" si="31"/>
        <v>#REF!</v>
      </c>
      <c r="AT64" s="70" t="e">
        <f t="shared" si="31"/>
        <v>#REF!</v>
      </c>
      <c r="AU64" s="70" t="e">
        <f t="shared" si="31"/>
        <v>#REF!</v>
      </c>
      <c r="AV64" s="70" t="e">
        <f t="shared" si="31"/>
        <v>#REF!</v>
      </c>
      <c r="AW64" s="70" t="e">
        <f t="shared" si="31"/>
        <v>#REF!</v>
      </c>
      <c r="AX64" s="70" t="e">
        <f t="shared" si="31"/>
        <v>#REF!</v>
      </c>
      <c r="AY64" s="70" t="e">
        <f t="shared" si="31"/>
        <v>#REF!</v>
      </c>
      <c r="AZ64" s="70" t="e">
        <f t="shared" si="31"/>
        <v>#REF!</v>
      </c>
      <c r="BA64" s="70" t="e">
        <f t="shared" si="31"/>
        <v>#REF!</v>
      </c>
    </row>
    <row r="65" spans="27:53" hidden="1">
      <c r="AA65" s="71" t="s">
        <v>41</v>
      </c>
      <c r="AB65" s="35"/>
      <c r="AF65" s="70" t="e">
        <f t="shared" ref="AF65:AO65" si="32">AF28+AF30+AF32+AF33+AF36</f>
        <v>#REF!</v>
      </c>
      <c r="AG65" s="70" t="e">
        <f t="shared" si="32"/>
        <v>#REF!</v>
      </c>
      <c r="AH65" s="70" t="e">
        <f t="shared" si="32"/>
        <v>#REF!</v>
      </c>
      <c r="AI65" s="70" t="e">
        <f t="shared" si="32"/>
        <v>#REF!</v>
      </c>
      <c r="AJ65" s="70" t="e">
        <f t="shared" si="32"/>
        <v>#REF!</v>
      </c>
      <c r="AK65" s="70" t="e">
        <f t="shared" si="32"/>
        <v>#REF!</v>
      </c>
      <c r="AL65" s="70" t="e">
        <f t="shared" si="32"/>
        <v>#REF!</v>
      </c>
      <c r="AM65" s="70" t="e">
        <f t="shared" si="32"/>
        <v>#REF!</v>
      </c>
      <c r="AN65" s="70" t="e">
        <f t="shared" si="32"/>
        <v>#REF!</v>
      </c>
      <c r="AO65" s="70" t="e">
        <f t="shared" si="32"/>
        <v>#REF!</v>
      </c>
      <c r="AP65" s="70"/>
      <c r="AQ65" s="70"/>
      <c r="AR65" s="70" t="e">
        <f t="shared" ref="AR65:BA65" si="33">AR28+AR30+AR32+AR33+AR36</f>
        <v>#REF!</v>
      </c>
      <c r="AS65" s="70" t="e">
        <f t="shared" si="33"/>
        <v>#REF!</v>
      </c>
      <c r="AT65" s="70" t="e">
        <f t="shared" si="33"/>
        <v>#REF!</v>
      </c>
      <c r="AU65" s="70" t="e">
        <f t="shared" si="33"/>
        <v>#REF!</v>
      </c>
      <c r="AV65" s="70" t="e">
        <f t="shared" si="33"/>
        <v>#REF!</v>
      </c>
      <c r="AW65" s="70" t="e">
        <f t="shared" si="33"/>
        <v>#REF!</v>
      </c>
      <c r="AX65" s="70" t="e">
        <f t="shared" si="33"/>
        <v>#REF!</v>
      </c>
      <c r="AY65" s="70" t="e">
        <f t="shared" si="33"/>
        <v>#REF!</v>
      </c>
      <c r="AZ65" s="70" t="e">
        <f t="shared" si="33"/>
        <v>#REF!</v>
      </c>
      <c r="BA65" s="70" t="e">
        <f t="shared" si="33"/>
        <v>#REF!</v>
      </c>
    </row>
    <row r="66" spans="27:53" hidden="1">
      <c r="AA66" s="71" t="s">
        <v>42</v>
      </c>
      <c r="AB66" s="35"/>
      <c r="AF66" s="70" t="e">
        <f t="shared" ref="AF66:AO66" si="34">AF39+AF41+AF43+AF44+AF47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AR39+AR41+AR43+AR44+AR47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69" t="s">
        <v>48</v>
      </c>
      <c r="AB67" s="35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</row>
    <row r="68" spans="27:53" hidden="1">
      <c r="AA68" s="71" t="s">
        <v>29</v>
      </c>
      <c r="AB68" s="35"/>
      <c r="AF68" s="70" t="e">
        <f t="shared" ref="AF68:AO68" si="36">AF17+AF18+AF23</f>
        <v>#REF!</v>
      </c>
      <c r="AG68" s="70" t="e">
        <f t="shared" si="36"/>
        <v>#REF!</v>
      </c>
      <c r="AH68" s="70" t="e">
        <f t="shared" si="36"/>
        <v>#REF!</v>
      </c>
      <c r="AI68" s="70" t="e">
        <f t="shared" si="36"/>
        <v>#REF!</v>
      </c>
      <c r="AJ68" s="70" t="e">
        <f t="shared" si="36"/>
        <v>#REF!</v>
      </c>
      <c r="AK68" s="70" t="e">
        <f t="shared" si="36"/>
        <v>#REF!</v>
      </c>
      <c r="AL68" s="70" t="e">
        <f t="shared" si="36"/>
        <v>#REF!</v>
      </c>
      <c r="AM68" s="70" t="e">
        <f t="shared" si="36"/>
        <v>#REF!</v>
      </c>
      <c r="AN68" s="70" t="e">
        <f t="shared" si="36"/>
        <v>#REF!</v>
      </c>
      <c r="AO68" s="70" t="e">
        <f t="shared" si="36"/>
        <v>#REF!</v>
      </c>
      <c r="AP68" s="70"/>
      <c r="AQ68" s="70"/>
      <c r="AR68" s="70" t="e">
        <f t="shared" ref="AR68:BA68" si="37">AR17+AR18+AR23</f>
        <v>#REF!</v>
      </c>
      <c r="AS68" s="70" t="e">
        <f t="shared" si="37"/>
        <v>#REF!</v>
      </c>
      <c r="AT68" s="70" t="e">
        <f t="shared" si="37"/>
        <v>#REF!</v>
      </c>
      <c r="AU68" s="70" t="e">
        <f t="shared" si="37"/>
        <v>#REF!</v>
      </c>
      <c r="AV68" s="70" t="e">
        <f t="shared" si="37"/>
        <v>#REF!</v>
      </c>
      <c r="AW68" s="70" t="e">
        <f t="shared" si="37"/>
        <v>#REF!</v>
      </c>
      <c r="AX68" s="70" t="e">
        <f t="shared" si="37"/>
        <v>#REF!</v>
      </c>
      <c r="AY68" s="70" t="e">
        <f t="shared" si="37"/>
        <v>#REF!</v>
      </c>
      <c r="AZ68" s="70" t="e">
        <f t="shared" si="37"/>
        <v>#REF!</v>
      </c>
      <c r="BA68" s="70" t="e">
        <f t="shared" si="37"/>
        <v>#REF!</v>
      </c>
    </row>
    <row r="69" spans="27:53" hidden="1">
      <c r="AA69" s="71" t="s">
        <v>41</v>
      </c>
      <c r="AB69" s="35"/>
      <c r="AF69" s="70" t="e">
        <f t="shared" ref="AF69:AO69" si="38">AF28+AF29+AF34</f>
        <v>#REF!</v>
      </c>
      <c r="AG69" s="70" t="e">
        <f t="shared" si="38"/>
        <v>#REF!</v>
      </c>
      <c r="AH69" s="70" t="e">
        <f t="shared" si="38"/>
        <v>#REF!</v>
      </c>
      <c r="AI69" s="70" t="e">
        <f t="shared" si="38"/>
        <v>#REF!</v>
      </c>
      <c r="AJ69" s="70" t="e">
        <f t="shared" si="38"/>
        <v>#REF!</v>
      </c>
      <c r="AK69" s="70" t="e">
        <f t="shared" si="38"/>
        <v>#REF!</v>
      </c>
      <c r="AL69" s="70" t="e">
        <f t="shared" si="38"/>
        <v>#REF!</v>
      </c>
      <c r="AM69" s="70" t="e">
        <f t="shared" si="38"/>
        <v>#REF!</v>
      </c>
      <c r="AN69" s="70" t="e">
        <f t="shared" si="38"/>
        <v>#REF!</v>
      </c>
      <c r="AO69" s="70" t="e">
        <f t="shared" si="38"/>
        <v>#REF!</v>
      </c>
      <c r="AP69" s="70"/>
      <c r="AQ69" s="70"/>
      <c r="AR69" s="70" t="e">
        <f t="shared" ref="AR69:BA69" si="39">AR28+AR29+AR34</f>
        <v>#REF!</v>
      </c>
      <c r="AS69" s="70" t="e">
        <f t="shared" si="39"/>
        <v>#REF!</v>
      </c>
      <c r="AT69" s="70" t="e">
        <f t="shared" si="39"/>
        <v>#REF!</v>
      </c>
      <c r="AU69" s="70" t="e">
        <f t="shared" si="39"/>
        <v>#REF!</v>
      </c>
      <c r="AV69" s="70" t="e">
        <f t="shared" si="39"/>
        <v>#REF!</v>
      </c>
      <c r="AW69" s="70" t="e">
        <f t="shared" si="39"/>
        <v>#REF!</v>
      </c>
      <c r="AX69" s="70" t="e">
        <f t="shared" si="39"/>
        <v>#REF!</v>
      </c>
      <c r="AY69" s="70" t="e">
        <f t="shared" si="39"/>
        <v>#REF!</v>
      </c>
      <c r="AZ69" s="70" t="e">
        <f t="shared" si="39"/>
        <v>#REF!</v>
      </c>
      <c r="BA69" s="70" t="e">
        <f t="shared" si="39"/>
        <v>#REF!</v>
      </c>
    </row>
    <row r="70" spans="27:53" hidden="1">
      <c r="AA70" s="71" t="s">
        <v>42</v>
      </c>
      <c r="AB70" s="35"/>
      <c r="AF70" s="70" t="e">
        <f t="shared" ref="AF70:AO70" si="40">AF39+AF40+AF45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AR39+AR40+AR45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2" t="s">
        <v>49</v>
      </c>
      <c r="AB71" s="35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</row>
    <row r="72" spans="27:53" hidden="1">
      <c r="AA72" s="71" t="s">
        <v>29</v>
      </c>
      <c r="AB72" s="35"/>
      <c r="AF72" s="70" t="e">
        <f t="shared" ref="AF72:AO72" si="42">AF17+AF18+AF22+AF24</f>
        <v>#REF!</v>
      </c>
      <c r="AG72" s="70" t="e">
        <f t="shared" si="42"/>
        <v>#REF!</v>
      </c>
      <c r="AH72" s="70" t="e">
        <f t="shared" si="42"/>
        <v>#REF!</v>
      </c>
      <c r="AI72" s="70" t="e">
        <f t="shared" si="42"/>
        <v>#REF!</v>
      </c>
      <c r="AJ72" s="70" t="e">
        <f t="shared" si="42"/>
        <v>#REF!</v>
      </c>
      <c r="AK72" s="70" t="e">
        <f t="shared" si="42"/>
        <v>#REF!</v>
      </c>
      <c r="AL72" s="70" t="e">
        <f t="shared" si="42"/>
        <v>#REF!</v>
      </c>
      <c r="AM72" s="70" t="e">
        <f t="shared" si="42"/>
        <v>#REF!</v>
      </c>
      <c r="AN72" s="70" t="e">
        <f t="shared" si="42"/>
        <v>#REF!</v>
      </c>
      <c r="AO72" s="70" t="e">
        <f t="shared" si="42"/>
        <v>#REF!</v>
      </c>
      <c r="AP72" s="70"/>
      <c r="AQ72" s="70"/>
      <c r="AR72" s="70" t="e">
        <f t="shared" ref="AR72:BA72" si="43">AR17+AR18+AR22+AR24</f>
        <v>#REF!</v>
      </c>
      <c r="AS72" s="70" t="e">
        <f t="shared" si="43"/>
        <v>#REF!</v>
      </c>
      <c r="AT72" s="70" t="e">
        <f t="shared" si="43"/>
        <v>#REF!</v>
      </c>
      <c r="AU72" s="70" t="e">
        <f t="shared" si="43"/>
        <v>#REF!</v>
      </c>
      <c r="AV72" s="70" t="e">
        <f t="shared" si="43"/>
        <v>#REF!</v>
      </c>
      <c r="AW72" s="70" t="e">
        <f t="shared" si="43"/>
        <v>#REF!</v>
      </c>
      <c r="AX72" s="70" t="e">
        <f t="shared" si="43"/>
        <v>#REF!</v>
      </c>
      <c r="AY72" s="70" t="e">
        <f t="shared" si="43"/>
        <v>#REF!</v>
      </c>
      <c r="AZ72" s="70" t="e">
        <f t="shared" si="43"/>
        <v>#REF!</v>
      </c>
      <c r="BA72" s="70" t="e">
        <f t="shared" si="43"/>
        <v>#REF!</v>
      </c>
    </row>
    <row r="73" spans="27:53" hidden="1">
      <c r="AA73" s="71" t="s">
        <v>41</v>
      </c>
      <c r="AB73" s="35"/>
      <c r="AF73" s="70" t="e">
        <f t="shared" ref="AF73:AO73" si="44">AF28+AF29+AF33+AF35</f>
        <v>#REF!</v>
      </c>
      <c r="AG73" s="70" t="e">
        <f t="shared" si="44"/>
        <v>#REF!</v>
      </c>
      <c r="AH73" s="70" t="e">
        <f t="shared" si="44"/>
        <v>#REF!</v>
      </c>
      <c r="AI73" s="70" t="e">
        <f t="shared" si="44"/>
        <v>#REF!</v>
      </c>
      <c r="AJ73" s="70" t="e">
        <f t="shared" si="44"/>
        <v>#REF!</v>
      </c>
      <c r="AK73" s="70" t="e">
        <f t="shared" si="44"/>
        <v>#REF!</v>
      </c>
      <c r="AL73" s="70" t="e">
        <f t="shared" si="44"/>
        <v>#REF!</v>
      </c>
      <c r="AM73" s="70" t="e">
        <f t="shared" si="44"/>
        <v>#REF!</v>
      </c>
      <c r="AN73" s="70" t="e">
        <f t="shared" si="44"/>
        <v>#REF!</v>
      </c>
      <c r="AO73" s="70" t="e">
        <f t="shared" si="44"/>
        <v>#REF!</v>
      </c>
      <c r="AP73" s="70"/>
      <c r="AQ73" s="70"/>
      <c r="AR73" s="70" t="e">
        <f t="shared" ref="AR73:BA73" si="45">AR28+AR29+AR33+AR35</f>
        <v>#REF!</v>
      </c>
      <c r="AS73" s="70" t="e">
        <f t="shared" si="45"/>
        <v>#REF!</v>
      </c>
      <c r="AT73" s="70" t="e">
        <f t="shared" si="45"/>
        <v>#REF!</v>
      </c>
      <c r="AU73" s="70" t="e">
        <f t="shared" si="45"/>
        <v>#REF!</v>
      </c>
      <c r="AV73" s="70" t="e">
        <f t="shared" si="45"/>
        <v>#REF!</v>
      </c>
      <c r="AW73" s="70" t="e">
        <f t="shared" si="45"/>
        <v>#REF!</v>
      </c>
      <c r="AX73" s="70" t="e">
        <f t="shared" si="45"/>
        <v>#REF!</v>
      </c>
      <c r="AY73" s="70" t="e">
        <f t="shared" si="45"/>
        <v>#REF!</v>
      </c>
      <c r="AZ73" s="70" t="e">
        <f t="shared" si="45"/>
        <v>#REF!</v>
      </c>
      <c r="BA73" s="70" t="e">
        <f t="shared" si="45"/>
        <v>#REF!</v>
      </c>
    </row>
    <row r="74" spans="27:53" hidden="1">
      <c r="AA74" s="71" t="s">
        <v>42</v>
      </c>
      <c r="AB74" s="35"/>
      <c r="AF74" s="70" t="e">
        <f t="shared" ref="AF74:AO74" si="46">AF39+AF40+AF44+AF46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AR39+AR40+AR44+AR46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69" t="s">
        <v>50</v>
      </c>
      <c r="AB75" s="35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</row>
    <row r="76" spans="27:53" hidden="1">
      <c r="AA76" s="71" t="s">
        <v>29</v>
      </c>
      <c r="AB76" s="35"/>
      <c r="AF76" s="70" t="e">
        <f t="shared" ref="AF76:AO76" si="48">AF17+AF18+AF22+AF25</f>
        <v>#REF!</v>
      </c>
      <c r="AG76" s="70" t="e">
        <f t="shared" si="48"/>
        <v>#REF!</v>
      </c>
      <c r="AH76" s="70" t="e">
        <f t="shared" si="48"/>
        <v>#REF!</v>
      </c>
      <c r="AI76" s="70" t="e">
        <f t="shared" si="48"/>
        <v>#REF!</v>
      </c>
      <c r="AJ76" s="70" t="e">
        <f t="shared" si="48"/>
        <v>#REF!</v>
      </c>
      <c r="AK76" s="70" t="e">
        <f t="shared" si="48"/>
        <v>#REF!</v>
      </c>
      <c r="AL76" s="70" t="e">
        <f t="shared" si="48"/>
        <v>#REF!</v>
      </c>
      <c r="AM76" s="70" t="e">
        <f t="shared" si="48"/>
        <v>#REF!</v>
      </c>
      <c r="AN76" s="70" t="e">
        <f t="shared" si="48"/>
        <v>#REF!</v>
      </c>
      <c r="AO76" s="70" t="e">
        <f t="shared" si="48"/>
        <v>#REF!</v>
      </c>
      <c r="AP76" s="70"/>
      <c r="AQ76" s="70"/>
      <c r="AR76" s="70" t="e">
        <f t="shared" ref="AR76:BA76" si="49">AR17+AR18+AR22+AR25</f>
        <v>#REF!</v>
      </c>
      <c r="AS76" s="70" t="e">
        <f t="shared" si="49"/>
        <v>#REF!</v>
      </c>
      <c r="AT76" s="70" t="e">
        <f t="shared" si="49"/>
        <v>#REF!</v>
      </c>
      <c r="AU76" s="70" t="e">
        <f t="shared" si="49"/>
        <v>#REF!</v>
      </c>
      <c r="AV76" s="70" t="e">
        <f t="shared" si="49"/>
        <v>#REF!</v>
      </c>
      <c r="AW76" s="70" t="e">
        <f t="shared" si="49"/>
        <v>#REF!</v>
      </c>
      <c r="AX76" s="70" t="e">
        <f t="shared" si="49"/>
        <v>#REF!</v>
      </c>
      <c r="AY76" s="70" t="e">
        <f t="shared" si="49"/>
        <v>#REF!</v>
      </c>
      <c r="AZ76" s="70" t="e">
        <f t="shared" si="49"/>
        <v>#REF!</v>
      </c>
      <c r="BA76" s="70" t="e">
        <f t="shared" si="49"/>
        <v>#REF!</v>
      </c>
    </row>
    <row r="77" spans="27:53" hidden="1">
      <c r="AA77" s="71" t="s">
        <v>41</v>
      </c>
      <c r="AB77" s="35"/>
      <c r="AF77" s="70" t="e">
        <f t="shared" ref="AF77:AO77" si="50">AF28+AF29+AF33+AF36</f>
        <v>#REF!</v>
      </c>
      <c r="AG77" s="70" t="e">
        <f t="shared" si="50"/>
        <v>#REF!</v>
      </c>
      <c r="AH77" s="70" t="e">
        <f t="shared" si="50"/>
        <v>#REF!</v>
      </c>
      <c r="AI77" s="70" t="e">
        <f t="shared" si="50"/>
        <v>#REF!</v>
      </c>
      <c r="AJ77" s="70" t="e">
        <f t="shared" si="50"/>
        <v>#REF!</v>
      </c>
      <c r="AK77" s="70" t="e">
        <f t="shared" si="50"/>
        <v>#REF!</v>
      </c>
      <c r="AL77" s="70" t="e">
        <f t="shared" si="50"/>
        <v>#REF!</v>
      </c>
      <c r="AM77" s="70" t="e">
        <f t="shared" si="50"/>
        <v>#REF!</v>
      </c>
      <c r="AN77" s="70" t="e">
        <f t="shared" si="50"/>
        <v>#REF!</v>
      </c>
      <c r="AO77" s="70" t="e">
        <f t="shared" si="50"/>
        <v>#REF!</v>
      </c>
      <c r="AP77" s="70"/>
      <c r="AQ77" s="70"/>
      <c r="AR77" s="70" t="e">
        <f t="shared" ref="AR77:BA77" si="51">AR28+AR29+AR33+AR36</f>
        <v>#REF!</v>
      </c>
      <c r="AS77" s="70" t="e">
        <f t="shared" si="51"/>
        <v>#REF!</v>
      </c>
      <c r="AT77" s="70" t="e">
        <f t="shared" si="51"/>
        <v>#REF!</v>
      </c>
      <c r="AU77" s="70" t="e">
        <f t="shared" si="51"/>
        <v>#REF!</v>
      </c>
      <c r="AV77" s="70" t="e">
        <f t="shared" si="51"/>
        <v>#REF!</v>
      </c>
      <c r="AW77" s="70" t="e">
        <f t="shared" si="51"/>
        <v>#REF!</v>
      </c>
      <c r="AX77" s="70" t="e">
        <f t="shared" si="51"/>
        <v>#REF!</v>
      </c>
      <c r="AY77" s="70" t="e">
        <f t="shared" si="51"/>
        <v>#REF!</v>
      </c>
      <c r="AZ77" s="70" t="e">
        <f t="shared" si="51"/>
        <v>#REF!</v>
      </c>
      <c r="BA77" s="70" t="e">
        <f t="shared" si="51"/>
        <v>#REF!</v>
      </c>
    </row>
    <row r="78" spans="27:53" hidden="1">
      <c r="AA78" s="71" t="s">
        <v>42</v>
      </c>
      <c r="AB78" s="35"/>
      <c r="AF78" s="70" t="e">
        <f t="shared" ref="AF78:AO78" si="52">AF39+AF40+AF44+AF47</f>
        <v>#REF!</v>
      </c>
      <c r="AG78" s="70" t="e">
        <f t="shared" si="52"/>
        <v>#REF!</v>
      </c>
      <c r="AH78" s="70" t="e">
        <f t="shared" si="52"/>
        <v>#REF!</v>
      </c>
      <c r="AI78" s="70" t="e">
        <f t="shared" si="52"/>
        <v>#REF!</v>
      </c>
      <c r="AJ78" s="70" t="e">
        <f t="shared" si="52"/>
        <v>#REF!</v>
      </c>
      <c r="AK78" s="70" t="e">
        <f t="shared" si="52"/>
        <v>#REF!</v>
      </c>
      <c r="AL78" s="70" t="e">
        <f t="shared" si="52"/>
        <v>#REF!</v>
      </c>
      <c r="AM78" s="70" t="e">
        <f t="shared" si="52"/>
        <v>#REF!</v>
      </c>
      <c r="AN78" s="70" t="e">
        <f t="shared" si="52"/>
        <v>#REF!</v>
      </c>
      <c r="AO78" s="70" t="e">
        <f t="shared" si="52"/>
        <v>#REF!</v>
      </c>
      <c r="AP78" s="70"/>
      <c r="AQ78" s="70"/>
      <c r="AR78" s="70" t="e">
        <f t="shared" ref="AR78:BA78" si="53">AR39+AR40+AR44+AR47</f>
        <v>#REF!</v>
      </c>
      <c r="AS78" s="70" t="e">
        <f t="shared" si="53"/>
        <v>#REF!</v>
      </c>
      <c r="AT78" s="70" t="e">
        <f t="shared" si="53"/>
        <v>#REF!</v>
      </c>
      <c r="AU78" s="70" t="e">
        <f t="shared" si="53"/>
        <v>#REF!</v>
      </c>
      <c r="AV78" s="70" t="e">
        <f t="shared" si="53"/>
        <v>#REF!</v>
      </c>
      <c r="AW78" s="70" t="e">
        <f t="shared" si="53"/>
        <v>#REF!</v>
      </c>
      <c r="AX78" s="70" t="e">
        <f t="shared" si="53"/>
        <v>#REF!</v>
      </c>
      <c r="AY78" s="70" t="e">
        <f t="shared" si="53"/>
        <v>#REF!</v>
      </c>
      <c r="AZ78" s="70" t="e">
        <f t="shared" si="53"/>
        <v>#REF!</v>
      </c>
      <c r="BA78" s="70" t="e">
        <f t="shared" si="53"/>
        <v>#REF!</v>
      </c>
    </row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7" spans="1:52" hidden="1"/>
    <row r="89" spans="1:52">
      <c r="A89" s="598" t="s">
        <v>108</v>
      </c>
      <c r="B89" s="598" t="s">
        <v>52</v>
      </c>
      <c r="C89" s="39" t="s">
        <v>101</v>
      </c>
      <c r="D89" s="39" t="s">
        <v>53</v>
      </c>
      <c r="E89" s="39" t="s">
        <v>54</v>
      </c>
      <c r="F89" s="587" t="s">
        <v>64</v>
      </c>
      <c r="G89" s="600"/>
      <c r="H89" s="600"/>
      <c r="I89" s="600"/>
      <c r="J89" s="600"/>
      <c r="K89" s="600"/>
      <c r="L89" s="600"/>
      <c r="M89" s="600"/>
      <c r="N89" s="600"/>
      <c r="O89" s="600"/>
      <c r="P89" s="590"/>
      <c r="AN89" s="38"/>
      <c r="AZ89" s="36"/>
    </row>
    <row r="90" spans="1:52" ht="63.75">
      <c r="A90" s="599"/>
      <c r="B90" s="599"/>
      <c r="C90" s="41" t="s">
        <v>66</v>
      </c>
      <c r="D90" s="41" t="s">
        <v>67</v>
      </c>
      <c r="E90" s="41" t="s">
        <v>68</v>
      </c>
      <c r="F90" s="545" t="s">
        <v>55</v>
      </c>
      <c r="G90" s="545" t="s">
        <v>73</v>
      </c>
      <c r="H90" s="545" t="s">
        <v>74</v>
      </c>
      <c r="I90" s="545" t="s">
        <v>58</v>
      </c>
      <c r="J90" s="545" t="s">
        <v>59</v>
      </c>
      <c r="K90" s="545" t="s">
        <v>60</v>
      </c>
      <c r="L90" s="544" t="s">
        <v>75</v>
      </c>
      <c r="M90" s="544" t="s">
        <v>76</v>
      </c>
      <c r="N90" s="544" t="s">
        <v>61</v>
      </c>
      <c r="O90" s="544" t="s">
        <v>62</v>
      </c>
      <c r="P90" s="544" t="s">
        <v>63</v>
      </c>
      <c r="AN90" s="38"/>
      <c r="AZ90" s="36"/>
    </row>
    <row r="91" spans="1:52" ht="25.5">
      <c r="A91" s="44" t="str">
        <f>A4</f>
        <v>General Construction</v>
      </c>
      <c r="B91" s="45" t="str">
        <f>B4</f>
        <v>Light-Duty Truck, catalyst</v>
      </c>
      <c r="C91" s="46">
        <f>C4</f>
        <v>3</v>
      </c>
      <c r="D91" s="46">
        <v>35</v>
      </c>
      <c r="E91" s="46">
        <v>80</v>
      </c>
      <c r="F91" s="50">
        <f>C4*($E4*$F4+($G4))/453.59</f>
        <v>1.4571581576427601</v>
      </c>
      <c r="G91" s="50">
        <f>C4*($E4*$H4+($I4))/453.59</f>
        <v>0.13101197188313402</v>
      </c>
      <c r="H91" s="50">
        <f>C4*(($E4*$J4)+($K4)+($L4)+($E4*$N4)+(($M4+$O4)))/453.59</f>
        <v>0.15149994097185998</v>
      </c>
      <c r="I91" s="50">
        <f>C4*($E4*$P4+($Q4))/453.59</f>
        <v>2.1803910814818476E-3</v>
      </c>
      <c r="J91" s="50">
        <f>C4*(($E4*($R4+$T4+$U4))+($S4))/453.59</f>
        <v>2.5572271365623688E-2</v>
      </c>
      <c r="K91" s="50">
        <f>$C4*(($E4*($V4+$X4+$Y4))+($W4))/453.59</f>
        <v>1.1136015972759426E-2</v>
      </c>
      <c r="L91" s="50">
        <f>$B$24*C4*(E4+6)</f>
        <v>2.5315747758215698E-2</v>
      </c>
      <c r="M91" s="50">
        <f t="shared" ref="M91:M92" si="54">0.41*L91</f>
        <v>1.0379456580868435E-2</v>
      </c>
      <c r="N91" s="50">
        <f>C4*($E4*$Z4+($AA4))/453.59</f>
        <v>166.27073017811671</v>
      </c>
      <c r="O91" s="50">
        <f>C4*($E4*$AB4+($AC4))/453.59</f>
        <v>9.5114261670907474E-3</v>
      </c>
      <c r="P91" s="50">
        <f>C4*($E4*$AD4+($AE4))/453.59</f>
        <v>1.7313359741530081E-2</v>
      </c>
      <c r="AN91" s="38"/>
      <c r="AZ91" s="36"/>
    </row>
    <row r="92" spans="1:52" ht="25.5">
      <c r="A92" s="44" t="str">
        <f t="shared" ref="A92:C94" si="55">A5</f>
        <v>Substation General Construction</v>
      </c>
      <c r="B92" s="45" t="str">
        <f t="shared" si="55"/>
        <v>Light-Duty Truck, catalyst</v>
      </c>
      <c r="C92" s="46">
        <f t="shared" si="55"/>
        <v>3</v>
      </c>
      <c r="D92" s="46">
        <v>35</v>
      </c>
      <c r="E92" s="46">
        <v>80</v>
      </c>
      <c r="F92" s="50">
        <f>C5*($E5*$F5+($G5))/453.59</f>
        <v>1.4571581576427601</v>
      </c>
      <c r="G92" s="50">
        <f>C5*($E5*$H5+($I5))/453.59</f>
        <v>0.13101197188313402</v>
      </c>
      <c r="H92" s="50">
        <f>C5*(($E5*$J5)+($K5)+($L5)+($E5*$N5)+(($M5+$O5)))/453.59</f>
        <v>0.15149994097185998</v>
      </c>
      <c r="I92" s="50">
        <f>C5*($E5*$P5+($Q5))/453.59</f>
        <v>2.1803910814818476E-3</v>
      </c>
      <c r="J92" s="50">
        <f>C5*(($E5*($R5+$T5+$U5))+($S5))/453.59</f>
        <v>2.5572271365623688E-2</v>
      </c>
      <c r="K92" s="50">
        <f>$C5*(($E5*($V5+$X5+$Y5))+($W5))/453.59</f>
        <v>1.1136015972759426E-2</v>
      </c>
      <c r="L92" s="50">
        <f>$B$24*C5*(E5+6)</f>
        <v>2.5315747758215698E-2</v>
      </c>
      <c r="M92" s="50">
        <f t="shared" si="54"/>
        <v>1.0379456580868435E-2</v>
      </c>
      <c r="N92" s="50">
        <f>C5*($E5*$Z5+($AA5))/453.59</f>
        <v>166.27073017811671</v>
      </c>
      <c r="O92" s="50">
        <f>C5*($E5*$AB5+($AC5))/453.59</f>
        <v>9.5114261670907474E-3</v>
      </c>
      <c r="P92" s="50">
        <f>C5*($E5*$AD5+($AE5))/453.59</f>
        <v>1.7313359741530081E-2</v>
      </c>
      <c r="AN92" s="38"/>
      <c r="AZ92" s="36"/>
    </row>
    <row r="93" spans="1:52" ht="25.5">
      <c r="A93" s="44" t="str">
        <f t="shared" si="55"/>
        <v>Site and Access Road Grading</v>
      </c>
      <c r="B93" s="45" t="str">
        <f t="shared" si="55"/>
        <v>Light-Duty Truck, catalyst</v>
      </c>
      <c r="C93" s="46">
        <f t="shared" si="55"/>
        <v>19</v>
      </c>
      <c r="D93" s="46">
        <v>35</v>
      </c>
      <c r="E93" s="46">
        <v>80</v>
      </c>
      <c r="F93" s="50">
        <f>C6*($E6*$F6+($G6))/453.59</f>
        <v>9.2286683317374809</v>
      </c>
      <c r="G93" s="50">
        <f>C6*($E6*$H6+($I6))/453.59</f>
        <v>0.82974248859318211</v>
      </c>
      <c r="H93" s="50">
        <f>C6*(($E6*$J6)+($K6)+($L6)+($E6*$N6)+(($M6+$O6)))/453.59</f>
        <v>0.95949962615511319</v>
      </c>
      <c r="I93" s="50">
        <f>C6*($E6*$P6+($Q6))/453.59</f>
        <v>1.3809143516051703E-2</v>
      </c>
      <c r="J93" s="50">
        <f>C6*(($E6*($R6+$T6+$U6))+($S6))/453.59</f>
        <v>0.16195771864895006</v>
      </c>
      <c r="K93" s="50">
        <f>$C6*(($E6*($V6+$X6+$Y6))+($W6))/453.59</f>
        <v>7.0528101160809695E-2</v>
      </c>
      <c r="L93" s="50">
        <f>$B$24*C6*(E6+6)</f>
        <v>0.16033306913536607</v>
      </c>
      <c r="M93" s="50">
        <f t="shared" ref="M93" si="56">0.41*L93</f>
        <v>6.5736558345500087E-2</v>
      </c>
      <c r="N93" s="50">
        <f>C6*($E6*$Z6+($AA6))/453.59</f>
        <v>1053.047957794739</v>
      </c>
      <c r="O93" s="50">
        <f>C6*($E6*$AB6+($AC6))/453.59</f>
        <v>6.0239032391574736E-2</v>
      </c>
      <c r="P93" s="50">
        <f>C6*($E6*$AD6+($AE6))/453.59</f>
        <v>0.10965127836302384</v>
      </c>
      <c r="AN93" s="38"/>
      <c r="AZ93" s="36"/>
    </row>
    <row r="94" spans="1:52" ht="25.5">
      <c r="A94" s="44" t="str">
        <f t="shared" si="55"/>
        <v>Public Improvements and Access Road Paving</v>
      </c>
      <c r="B94" s="45" t="str">
        <f t="shared" si="55"/>
        <v>Light-Duty Truck, catalyst</v>
      </c>
      <c r="C94" s="46">
        <f t="shared" si="55"/>
        <v>12</v>
      </c>
      <c r="D94" s="46">
        <v>35</v>
      </c>
      <c r="E94" s="46">
        <v>80</v>
      </c>
      <c r="F94" s="50">
        <f>C7*($E7*$F7+($G7))/453.59</f>
        <v>5.8286326305710405</v>
      </c>
      <c r="G94" s="50">
        <f>C7*($E7*$H7+($I7))/453.59</f>
        <v>0.52404788753253606</v>
      </c>
      <c r="H94" s="50">
        <f>C7*(($E7*$J7)+($K7)+($L7)+($E7*$N7)+(($M7+$O7)))/453.59</f>
        <v>0.60599976388743992</v>
      </c>
      <c r="I94" s="50">
        <f>C7*($E7*$P7+($Q7))/453.59</f>
        <v>8.7215643259273903E-3</v>
      </c>
      <c r="J94" s="50">
        <f>C7*(($E7*($R7+$T7+$U7))+($S7))/453.59</f>
        <v>0.10228908546249475</v>
      </c>
      <c r="K94" s="50">
        <f>$C7*(($E7*($V7+$X7+$Y7))+($W7))/453.59</f>
        <v>4.4544063891037704E-2</v>
      </c>
      <c r="L94" s="50">
        <f>$B$24*C7*(E7+6)</f>
        <v>0.10126299103286279</v>
      </c>
      <c r="M94" s="50">
        <f t="shared" ref="M94" si="57">0.41*L94</f>
        <v>4.1517826323473742E-2</v>
      </c>
      <c r="N94" s="50">
        <f>C7*($E7*$Z7+($AA7))/453.59</f>
        <v>665.08292071246683</v>
      </c>
      <c r="O94" s="50">
        <f>C7*($E7*$AB7+($AC7))/453.59</f>
        <v>3.804570466836299E-2</v>
      </c>
      <c r="P94" s="50">
        <f>C7*($E7*$AD7+($AE7))/453.59</f>
        <v>6.9253438966120323E-2</v>
      </c>
      <c r="AN94" s="38"/>
      <c r="AZ94" s="36"/>
    </row>
    <row r="95" spans="1:52">
      <c r="A95" s="61" t="s">
        <v>389</v>
      </c>
      <c r="B95" s="40"/>
      <c r="C95" s="40"/>
      <c r="D95" s="40"/>
      <c r="E95" s="40"/>
      <c r="F95" s="81">
        <f t="shared" ref="F95:P95" si="58">SUM(F91:F94)</f>
        <v>17.971617277594042</v>
      </c>
      <c r="G95" s="81">
        <f t="shared" si="58"/>
        <v>1.6158143198919863</v>
      </c>
      <c r="H95" s="81">
        <f t="shared" si="58"/>
        <v>1.8684992719862732</v>
      </c>
      <c r="I95" s="81">
        <f t="shared" si="58"/>
        <v>2.6891490004942786E-2</v>
      </c>
      <c r="J95" s="81">
        <f t="shared" si="58"/>
        <v>0.31539134684269221</v>
      </c>
      <c r="K95" s="81">
        <f t="shared" si="58"/>
        <v>0.13734419699736625</v>
      </c>
      <c r="L95" s="81">
        <f t="shared" si="58"/>
        <v>0.31222755568466026</v>
      </c>
      <c r="M95" s="81">
        <f t="shared" si="58"/>
        <v>0.12801329783071069</v>
      </c>
      <c r="N95" s="81">
        <f t="shared" si="58"/>
        <v>2050.6723388634391</v>
      </c>
      <c r="O95" s="81">
        <f t="shared" si="58"/>
        <v>0.11730758939411923</v>
      </c>
      <c r="P95" s="81">
        <f t="shared" si="58"/>
        <v>0.21353143681220432</v>
      </c>
      <c r="AN95" s="38"/>
      <c r="AZ95" s="36"/>
    </row>
  </sheetData>
  <mergeCells count="16">
    <mergeCell ref="AR14:BA14"/>
    <mergeCell ref="A89:A90"/>
    <mergeCell ref="B89:B90"/>
    <mergeCell ref="F89:P89"/>
    <mergeCell ref="R2:U2"/>
    <mergeCell ref="V2:Y2"/>
    <mergeCell ref="Z2:AA2"/>
    <mergeCell ref="AB2:AC2"/>
    <mergeCell ref="AD2:AE2"/>
    <mergeCell ref="AF14:AO14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31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567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314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8</v>
      </c>
      <c r="P8" s="88">
        <v>125</v>
      </c>
      <c r="Q8" s="34">
        <f t="shared" ref="Q8:Y10" si="2">(E8*$N8*$O8)</f>
        <v>0.49946184642775621</v>
      </c>
      <c r="R8" s="26">
        <f t="shared" si="2"/>
        <v>2.4431746031746027</v>
      </c>
      <c r="S8" s="26">
        <f t="shared" si="2"/>
        <v>3.1176888888888881</v>
      </c>
      <c r="T8" s="26">
        <f t="shared" si="2"/>
        <v>4.4060015200662857E-3</v>
      </c>
      <c r="U8" s="26">
        <f t="shared" si="2"/>
        <v>0.19809523809523807</v>
      </c>
      <c r="V8" s="26">
        <f t="shared" si="2"/>
        <v>0.17630476190476188</v>
      </c>
      <c r="W8" s="26">
        <f t="shared" si="2"/>
        <v>375.60183859341714</v>
      </c>
      <c r="X8" s="26">
        <f t="shared" si="2"/>
        <v>5.4697471816927752E-2</v>
      </c>
      <c r="Y8" s="26">
        <f t="shared" si="2"/>
        <v>0.29618044444444436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9</v>
      </c>
      <c r="P9" s="363">
        <v>125</v>
      </c>
      <c r="Q9" s="34">
        <f t="shared" si="2"/>
        <v>1.0612998664693185</v>
      </c>
      <c r="R9" s="26">
        <f t="shared" si="2"/>
        <v>3.2860974016937274</v>
      </c>
      <c r="S9" s="26">
        <f t="shared" si="2"/>
        <v>7.8103317854039886</v>
      </c>
      <c r="T9" s="26">
        <f t="shared" si="2"/>
        <v>1.6865295748293957E-2</v>
      </c>
      <c r="U9" s="26">
        <f t="shared" si="2"/>
        <v>0.26137541066030878</v>
      </c>
      <c r="V9" s="26">
        <f t="shared" si="2"/>
        <v>0.23262411548767484</v>
      </c>
      <c r="W9" s="26">
        <f t="shared" si="2"/>
        <v>1498.908740620727</v>
      </c>
      <c r="X9" s="26">
        <f t="shared" si="2"/>
        <v>9.5759396799267066E-2</v>
      </c>
      <c r="Y9" s="26">
        <f t="shared" si="2"/>
        <v>0.74198151961337888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3</v>
      </c>
      <c r="P10" s="363">
        <v>125</v>
      </c>
      <c r="Q10" s="34">
        <f t="shared" si="2"/>
        <v>3.9051121312432671E-2</v>
      </c>
      <c r="R10" s="26">
        <f t="shared" si="2"/>
        <v>0.1468253968253968</v>
      </c>
      <c r="S10" s="26">
        <f t="shared" si="2"/>
        <v>0.13018518518518515</v>
      </c>
      <c r="T10" s="26">
        <f t="shared" si="2"/>
        <v>4.7652059865273245E-4</v>
      </c>
      <c r="U10" s="26">
        <f t="shared" si="2"/>
        <v>1.4682539682539681E-2</v>
      </c>
      <c r="V10" s="26">
        <f t="shared" si="2"/>
        <v>1.3067460317460314E-2</v>
      </c>
      <c r="W10" s="26">
        <f t="shared" si="2"/>
        <v>30.622980859093083</v>
      </c>
      <c r="X10" s="26">
        <f t="shared" si="2"/>
        <v>3.8388136396804665E-3</v>
      </c>
      <c r="Y10" s="26">
        <f t="shared" si="2"/>
        <v>1.236759259259259E-2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1.5998128342095075</v>
      </c>
      <c r="R11" s="101">
        <f t="shared" ref="R11:Y11" si="3">SUM(R8:R10)</f>
        <v>5.8760974016937269</v>
      </c>
      <c r="S11" s="101">
        <f t="shared" si="3"/>
        <v>11.058205859478063</v>
      </c>
      <c r="T11" s="101">
        <f t="shared" si="3"/>
        <v>2.1747817867012974E-2</v>
      </c>
      <c r="U11" s="101">
        <f t="shared" si="3"/>
        <v>0.47415318843808657</v>
      </c>
      <c r="V11" s="101">
        <f t="shared" si="3"/>
        <v>0.42199633770989703</v>
      </c>
      <c r="W11" s="101">
        <f t="shared" si="3"/>
        <v>1905.1335600732373</v>
      </c>
      <c r="X11" s="101">
        <f t="shared" si="3"/>
        <v>0.15429568225587528</v>
      </c>
      <c r="Y11" s="101">
        <f t="shared" si="3"/>
        <v>1.0505295566504158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87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7" t="s">
        <v>315</v>
      </c>
      <c r="B13" s="579"/>
      <c r="C13" s="18"/>
      <c r="D13" s="18"/>
      <c r="E13" s="19"/>
      <c r="F13" s="19"/>
      <c r="G13" s="19"/>
      <c r="H13" s="19"/>
      <c r="I13" s="19"/>
      <c r="J13" s="19"/>
      <c r="K13" s="19"/>
      <c r="L13" s="19"/>
      <c r="M13" s="19"/>
      <c r="N13" s="30"/>
      <c r="O13" s="30"/>
      <c r="P13" s="30"/>
      <c r="Q13" s="20"/>
      <c r="R13" s="20"/>
      <c r="S13" s="20"/>
      <c r="T13" s="20"/>
      <c r="U13" s="20"/>
      <c r="V13" s="20"/>
      <c r="W13" s="21"/>
      <c r="X13" s="20"/>
      <c r="Y13" s="20"/>
    </row>
    <row r="14" spans="1:25" s="3" customFormat="1">
      <c r="A14" s="24" t="s">
        <v>119</v>
      </c>
      <c r="B14" s="90" t="s">
        <v>27</v>
      </c>
      <c r="C14" s="22">
        <v>78</v>
      </c>
      <c r="D14" s="22">
        <f>VLOOKUP(A14,'Offroad Tiers LF'!$B$6:$C$40,2,FALSE)</f>
        <v>0.48</v>
      </c>
      <c r="E14" s="102">
        <v>6.2432730803469526E-2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0.30539682539682533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0.38971111111111101</v>
      </c>
      <c r="H14" s="102">
        <v>5.5075019000828571E-4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2.4761904761904759E-2</v>
      </c>
      <c r="J14" s="100">
        <f t="shared" ref="J14:J16" si="4">0.89*I14</f>
        <v>2.2038095238095235E-2</v>
      </c>
      <c r="K14" s="103">
        <v>46.950229824177143</v>
      </c>
      <c r="L14" s="102">
        <v>6.837183977115969E-3</v>
      </c>
      <c r="M14" s="104">
        <f t="shared" ref="M14:M16" si="5">0.095*G14</f>
        <v>3.7022555555555545E-2</v>
      </c>
      <c r="N14" s="98">
        <v>1</v>
      </c>
      <c r="O14" s="98">
        <v>6</v>
      </c>
      <c r="P14" s="88">
        <v>125</v>
      </c>
      <c r="Q14" s="34">
        <f t="shared" ref="Q14:Y16" si="6">(E14*$N14*$O14)</f>
        <v>0.37459638482081714</v>
      </c>
      <c r="R14" s="26">
        <f t="shared" si="6"/>
        <v>1.832380952380952</v>
      </c>
      <c r="S14" s="26">
        <f t="shared" si="6"/>
        <v>2.3382666666666658</v>
      </c>
      <c r="T14" s="26">
        <f t="shared" si="6"/>
        <v>3.3045011400497145E-3</v>
      </c>
      <c r="U14" s="26">
        <f t="shared" si="6"/>
        <v>0.14857142857142855</v>
      </c>
      <c r="V14" s="26">
        <f t="shared" si="6"/>
        <v>0.13222857142857142</v>
      </c>
      <c r="W14" s="26">
        <f t="shared" si="6"/>
        <v>281.70137894506286</v>
      </c>
      <c r="X14" s="26">
        <f t="shared" si="6"/>
        <v>4.1023103862695816E-2</v>
      </c>
      <c r="Y14" s="26">
        <f t="shared" si="6"/>
        <v>0.22213533333333327</v>
      </c>
    </row>
    <row r="15" spans="1:25" s="3" customFormat="1">
      <c r="A15" s="24" t="s">
        <v>305</v>
      </c>
      <c r="B15" s="29" t="s">
        <v>27</v>
      </c>
      <c r="C15" s="22">
        <v>175</v>
      </c>
      <c r="D15" s="22"/>
      <c r="E15" s="102">
        <v>0.11792220738547983</v>
      </c>
      <c r="F15" s="102">
        <v>0.36512193352152528</v>
      </c>
      <c r="G15" s="102">
        <v>0.86781464282266541</v>
      </c>
      <c r="H15" s="102">
        <v>1.8739217498104396E-3</v>
      </c>
      <c r="I15" s="102">
        <v>2.9041712295589866E-2</v>
      </c>
      <c r="J15" s="100">
        <f t="shared" si="4"/>
        <v>2.5847123943074982E-2</v>
      </c>
      <c r="K15" s="103">
        <v>166.54541562452522</v>
      </c>
      <c r="L15" s="102">
        <v>1.063993297769634E-2</v>
      </c>
      <c r="M15" s="104">
        <f t="shared" si="5"/>
        <v>8.2442391068153209E-2</v>
      </c>
      <c r="N15" s="98">
        <v>1</v>
      </c>
      <c r="O15" s="87">
        <v>2</v>
      </c>
      <c r="P15" s="363">
        <v>125</v>
      </c>
      <c r="Q15" s="34">
        <f t="shared" si="6"/>
        <v>0.23584441477095966</v>
      </c>
      <c r="R15" s="26">
        <f t="shared" si="6"/>
        <v>0.73024386704305055</v>
      </c>
      <c r="S15" s="26">
        <f t="shared" si="6"/>
        <v>1.7356292856453308</v>
      </c>
      <c r="T15" s="26">
        <f t="shared" si="6"/>
        <v>3.7478434996208792E-3</v>
      </c>
      <c r="U15" s="26">
        <f t="shared" si="6"/>
        <v>5.8083424591179732E-2</v>
      </c>
      <c r="V15" s="26">
        <f t="shared" si="6"/>
        <v>5.1694247886149965E-2</v>
      </c>
      <c r="W15" s="26">
        <f t="shared" si="6"/>
        <v>333.09083124905044</v>
      </c>
      <c r="X15" s="26">
        <f t="shared" si="6"/>
        <v>2.127986595539268E-2</v>
      </c>
      <c r="Y15" s="26">
        <f t="shared" si="6"/>
        <v>0.16488478213630642</v>
      </c>
    </row>
    <row r="16" spans="1:25" s="3" customFormat="1">
      <c r="A16" s="24" t="s">
        <v>368</v>
      </c>
      <c r="B16" s="29" t="s">
        <v>27</v>
      </c>
      <c r="C16" s="22">
        <v>5</v>
      </c>
      <c r="D16" s="22">
        <v>0.74</v>
      </c>
      <c r="E16" s="102">
        <v>1.3017040437477556E-2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4.8941798941798939E-2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4.3395061728395051E-2</v>
      </c>
      <c r="H16" s="102">
        <v>1.5884019955091081E-4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4.8941798941798936E-3</v>
      </c>
      <c r="J16" s="100">
        <f t="shared" si="4"/>
        <v>4.3558201058201051E-3</v>
      </c>
      <c r="K16" s="103">
        <v>10.20766028636436</v>
      </c>
      <c r="L16" s="102">
        <v>1.2796045465601556E-3</v>
      </c>
      <c r="M16" s="104">
        <f t="shared" si="5"/>
        <v>4.1225308641975296E-3</v>
      </c>
      <c r="N16" s="98">
        <v>1</v>
      </c>
      <c r="O16" s="87">
        <v>8</v>
      </c>
      <c r="P16" s="363">
        <v>125</v>
      </c>
      <c r="Q16" s="34">
        <f t="shared" si="6"/>
        <v>0.10413632349982045</v>
      </c>
      <c r="R16" s="26">
        <f t="shared" si="6"/>
        <v>0.39153439153439151</v>
      </c>
      <c r="S16" s="26">
        <f t="shared" si="6"/>
        <v>0.34716049382716041</v>
      </c>
      <c r="T16" s="26">
        <f t="shared" si="6"/>
        <v>1.2707215964072865E-3</v>
      </c>
      <c r="U16" s="26">
        <f t="shared" si="6"/>
        <v>3.9153439153439148E-2</v>
      </c>
      <c r="V16" s="26">
        <f t="shared" si="6"/>
        <v>3.4846560846560841E-2</v>
      </c>
      <c r="W16" s="26">
        <f t="shared" si="6"/>
        <v>81.661282290914883</v>
      </c>
      <c r="X16" s="26">
        <f t="shared" si="6"/>
        <v>1.0236836372481245E-2</v>
      </c>
      <c r="Y16" s="26">
        <f t="shared" si="6"/>
        <v>3.2980246913580237E-2</v>
      </c>
    </row>
    <row r="17" spans="1:25" s="3" customFormat="1">
      <c r="A17" s="17" t="s">
        <v>28</v>
      </c>
      <c r="B17" s="29"/>
      <c r="C17" s="22"/>
      <c r="D17" s="22"/>
      <c r="E17" s="108"/>
      <c r="F17" s="108"/>
      <c r="G17" s="108"/>
      <c r="H17" s="108"/>
      <c r="I17" s="108"/>
      <c r="J17" s="100"/>
      <c r="K17" s="365"/>
      <c r="L17" s="110"/>
      <c r="M17" s="102"/>
      <c r="N17" s="98"/>
      <c r="O17" s="87"/>
      <c r="P17" s="363"/>
      <c r="Q17" s="101">
        <f>SUM(Q14:Q16)</f>
        <v>0.71457712309159727</v>
      </c>
      <c r="R17" s="101">
        <f t="shared" ref="R17:Y17" si="7">SUM(R14:R16)</f>
        <v>2.9541592109583941</v>
      </c>
      <c r="S17" s="101">
        <f t="shared" si="7"/>
        <v>4.4210564461391568</v>
      </c>
      <c r="T17" s="101">
        <f t="shared" si="7"/>
        <v>8.32306623607788E-3</v>
      </c>
      <c r="U17" s="101">
        <f t="shared" si="7"/>
        <v>0.24580829231604745</v>
      </c>
      <c r="V17" s="101">
        <f t="shared" si="7"/>
        <v>0.21876938016128222</v>
      </c>
      <c r="W17" s="101">
        <f t="shared" si="7"/>
        <v>696.45349248502816</v>
      </c>
      <c r="X17" s="101">
        <f t="shared" si="7"/>
        <v>7.2539806190569739E-2</v>
      </c>
      <c r="Y17" s="101">
        <f t="shared" si="7"/>
        <v>0.42000036238321992</v>
      </c>
    </row>
    <row r="18" spans="1:25" s="3" customFormat="1">
      <c r="A18" s="24"/>
      <c r="B18" s="29"/>
      <c r="C18" s="22"/>
      <c r="D18" s="22"/>
      <c r="E18" s="108"/>
      <c r="F18" s="108"/>
      <c r="G18" s="108"/>
      <c r="H18" s="108"/>
      <c r="I18" s="108"/>
      <c r="J18" s="100"/>
      <c r="K18" s="365"/>
      <c r="L18" s="110"/>
      <c r="M18" s="102"/>
      <c r="N18" s="98"/>
      <c r="O18" s="98"/>
      <c r="P18" s="363"/>
      <c r="Q18" s="34"/>
      <c r="R18" s="26"/>
      <c r="S18" s="26"/>
      <c r="T18" s="26"/>
      <c r="U18" s="26"/>
      <c r="V18" s="26"/>
      <c r="W18" s="26"/>
      <c r="X18" s="26"/>
      <c r="Y18" s="26"/>
    </row>
    <row r="19" spans="1:25" s="3" customFormat="1">
      <c r="A19" s="17" t="s">
        <v>281</v>
      </c>
      <c r="B19" s="90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30"/>
      <c r="O19" s="30"/>
      <c r="P19" s="30"/>
      <c r="Q19" s="20"/>
      <c r="R19" s="20"/>
      <c r="S19" s="27"/>
      <c r="T19" s="20"/>
      <c r="U19" s="20"/>
      <c r="V19" s="20"/>
      <c r="W19" s="21"/>
      <c r="X19" s="20"/>
      <c r="Y19" s="20"/>
    </row>
    <row r="20" spans="1:25" s="3" customFormat="1">
      <c r="A20" s="100" t="s">
        <v>121</v>
      </c>
      <c r="B20" s="29" t="s">
        <v>27</v>
      </c>
      <c r="C20" s="22">
        <v>162</v>
      </c>
      <c r="D20" s="22">
        <v>0.41</v>
      </c>
      <c r="E20" s="108">
        <v>0.12153885438656534</v>
      </c>
      <c r="F20" s="397">
        <f>IF($C20&lt;11,'Offroad Tiers EF (2)'!$AN$4*$C20*$D20,IF($C20&lt;25,'Offroad Tiers EF (2)'!$AN$5*$C20*$D20,IF($C20&lt;50,'Offroad Tiers EF (2)'!$AN$6*$C20*$D20,IF($C20&lt;75,'Offroad Tiers EF (2)'!$AN$7*$C20*$D20,IF($C20&lt;100,'Offroad Tiers EF (2)'!$AN$8*$C20*$D20,IF($C20&lt;175,'Offroad Tiers EF (2)'!$AN$9*$C20*$D20,IF($C20&lt;300,'Offroad Tiers EF (2)'!$AN$10*$C20*$D20,IF($C20&lt;600,'Offroad Tiers EF (2)'!$AN$11*$C20*$D20,"!"))))))))</f>
        <v>0.5417857142857142</v>
      </c>
      <c r="G20" s="397">
        <f>IF($C20&lt;11,'Offroad Tiers EF (2)'!$AM$4*$C20*$D20,IF($C20&lt;25,'Offroad Tiers EF (2)'!$AM$5*$C20*$D20,IF($C20&lt;50,'Offroad Tiers EF (2)'!$AM$6*$C20*$D20,IF($C20&lt;75,'Offroad Tiers EF (2)'!$AM$7*$C20*$D20,IF($C20&lt;100,'Offroad Tiers EF (2)'!$AM$8*$C20*$D20,IF($C20&lt;175,'Offroad Tiers EF (2)'!$AM$9*$C20*$D20,IF($C20&lt;300,'Offroad Tiers EF (2)'!$AM$10*$C20*$D20,IF($C20&lt;600,'Offroad Tiers EF (2)'!$AM$11*$C20*$D20,"!"))))))))</f>
        <v>0.60233392857142853</v>
      </c>
      <c r="H20" s="108">
        <v>1.3943296443626662E-3</v>
      </c>
      <c r="I20" s="397">
        <f>IF($C20&lt;11,'Offroad Tiers EF (2)'!$AO$4*$C20*$D20,IF($C20&lt;25,'Offroad Tiers EF (2)'!$AO$5*$C20*$D20,IF($C20&lt;50,'Offroad Tiers EF (2)'!$AO$6*$C20*$D20,IF($C20&lt;75,'Offroad Tiers EF (2)'!$AO$7*$C20*$D20,IF($C20&lt;100,'Offroad Tiers EF (2)'!$AO$8*$C20*$D20,IF($C20&lt;175,'Offroad Tiers EF (2)'!$AO$9*$C20*$D20,IF($C20&lt;300,'Offroad Tiers EF (2)'!$AO$10*$C20*$D20,IF($C20&lt;600,'Offroad Tiers EF (2)'!$AO$11*$C20*$D20,"!"))))))))</f>
        <v>3.2214285714285709E-2</v>
      </c>
      <c r="J20" s="100">
        <f t="shared" ref="J20:J21" si="8">0.89*I20</f>
        <v>2.8670714285714282E-2</v>
      </c>
      <c r="K20" s="365">
        <v>123.92149503712022</v>
      </c>
      <c r="L20" s="23">
        <v>1.1720218383966691E-2</v>
      </c>
      <c r="M20" s="102">
        <f t="shared" ref="M20:M21" si="9">0.095*G20</f>
        <v>5.7221723214285709E-2</v>
      </c>
      <c r="N20" s="98">
        <v>1</v>
      </c>
      <c r="O20" s="87">
        <v>8</v>
      </c>
      <c r="P20" s="363">
        <v>75</v>
      </c>
      <c r="Q20" s="34">
        <f t="shared" ref="Q20:Y21" si="10">(E20*$N20*$O20)</f>
        <v>0.9723108350925227</v>
      </c>
      <c r="R20" s="26">
        <f t="shared" si="10"/>
        <v>4.3342857142857136</v>
      </c>
      <c r="S20" s="26">
        <f t="shared" si="10"/>
        <v>4.8186714285714283</v>
      </c>
      <c r="T20" s="26">
        <f t="shared" si="10"/>
        <v>1.115463715490133E-2</v>
      </c>
      <c r="U20" s="26">
        <f t="shared" si="10"/>
        <v>0.25771428571428567</v>
      </c>
      <c r="V20" s="26">
        <f t="shared" si="10"/>
        <v>0.22936571428571426</v>
      </c>
      <c r="W20" s="26">
        <f t="shared" si="10"/>
        <v>991.37196029696179</v>
      </c>
      <c r="X20" s="26">
        <f t="shared" si="10"/>
        <v>9.3761747071733528E-2</v>
      </c>
      <c r="Y20" s="26">
        <f t="shared" si="10"/>
        <v>0.45777378571428567</v>
      </c>
    </row>
    <row r="21" spans="1:25" s="3" customFormat="1">
      <c r="A21" s="100" t="s">
        <v>126</v>
      </c>
      <c r="B21" s="29" t="s">
        <v>27</v>
      </c>
      <c r="C21" s="22">
        <v>175</v>
      </c>
      <c r="D21" s="22"/>
      <c r="E21" s="102">
        <v>0.11792220738547983</v>
      </c>
      <c r="F21" s="102">
        <v>0.36512193352152528</v>
      </c>
      <c r="G21" s="102">
        <v>0.86781464282266541</v>
      </c>
      <c r="H21" s="102">
        <v>1.8739217498104396E-3</v>
      </c>
      <c r="I21" s="102">
        <v>2.9041712295589866E-2</v>
      </c>
      <c r="J21" s="100">
        <f t="shared" si="8"/>
        <v>2.5847123943074982E-2</v>
      </c>
      <c r="K21" s="103">
        <v>166.54541562452522</v>
      </c>
      <c r="L21" s="102">
        <v>1.063993297769634E-2</v>
      </c>
      <c r="M21" s="104">
        <f t="shared" si="9"/>
        <v>8.2442391068153209E-2</v>
      </c>
      <c r="N21" s="98">
        <v>2</v>
      </c>
      <c r="O21" s="87">
        <v>8</v>
      </c>
      <c r="P21" s="363">
        <v>75</v>
      </c>
      <c r="Q21" s="34">
        <f t="shared" si="10"/>
        <v>1.8867553181676773</v>
      </c>
      <c r="R21" s="26">
        <f t="shared" si="10"/>
        <v>5.8419509363444044</v>
      </c>
      <c r="S21" s="26">
        <f t="shared" si="10"/>
        <v>13.885034285162646</v>
      </c>
      <c r="T21" s="26">
        <f t="shared" si="10"/>
        <v>2.9982747996967034E-2</v>
      </c>
      <c r="U21" s="26">
        <f t="shared" si="10"/>
        <v>0.46466739672943785</v>
      </c>
      <c r="V21" s="26">
        <f t="shared" si="10"/>
        <v>0.41355398308919972</v>
      </c>
      <c r="W21" s="26">
        <f t="shared" si="10"/>
        <v>2664.7266499924035</v>
      </c>
      <c r="X21" s="26">
        <f t="shared" si="10"/>
        <v>0.17023892764314144</v>
      </c>
      <c r="Y21" s="26">
        <f t="shared" si="10"/>
        <v>1.3190782570904513</v>
      </c>
    </row>
    <row r="22" spans="1:25" s="3" customFormat="1">
      <c r="A22" s="11" t="s">
        <v>28</v>
      </c>
      <c r="B22" s="579"/>
      <c r="C22" s="18"/>
      <c r="D22" s="22"/>
      <c r="E22" s="19"/>
      <c r="F22" s="19"/>
      <c r="G22" s="19"/>
      <c r="H22" s="19"/>
      <c r="I22" s="19"/>
      <c r="J22" s="19"/>
      <c r="K22" s="19"/>
      <c r="L22" s="19"/>
      <c r="M22" s="19"/>
      <c r="N22" s="30"/>
      <c r="O22" s="30"/>
      <c r="P22" s="364"/>
      <c r="Q22" s="20">
        <f t="shared" ref="Q22:Y22" si="11">SUM(Q20:Q21)</f>
        <v>2.8590661532602</v>
      </c>
      <c r="R22" s="20">
        <f t="shared" si="11"/>
        <v>10.176236650630118</v>
      </c>
      <c r="S22" s="27">
        <f t="shared" si="11"/>
        <v>18.703705713734074</v>
      </c>
      <c r="T22" s="20">
        <f t="shared" si="11"/>
        <v>4.1137385151868364E-2</v>
      </c>
      <c r="U22" s="20">
        <f t="shared" si="11"/>
        <v>0.72238168244372347</v>
      </c>
      <c r="V22" s="20">
        <f t="shared" si="11"/>
        <v>0.64291969737491395</v>
      </c>
      <c r="W22" s="20">
        <f t="shared" si="11"/>
        <v>3656.0986102893653</v>
      </c>
      <c r="X22" s="20">
        <f t="shared" si="11"/>
        <v>0.26400067471487498</v>
      </c>
      <c r="Y22" s="20">
        <f t="shared" si="11"/>
        <v>1.776852042804737</v>
      </c>
    </row>
    <row r="23" spans="1:25">
      <c r="A23" s="11"/>
      <c r="B23" s="579"/>
      <c r="C23" s="18"/>
      <c r="D23" s="22"/>
      <c r="E23" s="19"/>
      <c r="F23" s="19"/>
      <c r="G23" s="19"/>
      <c r="H23" s="19"/>
      <c r="I23" s="19"/>
      <c r="J23" s="19"/>
      <c r="K23" s="19"/>
      <c r="L23" s="19"/>
      <c r="M23" s="19"/>
      <c r="N23" s="30"/>
      <c r="O23" s="30"/>
      <c r="P23" s="364"/>
      <c r="Q23" s="20"/>
      <c r="R23" s="20"/>
      <c r="S23" s="27"/>
      <c r="T23" s="20"/>
      <c r="U23" s="20"/>
      <c r="V23" s="20"/>
      <c r="W23" s="20"/>
      <c r="X23" s="20"/>
      <c r="Y23" s="20"/>
    </row>
    <row r="24" spans="1:25">
      <c r="A24" s="11" t="s">
        <v>286</v>
      </c>
      <c r="B24" s="22"/>
      <c r="C24" s="18"/>
      <c r="D24" s="22"/>
      <c r="E24" s="19"/>
      <c r="F24" s="19"/>
      <c r="G24" s="19"/>
      <c r="H24" s="19"/>
      <c r="I24" s="19"/>
      <c r="J24" s="19"/>
      <c r="K24" s="19"/>
      <c r="L24" s="19"/>
      <c r="M24" s="19"/>
      <c r="N24" s="11"/>
      <c r="O24" s="11"/>
      <c r="P24" s="11"/>
      <c r="Q24" s="27"/>
      <c r="R24" s="27"/>
      <c r="S24" s="27"/>
      <c r="T24" s="27"/>
      <c r="U24" s="27"/>
      <c r="V24" s="27"/>
      <c r="W24" s="28"/>
      <c r="X24" s="27"/>
      <c r="Y24" s="27"/>
    </row>
    <row r="25" spans="1:25">
      <c r="A25" s="100" t="s">
        <v>287</v>
      </c>
      <c r="B25" s="97" t="s">
        <v>27</v>
      </c>
      <c r="C25" s="97">
        <v>37</v>
      </c>
      <c r="D25" s="22">
        <v>0.37</v>
      </c>
      <c r="E25" s="102">
        <v>3.2313389441625637E-2</v>
      </c>
      <c r="F25" s="397">
        <f>IF($C25&lt;11,'Offroad Tiers EF (2)'!$AN$4*$C25*$D25,IF($C25&lt;25,'Offroad Tiers EF (2)'!$AN$5*$C25*$D25,IF($C25&lt;50,'Offroad Tiers EF (2)'!$AN$6*$C25*$D25,IF($C25&lt;75,'Offroad Tiers EF (2)'!$AN$7*$C25*$D25,IF($C25&lt;100,'Offroad Tiers EF (2)'!$AN$8*$C25*$D25,IF($C25&lt;175,'Offroad Tiers EF (2)'!$AN$9*$C25*$D25,IF($C25&lt;300,'Offroad Tiers EF (2)'!$AN$10*$C25*$D25,IF($C25&lt;600,'Offroad Tiers EF (2)'!$AN$11*$C25*$D25,"!"))))))))</f>
        <v>0.12374118165784832</v>
      </c>
      <c r="G25" s="397">
        <f>IF($C25&lt;11,'Offroad Tiers EF (2)'!$AM$4*$C25*$D25,IF($C25&lt;25,'Offroad Tiers EF (2)'!$AM$5*$C25*$D25,IF($C25&lt;50,'Offroad Tiers EF (2)'!$AM$6*$C25*$D25,IF($C25&lt;75,'Offroad Tiers EF (2)'!$AM$7*$C25*$D25,IF($C25&lt;100,'Offroad Tiers EF (2)'!$AM$8*$C25*$D25,IF($C25&lt;175,'Offroad Tiers EF (2)'!$AM$9*$C25*$D25,IF($C25&lt;300,'Offroad Tiers EF (2)'!$AM$10*$C25*$D25,IF($C25&lt;600,'Offroad Tiers EF (2)'!$AM$11*$C25*$D25,"!"))))))))</f>
        <v>0.16056172839506169</v>
      </c>
      <c r="H25" s="102">
        <v>3.2989906092678058E-4</v>
      </c>
      <c r="I25" s="397">
        <f>IF($C25&lt;11,'Offroad Tiers EF (2)'!$AO$4*$C25*$D25,IF($C25&lt;25,'Offroad Tiers EF (2)'!$AO$5*$C25*$D25,IF($C25&lt;50,'Offroad Tiers EF (2)'!$AO$6*$C25*$D25,IF($C25&lt;75,'Offroad Tiers EF (2)'!$AO$7*$C25*$D25,IF($C25&lt;100,'Offroad Tiers EF (2)'!$AO$8*$C25*$D25,IF($C25&lt;175,'Offroad Tiers EF (2)'!$AO$9*$C25*$D25,IF($C25&lt;300,'Offroad Tiers EF (2)'!$AO$10*$C25*$D25,IF($C25&lt;600,'Offroad Tiers EF (2)'!$AO$11*$C25*$D25,"!"))))))))</f>
        <v>1.3581349206349205E-2</v>
      </c>
      <c r="J25" s="100">
        <f t="shared" ref="J25:J28" si="12">0.89*I25</f>
        <v>1.2087400793650793E-2</v>
      </c>
      <c r="K25" s="103">
        <v>25.519156990664225</v>
      </c>
      <c r="L25" s="102">
        <v>3.413848047070189E-3</v>
      </c>
      <c r="M25" s="104">
        <f t="shared" ref="M25:M28" si="13">0.095*G25</f>
        <v>1.5253364197530862E-2</v>
      </c>
      <c r="N25" s="88">
        <v>1</v>
      </c>
      <c r="O25" s="88">
        <v>1</v>
      </c>
      <c r="P25" s="367">
        <v>75</v>
      </c>
      <c r="Q25" s="26">
        <f t="shared" ref="Q25:Y28" si="14">(E25*$N25*$O25)</f>
        <v>3.2313389441625637E-2</v>
      </c>
      <c r="R25" s="26">
        <f t="shared" si="14"/>
        <v>0.12374118165784832</v>
      </c>
      <c r="S25" s="26">
        <f t="shared" si="14"/>
        <v>0.16056172839506169</v>
      </c>
      <c r="T25" s="26">
        <f t="shared" si="14"/>
        <v>3.2989906092678058E-4</v>
      </c>
      <c r="U25" s="26">
        <f t="shared" si="14"/>
        <v>1.3581349206349205E-2</v>
      </c>
      <c r="V25" s="26">
        <f t="shared" si="14"/>
        <v>1.2087400793650793E-2</v>
      </c>
      <c r="W25" s="26">
        <f t="shared" si="14"/>
        <v>25.519156990664225</v>
      </c>
      <c r="X25" s="26">
        <f t="shared" si="14"/>
        <v>3.413848047070189E-3</v>
      </c>
      <c r="Y25" s="26">
        <f t="shared" si="14"/>
        <v>1.5253364197530862E-2</v>
      </c>
    </row>
    <row r="26" spans="1:25">
      <c r="A26" s="100" t="s">
        <v>121</v>
      </c>
      <c r="B26" s="29" t="s">
        <v>27</v>
      </c>
      <c r="C26" s="22">
        <v>162</v>
      </c>
      <c r="D26" s="22">
        <v>0.41</v>
      </c>
      <c r="E26" s="108">
        <v>0.12153885438656534</v>
      </c>
      <c r="F26" s="397">
        <f>IF($C26&lt;11,'Offroad Tiers EF (2)'!$AN$4*$C26*$D26,IF($C26&lt;25,'Offroad Tiers EF (2)'!$AN$5*$C26*$D26,IF($C26&lt;50,'Offroad Tiers EF (2)'!$AN$6*$C26*$D26,IF($C26&lt;75,'Offroad Tiers EF (2)'!$AN$7*$C26*$D26,IF($C26&lt;100,'Offroad Tiers EF (2)'!$AN$8*$C26*$D26,IF($C26&lt;175,'Offroad Tiers EF (2)'!$AN$9*$C26*$D26,IF($C26&lt;300,'Offroad Tiers EF (2)'!$AN$10*$C26*$D26,IF($C26&lt;600,'Offroad Tiers EF (2)'!$AN$11*$C26*$D26,"!"))))))))</f>
        <v>0.5417857142857142</v>
      </c>
      <c r="G26" s="397">
        <f>IF($C26&lt;11,'Offroad Tiers EF (2)'!$AM$4*$C26*$D26,IF($C26&lt;25,'Offroad Tiers EF (2)'!$AM$5*$C26*$D26,IF($C26&lt;50,'Offroad Tiers EF (2)'!$AM$6*$C26*$D26,IF($C26&lt;75,'Offroad Tiers EF (2)'!$AM$7*$C26*$D26,IF($C26&lt;100,'Offroad Tiers EF (2)'!$AM$8*$C26*$D26,IF($C26&lt;175,'Offroad Tiers EF (2)'!$AM$9*$C26*$D26,IF($C26&lt;300,'Offroad Tiers EF (2)'!$AM$10*$C26*$D26,IF($C26&lt;600,'Offroad Tiers EF (2)'!$AM$11*$C26*$D26,"!"))))))))</f>
        <v>0.60233392857142853</v>
      </c>
      <c r="H26" s="108">
        <v>1.3943296443626662E-3</v>
      </c>
      <c r="I26" s="397">
        <f>IF($C26&lt;11,'Offroad Tiers EF (2)'!$AO$4*$C26*$D26,IF($C26&lt;25,'Offroad Tiers EF (2)'!$AO$5*$C26*$D26,IF($C26&lt;50,'Offroad Tiers EF (2)'!$AO$6*$C26*$D26,IF($C26&lt;75,'Offroad Tiers EF (2)'!$AO$7*$C26*$D26,IF($C26&lt;100,'Offroad Tiers EF (2)'!$AO$8*$C26*$D26,IF($C26&lt;175,'Offroad Tiers EF (2)'!$AO$9*$C26*$D26,IF($C26&lt;300,'Offroad Tiers EF (2)'!$AO$10*$C26*$D26,IF($C26&lt;600,'Offroad Tiers EF (2)'!$AO$11*$C26*$D26,"!"))))))))</f>
        <v>3.2214285714285709E-2</v>
      </c>
      <c r="J26" s="100">
        <f t="shared" si="12"/>
        <v>2.8670714285714282E-2</v>
      </c>
      <c r="K26" s="365">
        <v>123.92149503712022</v>
      </c>
      <c r="L26" s="23">
        <v>1.1720218383966691E-2</v>
      </c>
      <c r="M26" s="102">
        <f t="shared" si="13"/>
        <v>5.7221723214285709E-2</v>
      </c>
      <c r="N26" s="98">
        <v>1</v>
      </c>
      <c r="O26" s="87">
        <v>8</v>
      </c>
      <c r="P26" s="363">
        <v>75</v>
      </c>
      <c r="Q26" s="34">
        <f t="shared" si="14"/>
        <v>0.9723108350925227</v>
      </c>
      <c r="R26" s="26">
        <f t="shared" si="14"/>
        <v>4.3342857142857136</v>
      </c>
      <c r="S26" s="26">
        <f t="shared" si="14"/>
        <v>4.8186714285714283</v>
      </c>
      <c r="T26" s="26">
        <f t="shared" si="14"/>
        <v>1.115463715490133E-2</v>
      </c>
      <c r="U26" s="26">
        <f t="shared" si="14"/>
        <v>0.25771428571428567</v>
      </c>
      <c r="V26" s="26">
        <f t="shared" si="14"/>
        <v>0.22936571428571426</v>
      </c>
      <c r="W26" s="26">
        <f t="shared" si="14"/>
        <v>991.37196029696179</v>
      </c>
      <c r="X26" s="26">
        <f t="shared" si="14"/>
        <v>9.3761747071733528E-2</v>
      </c>
      <c r="Y26" s="26">
        <f t="shared" si="14"/>
        <v>0.45777378571428567</v>
      </c>
    </row>
    <row r="27" spans="1:25">
      <c r="A27" s="100" t="s">
        <v>124</v>
      </c>
      <c r="B27" s="29" t="s">
        <v>27</v>
      </c>
      <c r="C27" s="97">
        <v>87</v>
      </c>
      <c r="D27" s="22">
        <v>0.37</v>
      </c>
      <c r="E27" s="102">
        <v>7.7253202863558038E-2</v>
      </c>
      <c r="F27" s="397">
        <f>IF($C27&lt;11,'Offroad Tiers EF (2)'!$AN$4*$C27*$D27,IF($C27&lt;25,'Offroad Tiers EF (2)'!$AN$5*$C27*$D27,IF($C27&lt;50,'Offroad Tiers EF (2)'!$AN$6*$C27*$D27,IF($C27&lt;75,'Offroad Tiers EF (2)'!$AN$7*$C27*$D27,IF($C27&lt;100,'Offroad Tiers EF (2)'!$AN$8*$C27*$D27,IF($C27&lt;175,'Offroad Tiers EF (2)'!$AN$9*$C27*$D27,IF($C27&lt;300,'Offroad Tiers EF (2)'!$AN$10*$C27*$D27,IF($C27&lt;600,'Offroad Tiers EF (2)'!$AN$11*$C27*$D27,"!"))))))))</f>
        <v>0.26257275132275132</v>
      </c>
      <c r="G27" s="397">
        <f>IF($C27&lt;11,'Offroad Tiers EF (2)'!$AM$4*$C27*$D27,IF($C27&lt;25,'Offroad Tiers EF (2)'!$AM$5*$C27*$D27,IF($C27&lt;50,'Offroad Tiers EF (2)'!$AM$6*$C27*$D27,IF($C27&lt;75,'Offroad Tiers EF (2)'!$AM$7*$C27*$D27,IF($C27&lt;100,'Offroad Tiers EF (2)'!$AM$8*$C27*$D27,IF($C27&lt;175,'Offroad Tiers EF (2)'!$AM$9*$C27*$D27,IF($C27&lt;300,'Offroad Tiers EF (2)'!$AM$10*$C27*$D27,IF($C27&lt;600,'Offroad Tiers EF (2)'!$AM$11*$C27*$D27,"!"))))))))</f>
        <v>0.33506412037037031</v>
      </c>
      <c r="H27" s="102">
        <v>6.910856115004858E-4</v>
      </c>
      <c r="I27" s="397">
        <f>IF($C27&lt;11,'Offroad Tiers EF (2)'!$AO$4*$C27*$D27,IF($C27&lt;25,'Offroad Tiers EF (2)'!$AO$5*$C27*$D27,IF($C27&lt;50,'Offroad Tiers EF (2)'!$AO$6*$C27*$D27,IF($C27&lt;75,'Offroad Tiers EF (2)'!$AO$7*$C27*$D27,IF($C27&lt;100,'Offroad Tiers EF (2)'!$AO$8*$C27*$D27,IF($C27&lt;175,'Offroad Tiers EF (2)'!$AO$9*$C27*$D27,IF($C27&lt;300,'Offroad Tiers EF (2)'!$AO$10*$C27*$D27,IF($C27&lt;600,'Offroad Tiers EF (2)'!$AO$11*$C27*$D27,"!"))))))))</f>
        <v>2.1289682539682539E-2</v>
      </c>
      <c r="J27" s="100">
        <f t="shared" si="12"/>
        <v>1.894781746031746E-2</v>
      </c>
      <c r="K27" s="103">
        <v>58.913505111712794</v>
      </c>
      <c r="L27" s="102">
        <v>7.5344751889799754E-3</v>
      </c>
      <c r="M27" s="102">
        <f t="shared" si="13"/>
        <v>3.1831091435185178E-2</v>
      </c>
      <c r="N27" s="98">
        <v>1</v>
      </c>
      <c r="O27" s="87">
        <v>8</v>
      </c>
      <c r="P27" s="363">
        <v>15</v>
      </c>
      <c r="Q27" s="34">
        <f t="shared" si="14"/>
        <v>0.6180256229084643</v>
      </c>
      <c r="R27" s="26">
        <f t="shared" si="14"/>
        <v>2.1005820105820106</v>
      </c>
      <c r="S27" s="26">
        <f t="shared" si="14"/>
        <v>2.6805129629629625</v>
      </c>
      <c r="T27" s="26">
        <f t="shared" si="14"/>
        <v>5.5286848920038864E-3</v>
      </c>
      <c r="U27" s="26">
        <f t="shared" si="14"/>
        <v>0.17031746031746031</v>
      </c>
      <c r="V27" s="26">
        <f t="shared" si="14"/>
        <v>0.15158253968253968</v>
      </c>
      <c r="W27" s="26">
        <f t="shared" si="14"/>
        <v>471.30804089370235</v>
      </c>
      <c r="X27" s="26">
        <f t="shared" si="14"/>
        <v>6.0275801511839804E-2</v>
      </c>
      <c r="Y27" s="26">
        <f t="shared" si="14"/>
        <v>0.25464873148148143</v>
      </c>
    </row>
    <row r="28" spans="1:25">
      <c r="A28" s="100" t="s">
        <v>126</v>
      </c>
      <c r="B28" s="22" t="s">
        <v>27</v>
      </c>
      <c r="C28" s="22">
        <v>175</v>
      </c>
      <c r="D28" s="22"/>
      <c r="E28" s="102">
        <v>0.11792220738547983</v>
      </c>
      <c r="F28" s="102">
        <v>0.36512193352152528</v>
      </c>
      <c r="G28" s="102">
        <v>0.86781464282266541</v>
      </c>
      <c r="H28" s="102">
        <v>1.8739217498104396E-3</v>
      </c>
      <c r="I28" s="102">
        <v>2.9041712295589866E-2</v>
      </c>
      <c r="J28" s="100">
        <f t="shared" si="12"/>
        <v>2.5847123943074982E-2</v>
      </c>
      <c r="K28" s="103">
        <v>166.54541562452522</v>
      </c>
      <c r="L28" s="102">
        <v>1.063993297769634E-2</v>
      </c>
      <c r="M28" s="104">
        <f t="shared" si="13"/>
        <v>8.2442391068153209E-2</v>
      </c>
      <c r="N28" s="88">
        <v>1</v>
      </c>
      <c r="O28" s="88">
        <v>3</v>
      </c>
      <c r="P28" s="367">
        <v>40</v>
      </c>
      <c r="Q28" s="26">
        <f t="shared" si="14"/>
        <v>0.3537666221564395</v>
      </c>
      <c r="R28" s="26">
        <f t="shared" si="14"/>
        <v>1.0953658005645759</v>
      </c>
      <c r="S28" s="26">
        <f t="shared" si="14"/>
        <v>2.6034439284679962</v>
      </c>
      <c r="T28" s="26">
        <f t="shared" si="14"/>
        <v>5.6217652494313184E-3</v>
      </c>
      <c r="U28" s="26">
        <f t="shared" si="14"/>
        <v>8.7125136886769594E-2</v>
      </c>
      <c r="V28" s="26">
        <f t="shared" si="14"/>
        <v>7.754137182922495E-2</v>
      </c>
      <c r="W28" s="26">
        <f t="shared" si="14"/>
        <v>499.63624687357566</v>
      </c>
      <c r="X28" s="26">
        <f t="shared" si="14"/>
        <v>3.1919798933089022E-2</v>
      </c>
      <c r="Y28" s="26">
        <f t="shared" si="14"/>
        <v>0.24732717320445963</v>
      </c>
    </row>
    <row r="29" spans="1:25">
      <c r="A29" s="17" t="s">
        <v>28</v>
      </c>
      <c r="B29" s="97"/>
      <c r="C29" s="22"/>
      <c r="D29" s="22"/>
      <c r="E29" s="23"/>
      <c r="F29" s="23"/>
      <c r="G29" s="23"/>
      <c r="H29" s="23"/>
      <c r="I29" s="23"/>
      <c r="J29" s="24"/>
      <c r="K29" s="25"/>
      <c r="L29" s="23"/>
      <c r="M29" s="23"/>
      <c r="N29" s="88"/>
      <c r="O29" s="88"/>
      <c r="P29" s="88"/>
      <c r="Q29" s="27">
        <f t="shared" ref="Q29:Y29" si="15">SUM(Q25:Q28)</f>
        <v>1.976416469599052</v>
      </c>
      <c r="R29" s="27">
        <f t="shared" si="15"/>
        <v>7.653974707090148</v>
      </c>
      <c r="S29" s="27">
        <f t="shared" si="15"/>
        <v>10.263190048397449</v>
      </c>
      <c r="T29" s="27">
        <f t="shared" si="15"/>
        <v>2.2634986357263312E-2</v>
      </c>
      <c r="U29" s="27">
        <f t="shared" si="15"/>
        <v>0.52873823212486482</v>
      </c>
      <c r="V29" s="27">
        <f t="shared" si="15"/>
        <v>0.47057702659112965</v>
      </c>
      <c r="W29" s="27">
        <f t="shared" si="15"/>
        <v>1987.835405054904</v>
      </c>
      <c r="X29" s="27">
        <f t="shared" si="15"/>
        <v>0.18937119556373255</v>
      </c>
      <c r="Y29" s="27">
        <f t="shared" si="15"/>
        <v>0.9750030545977576</v>
      </c>
    </row>
    <row r="30" spans="1:25">
      <c r="A30" s="11"/>
      <c r="B30" s="579"/>
      <c r="C30" s="18"/>
      <c r="D30" s="22"/>
      <c r="E30" s="19"/>
      <c r="F30" s="19"/>
      <c r="G30" s="19"/>
      <c r="H30" s="19"/>
      <c r="I30" s="19"/>
      <c r="J30" s="19"/>
      <c r="K30" s="19"/>
      <c r="L30" s="19"/>
      <c r="M30" s="19"/>
      <c r="N30" s="30"/>
      <c r="O30" s="375"/>
      <c r="P30" s="364"/>
      <c r="Q30" s="20"/>
      <c r="R30" s="20"/>
      <c r="S30" s="27"/>
      <c r="T30" s="20"/>
      <c r="U30" s="20"/>
      <c r="V30" s="20"/>
      <c r="W30" s="21"/>
      <c r="X30" s="20"/>
      <c r="Y30" s="20"/>
    </row>
    <row r="31" spans="1:25">
      <c r="A31" s="17" t="s">
        <v>365</v>
      </c>
      <c r="B31" s="549"/>
      <c r="C31" s="18"/>
      <c r="D31" s="22"/>
      <c r="E31" s="19"/>
      <c r="F31" s="19"/>
      <c r="G31" s="19"/>
      <c r="H31" s="19"/>
      <c r="I31" s="19"/>
      <c r="J31" s="19"/>
      <c r="K31" s="19"/>
      <c r="L31" s="19"/>
      <c r="M31" s="19"/>
      <c r="N31" s="30"/>
      <c r="O31" s="30"/>
      <c r="P31" s="364"/>
      <c r="Q31" s="20">
        <f>Q11+Q17+Q22+Q29</f>
        <v>7.1498725801603573</v>
      </c>
      <c r="R31" s="20">
        <f t="shared" ref="R31:Y31" si="16">R11+R17+R22+R29</f>
        <v>26.660467970372387</v>
      </c>
      <c r="S31" s="20">
        <f t="shared" si="16"/>
        <v>44.44615806774874</v>
      </c>
      <c r="T31" s="20">
        <f t="shared" si="16"/>
        <v>9.3843255612222523E-2</v>
      </c>
      <c r="U31" s="20">
        <f t="shared" si="16"/>
        <v>1.9710813953227224</v>
      </c>
      <c r="V31" s="20">
        <f t="shared" si="16"/>
        <v>1.754262441837223</v>
      </c>
      <c r="W31" s="20">
        <f t="shared" si="16"/>
        <v>8245.5210679025349</v>
      </c>
      <c r="X31" s="20">
        <f t="shared" si="16"/>
        <v>0.68020735872505256</v>
      </c>
      <c r="Y31" s="20">
        <f t="shared" si="16"/>
        <v>4.2223850164361307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9"/>
  <sheetViews>
    <sheetView zoomScale="75" workbookViewId="0">
      <selection activeCell="T25" sqref="T25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523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70" t="s">
        <v>55</v>
      </c>
      <c r="H6" s="570" t="s">
        <v>56</v>
      </c>
      <c r="I6" s="566" t="s">
        <v>57</v>
      </c>
      <c r="J6" s="570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70" t="s">
        <v>61</v>
      </c>
      <c r="R6" s="566" t="s">
        <v>62</v>
      </c>
      <c r="S6" s="566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69" t="s">
        <v>69</v>
      </c>
      <c r="H7" s="41" t="s">
        <v>69</v>
      </c>
      <c r="I7" s="41" t="s">
        <v>69</v>
      </c>
      <c r="J7" s="41" t="s">
        <v>69</v>
      </c>
      <c r="K7" s="566" t="s">
        <v>69</v>
      </c>
      <c r="L7" s="566" t="s">
        <v>71</v>
      </c>
      <c r="M7" s="566" t="s">
        <v>72</v>
      </c>
      <c r="N7" s="566" t="s">
        <v>69</v>
      </c>
      <c r="O7" s="566" t="s">
        <v>71</v>
      </c>
      <c r="P7" s="566" t="s">
        <v>72</v>
      </c>
      <c r="Q7" s="41" t="s">
        <v>69</v>
      </c>
      <c r="R7" s="566" t="s">
        <v>69</v>
      </c>
      <c r="S7" s="566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69"/>
      <c r="H8" s="41"/>
      <c r="I8" s="41"/>
      <c r="J8" s="41"/>
      <c r="K8" s="566"/>
      <c r="L8" s="566"/>
      <c r="M8" s="566"/>
      <c r="N8" s="566"/>
      <c r="O8" s="566"/>
      <c r="P8" s="566"/>
      <c r="Q8" s="41"/>
      <c r="R8" s="566"/>
      <c r="S8" s="566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C9*(F9)*$B$387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68">
        <v>3.59998119015979E-2</v>
      </c>
      <c r="M10" s="568">
        <v>6.1739677411240299E-2</v>
      </c>
      <c r="N10" s="106">
        <v>6.5945508986370194E-2</v>
      </c>
      <c r="O10" s="568">
        <v>2.9999843251331498E-3</v>
      </c>
      <c r="P10" s="568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C10*(F10)*$B$387</f>
        <v>7.8498442661133934E-3</v>
      </c>
      <c r="AA10" s="50">
        <f>Z10*0.21</f>
        <v>1.6484672958838125E-3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69"/>
      <c r="H11" s="41"/>
      <c r="I11" s="41"/>
      <c r="J11" s="41"/>
      <c r="K11" s="566"/>
      <c r="L11" s="566"/>
      <c r="M11" s="566"/>
      <c r="N11" s="566"/>
      <c r="O11" s="566"/>
      <c r="P11" s="566"/>
      <c r="Q11" s="41"/>
      <c r="R11" s="566"/>
      <c r="S11" s="566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2.5511993864868531E-2</v>
      </c>
      <c r="AA11" s="81">
        <f t="shared" si="0"/>
        <v>5.3575187116223916E-3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69"/>
      <c r="H12" s="41"/>
      <c r="I12" s="41"/>
      <c r="J12" s="41"/>
      <c r="K12" s="566"/>
      <c r="L12" s="566"/>
      <c r="M12" s="566"/>
      <c r="N12" s="566"/>
      <c r="O12" s="566"/>
      <c r="P12" s="566"/>
      <c r="Q12" s="41"/>
      <c r="R12" s="566"/>
      <c r="S12" s="566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329</v>
      </c>
      <c r="B13" s="74"/>
      <c r="C13" s="112"/>
      <c r="D13" s="112"/>
      <c r="E13" s="74"/>
      <c r="F13" s="74"/>
      <c r="G13" s="569"/>
      <c r="H13" s="41"/>
      <c r="I13" s="41"/>
      <c r="J13" s="41"/>
      <c r="K13" s="566"/>
      <c r="L13" s="566"/>
      <c r="M13" s="566"/>
      <c r="N13" s="566"/>
      <c r="O13" s="566"/>
      <c r="P13" s="566"/>
      <c r="Q13" s="41"/>
      <c r="R13" s="566"/>
      <c r="S13" s="566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9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0.29967382660093506</v>
      </c>
      <c r="U14" s="50">
        <f>C14*($F14*$H14)/453.59</f>
        <v>0.553228133489156</v>
      </c>
      <c r="V14" s="50">
        <f>C14*(($F14*$I14))/453.59</f>
        <v>6.759201828883904E-2</v>
      </c>
      <c r="W14" s="50">
        <f>C14*($F14*$J14)/453.59</f>
        <v>4.1695840218224315E-3</v>
      </c>
      <c r="X14" s="50">
        <f>C14*(($F14*($K14+$L14+$M14)))/453.59</f>
        <v>0.10910839461045337</v>
      </c>
      <c r="Y14" s="50">
        <f>C14*(($F14*($N14+$O14+$P14)))/453.59</f>
        <v>7.2498296948932214E-2</v>
      </c>
      <c r="Z14" s="50">
        <f>C14*(F14)*$B$377</f>
        <v>0</v>
      </c>
      <c r="AA14" s="50">
        <f>Z14*0.21</f>
        <v>0</v>
      </c>
      <c r="AB14" s="50">
        <f>C14*(($F14*($Q14)))/453.59</f>
        <v>290.44231677076993</v>
      </c>
      <c r="AC14" s="50">
        <f>C14*(($F14*($R14)))/453.59</f>
        <v>1.65967453072321E-2</v>
      </c>
      <c r="AD14" s="50">
        <f>C14*(($F14*($S14)))/453.59</f>
        <v>7.439970386400041E-3</v>
      </c>
    </row>
    <row r="15" spans="1:30">
      <c r="A15" s="78" t="s">
        <v>110</v>
      </c>
      <c r="B15" s="76" t="s">
        <v>105</v>
      </c>
      <c r="C15" s="77">
        <v>2</v>
      </c>
      <c r="D15" s="77"/>
      <c r="E15" s="77">
        <v>35</v>
      </c>
      <c r="F15" s="77">
        <v>80</v>
      </c>
      <c r="G15" s="106">
        <v>1.08263976628415</v>
      </c>
      <c r="H15" s="106">
        <v>4.9712718909585103</v>
      </c>
      <c r="I15" s="106">
        <v>0.26248012575016899</v>
      </c>
      <c r="J15" s="106">
        <v>1.0711818E-2</v>
      </c>
      <c r="K15" s="106">
        <v>7.1679901072141505E-2</v>
      </c>
      <c r="L15" s="568">
        <v>3.59998119015979E-2</v>
      </c>
      <c r="M15" s="568">
        <v>6.1739677411240299E-2</v>
      </c>
      <c r="N15" s="106">
        <v>6.5945508986370194E-2</v>
      </c>
      <c r="O15" s="568">
        <v>2.9999843251331498E-3</v>
      </c>
      <c r="P15" s="568">
        <v>5.5859708133979398E-2</v>
      </c>
      <c r="Q15" s="106">
        <v>1710.7260798814</v>
      </c>
      <c r="R15" s="47">
        <v>1.5235246282551899E-2</v>
      </c>
      <c r="S15" s="80">
        <f>0.000025616*Q15</f>
        <v>4.3821959262241944E-2</v>
      </c>
      <c r="T15" s="50">
        <f>C15*($F15*$G15)/453.59</f>
        <v>0.38189193457850484</v>
      </c>
      <c r="U15" s="50">
        <f>C15*($F15*$H15)/453.59</f>
        <v>1.7535737175717316</v>
      </c>
      <c r="V15" s="50">
        <f>C15*(($F15*$I15))/453.59</f>
        <v>9.2587623448548345E-2</v>
      </c>
      <c r="W15" s="50">
        <f>C15*($F15*$J15)/453.59</f>
        <v>3.7785023479353602E-3</v>
      </c>
      <c r="X15" s="50">
        <f>C15*(($F15*($K15+$L15+$M15)))/453.59</f>
        <v>5.9761243549453814E-2</v>
      </c>
      <c r="Y15" s="50">
        <f>C15*(($F15*($N15+$O15+$P15)))/453.59</f>
        <v>4.4023969292262266E-2</v>
      </c>
      <c r="Z15" s="50">
        <f>C15*(F15)*$B$377</f>
        <v>0</v>
      </c>
      <c r="AA15" s="50">
        <f>Z15*0.21</f>
        <v>0</v>
      </c>
      <c r="AB15" s="50">
        <f>C15*(($F15*($Q15)))/453.59</f>
        <v>603.4440194471307</v>
      </c>
      <c r="AC15" s="50">
        <f>C15*(($F15*($R15)))/453.59</f>
        <v>5.3741030560821544E-3</v>
      </c>
      <c r="AD15" s="50">
        <f>C15*(($F15*($S15)))/453.59</f>
        <v>1.5457822002157701E-2</v>
      </c>
    </row>
    <row r="16" spans="1:30">
      <c r="A16" s="75" t="s">
        <v>28</v>
      </c>
      <c r="B16" s="74"/>
      <c r="C16" s="112"/>
      <c r="D16" s="112"/>
      <c r="E16" s="74"/>
      <c r="F16" s="74"/>
      <c r="G16" s="569"/>
      <c r="H16" s="41"/>
      <c r="I16" s="41"/>
      <c r="J16" s="41"/>
      <c r="K16" s="566"/>
      <c r="L16" s="566"/>
      <c r="M16" s="566"/>
      <c r="N16" s="566"/>
      <c r="O16" s="566"/>
      <c r="P16" s="566"/>
      <c r="Q16" s="41"/>
      <c r="R16" s="566"/>
      <c r="S16" s="566"/>
      <c r="T16" s="81">
        <f>SUM(T14:T15)</f>
        <v>0.6815657611794399</v>
      </c>
      <c r="U16" s="81">
        <f t="shared" ref="U16:AD16" si="1">SUM(U14:U15)</f>
        <v>2.3068018510608876</v>
      </c>
      <c r="V16" s="81">
        <f t="shared" si="1"/>
        <v>0.16017964173738738</v>
      </c>
      <c r="W16" s="81">
        <f t="shared" si="1"/>
        <v>7.9480863697577921E-3</v>
      </c>
      <c r="X16" s="81">
        <f t="shared" si="1"/>
        <v>0.16886963815990719</v>
      </c>
      <c r="Y16" s="81">
        <f t="shared" si="1"/>
        <v>0.11652226624119448</v>
      </c>
      <c r="Z16" s="81">
        <f t="shared" si="1"/>
        <v>0</v>
      </c>
      <c r="AA16" s="81">
        <f t="shared" si="1"/>
        <v>0</v>
      </c>
      <c r="AB16" s="81">
        <f t="shared" si="1"/>
        <v>893.88633621790063</v>
      </c>
      <c r="AC16" s="81">
        <f t="shared" si="1"/>
        <v>2.1970848363314255E-2</v>
      </c>
      <c r="AD16" s="81">
        <f t="shared" si="1"/>
        <v>2.2897792388557742E-2</v>
      </c>
    </row>
    <row r="17" spans="1:30">
      <c r="A17" s="75"/>
      <c r="B17" s="74"/>
      <c r="C17" s="112"/>
      <c r="D17" s="112"/>
      <c r="E17" s="74"/>
      <c r="F17" s="74"/>
      <c r="G17" s="569"/>
      <c r="H17" s="41"/>
      <c r="I17" s="41"/>
      <c r="J17" s="41"/>
      <c r="K17" s="566"/>
      <c r="L17" s="566"/>
      <c r="M17" s="566"/>
      <c r="N17" s="566"/>
      <c r="O17" s="566"/>
      <c r="P17" s="566"/>
      <c r="Q17" s="41"/>
      <c r="R17" s="566"/>
      <c r="S17" s="566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</row>
    <row r="18" spans="1:30">
      <c r="A18" s="114" t="s">
        <v>330</v>
      </c>
      <c r="B18" s="74"/>
      <c r="C18" s="112"/>
      <c r="D18" s="112"/>
      <c r="E18" s="74"/>
      <c r="F18" s="74"/>
      <c r="G18" s="569"/>
      <c r="H18" s="41"/>
      <c r="I18" s="41"/>
      <c r="J18" s="41"/>
      <c r="K18" s="566"/>
      <c r="L18" s="566"/>
      <c r="M18" s="566"/>
      <c r="N18" s="566"/>
      <c r="O18" s="566"/>
      <c r="P18" s="566"/>
      <c r="Q18" s="41"/>
      <c r="R18" s="566"/>
      <c r="S18" s="566"/>
      <c r="T18" s="61"/>
      <c r="U18" s="61"/>
      <c r="V18" s="61"/>
      <c r="W18" s="61"/>
      <c r="X18" s="61"/>
      <c r="Y18" s="61"/>
      <c r="Z18" s="62"/>
      <c r="AA18" s="62"/>
      <c r="AB18" s="62"/>
      <c r="AC18" s="62"/>
      <c r="AD18" s="62"/>
    </row>
    <row r="19" spans="1:30">
      <c r="A19" s="78" t="s">
        <v>320</v>
      </c>
      <c r="B19" s="76" t="s">
        <v>95</v>
      </c>
      <c r="C19" s="79">
        <v>12</v>
      </c>
      <c r="D19" s="77"/>
      <c r="E19" s="77">
        <v>35</v>
      </c>
      <c r="F19" s="77">
        <v>60</v>
      </c>
      <c r="G19" s="106">
        <v>0.25172046482947802</v>
      </c>
      <c r="H19" s="106">
        <v>0.464701387165456</v>
      </c>
      <c r="I19" s="106">
        <v>5.6776043658582402E-2</v>
      </c>
      <c r="J19" s="106">
        <v>3.5023733638119199E-3</v>
      </c>
      <c r="K19" s="106">
        <v>4.6899256897933901E-2</v>
      </c>
      <c r="L19" s="47">
        <v>7.99995847163921E-3</v>
      </c>
      <c r="M19" s="47">
        <v>3.6749815577381599E-2</v>
      </c>
      <c r="N19" s="106">
        <v>4.3147317248333997E-2</v>
      </c>
      <c r="O19" s="47">
        <v>1.9999896145790402E-3</v>
      </c>
      <c r="P19" s="47">
        <v>1.57499200131354E-2</v>
      </c>
      <c r="Q19" s="106">
        <v>243.966167526025</v>
      </c>
      <c r="R19" s="47">
        <f>0.000057143*Q19</f>
        <v>1.3940958710939646E-2</v>
      </c>
      <c r="S19" s="80">
        <f>0.000025616*Q19</f>
        <v>6.2494373473466567E-3</v>
      </c>
      <c r="T19" s="50">
        <f>C19*($F19*$G19)/453.59</f>
        <v>0.39956510213458007</v>
      </c>
      <c r="U19" s="50">
        <f>C19*($F19*$H19)/453.59</f>
        <v>0.73763751131887467</v>
      </c>
      <c r="V19" s="50">
        <f>C19*(($F19*$I19))/453.59</f>
        <v>9.01226910517854E-2</v>
      </c>
      <c r="W19" s="50">
        <f>C19*($F19*$J19)/453.59</f>
        <v>5.5594453624299087E-3</v>
      </c>
      <c r="X19" s="50">
        <f>C19*(($F19*($K19+$L19+$M19)))/453.59</f>
        <v>0.14547785948060449</v>
      </c>
      <c r="Y19" s="50">
        <f>C19*(($F19*($N19+$O19+$P19)))/453.59</f>
        <v>9.6664395931909605E-2</v>
      </c>
      <c r="Z19" s="50">
        <f>C19*(F19)*$B$387</f>
        <v>7.0648598395020551E-2</v>
      </c>
      <c r="AA19" s="50">
        <f>Z19*0.21</f>
        <v>1.4836205662954315E-2</v>
      </c>
      <c r="AB19" s="50">
        <f>C19*(($F19*($Q19)))/453.59</f>
        <v>387.25642236102652</v>
      </c>
      <c r="AC19" s="50">
        <f>C19*(($F19*($R19)))/453.59</f>
        <v>2.2128993742976135E-2</v>
      </c>
      <c r="AD19" s="50">
        <f>C19*(($F19*($S19)))/453.59</f>
        <v>9.9199605152000547E-3</v>
      </c>
    </row>
    <row r="20" spans="1:30">
      <c r="A20" s="75" t="s">
        <v>28</v>
      </c>
      <c r="B20" s="74"/>
      <c r="C20" s="112"/>
      <c r="D20" s="112"/>
      <c r="E20" s="74"/>
      <c r="F20" s="74"/>
      <c r="G20" s="569"/>
      <c r="H20" s="41"/>
      <c r="I20" s="41"/>
      <c r="J20" s="41"/>
      <c r="K20" s="566"/>
      <c r="L20" s="566"/>
      <c r="M20" s="566"/>
      <c r="N20" s="566"/>
      <c r="O20" s="566"/>
      <c r="P20" s="566"/>
      <c r="Q20" s="41"/>
      <c r="R20" s="566"/>
      <c r="S20" s="566"/>
      <c r="T20" s="81">
        <f t="shared" ref="T20:AD20" si="2">SUM(T19:T19)</f>
        <v>0.39956510213458007</v>
      </c>
      <c r="U20" s="81">
        <f t="shared" si="2"/>
        <v>0.73763751131887467</v>
      </c>
      <c r="V20" s="81">
        <f t="shared" si="2"/>
        <v>9.01226910517854E-2</v>
      </c>
      <c r="W20" s="81">
        <f t="shared" si="2"/>
        <v>5.5594453624299087E-3</v>
      </c>
      <c r="X20" s="81">
        <f t="shared" si="2"/>
        <v>0.14547785948060449</v>
      </c>
      <c r="Y20" s="81">
        <f t="shared" si="2"/>
        <v>9.6664395931909605E-2</v>
      </c>
      <c r="Z20" s="81">
        <f t="shared" si="2"/>
        <v>7.0648598395020551E-2</v>
      </c>
      <c r="AA20" s="81">
        <f t="shared" si="2"/>
        <v>1.4836205662954315E-2</v>
      </c>
      <c r="AB20" s="81">
        <f t="shared" si="2"/>
        <v>387.25642236102652</v>
      </c>
      <c r="AC20" s="81">
        <f t="shared" si="2"/>
        <v>2.2128993742976135E-2</v>
      </c>
      <c r="AD20" s="81">
        <f t="shared" si="2"/>
        <v>9.9199605152000547E-3</v>
      </c>
    </row>
    <row r="21" spans="1:30">
      <c r="A21" s="565"/>
      <c r="B21" s="74"/>
      <c r="C21" s="112"/>
      <c r="D21" s="112"/>
      <c r="E21" s="74"/>
      <c r="F21" s="74"/>
      <c r="G21" s="569"/>
      <c r="H21" s="41"/>
      <c r="I21" s="41"/>
      <c r="J21" s="41"/>
      <c r="K21" s="566"/>
      <c r="L21" s="566"/>
      <c r="M21" s="566"/>
      <c r="N21" s="566"/>
      <c r="O21" s="566"/>
      <c r="P21" s="566"/>
      <c r="Q21" s="41"/>
      <c r="R21" s="566"/>
      <c r="S21" s="566"/>
      <c r="T21" s="61"/>
      <c r="U21" s="61"/>
      <c r="V21" s="61"/>
      <c r="W21" s="61"/>
      <c r="X21" s="61"/>
      <c r="Y21" s="61"/>
      <c r="Z21" s="62"/>
      <c r="AA21" s="62"/>
      <c r="AB21" s="62"/>
      <c r="AC21" s="62"/>
      <c r="AD21" s="62"/>
    </row>
    <row r="22" spans="1:30">
      <c r="A22" s="114" t="s">
        <v>337</v>
      </c>
      <c r="B22" s="74"/>
      <c r="C22" s="112"/>
      <c r="D22" s="112"/>
      <c r="E22" s="74"/>
      <c r="F22" s="74"/>
      <c r="G22" s="569"/>
      <c r="H22" s="41"/>
      <c r="I22" s="41"/>
      <c r="J22" s="41"/>
      <c r="K22" s="566"/>
      <c r="L22" s="566"/>
      <c r="M22" s="566"/>
      <c r="N22" s="566"/>
      <c r="O22" s="566"/>
      <c r="P22" s="566"/>
      <c r="Q22" s="41"/>
      <c r="R22" s="566"/>
      <c r="S22" s="566"/>
      <c r="T22" s="61"/>
      <c r="U22" s="61"/>
      <c r="V22" s="61"/>
      <c r="W22" s="61"/>
      <c r="X22" s="61"/>
      <c r="Y22" s="61"/>
      <c r="Z22" s="62"/>
      <c r="AA22" s="62"/>
      <c r="AB22" s="62"/>
      <c r="AC22" s="62"/>
      <c r="AD22" s="62"/>
    </row>
    <row r="23" spans="1:30">
      <c r="A23" s="78" t="s">
        <v>320</v>
      </c>
      <c r="B23" s="76" t="s">
        <v>95</v>
      </c>
      <c r="C23" s="79">
        <v>8</v>
      </c>
      <c r="D23" s="77"/>
      <c r="E23" s="77">
        <v>35</v>
      </c>
      <c r="F23" s="77">
        <v>60</v>
      </c>
      <c r="G23" s="106">
        <v>0.25172046482947802</v>
      </c>
      <c r="H23" s="106">
        <v>0.464701387165456</v>
      </c>
      <c r="I23" s="106">
        <v>5.6776043658582402E-2</v>
      </c>
      <c r="J23" s="106">
        <v>3.5023733638119199E-3</v>
      </c>
      <c r="K23" s="106">
        <v>4.6899256897933901E-2</v>
      </c>
      <c r="L23" s="47">
        <v>7.99995847163921E-3</v>
      </c>
      <c r="M23" s="47">
        <v>3.6749815577381599E-2</v>
      </c>
      <c r="N23" s="106">
        <v>4.3147317248333997E-2</v>
      </c>
      <c r="O23" s="47">
        <v>1.9999896145790402E-3</v>
      </c>
      <c r="P23" s="47">
        <v>1.57499200131354E-2</v>
      </c>
      <c r="Q23" s="106">
        <v>243.966167526025</v>
      </c>
      <c r="R23" s="47">
        <f>0.000057143*Q23</f>
        <v>1.3940958710939646E-2</v>
      </c>
      <c r="S23" s="80">
        <f>0.000025616*Q23</f>
        <v>6.2494373473466567E-3</v>
      </c>
      <c r="T23" s="50">
        <f>C23*($F23*$G23)/453.59</f>
        <v>0.26637673475638673</v>
      </c>
      <c r="U23" s="50">
        <f>C23*($F23*$H23)/453.59</f>
        <v>0.49175834087924974</v>
      </c>
      <c r="V23" s="50">
        <f>C23*(($F23*$I23))/453.59</f>
        <v>6.0081794034523593E-2</v>
      </c>
      <c r="W23" s="50">
        <f>C23*($F23*$J23)/453.59</f>
        <v>3.7062969082866061E-3</v>
      </c>
      <c r="X23" s="50">
        <f>C23*(($F23*($K23+$L23+$M23)))/453.59</f>
        <v>9.698523965373633E-2</v>
      </c>
      <c r="Y23" s="50">
        <f>C23*(($F23*($N23+$O23+$P23)))/453.59</f>
        <v>6.444293062127307E-2</v>
      </c>
      <c r="Z23" s="50">
        <f>C23*(F23)*$B$387</f>
        <v>4.7099065596680367E-2</v>
      </c>
      <c r="AA23" s="50">
        <f>Z23*0.21</f>
        <v>9.8908037753028775E-3</v>
      </c>
      <c r="AB23" s="50">
        <f>C23*(($F23*($Q23)))/453.59</f>
        <v>258.17094824068437</v>
      </c>
      <c r="AC23" s="50">
        <f>C23*(($F23*($R23)))/453.59</f>
        <v>1.4752662495317424E-2</v>
      </c>
      <c r="AD23" s="50">
        <f>C23*(($F23*($S23)))/453.59</f>
        <v>6.6133070101333695E-3</v>
      </c>
    </row>
    <row r="24" spans="1:30">
      <c r="A24" s="75" t="s">
        <v>28</v>
      </c>
      <c r="B24" s="74"/>
      <c r="C24" s="112"/>
      <c r="D24" s="112"/>
      <c r="E24" s="74"/>
      <c r="F24" s="74"/>
      <c r="G24" s="569"/>
      <c r="H24" s="41"/>
      <c r="I24" s="41"/>
      <c r="J24" s="41"/>
      <c r="K24" s="566"/>
      <c r="L24" s="566"/>
      <c r="M24" s="566"/>
      <c r="N24" s="566"/>
      <c r="O24" s="566"/>
      <c r="P24" s="566"/>
      <c r="Q24" s="41"/>
      <c r="R24" s="566"/>
      <c r="S24" s="566"/>
      <c r="T24" s="81">
        <f t="shared" ref="T24:AD24" si="3">SUM(T23:T23)</f>
        <v>0.26637673475638673</v>
      </c>
      <c r="U24" s="81">
        <f t="shared" si="3"/>
        <v>0.49175834087924974</v>
      </c>
      <c r="V24" s="81">
        <f t="shared" si="3"/>
        <v>6.0081794034523593E-2</v>
      </c>
      <c r="W24" s="81">
        <f t="shared" si="3"/>
        <v>3.7062969082866061E-3</v>
      </c>
      <c r="X24" s="81">
        <f t="shared" si="3"/>
        <v>9.698523965373633E-2</v>
      </c>
      <c r="Y24" s="81">
        <f t="shared" si="3"/>
        <v>6.444293062127307E-2</v>
      </c>
      <c r="Z24" s="81">
        <f t="shared" si="3"/>
        <v>4.7099065596680367E-2</v>
      </c>
      <c r="AA24" s="81">
        <f t="shared" si="3"/>
        <v>9.8908037753028775E-3</v>
      </c>
      <c r="AB24" s="81">
        <f t="shared" si="3"/>
        <v>258.17094824068437</v>
      </c>
      <c r="AC24" s="81">
        <f t="shared" si="3"/>
        <v>1.4752662495317424E-2</v>
      </c>
      <c r="AD24" s="81">
        <f t="shared" si="3"/>
        <v>6.6133070101333695E-3</v>
      </c>
    </row>
    <row r="25" spans="1:30">
      <c r="A25" s="75" t="s">
        <v>388</v>
      </c>
      <c r="B25" s="74"/>
      <c r="C25" s="112"/>
      <c r="D25" s="112"/>
      <c r="E25" s="74"/>
      <c r="F25" s="74"/>
      <c r="G25" s="569"/>
      <c r="H25" s="41"/>
      <c r="I25" s="41"/>
      <c r="J25" s="41"/>
      <c r="K25" s="566"/>
      <c r="L25" s="566"/>
      <c r="M25" s="566"/>
      <c r="N25" s="566"/>
      <c r="O25" s="566"/>
      <c r="P25" s="566"/>
      <c r="Q25" s="41"/>
      <c r="R25" s="566"/>
      <c r="S25" s="566"/>
      <c r="T25" s="81">
        <f t="shared" ref="T25:AD25" si="4">T11+T16+T20+T24</f>
        <v>1.6383448408933041</v>
      </c>
      <c r="U25" s="81">
        <f t="shared" si="4"/>
        <v>4.5973939398745971</v>
      </c>
      <c r="V25" s="81">
        <f t="shared" si="4"/>
        <v>0.37920861131091688</v>
      </c>
      <c r="W25" s="81">
        <f t="shared" si="4"/>
        <v>2.0492941155049463E-2</v>
      </c>
      <c r="X25" s="81">
        <f t="shared" si="4"/>
        <v>0.47758282393912604</v>
      </c>
      <c r="Y25" s="81">
        <f t="shared" si="4"/>
        <v>0.32380767642348574</v>
      </c>
      <c r="Z25" s="81">
        <f t="shared" si="4"/>
        <v>0.14325965785656947</v>
      </c>
      <c r="AA25" s="81">
        <f t="shared" si="4"/>
        <v>3.0084528149879584E-2</v>
      </c>
      <c r="AB25" s="81">
        <f t="shared" si="4"/>
        <v>1937.8498221334335</v>
      </c>
      <c r="AC25" s="81">
        <f t="shared" si="4"/>
        <v>6.7071804565392926E-2</v>
      </c>
      <c r="AD25" s="81">
        <f t="shared" si="4"/>
        <v>4.9639961043770033E-2</v>
      </c>
    </row>
    <row r="26" spans="1:30">
      <c r="A26" s="370"/>
      <c r="B26" s="371"/>
      <c r="C26" s="372"/>
      <c r="D26" s="372"/>
      <c r="E26" s="371"/>
      <c r="F26" s="371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</row>
    <row r="27" spans="1:30">
      <c r="A27" s="370"/>
      <c r="B27" s="371"/>
      <c r="C27" s="372"/>
      <c r="D27" s="372"/>
      <c r="E27" s="371"/>
      <c r="F27" s="371"/>
      <c r="G27" s="373"/>
      <c r="H27" s="373"/>
      <c r="I27" s="373"/>
      <c r="J27" s="373"/>
      <c r="K27" s="373"/>
      <c r="L27" s="373"/>
      <c r="M27" s="373"/>
      <c r="N27" s="373"/>
      <c r="O27" s="373"/>
      <c r="P27" s="373"/>
      <c r="Q27" s="373"/>
      <c r="R27" s="373"/>
      <c r="S27" s="373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</row>
    <row r="28" spans="1:30">
      <c r="A28" s="370"/>
      <c r="B28" s="371"/>
      <c r="C28" s="372"/>
      <c r="D28" s="372"/>
      <c r="E28" s="371"/>
      <c r="F28" s="371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</row>
    <row r="29" spans="1:30">
      <c r="A29" s="370"/>
      <c r="B29" s="371"/>
      <c r="C29" s="372"/>
      <c r="D29" s="372"/>
      <c r="E29" s="371"/>
      <c r="F29" s="371"/>
      <c r="G29" s="373"/>
      <c r="H29" s="373"/>
      <c r="I29" s="373"/>
      <c r="J29" s="373"/>
      <c r="K29" s="373"/>
      <c r="L29" s="373"/>
      <c r="M29" s="373"/>
      <c r="N29" s="373"/>
      <c r="O29" s="373"/>
      <c r="P29" s="373"/>
      <c r="Q29" s="373"/>
      <c r="R29" s="373"/>
      <c r="S29" s="373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</row>
    <row r="377" spans="1:1" ht="25.5">
      <c r="A377" s="82" t="s">
        <v>109</v>
      </c>
    </row>
    <row r="379" spans="1:1">
      <c r="A379" s="36" t="s">
        <v>81</v>
      </c>
    </row>
    <row r="380" spans="1:1">
      <c r="A380" s="36" t="s">
        <v>82</v>
      </c>
    </row>
    <row r="381" spans="1:1">
      <c r="A381" s="36" t="s">
        <v>83</v>
      </c>
    </row>
    <row r="382" spans="1:1">
      <c r="A382" s="37" t="s">
        <v>96</v>
      </c>
    </row>
    <row r="383" spans="1:1">
      <c r="A383" s="36" t="s">
        <v>85</v>
      </c>
    </row>
    <row r="384" spans="1:1">
      <c r="A384" s="36" t="s">
        <v>86</v>
      </c>
    </row>
    <row r="385" spans="1:2">
      <c r="A385" s="36" t="s">
        <v>87</v>
      </c>
    </row>
    <row r="386" spans="1:2">
      <c r="A386" s="36" t="s">
        <v>0</v>
      </c>
    </row>
    <row r="387" spans="1:2">
      <c r="A387" s="37" t="s">
        <v>97</v>
      </c>
      <c r="B387" s="36">
        <f>(0.016*(0.03/2)^0.65*(2/3)^1.5)-0.00047</f>
        <v>9.8123053326417428E-5</v>
      </c>
    </row>
    <row r="388" spans="1:2">
      <c r="A388" s="37" t="s">
        <v>98</v>
      </c>
      <c r="B388" s="36">
        <f>(0.016*(0.03/2)^0.65*(13/3)^1.5)-0.00047</f>
        <v>8.9448292388582783E-3</v>
      </c>
    </row>
    <row r="389" spans="1:2">
      <c r="A389" s="37" t="s">
        <v>99</v>
      </c>
      <c r="B389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90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568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C9*(F9)*$B$307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C10*(F10)*$B$307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 ht="25.5">
      <c r="A13" s="114" t="s">
        <v>315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326</v>
      </c>
      <c r="B14" s="76" t="s">
        <v>95</v>
      </c>
      <c r="C14" s="79">
        <v>3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9.9891275533645019E-2</v>
      </c>
      <c r="U14" s="50">
        <f>C14*($F14*$H14)/453.59</f>
        <v>0.18440937782971867</v>
      </c>
      <c r="V14" s="50">
        <f>C14*(($F14*$I14))/453.59</f>
        <v>2.253067276294635E-2</v>
      </c>
      <c r="W14" s="50">
        <f>C14*($F14*$J14)/453.59</f>
        <v>1.3898613406074772E-3</v>
      </c>
      <c r="X14" s="50">
        <f>C14*(($F14*($K14+$L14+$M14)))/453.59</f>
        <v>3.6369464870151122E-2</v>
      </c>
      <c r="Y14" s="50">
        <f>C14*(($F14*($N14+$O14+$P14)))/453.59</f>
        <v>2.4166098982977401E-2</v>
      </c>
      <c r="Z14" s="50">
        <f>C14*(F14)*$B$307</f>
        <v>0</v>
      </c>
      <c r="AA14" s="50">
        <f>Z14*0.21</f>
        <v>0</v>
      </c>
      <c r="AB14" s="50">
        <f>C14*(($F14*($Q14)))/453.59</f>
        <v>96.814105590256631</v>
      </c>
      <c r="AC14" s="50">
        <f>C14*(($F14*($R14)))/453.59</f>
        <v>5.5322484357440338E-3</v>
      </c>
      <c r="AD14" s="50">
        <f>C14*(($F14*($S14)))/453.59</f>
        <v>2.4799901288000137E-3</v>
      </c>
    </row>
    <row r="15" spans="1:30">
      <c r="A15" s="78" t="s">
        <v>327</v>
      </c>
      <c r="B15" s="76" t="s">
        <v>105</v>
      </c>
      <c r="C15" s="374">
        <v>1</v>
      </c>
      <c r="D15" s="77"/>
      <c r="E15" s="77">
        <v>35</v>
      </c>
      <c r="F15" s="77">
        <v>80</v>
      </c>
      <c r="G15" s="106">
        <v>1.08263976628415</v>
      </c>
      <c r="H15" s="106">
        <v>4.9712718909585103</v>
      </c>
      <c r="I15" s="106">
        <v>0.26248012575016899</v>
      </c>
      <c r="J15" s="106">
        <v>1.0711818E-2</v>
      </c>
      <c r="K15" s="106">
        <v>7.1679901072141505E-2</v>
      </c>
      <c r="L15" s="576">
        <v>3.59998119015979E-2</v>
      </c>
      <c r="M15" s="576">
        <v>6.1739677411240299E-2</v>
      </c>
      <c r="N15" s="106">
        <v>6.5945508986370194E-2</v>
      </c>
      <c r="O15" s="576">
        <v>2.9999843251331498E-3</v>
      </c>
      <c r="P15" s="576">
        <v>5.5859708133979398E-2</v>
      </c>
      <c r="Q15" s="106">
        <v>1710.7260798814</v>
      </c>
      <c r="R15" s="47">
        <v>1.5235246282551899E-2</v>
      </c>
      <c r="S15" s="80">
        <f>0.000025616*Q15</f>
        <v>4.3821959262241944E-2</v>
      </c>
      <c r="T15" s="50">
        <f>C15*($F15*$G15)/453.59</f>
        <v>0.19094596728925242</v>
      </c>
      <c r="U15" s="50">
        <f>C15*($F15*$H15)/453.59</f>
        <v>0.87678685878586582</v>
      </c>
      <c r="V15" s="50">
        <f>C15*(($F15*$I15))/453.59</f>
        <v>4.6293811724274173E-2</v>
      </c>
      <c r="W15" s="50">
        <f>C15*($F15*$J15)/453.59</f>
        <v>1.8892511739676801E-3</v>
      </c>
      <c r="X15" s="50">
        <f>C15*(($F15*($K15+$L15+$M15)))/453.59</f>
        <v>2.9880621774726907E-2</v>
      </c>
      <c r="Y15" s="50">
        <f>C15*(($F15*($N15+$O15+$P15)))/453.59</f>
        <v>2.2011984646131133E-2</v>
      </c>
      <c r="Z15" s="50">
        <f>C15*(F15)*$B$307</f>
        <v>0</v>
      </c>
      <c r="AA15" s="50">
        <f>Z15*0.21</f>
        <v>0</v>
      </c>
      <c r="AB15" s="50">
        <f>C15*(($F15*($Q15)))/453.59</f>
        <v>301.72200972356535</v>
      </c>
      <c r="AC15" s="50">
        <f>C15*(($F15*($R15)))/453.59</f>
        <v>2.6870515280410772E-3</v>
      </c>
      <c r="AD15" s="50">
        <f>C15*(($F15*($S15)))/453.59</f>
        <v>7.7289110010788503E-3</v>
      </c>
    </row>
    <row r="16" spans="1:30">
      <c r="A16" s="75" t="s">
        <v>28</v>
      </c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>
        <f t="shared" ref="T16:AD16" si="1">SUM(T14:T15)</f>
        <v>0.29083724282289747</v>
      </c>
      <c r="U16" s="81">
        <f t="shared" si="1"/>
        <v>1.0611962366155845</v>
      </c>
      <c r="V16" s="81">
        <f t="shared" si="1"/>
        <v>6.8824484487220519E-2</v>
      </c>
      <c r="W16" s="81">
        <f t="shared" si="1"/>
        <v>3.2791125145751575E-3</v>
      </c>
      <c r="X16" s="81">
        <f t="shared" si="1"/>
        <v>6.6250086644878026E-2</v>
      </c>
      <c r="Y16" s="81">
        <f t="shared" si="1"/>
        <v>4.6178083629108538E-2</v>
      </c>
      <c r="Z16" s="81">
        <f t="shared" si="1"/>
        <v>0</v>
      </c>
      <c r="AA16" s="81">
        <f t="shared" si="1"/>
        <v>0</v>
      </c>
      <c r="AB16" s="81">
        <f t="shared" si="1"/>
        <v>398.53611531382199</v>
      </c>
      <c r="AC16" s="81">
        <f t="shared" si="1"/>
        <v>8.2192999637851101E-3</v>
      </c>
      <c r="AD16" s="81">
        <f t="shared" si="1"/>
        <v>1.0208901129878864E-2</v>
      </c>
    </row>
    <row r="17" spans="1:30">
      <c r="A17" s="75"/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</row>
    <row r="18" spans="1:30">
      <c r="A18" s="114" t="s">
        <v>330</v>
      </c>
      <c r="B18" s="74"/>
      <c r="C18" s="112"/>
      <c r="D18" s="112"/>
      <c r="E18" s="74"/>
      <c r="F18" s="74"/>
      <c r="G18" s="577"/>
      <c r="H18" s="41"/>
      <c r="I18" s="41"/>
      <c r="J18" s="41"/>
      <c r="K18" s="574"/>
      <c r="L18" s="574"/>
      <c r="M18" s="574"/>
      <c r="N18" s="574"/>
      <c r="O18" s="574"/>
      <c r="P18" s="574"/>
      <c r="Q18" s="41"/>
      <c r="R18" s="574"/>
      <c r="S18" s="574"/>
      <c r="T18" s="61"/>
      <c r="U18" s="61"/>
      <c r="V18" s="61"/>
      <c r="W18" s="61"/>
      <c r="X18" s="61"/>
      <c r="Y18" s="61"/>
      <c r="Z18" s="62"/>
      <c r="AA18" s="62"/>
      <c r="AB18" s="62"/>
      <c r="AC18" s="62"/>
      <c r="AD18" s="62"/>
    </row>
    <row r="19" spans="1:30">
      <c r="A19" s="78" t="s">
        <v>320</v>
      </c>
      <c r="B19" s="76" t="s">
        <v>95</v>
      </c>
      <c r="C19" s="79">
        <v>12</v>
      </c>
      <c r="D19" s="77"/>
      <c r="E19" s="77">
        <v>35</v>
      </c>
      <c r="F19" s="77">
        <v>60</v>
      </c>
      <c r="G19" s="106">
        <v>0.25172046482947802</v>
      </c>
      <c r="H19" s="106">
        <v>0.464701387165456</v>
      </c>
      <c r="I19" s="106">
        <v>5.6776043658582402E-2</v>
      </c>
      <c r="J19" s="106">
        <v>3.5023733638119199E-3</v>
      </c>
      <c r="K19" s="106">
        <v>4.6899256897933901E-2</v>
      </c>
      <c r="L19" s="47">
        <v>7.99995847163921E-3</v>
      </c>
      <c r="M19" s="47">
        <v>3.6749815577381599E-2</v>
      </c>
      <c r="N19" s="106">
        <v>4.3147317248333997E-2</v>
      </c>
      <c r="O19" s="47">
        <v>1.9999896145790402E-3</v>
      </c>
      <c r="P19" s="47">
        <v>1.57499200131354E-2</v>
      </c>
      <c r="Q19" s="106">
        <v>243.966167526025</v>
      </c>
      <c r="R19" s="47">
        <f>0.000057143*Q19</f>
        <v>1.3940958710939646E-2</v>
      </c>
      <c r="S19" s="80">
        <f>0.000025616*Q19</f>
        <v>6.2494373473466567E-3</v>
      </c>
      <c r="T19" s="50">
        <f>C19*($F19*$G19)/453.59</f>
        <v>0.39956510213458007</v>
      </c>
      <c r="U19" s="50">
        <f>C19*($F19*$H19)/453.59</f>
        <v>0.73763751131887467</v>
      </c>
      <c r="V19" s="50">
        <f>C19*(($F19*$I19))/453.59</f>
        <v>9.01226910517854E-2</v>
      </c>
      <c r="W19" s="50">
        <f>C19*($F19*$J19)/453.59</f>
        <v>5.5594453624299087E-3</v>
      </c>
      <c r="X19" s="50">
        <f>C19*(($F19*($K19+$L19+$M19)))/453.59</f>
        <v>0.14547785948060449</v>
      </c>
      <c r="Y19" s="50">
        <f>C19*(($F19*($N19+$O19+$P19)))/453.59</f>
        <v>9.6664395931909605E-2</v>
      </c>
      <c r="Z19" s="50">
        <f>C19*(F19)*$B$307</f>
        <v>0</v>
      </c>
      <c r="AA19" s="50">
        <f>Z19*0.21</f>
        <v>0</v>
      </c>
      <c r="AB19" s="50">
        <f>C19*(($F19*($Q19)))/453.59</f>
        <v>387.25642236102652</v>
      </c>
      <c r="AC19" s="50">
        <f>C19*(($F19*($R19)))/453.59</f>
        <v>2.2128993742976135E-2</v>
      </c>
      <c r="AD19" s="50">
        <f>C19*(($F19*($S19)))/453.59</f>
        <v>9.9199605152000547E-3</v>
      </c>
    </row>
    <row r="20" spans="1:30">
      <c r="A20" s="75" t="s">
        <v>28</v>
      </c>
      <c r="B20" s="74"/>
      <c r="C20" s="112"/>
      <c r="D20" s="112"/>
      <c r="E20" s="74"/>
      <c r="F20" s="74"/>
      <c r="G20" s="577"/>
      <c r="H20" s="41"/>
      <c r="I20" s="41"/>
      <c r="J20" s="41"/>
      <c r="K20" s="574"/>
      <c r="L20" s="574"/>
      <c r="M20" s="574"/>
      <c r="N20" s="574"/>
      <c r="O20" s="574"/>
      <c r="P20" s="574"/>
      <c r="Q20" s="41"/>
      <c r="R20" s="574"/>
      <c r="S20" s="574"/>
      <c r="T20" s="81">
        <f t="shared" ref="T20:AD20" si="2">SUM(T19:T19)</f>
        <v>0.39956510213458007</v>
      </c>
      <c r="U20" s="81">
        <f t="shared" si="2"/>
        <v>0.73763751131887467</v>
      </c>
      <c r="V20" s="81">
        <f t="shared" si="2"/>
        <v>9.01226910517854E-2</v>
      </c>
      <c r="W20" s="81">
        <f t="shared" si="2"/>
        <v>5.5594453624299087E-3</v>
      </c>
      <c r="X20" s="81">
        <f t="shared" si="2"/>
        <v>0.14547785948060449</v>
      </c>
      <c r="Y20" s="81">
        <f t="shared" si="2"/>
        <v>9.6664395931909605E-2</v>
      </c>
      <c r="Z20" s="81">
        <f t="shared" si="2"/>
        <v>0</v>
      </c>
      <c r="AA20" s="81">
        <f t="shared" si="2"/>
        <v>0</v>
      </c>
      <c r="AB20" s="81">
        <f t="shared" si="2"/>
        <v>387.25642236102652</v>
      </c>
      <c r="AC20" s="81">
        <f t="shared" si="2"/>
        <v>2.2128993742976135E-2</v>
      </c>
      <c r="AD20" s="81">
        <f t="shared" si="2"/>
        <v>9.9199605152000547E-3</v>
      </c>
    </row>
    <row r="21" spans="1:30">
      <c r="A21" s="573"/>
      <c r="B21" s="74"/>
      <c r="C21" s="112"/>
      <c r="D21" s="112"/>
      <c r="E21" s="74"/>
      <c r="F21" s="74"/>
      <c r="G21" s="577"/>
      <c r="H21" s="41"/>
      <c r="I21" s="41"/>
      <c r="J21" s="41"/>
      <c r="K21" s="574"/>
      <c r="L21" s="574"/>
      <c r="M21" s="574"/>
      <c r="N21" s="574"/>
      <c r="O21" s="574"/>
      <c r="P21" s="574"/>
      <c r="Q21" s="41"/>
      <c r="R21" s="574"/>
      <c r="S21" s="574"/>
      <c r="T21" s="61"/>
      <c r="U21" s="61"/>
      <c r="V21" s="61"/>
      <c r="W21" s="61"/>
      <c r="X21" s="61"/>
      <c r="Y21" s="61"/>
      <c r="Z21" s="62"/>
      <c r="AA21" s="62"/>
      <c r="AB21" s="62"/>
      <c r="AC21" s="62"/>
      <c r="AD21" s="62"/>
    </row>
    <row r="22" spans="1:30" ht="25.5">
      <c r="A22" s="114" t="s">
        <v>332</v>
      </c>
      <c r="B22" s="74"/>
      <c r="C22" s="112"/>
      <c r="D22" s="112"/>
      <c r="E22" s="74"/>
      <c r="F22" s="74"/>
      <c r="G22" s="577"/>
      <c r="H22" s="41"/>
      <c r="I22" s="41"/>
      <c r="J22" s="41"/>
      <c r="K22" s="574"/>
      <c r="L22" s="574"/>
      <c r="M22" s="574"/>
      <c r="N22" s="574"/>
      <c r="O22" s="574"/>
      <c r="P22" s="574"/>
      <c r="Q22" s="41"/>
      <c r="R22" s="574"/>
      <c r="S22" s="574"/>
      <c r="T22" s="61"/>
      <c r="U22" s="61"/>
      <c r="V22" s="61"/>
      <c r="W22" s="61"/>
      <c r="X22" s="61"/>
      <c r="Y22" s="61"/>
      <c r="Z22" s="62"/>
      <c r="AA22" s="62"/>
      <c r="AB22" s="62"/>
      <c r="AC22" s="62"/>
      <c r="AD22" s="62"/>
    </row>
    <row r="23" spans="1:30">
      <c r="A23" s="78" t="s">
        <v>320</v>
      </c>
      <c r="B23" s="76" t="s">
        <v>95</v>
      </c>
      <c r="C23" s="79">
        <v>6</v>
      </c>
      <c r="D23" s="77"/>
      <c r="E23" s="77">
        <v>35</v>
      </c>
      <c r="F23" s="77">
        <v>60</v>
      </c>
      <c r="G23" s="106">
        <v>0.25172046482947802</v>
      </c>
      <c r="H23" s="106">
        <v>0.464701387165456</v>
      </c>
      <c r="I23" s="106">
        <v>5.6776043658582402E-2</v>
      </c>
      <c r="J23" s="106">
        <v>3.5023733638119199E-3</v>
      </c>
      <c r="K23" s="106">
        <v>4.6899256897933901E-2</v>
      </c>
      <c r="L23" s="47">
        <v>7.99995847163921E-3</v>
      </c>
      <c r="M23" s="47">
        <v>3.6749815577381599E-2</v>
      </c>
      <c r="N23" s="106">
        <v>4.3147317248333997E-2</v>
      </c>
      <c r="O23" s="47">
        <v>1.9999896145790402E-3</v>
      </c>
      <c r="P23" s="47">
        <v>1.57499200131354E-2</v>
      </c>
      <c r="Q23" s="106">
        <v>243.966167526025</v>
      </c>
      <c r="R23" s="47">
        <f>0.000057143*Q23</f>
        <v>1.3940958710939646E-2</v>
      </c>
      <c r="S23" s="80">
        <f>0.000025616*Q23</f>
        <v>6.2494373473466567E-3</v>
      </c>
      <c r="T23" s="50">
        <f>C23*($F23*$G23)/453.59</f>
        <v>0.19978255106729004</v>
      </c>
      <c r="U23" s="50">
        <f>C23*($F23*$H23)/453.59</f>
        <v>0.36881875565943734</v>
      </c>
      <c r="V23" s="50">
        <f>C23*(($F23*$I23))/453.59</f>
        <v>4.50613455258927E-2</v>
      </c>
      <c r="W23" s="50">
        <f>C23*($F23*$J23)/453.59</f>
        <v>2.7797226812149543E-3</v>
      </c>
      <c r="X23" s="50">
        <f>C23*(($F23*($K23+$L23+$M23)))/453.59</f>
        <v>7.2738929740302244E-2</v>
      </c>
      <c r="Y23" s="50">
        <f>C23*(($F23*($N23+$O23+$P23)))/453.59</f>
        <v>4.8332197965954803E-2</v>
      </c>
      <c r="Z23" s="50">
        <f>C23*(F23)*$B$336</f>
        <v>0</v>
      </c>
      <c r="AA23" s="50">
        <f>Z23*0.21</f>
        <v>0</v>
      </c>
      <c r="AB23" s="50">
        <f>C23*(($F23*($Q23)))/453.59</f>
        <v>193.62821118051326</v>
      </c>
      <c r="AC23" s="50">
        <f>C23*(($F23*($R23)))/453.59</f>
        <v>1.1064496871488068E-2</v>
      </c>
      <c r="AD23" s="50">
        <f>C23*(($F23*($S23)))/453.59</f>
        <v>4.9599802576000274E-3</v>
      </c>
    </row>
    <row r="24" spans="1:30">
      <c r="A24" s="78" t="s">
        <v>331</v>
      </c>
      <c r="B24" s="76" t="s">
        <v>105</v>
      </c>
      <c r="C24" s="77">
        <v>2</v>
      </c>
      <c r="D24" s="77"/>
      <c r="E24" s="77">
        <v>35</v>
      </c>
      <c r="F24" s="77">
        <v>80</v>
      </c>
      <c r="G24" s="106">
        <v>1.08263976628415</v>
      </c>
      <c r="H24" s="106">
        <v>4.9712718909585103</v>
      </c>
      <c r="I24" s="106">
        <v>0.26248012575016899</v>
      </c>
      <c r="J24" s="106">
        <v>1.0711818E-2</v>
      </c>
      <c r="K24" s="106">
        <v>7.1679901072141505E-2</v>
      </c>
      <c r="L24" s="576">
        <v>3.59998119015979E-2</v>
      </c>
      <c r="M24" s="576">
        <v>6.1739677411240299E-2</v>
      </c>
      <c r="N24" s="106">
        <v>6.5945508986370194E-2</v>
      </c>
      <c r="O24" s="576">
        <v>2.9999843251331498E-3</v>
      </c>
      <c r="P24" s="576">
        <v>5.5859708133979398E-2</v>
      </c>
      <c r="Q24" s="106">
        <v>1710.7260798814</v>
      </c>
      <c r="R24" s="47">
        <v>1.5235246282551899E-2</v>
      </c>
      <c r="S24" s="80">
        <f>0.000025616*Q24</f>
        <v>4.3821959262241944E-2</v>
      </c>
      <c r="T24" s="50">
        <f>C24*($F24*$G24)/453.59</f>
        <v>0.38189193457850484</v>
      </c>
      <c r="U24" s="50">
        <f>C24*($F24*$H24)/453.59</f>
        <v>1.7535737175717316</v>
      </c>
      <c r="V24" s="50">
        <f>C24*(($F24*$I24))/453.59</f>
        <v>9.2587623448548345E-2</v>
      </c>
      <c r="W24" s="50">
        <f>C24*($F24*$J24)/453.59</f>
        <v>3.7785023479353602E-3</v>
      </c>
      <c r="X24" s="50">
        <f>C24*(($F24*($K24+$L24+$M24)))/453.59</f>
        <v>5.9761243549453814E-2</v>
      </c>
      <c r="Y24" s="50">
        <f>C24*(($F24*($N24+$O24+$P24)))/453.59</f>
        <v>4.4023969292262266E-2</v>
      </c>
      <c r="Z24" s="50">
        <f>C24*(F24)*$B$336</f>
        <v>0</v>
      </c>
      <c r="AA24" s="50">
        <f>Z24*0.21</f>
        <v>0</v>
      </c>
      <c r="AB24" s="50">
        <f>C24*(($F24*($Q24)))/453.59</f>
        <v>603.4440194471307</v>
      </c>
      <c r="AC24" s="50">
        <f>C24*(($F24*($R24)))/453.59</f>
        <v>5.3741030560821544E-3</v>
      </c>
      <c r="AD24" s="50">
        <f>C24*(($F24*($S24)))/453.59</f>
        <v>1.5457822002157701E-2</v>
      </c>
    </row>
    <row r="25" spans="1:30">
      <c r="A25" s="75" t="s">
        <v>28</v>
      </c>
      <c r="B25" s="74"/>
      <c r="C25" s="112"/>
      <c r="D25" s="112"/>
      <c r="E25" s="74"/>
      <c r="F25" s="74"/>
      <c r="G25" s="577"/>
      <c r="H25" s="41"/>
      <c r="I25" s="41"/>
      <c r="J25" s="41"/>
      <c r="K25" s="574"/>
      <c r="L25" s="574"/>
      <c r="M25" s="574"/>
      <c r="N25" s="574"/>
      <c r="O25" s="574"/>
      <c r="P25" s="574"/>
      <c r="Q25" s="41"/>
      <c r="R25" s="574"/>
      <c r="S25" s="574"/>
      <c r="T25" s="81">
        <f t="shared" ref="T25:AD25" si="3">SUM(T23:T24)</f>
        <v>0.58167448564579494</v>
      </c>
      <c r="U25" s="81">
        <f t="shared" si="3"/>
        <v>2.122392473231169</v>
      </c>
      <c r="V25" s="81">
        <f t="shared" si="3"/>
        <v>0.13764896897444104</v>
      </c>
      <c r="W25" s="81">
        <f t="shared" si="3"/>
        <v>6.558225029150315E-3</v>
      </c>
      <c r="X25" s="81">
        <f t="shared" si="3"/>
        <v>0.13250017328975605</v>
      </c>
      <c r="Y25" s="81">
        <f t="shared" si="3"/>
        <v>9.2356167258217076E-2</v>
      </c>
      <c r="Z25" s="81">
        <f t="shared" si="3"/>
        <v>0</v>
      </c>
      <c r="AA25" s="81">
        <f t="shared" si="3"/>
        <v>0</v>
      </c>
      <c r="AB25" s="81">
        <f t="shared" si="3"/>
        <v>797.07223062764399</v>
      </c>
      <c r="AC25" s="81">
        <f t="shared" si="3"/>
        <v>1.643859992757022E-2</v>
      </c>
      <c r="AD25" s="81">
        <f t="shared" si="3"/>
        <v>2.0417802259757728E-2</v>
      </c>
    </row>
    <row r="26" spans="1:30">
      <c r="A26" s="75" t="s">
        <v>388</v>
      </c>
      <c r="B26" s="74"/>
      <c r="C26" s="112"/>
      <c r="D26" s="112"/>
      <c r="E26" s="74"/>
      <c r="F26" s="74"/>
      <c r="G26" s="547"/>
      <c r="H26" s="41"/>
      <c r="I26" s="41"/>
      <c r="J26" s="41"/>
      <c r="K26" s="544"/>
      <c r="L26" s="544"/>
      <c r="M26" s="544"/>
      <c r="N26" s="544"/>
      <c r="O26" s="544"/>
      <c r="P26" s="544"/>
      <c r="Q26" s="41"/>
      <c r="R26" s="544"/>
      <c r="S26" s="544"/>
      <c r="T26" s="81">
        <f>T11+T16+T20+T25</f>
        <v>1.5629140734261699</v>
      </c>
      <c r="U26" s="81">
        <f t="shared" ref="U26:AD26" si="4">U11+U16+U20+U25</f>
        <v>4.9824224577812126</v>
      </c>
      <c r="V26" s="81">
        <f t="shared" si="4"/>
        <v>0.36542062900066752</v>
      </c>
      <c r="W26" s="81">
        <f t="shared" si="4"/>
        <v>1.8675895420730539E-2</v>
      </c>
      <c r="X26" s="81">
        <f t="shared" si="4"/>
        <v>0.41047820606011659</v>
      </c>
      <c r="Y26" s="81">
        <f t="shared" si="4"/>
        <v>0.28137673044834377</v>
      </c>
      <c r="Z26" s="81">
        <f t="shared" si="4"/>
        <v>0</v>
      </c>
      <c r="AA26" s="81">
        <f t="shared" si="4"/>
        <v>0</v>
      </c>
      <c r="AB26" s="81">
        <f t="shared" si="4"/>
        <v>1981.4008836163143</v>
      </c>
      <c r="AC26" s="81">
        <f t="shared" si="4"/>
        <v>5.5006193598116572E-2</v>
      </c>
      <c r="AD26" s="81">
        <f t="shared" si="4"/>
        <v>5.0755565034715511E-2</v>
      </c>
    </row>
    <row r="27" spans="1:30">
      <c r="A27" s="370"/>
      <c r="B27" s="371"/>
      <c r="C27" s="372"/>
      <c r="D27" s="372"/>
      <c r="E27" s="371"/>
      <c r="F27" s="371"/>
      <c r="G27" s="373"/>
      <c r="H27" s="373"/>
      <c r="I27" s="373"/>
      <c r="J27" s="373"/>
      <c r="K27" s="373"/>
      <c r="L27" s="373"/>
      <c r="M27" s="373"/>
      <c r="N27" s="373"/>
      <c r="O27" s="373"/>
      <c r="P27" s="373"/>
      <c r="Q27" s="373"/>
      <c r="R27" s="373"/>
      <c r="S27" s="373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</row>
    <row r="28" spans="1:30">
      <c r="A28" s="370"/>
      <c r="B28" s="371"/>
      <c r="C28" s="372"/>
      <c r="D28" s="372"/>
      <c r="E28" s="371"/>
      <c r="F28" s="371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</row>
    <row r="29" spans="1:30">
      <c r="A29" s="370"/>
      <c r="B29" s="371"/>
      <c r="C29" s="372"/>
      <c r="D29" s="372"/>
      <c r="E29" s="371"/>
      <c r="F29" s="371"/>
      <c r="G29" s="373"/>
      <c r="H29" s="373"/>
      <c r="I29" s="373"/>
      <c r="J29" s="373"/>
      <c r="K29" s="373"/>
      <c r="L29" s="373"/>
      <c r="M29" s="373"/>
      <c r="N29" s="373"/>
      <c r="O29" s="373"/>
      <c r="P29" s="373"/>
      <c r="Q29" s="373"/>
      <c r="R29" s="373"/>
      <c r="S29" s="373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</row>
    <row r="30" spans="1:30">
      <c r="A30" s="370"/>
      <c r="B30" s="371"/>
      <c r="C30" s="372"/>
      <c r="D30" s="372"/>
      <c r="E30" s="371"/>
      <c r="F30" s="371"/>
      <c r="G30" s="373"/>
      <c r="H30" s="373"/>
      <c r="I30" s="373"/>
      <c r="J30" s="373"/>
      <c r="K30" s="373"/>
      <c r="L30" s="373"/>
      <c r="M30" s="373"/>
      <c r="N30" s="373"/>
      <c r="O30" s="373"/>
      <c r="P30" s="373"/>
      <c r="Q30" s="373"/>
      <c r="R30" s="373"/>
      <c r="S30" s="373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</row>
    <row r="378" spans="1:1" ht="25.5">
      <c r="A378" s="82" t="s">
        <v>109</v>
      </c>
    </row>
    <row r="380" spans="1:1">
      <c r="A380" s="36" t="s">
        <v>81</v>
      </c>
    </row>
    <row r="381" spans="1:1">
      <c r="A381" s="36" t="s">
        <v>82</v>
      </c>
    </row>
    <row r="382" spans="1:1">
      <c r="A382" s="36" t="s">
        <v>83</v>
      </c>
    </row>
    <row r="383" spans="1:1">
      <c r="A383" s="37" t="s">
        <v>96</v>
      </c>
    </row>
    <row r="384" spans="1:1">
      <c r="A384" s="36" t="s">
        <v>85</v>
      </c>
    </row>
    <row r="385" spans="1:2">
      <c r="A385" s="36" t="s">
        <v>86</v>
      </c>
    </row>
    <row r="386" spans="1:2">
      <c r="A386" s="36" t="s">
        <v>87</v>
      </c>
    </row>
    <row r="387" spans="1:2">
      <c r="A387" s="36" t="s">
        <v>0</v>
      </c>
    </row>
    <row r="388" spans="1:2">
      <c r="A388" s="37" t="s">
        <v>97</v>
      </c>
      <c r="B388" s="36">
        <f>(0.016*(0.03/2)^0.65*(2/3)^1.5)-0.00047</f>
        <v>9.8123053326417428E-5</v>
      </c>
    </row>
    <row r="389" spans="1:2">
      <c r="A389" s="37" t="s">
        <v>98</v>
      </c>
      <c r="B389" s="36">
        <f>(0.016*(0.03/2)^0.65*(13/3)^1.5)-0.00047</f>
        <v>8.9448292388582783E-3</v>
      </c>
    </row>
    <row r="390" spans="1:2">
      <c r="A390" s="37" t="s">
        <v>99</v>
      </c>
      <c r="B39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5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569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346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7" si="0">0.000049261*AA4</f>
        <v>2.2095931710230707E-2</v>
      </c>
      <c r="AD4" s="49">
        <v>3.2599999999999997E-2</v>
      </c>
      <c r="AE4" s="47">
        <f t="shared" ref="AE4:AE7" si="1">0.000021675*AA4</f>
        <v>9.7222817202097123E-3</v>
      </c>
    </row>
    <row r="5" spans="1:67" ht="25.5">
      <c r="A5" s="44" t="s">
        <v>328</v>
      </c>
      <c r="B5" s="45" t="s">
        <v>102</v>
      </c>
      <c r="C5" s="46">
        <v>3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330</v>
      </c>
      <c r="B6" s="45" t="s">
        <v>102</v>
      </c>
      <c r="C6" s="46">
        <v>19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ref="AC6" si="2">0.000049261*AA6</f>
        <v>2.2095931710230707E-2</v>
      </c>
      <c r="AD6" s="49">
        <v>3.2599999999999997E-2</v>
      </c>
      <c r="AE6" s="47">
        <f t="shared" ref="AE6" si="3">0.000021675*AA6</f>
        <v>9.7222817202097123E-3</v>
      </c>
    </row>
    <row r="7" spans="1:67" ht="25.5">
      <c r="A7" s="44" t="s">
        <v>332</v>
      </c>
      <c r="B7" s="45" t="s">
        <v>102</v>
      </c>
      <c r="C7" s="46">
        <v>12</v>
      </c>
      <c r="D7" s="46">
        <v>35</v>
      </c>
      <c r="E7" s="46">
        <v>80</v>
      </c>
      <c r="F7" s="47">
        <v>2.3611622044318601</v>
      </c>
      <c r="G7" s="48">
        <v>31.4244798871777</v>
      </c>
      <c r="H7" s="48">
        <v>0.22493614397154399</v>
      </c>
      <c r="I7" s="48">
        <v>1.8136819244333999</v>
      </c>
      <c r="J7" s="47">
        <v>5.7965153248686403E-2</v>
      </c>
      <c r="K7" s="48">
        <v>2.3946366793705498</v>
      </c>
      <c r="L7" s="48">
        <v>1.62197187247403</v>
      </c>
      <c r="M7" s="48">
        <v>0.70709499821369304</v>
      </c>
      <c r="N7" s="48">
        <v>0.16038404042738499</v>
      </c>
      <c r="O7" s="48">
        <v>0.71464703099800198</v>
      </c>
      <c r="P7" s="48">
        <v>4.0478385316323803E-3</v>
      </c>
      <c r="Q7" s="48">
        <v>5.8407810191933099E-3</v>
      </c>
      <c r="R7" s="47">
        <v>3.2157701660956101E-3</v>
      </c>
      <c r="S7" s="48">
        <v>2.9198634356063399E-2</v>
      </c>
      <c r="T7" s="48">
        <v>7.9999583995993707E-3</v>
      </c>
      <c r="U7" s="48">
        <v>3.6749815874576097E-2</v>
      </c>
      <c r="V7" s="48">
        <v>2.9606446234606999E-3</v>
      </c>
      <c r="W7" s="48">
        <v>2.6884174180557701E-2</v>
      </c>
      <c r="X7" s="48">
        <v>1.9999896010969099E-3</v>
      </c>
      <c r="Y7" s="48">
        <v>1.57499197860352E-2</v>
      </c>
      <c r="Z7" s="48">
        <v>308.63789988642998</v>
      </c>
      <c r="AA7" s="48">
        <v>448.54817624958298</v>
      </c>
      <c r="AB7" s="47">
        <v>1.77E-2</v>
      </c>
      <c r="AC7" s="47">
        <f t="shared" si="0"/>
        <v>2.2095931710230707E-2</v>
      </c>
      <c r="AD7" s="49">
        <v>3.2599999999999997E-2</v>
      </c>
      <c r="AE7" s="47">
        <f t="shared" si="1"/>
        <v>9.7222817202097123E-3</v>
      </c>
    </row>
    <row r="8" spans="1:67">
      <c r="A8" s="52"/>
      <c r="B8" s="52"/>
      <c r="C8" s="53"/>
      <c r="D8" s="54"/>
      <c r="E8" s="54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</row>
    <row r="9" spans="1:67" ht="25.5">
      <c r="A9" s="55" t="s">
        <v>504</v>
      </c>
      <c r="B9" s="37"/>
      <c r="C9" s="37"/>
    </row>
    <row r="10" spans="1:67">
      <c r="A10" s="55" t="s">
        <v>77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84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</row>
    <row r="11" spans="1:67">
      <c r="A11" s="55" t="s">
        <v>78</v>
      </c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t="38.25" hidden="1">
      <c r="A12" s="55" t="s">
        <v>79</v>
      </c>
      <c r="B12" s="37"/>
      <c r="C12" s="37"/>
      <c r="AA12" s="57"/>
      <c r="AB12" s="58" t="s">
        <v>80</v>
      </c>
      <c r="AC12" s="57"/>
      <c r="AD12" s="57"/>
      <c r="AE12" s="57"/>
      <c r="AF12" s="57" t="e">
        <f>#REF!/60</f>
        <v>#REF!</v>
      </c>
      <c r="AG12" s="57" t="e">
        <f>#REF!/60</f>
        <v>#REF!</v>
      </c>
      <c r="AH12" s="57" t="e">
        <f>#REF!/60</f>
        <v>#REF!</v>
      </c>
      <c r="AI12" s="57" t="e">
        <f>#REF!/60</f>
        <v>#REF!</v>
      </c>
      <c r="AJ12" s="57" t="e">
        <f>#REF!/60</f>
        <v>#REF!</v>
      </c>
      <c r="AK12" s="57" t="e">
        <f>#REF!/60</f>
        <v>#REF!</v>
      </c>
      <c r="AL12" s="57" t="e">
        <f>#REF!/60</f>
        <v>#REF!</v>
      </c>
      <c r="AM12" s="57" t="e">
        <f>#REF!/60</f>
        <v>#REF!</v>
      </c>
      <c r="AN12" s="57" t="e">
        <f>#REF!/60</f>
        <v>#REF!</v>
      </c>
      <c r="AO12" s="57" t="e">
        <f>#REF!/60</f>
        <v>#REF!</v>
      </c>
      <c r="AP12" s="57"/>
      <c r="AQ12" s="57"/>
      <c r="AR12" s="57" t="e">
        <f>#REF!/60</f>
        <v>#REF!</v>
      </c>
      <c r="AS12" s="57" t="e">
        <f>#REF!/60</f>
        <v>#REF!</v>
      </c>
      <c r="AT12" s="57" t="e">
        <f>#REF!/60</f>
        <v>#REF!</v>
      </c>
      <c r="AU12" s="57" t="e">
        <f>#REF!/60</f>
        <v>#REF!</v>
      </c>
      <c r="AV12" s="57" t="e">
        <f>#REF!/60</f>
        <v>#REF!</v>
      </c>
      <c r="AW12" s="57" t="e">
        <f>#REF!/60</f>
        <v>#REF!</v>
      </c>
      <c r="AX12" s="57" t="e">
        <f>#REF!/60</f>
        <v>#REF!</v>
      </c>
      <c r="AY12" s="57" t="e">
        <f>#REF!/60</f>
        <v>#REF!</v>
      </c>
      <c r="AZ12" s="57" t="e">
        <f>#REF!/60</f>
        <v>#REF!</v>
      </c>
      <c r="BA12" s="57" t="e">
        <f>#REF!/60</f>
        <v>#REF!</v>
      </c>
    </row>
    <row r="13" spans="1:67" hidden="1">
      <c r="A13" s="55"/>
      <c r="B13" s="37"/>
      <c r="C13" s="3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9"/>
      <c r="AS13" s="59"/>
      <c r="AT13" s="59"/>
      <c r="AU13" s="59"/>
      <c r="AV13" s="59"/>
      <c r="AW13" s="59"/>
      <c r="AX13" s="59"/>
      <c r="AY13" s="59"/>
      <c r="AZ13" s="60"/>
      <c r="BA13" s="59"/>
    </row>
    <row r="14" spans="1:67" hidden="1">
      <c r="A14" s="37"/>
      <c r="B14" s="37"/>
      <c r="C14" s="37"/>
      <c r="AF14" s="596" t="s">
        <v>64</v>
      </c>
      <c r="AG14" s="596"/>
      <c r="AH14" s="596"/>
      <c r="AI14" s="596"/>
      <c r="AJ14" s="596"/>
      <c r="AK14" s="597"/>
      <c r="AL14" s="597"/>
      <c r="AM14" s="597"/>
      <c r="AN14" s="597"/>
      <c r="AO14" s="597"/>
      <c r="AP14" s="546"/>
      <c r="AQ14" s="56"/>
      <c r="AR14" s="596" t="s">
        <v>65</v>
      </c>
      <c r="AS14" s="596"/>
      <c r="AT14" s="596"/>
      <c r="AU14" s="596"/>
      <c r="AV14" s="596"/>
      <c r="AW14" s="597"/>
      <c r="AX14" s="597"/>
      <c r="AY14" s="597"/>
      <c r="AZ14" s="597"/>
      <c r="BA14" s="597"/>
    </row>
    <row r="15" spans="1:67" ht="63.75" hidden="1">
      <c r="A15" s="37"/>
      <c r="B15" s="37"/>
      <c r="C15" s="37"/>
      <c r="AF15" s="61" t="s">
        <v>55</v>
      </c>
      <c r="AG15" s="61" t="s">
        <v>73</v>
      </c>
      <c r="AH15" s="61" t="s">
        <v>74</v>
      </c>
      <c r="AI15" s="61" t="s">
        <v>58</v>
      </c>
      <c r="AJ15" s="61" t="s">
        <v>59</v>
      </c>
      <c r="AK15" s="61" t="s">
        <v>60</v>
      </c>
      <c r="AL15" s="62" t="s">
        <v>75</v>
      </c>
      <c r="AM15" s="62" t="s">
        <v>76</v>
      </c>
      <c r="AN15" s="62" t="s">
        <v>61</v>
      </c>
      <c r="AO15" s="62" t="s">
        <v>62</v>
      </c>
      <c r="AP15" s="62"/>
      <c r="AQ15" s="43"/>
      <c r="AR15" s="61" t="s">
        <v>55</v>
      </c>
      <c r="AS15" s="61" t="s">
        <v>73</v>
      </c>
      <c r="AT15" s="61" t="s">
        <v>74</v>
      </c>
      <c r="AU15" s="61" t="s">
        <v>58</v>
      </c>
      <c r="AV15" s="61" t="s">
        <v>59</v>
      </c>
      <c r="AW15" s="61" t="s">
        <v>60</v>
      </c>
      <c r="AX15" s="62" t="s">
        <v>75</v>
      </c>
      <c r="AY15" s="62" t="s">
        <v>76</v>
      </c>
      <c r="AZ15" s="63" t="s">
        <v>61</v>
      </c>
      <c r="BA15" s="61" t="s">
        <v>62</v>
      </c>
    </row>
    <row r="16" spans="1:67" hidden="1">
      <c r="A16" s="37" t="s">
        <v>81</v>
      </c>
      <c r="B16" s="37"/>
      <c r="C16" s="37"/>
      <c r="AA16" s="64" t="s">
        <v>29</v>
      </c>
      <c r="AB16" s="65" t="s">
        <v>30</v>
      </c>
      <c r="AC16" s="65" t="s">
        <v>31</v>
      </c>
      <c r="AD16" s="65"/>
      <c r="AE16" s="65"/>
      <c r="AQ16" s="38"/>
    </row>
    <row r="17" spans="1:53" hidden="1">
      <c r="A17" s="37" t="s">
        <v>82</v>
      </c>
      <c r="B17" s="37"/>
      <c r="C17" s="37"/>
      <c r="AA17" s="64"/>
      <c r="AB17" s="65" t="s">
        <v>32</v>
      </c>
      <c r="AC17" s="65">
        <v>13.25</v>
      </c>
      <c r="AD17" s="65"/>
      <c r="AE17" s="65"/>
      <c r="AF17" s="36" t="e">
        <f>AF$12*$AC17</f>
        <v>#REF!</v>
      </c>
      <c r="AG17" s="36" t="e">
        <f t="shared" ref="AG17:AO25" si="4">AG$12*$AC17</f>
        <v>#REF!</v>
      </c>
      <c r="AH17" s="36" t="e">
        <f t="shared" si="4"/>
        <v>#REF!</v>
      </c>
      <c r="AI17" s="36" t="e">
        <f t="shared" si="4"/>
        <v>#REF!</v>
      </c>
      <c r="AJ17" s="36" t="e">
        <f t="shared" si="4"/>
        <v>#REF!</v>
      </c>
      <c r="AK17" s="36" t="e">
        <f t="shared" si="4"/>
        <v>#REF!</v>
      </c>
      <c r="AL17" s="36" t="e">
        <f t="shared" si="4"/>
        <v>#REF!</v>
      </c>
      <c r="AM17" s="36" t="e">
        <f t="shared" si="4"/>
        <v>#REF!</v>
      </c>
      <c r="AN17" s="36" t="e">
        <f t="shared" si="4"/>
        <v>#REF!</v>
      </c>
      <c r="AO17" s="36" t="e">
        <f t="shared" si="4"/>
        <v>#REF!</v>
      </c>
      <c r="AQ17" s="38"/>
      <c r="AR17" s="36" t="e">
        <f>AR$12*$AC17</f>
        <v>#REF!</v>
      </c>
      <c r="AS17" s="36" t="e">
        <f t="shared" ref="AS17:BA25" si="5">AS$12*$AC17</f>
        <v>#REF!</v>
      </c>
      <c r="AT17" s="36" t="e">
        <f t="shared" si="5"/>
        <v>#REF!</v>
      </c>
      <c r="AU17" s="36" t="e">
        <f t="shared" si="5"/>
        <v>#REF!</v>
      </c>
      <c r="AV17" s="36" t="e">
        <f t="shared" si="5"/>
        <v>#REF!</v>
      </c>
      <c r="AW17" s="36" t="e">
        <f t="shared" si="5"/>
        <v>#REF!</v>
      </c>
      <c r="AX17" s="36" t="e">
        <f t="shared" si="5"/>
        <v>#REF!</v>
      </c>
      <c r="AY17" s="36" t="e">
        <f t="shared" si="5"/>
        <v>#REF!</v>
      </c>
      <c r="AZ17" s="36" t="e">
        <f t="shared" si="5"/>
        <v>#REF!</v>
      </c>
      <c r="BA17" s="36" t="e">
        <f t="shared" si="5"/>
        <v>#REF!</v>
      </c>
    </row>
    <row r="18" spans="1:53" hidden="1">
      <c r="A18" s="37" t="s">
        <v>83</v>
      </c>
      <c r="B18" s="37"/>
      <c r="C18" s="37"/>
      <c r="AA18" s="64"/>
      <c r="AB18" s="65" t="s">
        <v>33</v>
      </c>
      <c r="AC18" s="65">
        <v>20.298999999999999</v>
      </c>
      <c r="AD18" s="65"/>
      <c r="AE18" s="65"/>
      <c r="AF18" s="36" t="e">
        <f t="shared" ref="AF18:AF25" si="6">AF$12*$AC18</f>
        <v>#REF!</v>
      </c>
      <c r="AG18" s="36" t="e">
        <f t="shared" si="4"/>
        <v>#REF!</v>
      </c>
      <c r="AH18" s="36" t="e">
        <f t="shared" si="4"/>
        <v>#REF!</v>
      </c>
      <c r="AI18" s="36" t="e">
        <f t="shared" si="4"/>
        <v>#REF!</v>
      </c>
      <c r="AJ18" s="36" t="e">
        <f t="shared" si="4"/>
        <v>#REF!</v>
      </c>
      <c r="AK18" s="36" t="e">
        <f t="shared" si="4"/>
        <v>#REF!</v>
      </c>
      <c r="AL18" s="36" t="e">
        <f t="shared" si="4"/>
        <v>#REF!</v>
      </c>
      <c r="AM18" s="36" t="e">
        <f t="shared" si="4"/>
        <v>#REF!</v>
      </c>
      <c r="AN18" s="36" t="e">
        <f t="shared" si="4"/>
        <v>#REF!</v>
      </c>
      <c r="AO18" s="36" t="e">
        <f t="shared" si="4"/>
        <v>#REF!</v>
      </c>
      <c r="AQ18" s="38"/>
      <c r="AR18" s="36" t="e">
        <f t="shared" ref="AR18:AR25" si="7">AR$12*$AC18</f>
        <v>#REF!</v>
      </c>
      <c r="AS18" s="36" t="e">
        <f t="shared" si="5"/>
        <v>#REF!</v>
      </c>
      <c r="AT18" s="36" t="e">
        <f t="shared" si="5"/>
        <v>#REF!</v>
      </c>
      <c r="AU18" s="36" t="e">
        <f t="shared" si="5"/>
        <v>#REF!</v>
      </c>
      <c r="AV18" s="36" t="e">
        <f t="shared" si="5"/>
        <v>#REF!</v>
      </c>
      <c r="AW18" s="36" t="e">
        <f t="shared" si="5"/>
        <v>#REF!</v>
      </c>
      <c r="AX18" s="36" t="e">
        <f t="shared" si="5"/>
        <v>#REF!</v>
      </c>
      <c r="AY18" s="36" t="e">
        <f t="shared" si="5"/>
        <v>#REF!</v>
      </c>
      <c r="AZ18" s="36" t="e">
        <f t="shared" si="5"/>
        <v>#REF!</v>
      </c>
      <c r="BA18" s="36" t="e">
        <f t="shared" si="5"/>
        <v>#REF!</v>
      </c>
    </row>
    <row r="19" spans="1:53" hidden="1">
      <c r="A19" s="37" t="s">
        <v>84</v>
      </c>
      <c r="B19" s="37"/>
      <c r="C19" s="37"/>
      <c r="AA19" s="64"/>
      <c r="AB19" s="65" t="s">
        <v>34</v>
      </c>
      <c r="AC19" s="65">
        <v>21.68</v>
      </c>
      <c r="AD19" s="65"/>
      <c r="AE19" s="65"/>
      <c r="AF19" s="36" t="e">
        <f t="shared" si="6"/>
        <v>#REF!</v>
      </c>
      <c r="AG19" s="36" t="e">
        <f t="shared" si="4"/>
        <v>#REF!</v>
      </c>
      <c r="AH19" s="36" t="e">
        <f t="shared" si="4"/>
        <v>#REF!</v>
      </c>
      <c r="AI19" s="36" t="e">
        <f t="shared" si="4"/>
        <v>#REF!</v>
      </c>
      <c r="AJ19" s="36" t="e">
        <f t="shared" si="4"/>
        <v>#REF!</v>
      </c>
      <c r="AK19" s="36" t="e">
        <f t="shared" si="4"/>
        <v>#REF!</v>
      </c>
      <c r="AL19" s="36" t="e">
        <f t="shared" si="4"/>
        <v>#REF!</v>
      </c>
      <c r="AM19" s="36" t="e">
        <f t="shared" si="4"/>
        <v>#REF!</v>
      </c>
      <c r="AN19" s="36" t="e">
        <f t="shared" si="4"/>
        <v>#REF!</v>
      </c>
      <c r="AO19" s="36" t="e">
        <f t="shared" si="4"/>
        <v>#REF!</v>
      </c>
      <c r="AQ19" s="38"/>
      <c r="AR19" s="36" t="e">
        <f t="shared" si="7"/>
        <v>#REF!</v>
      </c>
      <c r="AS19" s="36" t="e">
        <f t="shared" si="5"/>
        <v>#REF!</v>
      </c>
      <c r="AT19" s="36" t="e">
        <f t="shared" si="5"/>
        <v>#REF!</v>
      </c>
      <c r="AU19" s="36" t="e">
        <f t="shared" si="5"/>
        <v>#REF!</v>
      </c>
      <c r="AV19" s="36" t="e">
        <f t="shared" si="5"/>
        <v>#REF!</v>
      </c>
      <c r="AW19" s="36" t="e">
        <f t="shared" si="5"/>
        <v>#REF!</v>
      </c>
      <c r="AX19" s="36" t="e">
        <f t="shared" si="5"/>
        <v>#REF!</v>
      </c>
      <c r="AY19" s="36" t="e">
        <f t="shared" si="5"/>
        <v>#REF!</v>
      </c>
      <c r="AZ19" s="36" t="e">
        <f t="shared" si="5"/>
        <v>#REF!</v>
      </c>
      <c r="BA19" s="36" t="e">
        <f t="shared" si="5"/>
        <v>#REF!</v>
      </c>
    </row>
    <row r="20" spans="1:53" hidden="1">
      <c r="A20" s="37" t="s">
        <v>85</v>
      </c>
      <c r="B20" s="37"/>
      <c r="C20" s="37"/>
      <c r="AA20" s="64"/>
      <c r="AB20" s="65" t="s">
        <v>35</v>
      </c>
      <c r="AC20" s="65">
        <v>9.3046500000000005</v>
      </c>
      <c r="AD20" s="65"/>
      <c r="AE20" s="65"/>
      <c r="AF20" s="36" t="e">
        <f t="shared" si="6"/>
        <v>#REF!</v>
      </c>
      <c r="AG20" s="36" t="e">
        <f t="shared" si="4"/>
        <v>#REF!</v>
      </c>
      <c r="AH20" s="36" t="e">
        <f t="shared" si="4"/>
        <v>#REF!</v>
      </c>
      <c r="AI20" s="36" t="e">
        <f t="shared" si="4"/>
        <v>#REF!</v>
      </c>
      <c r="AJ20" s="36" t="e">
        <f t="shared" si="4"/>
        <v>#REF!</v>
      </c>
      <c r="AK20" s="36" t="e">
        <f t="shared" si="4"/>
        <v>#REF!</v>
      </c>
      <c r="AL20" s="36" t="e">
        <f t="shared" si="4"/>
        <v>#REF!</v>
      </c>
      <c r="AM20" s="36" t="e">
        <f t="shared" si="4"/>
        <v>#REF!</v>
      </c>
      <c r="AN20" s="36" t="e">
        <f t="shared" si="4"/>
        <v>#REF!</v>
      </c>
      <c r="AO20" s="36" t="e">
        <f t="shared" si="4"/>
        <v>#REF!</v>
      </c>
      <c r="AQ20" s="38"/>
      <c r="AR20" s="36" t="e">
        <f t="shared" si="7"/>
        <v>#REF!</v>
      </c>
      <c r="AS20" s="36" t="e">
        <f t="shared" si="5"/>
        <v>#REF!</v>
      </c>
      <c r="AT20" s="36" t="e">
        <f t="shared" si="5"/>
        <v>#REF!</v>
      </c>
      <c r="AU20" s="36" t="e">
        <f t="shared" si="5"/>
        <v>#REF!</v>
      </c>
      <c r="AV20" s="36" t="e">
        <f t="shared" si="5"/>
        <v>#REF!</v>
      </c>
      <c r="AW20" s="36" t="e">
        <f t="shared" si="5"/>
        <v>#REF!</v>
      </c>
      <c r="AX20" s="36" t="e">
        <f t="shared" si="5"/>
        <v>#REF!</v>
      </c>
      <c r="AY20" s="36" t="e">
        <f t="shared" si="5"/>
        <v>#REF!</v>
      </c>
      <c r="AZ20" s="36" t="e">
        <f t="shared" si="5"/>
        <v>#REF!</v>
      </c>
      <c r="BA20" s="36" t="e">
        <f t="shared" si="5"/>
        <v>#REF!</v>
      </c>
    </row>
    <row r="21" spans="1:53" hidden="1">
      <c r="A21" s="37" t="s">
        <v>86</v>
      </c>
      <c r="B21" s="37"/>
      <c r="C21" s="37"/>
      <c r="AA21" s="64"/>
      <c r="AB21" s="65" t="s">
        <v>36</v>
      </c>
      <c r="AC21" s="65">
        <v>5.0347999999999997</v>
      </c>
      <c r="AD21" s="65"/>
      <c r="AE21" s="65"/>
      <c r="AF21" s="36" t="e">
        <f t="shared" si="6"/>
        <v>#REF!</v>
      </c>
      <c r="AG21" s="36" t="e">
        <f t="shared" si="4"/>
        <v>#REF!</v>
      </c>
      <c r="AH21" s="36" t="e">
        <f t="shared" si="4"/>
        <v>#REF!</v>
      </c>
      <c r="AI21" s="36" t="e">
        <f t="shared" si="4"/>
        <v>#REF!</v>
      </c>
      <c r="AJ21" s="36" t="e">
        <f t="shared" si="4"/>
        <v>#REF!</v>
      </c>
      <c r="AK21" s="36" t="e">
        <f t="shared" si="4"/>
        <v>#REF!</v>
      </c>
      <c r="AL21" s="36" t="e">
        <f t="shared" si="4"/>
        <v>#REF!</v>
      </c>
      <c r="AM21" s="36" t="e">
        <f t="shared" si="4"/>
        <v>#REF!</v>
      </c>
      <c r="AN21" s="36" t="e">
        <f t="shared" si="4"/>
        <v>#REF!</v>
      </c>
      <c r="AO21" s="36" t="e">
        <f t="shared" si="4"/>
        <v>#REF!</v>
      </c>
      <c r="AQ21" s="38"/>
      <c r="AR21" s="36" t="e">
        <f t="shared" si="7"/>
        <v>#REF!</v>
      </c>
      <c r="AS21" s="36" t="e">
        <f t="shared" si="5"/>
        <v>#REF!</v>
      </c>
      <c r="AT21" s="36" t="e">
        <f t="shared" si="5"/>
        <v>#REF!</v>
      </c>
      <c r="AU21" s="36" t="e">
        <f t="shared" si="5"/>
        <v>#REF!</v>
      </c>
      <c r="AV21" s="36" t="e">
        <f t="shared" si="5"/>
        <v>#REF!</v>
      </c>
      <c r="AW21" s="36" t="e">
        <f t="shared" si="5"/>
        <v>#REF!</v>
      </c>
      <c r="AX21" s="36" t="e">
        <f t="shared" si="5"/>
        <v>#REF!</v>
      </c>
      <c r="AY21" s="36" t="e">
        <f t="shared" si="5"/>
        <v>#REF!</v>
      </c>
      <c r="AZ21" s="36" t="e">
        <f t="shared" si="5"/>
        <v>#REF!</v>
      </c>
      <c r="BA21" s="36" t="e">
        <f t="shared" si="5"/>
        <v>#REF!</v>
      </c>
    </row>
    <row r="22" spans="1:53" hidden="1">
      <c r="A22" s="37" t="s">
        <v>87</v>
      </c>
      <c r="B22" s="37"/>
      <c r="C22" s="37"/>
      <c r="AA22" s="64"/>
      <c r="AB22" s="65" t="s">
        <v>37</v>
      </c>
      <c r="AC22" s="65">
        <v>0</v>
      </c>
      <c r="AD22" s="65"/>
      <c r="AE22" s="65"/>
      <c r="AF22" s="36" t="e">
        <f t="shared" si="6"/>
        <v>#REF!</v>
      </c>
      <c r="AG22" s="36" t="e">
        <f t="shared" si="4"/>
        <v>#REF!</v>
      </c>
      <c r="AH22" s="36" t="e">
        <f t="shared" si="4"/>
        <v>#REF!</v>
      </c>
      <c r="AI22" s="36" t="e">
        <f t="shared" si="4"/>
        <v>#REF!</v>
      </c>
      <c r="AJ22" s="36" t="e">
        <f t="shared" si="4"/>
        <v>#REF!</v>
      </c>
      <c r="AK22" s="36" t="e">
        <f t="shared" si="4"/>
        <v>#REF!</v>
      </c>
      <c r="AL22" s="36" t="e">
        <f t="shared" si="4"/>
        <v>#REF!</v>
      </c>
      <c r="AM22" s="36" t="e">
        <f t="shared" si="4"/>
        <v>#REF!</v>
      </c>
      <c r="AN22" s="36" t="e">
        <f t="shared" si="4"/>
        <v>#REF!</v>
      </c>
      <c r="AO22" s="36" t="e">
        <f t="shared" si="4"/>
        <v>#REF!</v>
      </c>
      <c r="AQ22" s="38"/>
      <c r="AR22" s="36" t="e">
        <f t="shared" si="7"/>
        <v>#REF!</v>
      </c>
      <c r="AS22" s="36" t="e">
        <f t="shared" si="5"/>
        <v>#REF!</v>
      </c>
      <c r="AT22" s="36" t="e">
        <f t="shared" si="5"/>
        <v>#REF!</v>
      </c>
      <c r="AU22" s="36" t="e">
        <f t="shared" si="5"/>
        <v>#REF!</v>
      </c>
      <c r="AV22" s="36" t="e">
        <f t="shared" si="5"/>
        <v>#REF!</v>
      </c>
      <c r="AW22" s="36" t="e">
        <f t="shared" si="5"/>
        <v>#REF!</v>
      </c>
      <c r="AX22" s="36" t="e">
        <f t="shared" si="5"/>
        <v>#REF!</v>
      </c>
      <c r="AY22" s="36" t="e">
        <f t="shared" si="5"/>
        <v>#REF!</v>
      </c>
      <c r="AZ22" s="36" t="e">
        <f t="shared" si="5"/>
        <v>#REF!</v>
      </c>
      <c r="BA22" s="36" t="e">
        <f t="shared" si="5"/>
        <v>#REF!</v>
      </c>
    </row>
    <row r="23" spans="1:53" hidden="1">
      <c r="A23" s="37" t="s">
        <v>0</v>
      </c>
      <c r="B23" s="37"/>
      <c r="C23" s="37"/>
      <c r="AA23" s="64"/>
      <c r="AB23" s="65" t="s">
        <v>38</v>
      </c>
      <c r="AC23" s="65">
        <v>0</v>
      </c>
      <c r="AD23" s="65"/>
      <c r="AE23" s="65"/>
      <c r="AF23" s="36" t="e">
        <f t="shared" si="6"/>
        <v>#REF!</v>
      </c>
      <c r="AG23" s="36" t="e">
        <f t="shared" si="4"/>
        <v>#REF!</v>
      </c>
      <c r="AH23" s="36" t="e">
        <f t="shared" si="4"/>
        <v>#REF!</v>
      </c>
      <c r="AI23" s="36" t="e">
        <f t="shared" si="4"/>
        <v>#REF!</v>
      </c>
      <c r="AJ23" s="36" t="e">
        <f t="shared" si="4"/>
        <v>#REF!</v>
      </c>
      <c r="AK23" s="36" t="e">
        <f t="shared" si="4"/>
        <v>#REF!</v>
      </c>
      <c r="AL23" s="36" t="e">
        <f t="shared" si="4"/>
        <v>#REF!</v>
      </c>
      <c r="AM23" s="36" t="e">
        <f t="shared" si="4"/>
        <v>#REF!</v>
      </c>
      <c r="AN23" s="36" t="e">
        <f t="shared" si="4"/>
        <v>#REF!</v>
      </c>
      <c r="AO23" s="36" t="e">
        <f t="shared" si="4"/>
        <v>#REF!</v>
      </c>
      <c r="AQ23" s="38"/>
      <c r="AR23" s="36" t="e">
        <f t="shared" si="7"/>
        <v>#REF!</v>
      </c>
      <c r="AS23" s="36" t="e">
        <f t="shared" si="5"/>
        <v>#REF!</v>
      </c>
      <c r="AT23" s="36" t="e">
        <f t="shared" si="5"/>
        <v>#REF!</v>
      </c>
      <c r="AU23" s="36" t="e">
        <f t="shared" si="5"/>
        <v>#REF!</v>
      </c>
      <c r="AV23" s="36" t="e">
        <f t="shared" si="5"/>
        <v>#REF!</v>
      </c>
      <c r="AW23" s="36" t="e">
        <f t="shared" si="5"/>
        <v>#REF!</v>
      </c>
      <c r="AX23" s="36" t="e">
        <f t="shared" si="5"/>
        <v>#REF!</v>
      </c>
      <c r="AY23" s="36" t="e">
        <f t="shared" si="5"/>
        <v>#REF!</v>
      </c>
      <c r="AZ23" s="36" t="e">
        <f t="shared" si="5"/>
        <v>#REF!</v>
      </c>
      <c r="BA23" s="36" t="e">
        <f t="shared" si="5"/>
        <v>#REF!</v>
      </c>
    </row>
    <row r="24" spans="1:53" hidden="1">
      <c r="A24" s="37" t="s">
        <v>59</v>
      </c>
      <c r="B24" s="37">
        <f>(0.016*(0.03/2)^0.65*(2/3)^1.5)-0.00047</f>
        <v>9.8123053326417428E-5</v>
      </c>
      <c r="C24" s="37"/>
      <c r="AA24" s="64"/>
      <c r="AB24" s="65" t="s">
        <v>39</v>
      </c>
      <c r="AC24" s="65">
        <v>0</v>
      </c>
      <c r="AD24" s="65"/>
      <c r="AE24" s="65"/>
      <c r="AF24" s="36" t="e">
        <f t="shared" si="6"/>
        <v>#REF!</v>
      </c>
      <c r="AG24" s="36" t="e">
        <f t="shared" si="4"/>
        <v>#REF!</v>
      </c>
      <c r="AH24" s="36" t="e">
        <f t="shared" si="4"/>
        <v>#REF!</v>
      </c>
      <c r="AI24" s="36" t="e">
        <f t="shared" si="4"/>
        <v>#REF!</v>
      </c>
      <c r="AJ24" s="36" t="e">
        <f t="shared" si="4"/>
        <v>#REF!</v>
      </c>
      <c r="AK24" s="36" t="e">
        <f t="shared" si="4"/>
        <v>#REF!</v>
      </c>
      <c r="AL24" s="36" t="e">
        <f t="shared" si="4"/>
        <v>#REF!</v>
      </c>
      <c r="AM24" s="36" t="e">
        <f t="shared" si="4"/>
        <v>#REF!</v>
      </c>
      <c r="AN24" s="36" t="e">
        <f t="shared" si="4"/>
        <v>#REF!</v>
      </c>
      <c r="AO24" s="36" t="e">
        <f t="shared" si="4"/>
        <v>#REF!</v>
      </c>
      <c r="AQ24" s="38"/>
      <c r="AR24" s="36" t="e">
        <f t="shared" si="7"/>
        <v>#REF!</v>
      </c>
      <c r="AS24" s="36" t="e">
        <f t="shared" si="5"/>
        <v>#REF!</v>
      </c>
      <c r="AT24" s="36" t="e">
        <f t="shared" si="5"/>
        <v>#REF!</v>
      </c>
      <c r="AU24" s="36" t="e">
        <f t="shared" si="5"/>
        <v>#REF!</v>
      </c>
      <c r="AV24" s="36" t="e">
        <f t="shared" si="5"/>
        <v>#REF!</v>
      </c>
      <c r="AW24" s="36" t="e">
        <f t="shared" si="5"/>
        <v>#REF!</v>
      </c>
      <c r="AX24" s="36" t="e">
        <f t="shared" si="5"/>
        <v>#REF!</v>
      </c>
      <c r="AY24" s="36" t="e">
        <f t="shared" si="5"/>
        <v>#REF!</v>
      </c>
      <c r="AZ24" s="36" t="e">
        <f t="shared" si="5"/>
        <v>#REF!</v>
      </c>
      <c r="BA24" s="36" t="e">
        <f t="shared" si="5"/>
        <v>#REF!</v>
      </c>
    </row>
    <row r="25" spans="1:53" hidden="1">
      <c r="A25" s="37"/>
      <c r="B25" s="37"/>
      <c r="C25" s="37"/>
      <c r="AA25" s="64"/>
      <c r="AB25" s="65" t="s">
        <v>40</v>
      </c>
      <c r="AC25" s="65">
        <v>0</v>
      </c>
      <c r="AD25" s="65"/>
      <c r="AE25" s="65"/>
      <c r="AF25" s="36" t="e">
        <f t="shared" si="6"/>
        <v>#REF!</v>
      </c>
      <c r="AG25" s="36" t="e">
        <f t="shared" si="4"/>
        <v>#REF!</v>
      </c>
      <c r="AH25" s="36" t="e">
        <f t="shared" si="4"/>
        <v>#REF!</v>
      </c>
      <c r="AI25" s="36" t="e">
        <f t="shared" si="4"/>
        <v>#REF!</v>
      </c>
      <c r="AJ25" s="36" t="e">
        <f t="shared" si="4"/>
        <v>#REF!</v>
      </c>
      <c r="AK25" s="36" t="e">
        <f t="shared" si="4"/>
        <v>#REF!</v>
      </c>
      <c r="AL25" s="36" t="e">
        <f t="shared" si="4"/>
        <v>#REF!</v>
      </c>
      <c r="AM25" s="36" t="e">
        <f t="shared" si="4"/>
        <v>#REF!</v>
      </c>
      <c r="AN25" s="36" t="e">
        <f t="shared" si="4"/>
        <v>#REF!</v>
      </c>
      <c r="AO25" s="36" t="e">
        <f t="shared" si="4"/>
        <v>#REF!</v>
      </c>
      <c r="AQ25" s="38"/>
      <c r="AR25" s="36" t="e">
        <f t="shared" si="7"/>
        <v>#REF!</v>
      </c>
      <c r="AS25" s="36" t="e">
        <f t="shared" si="5"/>
        <v>#REF!</v>
      </c>
      <c r="AT25" s="36" t="e">
        <f t="shared" si="5"/>
        <v>#REF!</v>
      </c>
      <c r="AU25" s="36" t="e">
        <f t="shared" si="5"/>
        <v>#REF!</v>
      </c>
      <c r="AV25" s="36" t="e">
        <f t="shared" si="5"/>
        <v>#REF!</v>
      </c>
      <c r="AW25" s="36" t="e">
        <f t="shared" si="5"/>
        <v>#REF!</v>
      </c>
      <c r="AX25" s="36" t="e">
        <f t="shared" si="5"/>
        <v>#REF!</v>
      </c>
      <c r="AY25" s="36" t="e">
        <f t="shared" si="5"/>
        <v>#REF!</v>
      </c>
      <c r="AZ25" s="36" t="e">
        <f t="shared" si="5"/>
        <v>#REF!</v>
      </c>
      <c r="BA25" s="36" t="e">
        <f t="shared" si="5"/>
        <v>#REF!</v>
      </c>
    </row>
    <row r="26" spans="1:53" hidden="1">
      <c r="A26" s="37"/>
      <c r="B26" s="37"/>
      <c r="C26" s="37"/>
      <c r="AA26" s="64"/>
      <c r="AB26" s="65"/>
      <c r="AC26" s="65"/>
      <c r="AD26" s="65"/>
      <c r="AE26" s="65"/>
      <c r="AQ26" s="38"/>
    </row>
    <row r="27" spans="1:53" hidden="1">
      <c r="A27" s="37"/>
      <c r="B27" s="37"/>
      <c r="C27" s="37"/>
      <c r="AA27" s="64" t="s">
        <v>41</v>
      </c>
      <c r="AB27" s="65" t="s">
        <v>30</v>
      </c>
      <c r="AC27" s="65" t="s">
        <v>31</v>
      </c>
      <c r="AD27" s="65"/>
      <c r="AE27" s="65"/>
      <c r="AQ27" s="38"/>
    </row>
    <row r="28" spans="1:53" hidden="1">
      <c r="A28" s="37" t="s">
        <v>88</v>
      </c>
      <c r="B28" s="37"/>
      <c r="C28" s="37"/>
      <c r="AA28" s="64"/>
      <c r="AB28" s="65" t="s">
        <v>32</v>
      </c>
      <c r="AC28" s="65">
        <v>0</v>
      </c>
      <c r="AD28" s="65"/>
      <c r="AE28" s="65"/>
      <c r="AF28" s="36" t="e">
        <f t="shared" ref="AF28:AO36" si="8">AF$12*$AC28</f>
        <v>#REF!</v>
      </c>
      <c r="AG28" s="36" t="e">
        <f t="shared" si="8"/>
        <v>#REF!</v>
      </c>
      <c r="AH28" s="36" t="e">
        <f t="shared" si="8"/>
        <v>#REF!</v>
      </c>
      <c r="AI28" s="36" t="e">
        <f t="shared" si="8"/>
        <v>#REF!</v>
      </c>
      <c r="AJ28" s="36" t="e">
        <f t="shared" si="8"/>
        <v>#REF!</v>
      </c>
      <c r="AK28" s="36" t="e">
        <f t="shared" si="8"/>
        <v>#REF!</v>
      </c>
      <c r="AL28" s="36" t="e">
        <f t="shared" si="8"/>
        <v>#REF!</v>
      </c>
      <c r="AM28" s="36" t="e">
        <f t="shared" si="8"/>
        <v>#REF!</v>
      </c>
      <c r="AN28" s="36" t="e">
        <f t="shared" si="8"/>
        <v>#REF!</v>
      </c>
      <c r="AO28" s="36" t="e">
        <f t="shared" si="8"/>
        <v>#REF!</v>
      </c>
      <c r="AQ28" s="38"/>
      <c r="AR28" s="36" t="e">
        <f t="shared" ref="AR28:BA36" si="9">AR$12*$AC28</f>
        <v>#REF!</v>
      </c>
      <c r="AS28" s="36" t="e">
        <f t="shared" si="9"/>
        <v>#REF!</v>
      </c>
      <c r="AT28" s="36" t="e">
        <f t="shared" si="9"/>
        <v>#REF!</v>
      </c>
      <c r="AU28" s="36" t="e">
        <f t="shared" si="9"/>
        <v>#REF!</v>
      </c>
      <c r="AV28" s="36" t="e">
        <f t="shared" si="9"/>
        <v>#REF!</v>
      </c>
      <c r="AW28" s="36" t="e">
        <f t="shared" si="9"/>
        <v>#REF!</v>
      </c>
      <c r="AX28" s="36" t="e">
        <f t="shared" si="9"/>
        <v>#REF!</v>
      </c>
      <c r="AY28" s="36" t="e">
        <f t="shared" si="9"/>
        <v>#REF!</v>
      </c>
      <c r="AZ28" s="36" t="e">
        <f t="shared" si="9"/>
        <v>#REF!</v>
      </c>
      <c r="BA28" s="36" t="e">
        <f t="shared" si="9"/>
        <v>#REF!</v>
      </c>
    </row>
    <row r="29" spans="1:53" hidden="1">
      <c r="A29" s="37" t="s">
        <v>89</v>
      </c>
      <c r="B29" s="37"/>
      <c r="C29" s="37"/>
      <c r="AA29" s="64"/>
      <c r="AB29" s="65" t="s">
        <v>33</v>
      </c>
      <c r="AC29" s="65">
        <v>6.2010000000000005</v>
      </c>
      <c r="AD29" s="65"/>
      <c r="AE29" s="65"/>
      <c r="AF29" s="36" t="e">
        <f t="shared" si="8"/>
        <v>#REF!</v>
      </c>
      <c r="AG29" s="36" t="e">
        <f t="shared" si="8"/>
        <v>#REF!</v>
      </c>
      <c r="AH29" s="36" t="e">
        <f t="shared" si="8"/>
        <v>#REF!</v>
      </c>
      <c r="AI29" s="36" t="e">
        <f t="shared" si="8"/>
        <v>#REF!</v>
      </c>
      <c r="AJ29" s="36" t="e">
        <f t="shared" si="8"/>
        <v>#REF!</v>
      </c>
      <c r="AK29" s="36" t="e">
        <f t="shared" si="8"/>
        <v>#REF!</v>
      </c>
      <c r="AL29" s="36" t="e">
        <f t="shared" si="8"/>
        <v>#REF!</v>
      </c>
      <c r="AM29" s="36" t="e">
        <f t="shared" si="8"/>
        <v>#REF!</v>
      </c>
      <c r="AN29" s="36" t="e">
        <f t="shared" si="8"/>
        <v>#REF!</v>
      </c>
      <c r="AO29" s="36" t="e">
        <f t="shared" si="8"/>
        <v>#REF!</v>
      </c>
      <c r="AQ29" s="38"/>
      <c r="AR29" s="36" t="e">
        <f t="shared" si="9"/>
        <v>#REF!</v>
      </c>
      <c r="AS29" s="36" t="e">
        <f t="shared" si="9"/>
        <v>#REF!</v>
      </c>
      <c r="AT29" s="36" t="e">
        <f t="shared" si="9"/>
        <v>#REF!</v>
      </c>
      <c r="AU29" s="36" t="e">
        <f t="shared" si="9"/>
        <v>#REF!</v>
      </c>
      <c r="AV29" s="36" t="e">
        <f t="shared" si="9"/>
        <v>#REF!</v>
      </c>
      <c r="AW29" s="36" t="e">
        <f t="shared" si="9"/>
        <v>#REF!</v>
      </c>
      <c r="AX29" s="36" t="e">
        <f t="shared" si="9"/>
        <v>#REF!</v>
      </c>
      <c r="AY29" s="36" t="e">
        <f t="shared" si="9"/>
        <v>#REF!</v>
      </c>
      <c r="AZ29" s="36" t="e">
        <f t="shared" si="9"/>
        <v>#REF!</v>
      </c>
      <c r="BA29" s="36" t="e">
        <f t="shared" si="9"/>
        <v>#REF!</v>
      </c>
    </row>
    <row r="30" spans="1:53" hidden="1">
      <c r="A30" s="37" t="s">
        <v>90</v>
      </c>
      <c r="B30" s="37"/>
      <c r="C30" s="37"/>
      <c r="AA30" s="64"/>
      <c r="AB30" s="65" t="s">
        <v>34</v>
      </c>
      <c r="AC30" s="65">
        <v>0</v>
      </c>
      <c r="AD30" s="65"/>
      <c r="AE30" s="65"/>
      <c r="AF30" s="36" t="e">
        <f t="shared" si="8"/>
        <v>#REF!</v>
      </c>
      <c r="AG30" s="36" t="e">
        <f t="shared" si="8"/>
        <v>#REF!</v>
      </c>
      <c r="AH30" s="36" t="e">
        <f t="shared" si="8"/>
        <v>#REF!</v>
      </c>
      <c r="AI30" s="36" t="e">
        <f t="shared" si="8"/>
        <v>#REF!</v>
      </c>
      <c r="AJ30" s="36" t="e">
        <f t="shared" si="8"/>
        <v>#REF!</v>
      </c>
      <c r="AK30" s="36" t="e">
        <f t="shared" si="8"/>
        <v>#REF!</v>
      </c>
      <c r="AL30" s="36" t="e">
        <f t="shared" si="8"/>
        <v>#REF!</v>
      </c>
      <c r="AM30" s="36" t="e">
        <f t="shared" si="8"/>
        <v>#REF!</v>
      </c>
      <c r="AN30" s="36" t="e">
        <f t="shared" si="8"/>
        <v>#REF!</v>
      </c>
      <c r="AO30" s="36" t="e">
        <f t="shared" si="8"/>
        <v>#REF!</v>
      </c>
      <c r="AQ30" s="38"/>
      <c r="AR30" s="36" t="e">
        <f t="shared" si="9"/>
        <v>#REF!</v>
      </c>
      <c r="AS30" s="36" t="e">
        <f t="shared" si="9"/>
        <v>#REF!</v>
      </c>
      <c r="AT30" s="36" t="e">
        <f t="shared" si="9"/>
        <v>#REF!</v>
      </c>
      <c r="AU30" s="36" t="e">
        <f t="shared" si="9"/>
        <v>#REF!</v>
      </c>
      <c r="AV30" s="36" t="e">
        <f t="shared" si="9"/>
        <v>#REF!</v>
      </c>
      <c r="AW30" s="36" t="e">
        <f t="shared" si="9"/>
        <v>#REF!</v>
      </c>
      <c r="AX30" s="36" t="e">
        <f t="shared" si="9"/>
        <v>#REF!</v>
      </c>
      <c r="AY30" s="36" t="e">
        <f t="shared" si="9"/>
        <v>#REF!</v>
      </c>
      <c r="AZ30" s="36" t="e">
        <f t="shared" si="9"/>
        <v>#REF!</v>
      </c>
      <c r="BA30" s="36" t="e">
        <f t="shared" si="9"/>
        <v>#REF!</v>
      </c>
    </row>
    <row r="31" spans="1:53" hidden="1">
      <c r="A31" s="37" t="s">
        <v>91</v>
      </c>
      <c r="B31" s="37"/>
      <c r="C31" s="37"/>
      <c r="AA31" s="64"/>
      <c r="AB31" s="65" t="s">
        <v>35</v>
      </c>
      <c r="AC31" s="65">
        <v>9.8037500000000009</v>
      </c>
      <c r="AD31" s="65"/>
      <c r="AE31" s="65"/>
      <c r="AF31" s="36" t="e">
        <f t="shared" si="8"/>
        <v>#REF!</v>
      </c>
      <c r="AG31" s="36" t="e">
        <f t="shared" si="8"/>
        <v>#REF!</v>
      </c>
      <c r="AH31" s="36" t="e">
        <f t="shared" si="8"/>
        <v>#REF!</v>
      </c>
      <c r="AI31" s="36" t="e">
        <f t="shared" si="8"/>
        <v>#REF!</v>
      </c>
      <c r="AJ31" s="36" t="e">
        <f t="shared" si="8"/>
        <v>#REF!</v>
      </c>
      <c r="AK31" s="36" t="e">
        <f t="shared" si="8"/>
        <v>#REF!</v>
      </c>
      <c r="AL31" s="36" t="e">
        <f t="shared" si="8"/>
        <v>#REF!</v>
      </c>
      <c r="AM31" s="36" t="e">
        <f t="shared" si="8"/>
        <v>#REF!</v>
      </c>
      <c r="AN31" s="36" t="e">
        <f t="shared" si="8"/>
        <v>#REF!</v>
      </c>
      <c r="AO31" s="36" t="e">
        <f t="shared" si="8"/>
        <v>#REF!</v>
      </c>
      <c r="AQ31" s="38"/>
      <c r="AR31" s="36" t="e">
        <f t="shared" si="9"/>
        <v>#REF!</v>
      </c>
      <c r="AS31" s="36" t="e">
        <f t="shared" si="9"/>
        <v>#REF!</v>
      </c>
      <c r="AT31" s="36" t="e">
        <f t="shared" si="9"/>
        <v>#REF!</v>
      </c>
      <c r="AU31" s="36" t="e">
        <f t="shared" si="9"/>
        <v>#REF!</v>
      </c>
      <c r="AV31" s="36" t="e">
        <f t="shared" si="9"/>
        <v>#REF!</v>
      </c>
      <c r="AW31" s="36" t="e">
        <f t="shared" si="9"/>
        <v>#REF!</v>
      </c>
      <c r="AX31" s="36" t="e">
        <f t="shared" si="9"/>
        <v>#REF!</v>
      </c>
      <c r="AY31" s="36" t="e">
        <f t="shared" si="9"/>
        <v>#REF!</v>
      </c>
      <c r="AZ31" s="36" t="e">
        <f t="shared" si="9"/>
        <v>#REF!</v>
      </c>
      <c r="BA31" s="36" t="e">
        <f t="shared" si="9"/>
        <v>#REF!</v>
      </c>
    </row>
    <row r="32" spans="1:53" hidden="1">
      <c r="A32" s="37" t="s">
        <v>92</v>
      </c>
      <c r="B32" s="37"/>
      <c r="C32" s="37"/>
      <c r="AA32" s="64"/>
      <c r="AB32" s="65" t="s">
        <v>36</v>
      </c>
      <c r="AC32" s="65">
        <v>7.2451999999999996</v>
      </c>
      <c r="AD32" s="65"/>
      <c r="AE32" s="65"/>
      <c r="AF32" s="36" t="e">
        <f t="shared" si="8"/>
        <v>#REF!</v>
      </c>
      <c r="AG32" s="36" t="e">
        <f t="shared" si="8"/>
        <v>#REF!</v>
      </c>
      <c r="AH32" s="36" t="e">
        <f t="shared" si="8"/>
        <v>#REF!</v>
      </c>
      <c r="AI32" s="36" t="e">
        <f t="shared" si="8"/>
        <v>#REF!</v>
      </c>
      <c r="AJ32" s="36" t="e">
        <f t="shared" si="8"/>
        <v>#REF!</v>
      </c>
      <c r="AK32" s="36" t="e">
        <f t="shared" si="8"/>
        <v>#REF!</v>
      </c>
      <c r="AL32" s="36" t="e">
        <f t="shared" si="8"/>
        <v>#REF!</v>
      </c>
      <c r="AM32" s="36" t="e">
        <f t="shared" si="8"/>
        <v>#REF!</v>
      </c>
      <c r="AN32" s="36" t="e">
        <f t="shared" si="8"/>
        <v>#REF!</v>
      </c>
      <c r="AO32" s="36" t="e">
        <f t="shared" si="8"/>
        <v>#REF!</v>
      </c>
      <c r="AQ32" s="38"/>
      <c r="AR32" s="36" t="e">
        <f t="shared" si="9"/>
        <v>#REF!</v>
      </c>
      <c r="AS32" s="36" t="e">
        <f t="shared" si="9"/>
        <v>#REF!</v>
      </c>
      <c r="AT32" s="36" t="e">
        <f t="shared" si="9"/>
        <v>#REF!</v>
      </c>
      <c r="AU32" s="36" t="e">
        <f t="shared" si="9"/>
        <v>#REF!</v>
      </c>
      <c r="AV32" s="36" t="e">
        <f t="shared" si="9"/>
        <v>#REF!</v>
      </c>
      <c r="AW32" s="36" t="e">
        <f t="shared" si="9"/>
        <v>#REF!</v>
      </c>
      <c r="AX32" s="36" t="e">
        <f t="shared" si="9"/>
        <v>#REF!</v>
      </c>
      <c r="AY32" s="36" t="e">
        <f t="shared" si="9"/>
        <v>#REF!</v>
      </c>
      <c r="AZ32" s="36" t="e">
        <f t="shared" si="9"/>
        <v>#REF!</v>
      </c>
      <c r="BA32" s="36" t="e">
        <f t="shared" si="9"/>
        <v>#REF!</v>
      </c>
    </row>
    <row r="33" spans="1:53" hidden="1">
      <c r="A33" s="37" t="s">
        <v>84</v>
      </c>
      <c r="B33" s="37"/>
      <c r="C33" s="37"/>
      <c r="AA33" s="64"/>
      <c r="AB33" s="65" t="s">
        <v>37</v>
      </c>
      <c r="AC33" s="65">
        <v>3.6</v>
      </c>
      <c r="AD33" s="65"/>
      <c r="AE33" s="65"/>
      <c r="AF33" s="36" t="e">
        <f t="shared" si="8"/>
        <v>#REF!</v>
      </c>
      <c r="AG33" s="36" t="e">
        <f t="shared" si="8"/>
        <v>#REF!</v>
      </c>
      <c r="AH33" s="36" t="e">
        <f t="shared" si="8"/>
        <v>#REF!</v>
      </c>
      <c r="AI33" s="36" t="e">
        <f t="shared" si="8"/>
        <v>#REF!</v>
      </c>
      <c r="AJ33" s="36" t="e">
        <f t="shared" si="8"/>
        <v>#REF!</v>
      </c>
      <c r="AK33" s="36" t="e">
        <f t="shared" si="8"/>
        <v>#REF!</v>
      </c>
      <c r="AL33" s="36" t="e">
        <f t="shared" si="8"/>
        <v>#REF!</v>
      </c>
      <c r="AM33" s="36" t="e">
        <f t="shared" si="8"/>
        <v>#REF!</v>
      </c>
      <c r="AN33" s="36" t="e">
        <f t="shared" si="8"/>
        <v>#REF!</v>
      </c>
      <c r="AO33" s="36" t="e">
        <f t="shared" si="8"/>
        <v>#REF!</v>
      </c>
      <c r="AQ33" s="38"/>
      <c r="AR33" s="36" t="e">
        <f t="shared" si="9"/>
        <v>#REF!</v>
      </c>
      <c r="AS33" s="36" t="e">
        <f t="shared" si="9"/>
        <v>#REF!</v>
      </c>
      <c r="AT33" s="36" t="e">
        <f t="shared" si="9"/>
        <v>#REF!</v>
      </c>
      <c r="AU33" s="36" t="e">
        <f t="shared" si="9"/>
        <v>#REF!</v>
      </c>
      <c r="AV33" s="36" t="e">
        <f t="shared" si="9"/>
        <v>#REF!</v>
      </c>
      <c r="AW33" s="36" t="e">
        <f t="shared" si="9"/>
        <v>#REF!</v>
      </c>
      <c r="AX33" s="36" t="e">
        <f t="shared" si="9"/>
        <v>#REF!</v>
      </c>
      <c r="AY33" s="36" t="e">
        <f t="shared" si="9"/>
        <v>#REF!</v>
      </c>
      <c r="AZ33" s="36" t="e">
        <f t="shared" si="9"/>
        <v>#REF!</v>
      </c>
      <c r="BA33" s="36" t="e">
        <f t="shared" si="9"/>
        <v>#REF!</v>
      </c>
    </row>
    <row r="34" spans="1:53" hidden="1">
      <c r="A34" s="37" t="s">
        <v>93</v>
      </c>
      <c r="B34" s="37"/>
      <c r="C34" s="37"/>
      <c r="AA34" s="64"/>
      <c r="AB34" s="65" t="s">
        <v>38</v>
      </c>
      <c r="AC34" s="65">
        <v>6.1984000000000004</v>
      </c>
      <c r="AD34" s="65"/>
      <c r="AE34" s="65"/>
      <c r="AF34" s="36" t="e">
        <f t="shared" si="8"/>
        <v>#REF!</v>
      </c>
      <c r="AG34" s="36" t="e">
        <f t="shared" si="8"/>
        <v>#REF!</v>
      </c>
      <c r="AH34" s="36" t="e">
        <f t="shared" si="8"/>
        <v>#REF!</v>
      </c>
      <c r="AI34" s="36" t="e">
        <f t="shared" si="8"/>
        <v>#REF!</v>
      </c>
      <c r="AJ34" s="36" t="e">
        <f t="shared" si="8"/>
        <v>#REF!</v>
      </c>
      <c r="AK34" s="36" t="e">
        <f t="shared" si="8"/>
        <v>#REF!</v>
      </c>
      <c r="AL34" s="36" t="e">
        <f t="shared" si="8"/>
        <v>#REF!</v>
      </c>
      <c r="AM34" s="36" t="e">
        <f t="shared" si="8"/>
        <v>#REF!</v>
      </c>
      <c r="AN34" s="36" t="e">
        <f t="shared" si="8"/>
        <v>#REF!</v>
      </c>
      <c r="AO34" s="36" t="e">
        <f t="shared" si="8"/>
        <v>#REF!</v>
      </c>
      <c r="AQ34" s="38"/>
      <c r="AR34" s="36" t="e">
        <f t="shared" si="9"/>
        <v>#REF!</v>
      </c>
      <c r="AS34" s="36" t="e">
        <f t="shared" si="9"/>
        <v>#REF!</v>
      </c>
      <c r="AT34" s="36" t="e">
        <f t="shared" si="9"/>
        <v>#REF!</v>
      </c>
      <c r="AU34" s="36" t="e">
        <f t="shared" si="9"/>
        <v>#REF!</v>
      </c>
      <c r="AV34" s="36" t="e">
        <f t="shared" si="9"/>
        <v>#REF!</v>
      </c>
      <c r="AW34" s="36" t="e">
        <f t="shared" si="9"/>
        <v>#REF!</v>
      </c>
      <c r="AX34" s="36" t="e">
        <f t="shared" si="9"/>
        <v>#REF!</v>
      </c>
      <c r="AY34" s="36" t="e">
        <f t="shared" si="9"/>
        <v>#REF!</v>
      </c>
      <c r="AZ34" s="36" t="e">
        <f t="shared" si="9"/>
        <v>#REF!</v>
      </c>
      <c r="BA34" s="36" t="e">
        <f t="shared" si="9"/>
        <v>#REF!</v>
      </c>
    </row>
    <row r="35" spans="1:53" hidden="1">
      <c r="A35" s="37" t="s">
        <v>94</v>
      </c>
      <c r="B35" s="37"/>
      <c r="C35" s="37"/>
      <c r="AA35" s="64"/>
      <c r="AB35" s="65" t="s">
        <v>39</v>
      </c>
      <c r="AC35" s="65">
        <v>5.1995100000000001</v>
      </c>
      <c r="AD35" s="65"/>
      <c r="AE35" s="65"/>
      <c r="AF35" s="36" t="e">
        <f t="shared" si="8"/>
        <v>#REF!</v>
      </c>
      <c r="AG35" s="36" t="e">
        <f t="shared" si="8"/>
        <v>#REF!</v>
      </c>
      <c r="AH35" s="36" t="e">
        <f t="shared" si="8"/>
        <v>#REF!</v>
      </c>
      <c r="AI35" s="36" t="e">
        <f t="shared" si="8"/>
        <v>#REF!</v>
      </c>
      <c r="AJ35" s="36" t="e">
        <f t="shared" si="8"/>
        <v>#REF!</v>
      </c>
      <c r="AK35" s="36" t="e">
        <f t="shared" si="8"/>
        <v>#REF!</v>
      </c>
      <c r="AL35" s="36" t="e">
        <f t="shared" si="8"/>
        <v>#REF!</v>
      </c>
      <c r="AM35" s="36" t="e">
        <f t="shared" si="8"/>
        <v>#REF!</v>
      </c>
      <c r="AN35" s="36" t="e">
        <f t="shared" si="8"/>
        <v>#REF!</v>
      </c>
      <c r="AO35" s="36" t="e">
        <f t="shared" si="8"/>
        <v>#REF!</v>
      </c>
      <c r="AQ35" s="38"/>
      <c r="AR35" s="36" t="e">
        <f t="shared" si="9"/>
        <v>#REF!</v>
      </c>
      <c r="AS35" s="36" t="e">
        <f t="shared" si="9"/>
        <v>#REF!</v>
      </c>
      <c r="AT35" s="36" t="e">
        <f t="shared" si="9"/>
        <v>#REF!</v>
      </c>
      <c r="AU35" s="36" t="e">
        <f t="shared" si="9"/>
        <v>#REF!</v>
      </c>
      <c r="AV35" s="36" t="e">
        <f t="shared" si="9"/>
        <v>#REF!</v>
      </c>
      <c r="AW35" s="36" t="e">
        <f t="shared" si="9"/>
        <v>#REF!</v>
      </c>
      <c r="AX35" s="36" t="e">
        <f t="shared" si="9"/>
        <v>#REF!</v>
      </c>
      <c r="AY35" s="36" t="e">
        <f t="shared" si="9"/>
        <v>#REF!</v>
      </c>
      <c r="AZ35" s="36" t="e">
        <f t="shared" si="9"/>
        <v>#REF!</v>
      </c>
      <c r="BA35" s="36" t="e">
        <f t="shared" si="9"/>
        <v>#REF!</v>
      </c>
    </row>
    <row r="36" spans="1:53" hidden="1">
      <c r="A36" s="37" t="s">
        <v>0</v>
      </c>
      <c r="B36" s="37"/>
      <c r="C36" s="37"/>
      <c r="AA36" s="64"/>
      <c r="AB36" s="65" t="s">
        <v>40</v>
      </c>
      <c r="AC36" s="65">
        <v>17.71416</v>
      </c>
      <c r="AD36" s="65"/>
      <c r="AE36" s="65"/>
      <c r="AF36" s="36" t="e">
        <f t="shared" si="8"/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si="9"/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37" s="37" t="s">
        <v>59</v>
      </c>
      <c r="B37" s="37">
        <f>0.39*1.5*(8.5/12)^0.9*(2/3)^0.45</f>
        <v>0.35737873826145539</v>
      </c>
      <c r="C37" s="37"/>
      <c r="AA37" s="64"/>
      <c r="AB37" s="65"/>
      <c r="AC37" s="65"/>
      <c r="AD37" s="65"/>
      <c r="AE37" s="65"/>
      <c r="AQ37" s="38"/>
    </row>
    <row r="38" spans="1:53" hidden="1">
      <c r="A38" s="37" t="s">
        <v>60</v>
      </c>
      <c r="B38" s="37">
        <f>0.39*0.15*(8.5/12)^0.9*(2/3)^0.45</f>
        <v>3.5737873826145544E-2</v>
      </c>
      <c r="C38" s="37"/>
      <c r="AA38" s="64" t="s">
        <v>42</v>
      </c>
      <c r="AB38" s="65" t="s">
        <v>30</v>
      </c>
      <c r="AC38" s="65" t="s">
        <v>31</v>
      </c>
      <c r="AD38" s="65"/>
      <c r="AE38" s="65"/>
      <c r="AQ38" s="38"/>
    </row>
    <row r="39" spans="1:53" hidden="1">
      <c r="AA39" s="64"/>
      <c r="AB39" s="65" t="s">
        <v>32</v>
      </c>
      <c r="AC39" s="65">
        <v>0</v>
      </c>
      <c r="AD39" s="65"/>
      <c r="AE39" s="65"/>
      <c r="AF39" s="36" t="e">
        <f t="shared" ref="AF39:AO47" si="10">AF$12*$AC39</f>
        <v>#REF!</v>
      </c>
      <c r="AG39" s="36" t="e">
        <f t="shared" si="10"/>
        <v>#REF!</v>
      </c>
      <c r="AH39" s="36" t="e">
        <f t="shared" si="10"/>
        <v>#REF!</v>
      </c>
      <c r="AI39" s="36" t="e">
        <f t="shared" si="10"/>
        <v>#REF!</v>
      </c>
      <c r="AJ39" s="36" t="e">
        <f t="shared" si="10"/>
        <v>#REF!</v>
      </c>
      <c r="AK39" s="36" t="e">
        <f t="shared" si="10"/>
        <v>#REF!</v>
      </c>
      <c r="AL39" s="36" t="e">
        <f t="shared" si="10"/>
        <v>#REF!</v>
      </c>
      <c r="AM39" s="36" t="e">
        <f t="shared" si="10"/>
        <v>#REF!</v>
      </c>
      <c r="AN39" s="36" t="e">
        <f t="shared" si="10"/>
        <v>#REF!</v>
      </c>
      <c r="AO39" s="36" t="e">
        <f t="shared" si="10"/>
        <v>#REF!</v>
      </c>
      <c r="AQ39" s="38"/>
      <c r="AR39" s="36" t="e">
        <f t="shared" ref="AR39:BA47" si="11">AR$12*$AC39</f>
        <v>#REF!</v>
      </c>
      <c r="AS39" s="36" t="e">
        <f t="shared" si="11"/>
        <v>#REF!</v>
      </c>
      <c r="AT39" s="36" t="e">
        <f t="shared" si="11"/>
        <v>#REF!</v>
      </c>
      <c r="AU39" s="36" t="e">
        <f t="shared" si="11"/>
        <v>#REF!</v>
      </c>
      <c r="AV39" s="36" t="e">
        <f t="shared" si="11"/>
        <v>#REF!</v>
      </c>
      <c r="AW39" s="36" t="e">
        <f t="shared" si="11"/>
        <v>#REF!</v>
      </c>
      <c r="AX39" s="36" t="e">
        <f t="shared" si="11"/>
        <v>#REF!</v>
      </c>
      <c r="AY39" s="36" t="e">
        <f t="shared" si="11"/>
        <v>#REF!</v>
      </c>
      <c r="AZ39" s="36" t="e">
        <f t="shared" si="11"/>
        <v>#REF!</v>
      </c>
      <c r="BA39" s="36" t="e">
        <f t="shared" si="11"/>
        <v>#REF!</v>
      </c>
    </row>
    <row r="40" spans="1:53" hidden="1">
      <c r="AA40" s="64"/>
      <c r="AB40" s="65" t="s">
        <v>33</v>
      </c>
      <c r="AC40" s="65">
        <v>0</v>
      </c>
      <c r="AD40" s="65"/>
      <c r="AE40" s="65"/>
      <c r="AF40" s="36" t="e">
        <f t="shared" si="10"/>
        <v>#REF!</v>
      </c>
      <c r="AG40" s="36" t="e">
        <f t="shared" si="10"/>
        <v>#REF!</v>
      </c>
      <c r="AH40" s="36" t="e">
        <f t="shared" si="10"/>
        <v>#REF!</v>
      </c>
      <c r="AI40" s="36" t="e">
        <f t="shared" si="10"/>
        <v>#REF!</v>
      </c>
      <c r="AJ40" s="36" t="e">
        <f t="shared" si="10"/>
        <v>#REF!</v>
      </c>
      <c r="AK40" s="36" t="e">
        <f t="shared" si="10"/>
        <v>#REF!</v>
      </c>
      <c r="AL40" s="36" t="e">
        <f t="shared" si="10"/>
        <v>#REF!</v>
      </c>
      <c r="AM40" s="36" t="e">
        <f t="shared" si="10"/>
        <v>#REF!</v>
      </c>
      <c r="AN40" s="36" t="e">
        <f t="shared" si="10"/>
        <v>#REF!</v>
      </c>
      <c r="AO40" s="36" t="e">
        <f t="shared" si="10"/>
        <v>#REF!</v>
      </c>
      <c r="AQ40" s="38"/>
      <c r="AR40" s="36" t="e">
        <f t="shared" si="11"/>
        <v>#REF!</v>
      </c>
      <c r="AS40" s="36" t="e">
        <f t="shared" si="11"/>
        <v>#REF!</v>
      </c>
      <c r="AT40" s="36" t="e">
        <f t="shared" si="11"/>
        <v>#REF!</v>
      </c>
      <c r="AU40" s="36" t="e">
        <f t="shared" si="11"/>
        <v>#REF!</v>
      </c>
      <c r="AV40" s="36" t="e">
        <f t="shared" si="11"/>
        <v>#REF!</v>
      </c>
      <c r="AW40" s="36" t="e">
        <f t="shared" si="11"/>
        <v>#REF!</v>
      </c>
      <c r="AX40" s="36" t="e">
        <f t="shared" si="11"/>
        <v>#REF!</v>
      </c>
      <c r="AY40" s="36" t="e">
        <f t="shared" si="11"/>
        <v>#REF!</v>
      </c>
      <c r="AZ40" s="36" t="e">
        <f t="shared" si="11"/>
        <v>#REF!</v>
      </c>
      <c r="BA40" s="36" t="e">
        <f t="shared" si="11"/>
        <v>#REF!</v>
      </c>
    </row>
    <row r="41" spans="1:53" hidden="1">
      <c r="AA41" s="64"/>
      <c r="AB41" s="65" t="s">
        <v>34</v>
      </c>
      <c r="AC41" s="65">
        <v>0</v>
      </c>
      <c r="AD41" s="65"/>
      <c r="AE41" s="65"/>
      <c r="AF41" s="36" t="e">
        <f t="shared" si="10"/>
        <v>#REF!</v>
      </c>
      <c r="AG41" s="36" t="e">
        <f t="shared" si="10"/>
        <v>#REF!</v>
      </c>
      <c r="AH41" s="36" t="e">
        <f t="shared" si="10"/>
        <v>#REF!</v>
      </c>
      <c r="AI41" s="36" t="e">
        <f t="shared" si="10"/>
        <v>#REF!</v>
      </c>
      <c r="AJ41" s="36" t="e">
        <f t="shared" si="10"/>
        <v>#REF!</v>
      </c>
      <c r="AK41" s="36" t="e">
        <f t="shared" si="10"/>
        <v>#REF!</v>
      </c>
      <c r="AL41" s="36" t="e">
        <f t="shared" si="10"/>
        <v>#REF!</v>
      </c>
      <c r="AM41" s="36" t="e">
        <f t="shared" si="10"/>
        <v>#REF!</v>
      </c>
      <c r="AN41" s="36" t="e">
        <f t="shared" si="10"/>
        <v>#REF!</v>
      </c>
      <c r="AO41" s="36" t="e">
        <f t="shared" si="10"/>
        <v>#REF!</v>
      </c>
      <c r="AQ41" s="38"/>
      <c r="AR41" s="36" t="e">
        <f t="shared" si="11"/>
        <v>#REF!</v>
      </c>
      <c r="AS41" s="36" t="e">
        <f t="shared" si="11"/>
        <v>#REF!</v>
      </c>
      <c r="AT41" s="36" t="e">
        <f t="shared" si="11"/>
        <v>#REF!</v>
      </c>
      <c r="AU41" s="36" t="e">
        <f t="shared" si="11"/>
        <v>#REF!</v>
      </c>
      <c r="AV41" s="36" t="e">
        <f t="shared" si="11"/>
        <v>#REF!</v>
      </c>
      <c r="AW41" s="36" t="e">
        <f t="shared" si="11"/>
        <v>#REF!</v>
      </c>
      <c r="AX41" s="36" t="e">
        <f t="shared" si="11"/>
        <v>#REF!</v>
      </c>
      <c r="AY41" s="36" t="e">
        <f t="shared" si="11"/>
        <v>#REF!</v>
      </c>
      <c r="AZ41" s="36" t="e">
        <f t="shared" si="11"/>
        <v>#REF!</v>
      </c>
      <c r="BA41" s="36" t="e">
        <f t="shared" si="11"/>
        <v>#REF!</v>
      </c>
    </row>
    <row r="42" spans="1:53" hidden="1">
      <c r="AA42" s="64"/>
      <c r="AB42" s="65" t="s">
        <v>35</v>
      </c>
      <c r="AC42" s="65">
        <v>16.541599999999999</v>
      </c>
      <c r="AD42" s="65"/>
      <c r="AE42" s="65"/>
      <c r="AF42" s="36" t="e">
        <f t="shared" si="10"/>
        <v>#REF!</v>
      </c>
      <c r="AG42" s="36" t="e">
        <f t="shared" si="10"/>
        <v>#REF!</v>
      </c>
      <c r="AH42" s="36" t="e">
        <f t="shared" si="10"/>
        <v>#REF!</v>
      </c>
      <c r="AI42" s="36" t="e">
        <f t="shared" si="10"/>
        <v>#REF!</v>
      </c>
      <c r="AJ42" s="36" t="e">
        <f t="shared" si="10"/>
        <v>#REF!</v>
      </c>
      <c r="AK42" s="36" t="e">
        <f t="shared" si="10"/>
        <v>#REF!</v>
      </c>
      <c r="AL42" s="36" t="e">
        <f t="shared" si="10"/>
        <v>#REF!</v>
      </c>
      <c r="AM42" s="36" t="e">
        <f t="shared" si="10"/>
        <v>#REF!</v>
      </c>
      <c r="AN42" s="36" t="e">
        <f t="shared" si="10"/>
        <v>#REF!</v>
      </c>
      <c r="AO42" s="36" t="e">
        <f t="shared" si="10"/>
        <v>#REF!</v>
      </c>
      <c r="AQ42" s="38"/>
      <c r="AR42" s="36" t="e">
        <f t="shared" si="11"/>
        <v>#REF!</v>
      </c>
      <c r="AS42" s="36" t="e">
        <f t="shared" si="11"/>
        <v>#REF!</v>
      </c>
      <c r="AT42" s="36" t="e">
        <f t="shared" si="11"/>
        <v>#REF!</v>
      </c>
      <c r="AU42" s="36" t="e">
        <f t="shared" si="11"/>
        <v>#REF!</v>
      </c>
      <c r="AV42" s="36" t="e">
        <f t="shared" si="11"/>
        <v>#REF!</v>
      </c>
      <c r="AW42" s="36" t="e">
        <f t="shared" si="11"/>
        <v>#REF!</v>
      </c>
      <c r="AX42" s="36" t="e">
        <f t="shared" si="11"/>
        <v>#REF!</v>
      </c>
      <c r="AY42" s="36" t="e">
        <f t="shared" si="11"/>
        <v>#REF!</v>
      </c>
      <c r="AZ42" s="36" t="e">
        <f t="shared" si="11"/>
        <v>#REF!</v>
      </c>
      <c r="BA42" s="36" t="e">
        <f t="shared" si="11"/>
        <v>#REF!</v>
      </c>
    </row>
    <row r="43" spans="1:53" hidden="1">
      <c r="AA43" s="64"/>
      <c r="AB43" s="65" t="s">
        <v>36</v>
      </c>
      <c r="AC43" s="65">
        <v>0</v>
      </c>
      <c r="AD43" s="65"/>
      <c r="AE43" s="65"/>
      <c r="AF43" s="36" t="e">
        <f t="shared" si="10"/>
        <v>#REF!</v>
      </c>
      <c r="AG43" s="36" t="e">
        <f t="shared" si="10"/>
        <v>#REF!</v>
      </c>
      <c r="AH43" s="36" t="e">
        <f t="shared" si="10"/>
        <v>#REF!</v>
      </c>
      <c r="AI43" s="36" t="e">
        <f t="shared" si="10"/>
        <v>#REF!</v>
      </c>
      <c r="AJ43" s="36" t="e">
        <f t="shared" si="10"/>
        <v>#REF!</v>
      </c>
      <c r="AK43" s="36" t="e">
        <f t="shared" si="10"/>
        <v>#REF!</v>
      </c>
      <c r="AL43" s="36" t="e">
        <f t="shared" si="10"/>
        <v>#REF!</v>
      </c>
      <c r="AM43" s="36" t="e">
        <f t="shared" si="10"/>
        <v>#REF!</v>
      </c>
      <c r="AN43" s="36" t="e">
        <f t="shared" si="10"/>
        <v>#REF!</v>
      </c>
      <c r="AO43" s="36" t="e">
        <f t="shared" si="10"/>
        <v>#REF!</v>
      </c>
      <c r="AQ43" s="38"/>
      <c r="AR43" s="36" t="e">
        <f t="shared" si="11"/>
        <v>#REF!</v>
      </c>
      <c r="AS43" s="36" t="e">
        <f t="shared" si="11"/>
        <v>#REF!</v>
      </c>
      <c r="AT43" s="36" t="e">
        <f t="shared" si="11"/>
        <v>#REF!</v>
      </c>
      <c r="AU43" s="36" t="e">
        <f t="shared" si="11"/>
        <v>#REF!</v>
      </c>
      <c r="AV43" s="36" t="e">
        <f t="shared" si="11"/>
        <v>#REF!</v>
      </c>
      <c r="AW43" s="36" t="e">
        <f t="shared" si="11"/>
        <v>#REF!</v>
      </c>
      <c r="AX43" s="36" t="e">
        <f t="shared" si="11"/>
        <v>#REF!</v>
      </c>
      <c r="AY43" s="36" t="e">
        <f t="shared" si="11"/>
        <v>#REF!</v>
      </c>
      <c r="AZ43" s="36" t="e">
        <f t="shared" si="11"/>
        <v>#REF!</v>
      </c>
      <c r="BA43" s="36" t="e">
        <f t="shared" si="11"/>
        <v>#REF!</v>
      </c>
    </row>
    <row r="44" spans="1:53" hidden="1">
      <c r="AA44" s="64"/>
      <c r="AB44" s="65" t="s">
        <v>37</v>
      </c>
      <c r="AC44" s="65">
        <v>0</v>
      </c>
      <c r="AD44" s="65"/>
      <c r="AE44" s="65"/>
      <c r="AF44" s="36" t="e">
        <f t="shared" si="10"/>
        <v>#REF!</v>
      </c>
      <c r="AG44" s="36" t="e">
        <f t="shared" si="10"/>
        <v>#REF!</v>
      </c>
      <c r="AH44" s="36" t="e">
        <f t="shared" si="10"/>
        <v>#REF!</v>
      </c>
      <c r="AI44" s="36" t="e">
        <f t="shared" si="10"/>
        <v>#REF!</v>
      </c>
      <c r="AJ44" s="36" t="e">
        <f t="shared" si="10"/>
        <v>#REF!</v>
      </c>
      <c r="AK44" s="36" t="e">
        <f t="shared" si="10"/>
        <v>#REF!</v>
      </c>
      <c r="AL44" s="36" t="e">
        <f t="shared" si="10"/>
        <v>#REF!</v>
      </c>
      <c r="AM44" s="36" t="e">
        <f t="shared" si="10"/>
        <v>#REF!</v>
      </c>
      <c r="AN44" s="36" t="e">
        <f t="shared" si="10"/>
        <v>#REF!</v>
      </c>
      <c r="AO44" s="36" t="e">
        <f t="shared" si="10"/>
        <v>#REF!</v>
      </c>
      <c r="AQ44" s="38"/>
      <c r="AR44" s="36" t="e">
        <f t="shared" si="11"/>
        <v>#REF!</v>
      </c>
      <c r="AS44" s="36" t="e">
        <f t="shared" si="11"/>
        <v>#REF!</v>
      </c>
      <c r="AT44" s="36" t="e">
        <f t="shared" si="11"/>
        <v>#REF!</v>
      </c>
      <c r="AU44" s="36" t="e">
        <f t="shared" si="11"/>
        <v>#REF!</v>
      </c>
      <c r="AV44" s="36" t="e">
        <f t="shared" si="11"/>
        <v>#REF!</v>
      </c>
      <c r="AW44" s="36" t="e">
        <f t="shared" si="11"/>
        <v>#REF!</v>
      </c>
      <c r="AX44" s="36" t="e">
        <f t="shared" si="11"/>
        <v>#REF!</v>
      </c>
      <c r="AY44" s="36" t="e">
        <f t="shared" si="11"/>
        <v>#REF!</v>
      </c>
      <c r="AZ44" s="36" t="e">
        <f t="shared" si="11"/>
        <v>#REF!</v>
      </c>
      <c r="BA44" s="36" t="e">
        <f t="shared" si="11"/>
        <v>#REF!</v>
      </c>
    </row>
    <row r="45" spans="1:53" hidden="1">
      <c r="AA45" s="64"/>
      <c r="AB45" s="65" t="s">
        <v>38</v>
      </c>
      <c r="AC45" s="65">
        <v>14.601599999999999</v>
      </c>
      <c r="AD45" s="65"/>
      <c r="AE45" s="65"/>
      <c r="AF45" s="36" t="e">
        <f t="shared" si="10"/>
        <v>#REF!</v>
      </c>
      <c r="AG45" s="36" t="e">
        <f t="shared" si="10"/>
        <v>#REF!</v>
      </c>
      <c r="AH45" s="36" t="e">
        <f t="shared" si="10"/>
        <v>#REF!</v>
      </c>
      <c r="AI45" s="36" t="e">
        <f t="shared" si="10"/>
        <v>#REF!</v>
      </c>
      <c r="AJ45" s="36" t="e">
        <f t="shared" si="10"/>
        <v>#REF!</v>
      </c>
      <c r="AK45" s="36" t="e">
        <f t="shared" si="10"/>
        <v>#REF!</v>
      </c>
      <c r="AL45" s="36" t="e">
        <f t="shared" si="10"/>
        <v>#REF!</v>
      </c>
      <c r="AM45" s="36" t="e">
        <f t="shared" si="10"/>
        <v>#REF!</v>
      </c>
      <c r="AN45" s="36" t="e">
        <f t="shared" si="10"/>
        <v>#REF!</v>
      </c>
      <c r="AO45" s="36" t="e">
        <f t="shared" si="10"/>
        <v>#REF!</v>
      </c>
      <c r="AQ45" s="38"/>
      <c r="AR45" s="36" t="e">
        <f t="shared" si="11"/>
        <v>#REF!</v>
      </c>
      <c r="AS45" s="36" t="e">
        <f t="shared" si="11"/>
        <v>#REF!</v>
      </c>
      <c r="AT45" s="36" t="e">
        <f t="shared" si="11"/>
        <v>#REF!</v>
      </c>
      <c r="AU45" s="36" t="e">
        <f t="shared" si="11"/>
        <v>#REF!</v>
      </c>
      <c r="AV45" s="36" t="e">
        <f t="shared" si="11"/>
        <v>#REF!</v>
      </c>
      <c r="AW45" s="36" t="e">
        <f t="shared" si="11"/>
        <v>#REF!</v>
      </c>
      <c r="AX45" s="36" t="e">
        <f t="shared" si="11"/>
        <v>#REF!</v>
      </c>
      <c r="AY45" s="36" t="e">
        <f t="shared" si="11"/>
        <v>#REF!</v>
      </c>
      <c r="AZ45" s="36" t="e">
        <f t="shared" si="11"/>
        <v>#REF!</v>
      </c>
      <c r="BA45" s="36" t="e">
        <f t="shared" si="11"/>
        <v>#REF!</v>
      </c>
    </row>
    <row r="46" spans="1:53" hidden="1">
      <c r="AA46" s="64"/>
      <c r="AB46" s="65" t="s">
        <v>39</v>
      </c>
      <c r="AC46" s="65">
        <v>14.570489999999999</v>
      </c>
      <c r="AD46" s="65"/>
      <c r="AE46" s="65"/>
      <c r="AF46" s="36" t="e">
        <f t="shared" si="10"/>
        <v>#REF!</v>
      </c>
      <c r="AG46" s="36" t="e">
        <f t="shared" si="10"/>
        <v>#REF!</v>
      </c>
      <c r="AH46" s="36" t="e">
        <f t="shared" si="10"/>
        <v>#REF!</v>
      </c>
      <c r="AI46" s="36" t="e">
        <f t="shared" si="10"/>
        <v>#REF!</v>
      </c>
      <c r="AJ46" s="36" t="e">
        <f t="shared" si="10"/>
        <v>#REF!</v>
      </c>
      <c r="AK46" s="36" t="e">
        <f t="shared" si="10"/>
        <v>#REF!</v>
      </c>
      <c r="AL46" s="36" t="e">
        <f t="shared" si="10"/>
        <v>#REF!</v>
      </c>
      <c r="AM46" s="36" t="e">
        <f t="shared" si="10"/>
        <v>#REF!</v>
      </c>
      <c r="AN46" s="36" t="e">
        <f t="shared" si="10"/>
        <v>#REF!</v>
      </c>
      <c r="AO46" s="36" t="e">
        <f t="shared" si="10"/>
        <v>#REF!</v>
      </c>
      <c r="AQ46" s="38"/>
      <c r="AR46" s="36" t="e">
        <f t="shared" si="11"/>
        <v>#REF!</v>
      </c>
      <c r="AS46" s="36" t="e">
        <f t="shared" si="11"/>
        <v>#REF!</v>
      </c>
      <c r="AT46" s="36" t="e">
        <f t="shared" si="11"/>
        <v>#REF!</v>
      </c>
      <c r="AU46" s="36" t="e">
        <f t="shared" si="11"/>
        <v>#REF!</v>
      </c>
      <c r="AV46" s="36" t="e">
        <f t="shared" si="11"/>
        <v>#REF!</v>
      </c>
      <c r="AW46" s="36" t="e">
        <f t="shared" si="11"/>
        <v>#REF!</v>
      </c>
      <c r="AX46" s="36" t="e">
        <f t="shared" si="11"/>
        <v>#REF!</v>
      </c>
      <c r="AY46" s="36" t="e">
        <f t="shared" si="11"/>
        <v>#REF!</v>
      </c>
      <c r="AZ46" s="36" t="e">
        <f t="shared" si="11"/>
        <v>#REF!</v>
      </c>
      <c r="BA46" s="36" t="e">
        <f t="shared" si="11"/>
        <v>#REF!</v>
      </c>
    </row>
    <row r="47" spans="1:53" hidden="1">
      <c r="AA47" s="64"/>
      <c r="AB47" s="65" t="s">
        <v>40</v>
      </c>
      <c r="AC47" s="65">
        <v>14.14584</v>
      </c>
      <c r="AD47" s="65"/>
      <c r="AE47" s="65"/>
      <c r="AF47" s="36" t="e">
        <f t="shared" si="10"/>
        <v>#REF!</v>
      </c>
      <c r="AG47" s="36" t="e">
        <f t="shared" si="10"/>
        <v>#REF!</v>
      </c>
      <c r="AH47" s="36" t="e">
        <f t="shared" si="10"/>
        <v>#REF!</v>
      </c>
      <c r="AI47" s="36" t="e">
        <f t="shared" si="10"/>
        <v>#REF!</v>
      </c>
      <c r="AJ47" s="36" t="e">
        <f t="shared" si="10"/>
        <v>#REF!</v>
      </c>
      <c r="AK47" s="36" t="e">
        <f t="shared" si="10"/>
        <v>#REF!</v>
      </c>
      <c r="AL47" s="36" t="e">
        <f t="shared" si="10"/>
        <v>#REF!</v>
      </c>
      <c r="AM47" s="36" t="e">
        <f t="shared" si="10"/>
        <v>#REF!</v>
      </c>
      <c r="AN47" s="36" t="e">
        <f t="shared" si="10"/>
        <v>#REF!</v>
      </c>
      <c r="AO47" s="36" t="e">
        <f t="shared" si="10"/>
        <v>#REF!</v>
      </c>
      <c r="AQ47" s="38"/>
      <c r="AR47" s="36" t="e">
        <f t="shared" si="11"/>
        <v>#REF!</v>
      </c>
      <c r="AS47" s="36" t="e">
        <f t="shared" si="11"/>
        <v>#REF!</v>
      </c>
      <c r="AT47" s="36" t="e">
        <f t="shared" si="11"/>
        <v>#REF!</v>
      </c>
      <c r="AU47" s="36" t="e">
        <f t="shared" si="11"/>
        <v>#REF!</v>
      </c>
      <c r="AV47" s="36" t="e">
        <f t="shared" si="11"/>
        <v>#REF!</v>
      </c>
      <c r="AW47" s="36" t="e">
        <f t="shared" si="11"/>
        <v>#REF!</v>
      </c>
      <c r="AX47" s="36" t="e">
        <f t="shared" si="11"/>
        <v>#REF!</v>
      </c>
      <c r="AY47" s="36" t="e">
        <f t="shared" si="11"/>
        <v>#REF!</v>
      </c>
      <c r="AZ47" s="36" t="e">
        <f t="shared" si="11"/>
        <v>#REF!</v>
      </c>
      <c r="BA47" s="36" t="e">
        <f t="shared" si="11"/>
        <v>#REF!</v>
      </c>
    </row>
    <row r="48" spans="1:53" hidden="1">
      <c r="AQ48" s="38"/>
    </row>
    <row r="49" spans="27:53" hidden="1">
      <c r="AQ49" s="38"/>
    </row>
    <row r="50" spans="27:53" ht="63.75" hidden="1">
      <c r="AA50" s="66" t="s">
        <v>43</v>
      </c>
      <c r="AB50" s="67"/>
      <c r="AC50" s="68"/>
      <c r="AD50" s="68"/>
      <c r="AE50" s="68"/>
      <c r="AF50" s="61" t="s">
        <v>55</v>
      </c>
      <c r="AG50" s="61" t="s">
        <v>73</v>
      </c>
      <c r="AH50" s="61" t="s">
        <v>57</v>
      </c>
      <c r="AI50" s="61" t="s">
        <v>58</v>
      </c>
      <c r="AJ50" s="61" t="s">
        <v>59</v>
      </c>
      <c r="AK50" s="61" t="s">
        <v>60</v>
      </c>
      <c r="AL50" s="62" t="s">
        <v>75</v>
      </c>
      <c r="AM50" s="62" t="s">
        <v>76</v>
      </c>
      <c r="AN50" s="62" t="s">
        <v>61</v>
      </c>
      <c r="AO50" s="62" t="s">
        <v>62</v>
      </c>
      <c r="AP50" s="62"/>
      <c r="AQ50" s="43"/>
      <c r="AR50" s="61" t="s">
        <v>55</v>
      </c>
      <c r="AS50" s="61" t="s">
        <v>73</v>
      </c>
      <c r="AT50" s="61" t="s">
        <v>74</v>
      </c>
      <c r="AU50" s="61" t="s">
        <v>58</v>
      </c>
      <c r="AV50" s="61" t="s">
        <v>59</v>
      </c>
      <c r="AW50" s="61" t="s">
        <v>60</v>
      </c>
      <c r="AX50" s="62" t="s">
        <v>75</v>
      </c>
      <c r="AY50" s="62" t="s">
        <v>76</v>
      </c>
      <c r="AZ50" s="63" t="s">
        <v>61</v>
      </c>
      <c r="BA50" s="61" t="s">
        <v>62</v>
      </c>
    </row>
    <row r="51" spans="27:53" hidden="1">
      <c r="AA51" s="69" t="s">
        <v>44</v>
      </c>
      <c r="AB51" s="35"/>
      <c r="AG51" s="70"/>
      <c r="AQ51" s="38"/>
    </row>
    <row r="52" spans="27:53" hidden="1">
      <c r="AA52" s="71" t="s">
        <v>29</v>
      </c>
      <c r="AB52" s="35"/>
      <c r="AF52" s="70" t="e">
        <f t="shared" ref="AF52:AO52" si="12">AF17+AF19+AF20</f>
        <v>#REF!</v>
      </c>
      <c r="AG52" s="70" t="e">
        <f t="shared" si="12"/>
        <v>#REF!</v>
      </c>
      <c r="AH52" s="70" t="e">
        <f t="shared" si="12"/>
        <v>#REF!</v>
      </c>
      <c r="AI52" s="70" t="e">
        <f t="shared" si="12"/>
        <v>#REF!</v>
      </c>
      <c r="AJ52" s="70" t="e">
        <f t="shared" si="12"/>
        <v>#REF!</v>
      </c>
      <c r="AK52" s="70" t="e">
        <f t="shared" si="12"/>
        <v>#REF!</v>
      </c>
      <c r="AL52" s="70" t="e">
        <f t="shared" si="12"/>
        <v>#REF!</v>
      </c>
      <c r="AM52" s="70" t="e">
        <f t="shared" si="12"/>
        <v>#REF!</v>
      </c>
      <c r="AN52" s="70" t="e">
        <f t="shared" si="12"/>
        <v>#REF!</v>
      </c>
      <c r="AO52" s="70" t="e">
        <f t="shared" si="12"/>
        <v>#REF!</v>
      </c>
      <c r="AP52" s="70"/>
      <c r="AQ52" s="70"/>
      <c r="AR52" s="70" t="e">
        <f t="shared" ref="AR52:BA52" si="13">AR17+AR19+AR20</f>
        <v>#REF!</v>
      </c>
      <c r="AS52" s="70" t="e">
        <f t="shared" si="13"/>
        <v>#REF!</v>
      </c>
      <c r="AT52" s="70" t="e">
        <f t="shared" si="13"/>
        <v>#REF!</v>
      </c>
      <c r="AU52" s="70" t="e">
        <f t="shared" si="13"/>
        <v>#REF!</v>
      </c>
      <c r="AV52" s="70" t="e">
        <f t="shared" si="13"/>
        <v>#REF!</v>
      </c>
      <c r="AW52" s="70" t="e">
        <f t="shared" si="13"/>
        <v>#REF!</v>
      </c>
      <c r="AX52" s="70" t="e">
        <f t="shared" si="13"/>
        <v>#REF!</v>
      </c>
      <c r="AY52" s="70" t="e">
        <f t="shared" si="13"/>
        <v>#REF!</v>
      </c>
      <c r="AZ52" s="70" t="e">
        <f t="shared" si="13"/>
        <v>#REF!</v>
      </c>
      <c r="BA52" s="70" t="e">
        <f t="shared" si="13"/>
        <v>#REF!</v>
      </c>
    </row>
    <row r="53" spans="27:53" hidden="1">
      <c r="AA53" s="71" t="s">
        <v>41</v>
      </c>
      <c r="AB53" s="35"/>
      <c r="AF53" s="70" t="e">
        <f t="shared" ref="AF53:AO53" si="14">AF28+AF30+AF31</f>
        <v>#REF!</v>
      </c>
      <c r="AG53" s="70" t="e">
        <f t="shared" si="14"/>
        <v>#REF!</v>
      </c>
      <c r="AH53" s="70" t="e">
        <f t="shared" si="14"/>
        <v>#REF!</v>
      </c>
      <c r="AI53" s="70" t="e">
        <f t="shared" si="14"/>
        <v>#REF!</v>
      </c>
      <c r="AJ53" s="70" t="e">
        <f t="shared" si="14"/>
        <v>#REF!</v>
      </c>
      <c r="AK53" s="70" t="e">
        <f t="shared" si="14"/>
        <v>#REF!</v>
      </c>
      <c r="AL53" s="70" t="e">
        <f t="shared" si="14"/>
        <v>#REF!</v>
      </c>
      <c r="AM53" s="70" t="e">
        <f t="shared" si="14"/>
        <v>#REF!</v>
      </c>
      <c r="AN53" s="70" t="e">
        <f t="shared" si="14"/>
        <v>#REF!</v>
      </c>
      <c r="AO53" s="70" t="e">
        <f t="shared" si="14"/>
        <v>#REF!</v>
      </c>
      <c r="AP53" s="70"/>
      <c r="AQ53" s="70"/>
      <c r="AR53" s="70" t="e">
        <f t="shared" ref="AR53:BA53" si="15">AR28+AR30+AR31</f>
        <v>#REF!</v>
      </c>
      <c r="AS53" s="70" t="e">
        <f t="shared" si="15"/>
        <v>#REF!</v>
      </c>
      <c r="AT53" s="70" t="e">
        <f t="shared" si="15"/>
        <v>#REF!</v>
      </c>
      <c r="AU53" s="70" t="e">
        <f t="shared" si="15"/>
        <v>#REF!</v>
      </c>
      <c r="AV53" s="70" t="e">
        <f t="shared" si="15"/>
        <v>#REF!</v>
      </c>
      <c r="AW53" s="70" t="e">
        <f t="shared" si="15"/>
        <v>#REF!</v>
      </c>
      <c r="AX53" s="70" t="e">
        <f t="shared" si="15"/>
        <v>#REF!</v>
      </c>
      <c r="AY53" s="70" t="e">
        <f t="shared" si="15"/>
        <v>#REF!</v>
      </c>
      <c r="AZ53" s="70" t="e">
        <f t="shared" si="15"/>
        <v>#REF!</v>
      </c>
      <c r="BA53" s="70" t="e">
        <f t="shared" si="15"/>
        <v>#REF!</v>
      </c>
    </row>
    <row r="54" spans="27:53" hidden="1">
      <c r="AA54" s="71" t="s">
        <v>42</v>
      </c>
      <c r="AB54" s="35"/>
      <c r="AF54" s="70" t="e">
        <f t="shared" ref="AF54:AO54" si="16">AF39+AF41+AF42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AR39+AR41+AR42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69" t="s">
        <v>45</v>
      </c>
      <c r="AB55" s="35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</row>
    <row r="56" spans="27:53" hidden="1">
      <c r="AA56" s="71" t="s">
        <v>29</v>
      </c>
      <c r="AB56" s="35"/>
      <c r="AF56" s="70" t="e">
        <f t="shared" ref="AF56:AO56" si="18">AF17+AF19+AF21+AF23</f>
        <v>#REF!</v>
      </c>
      <c r="AG56" s="70" t="e">
        <f t="shared" si="18"/>
        <v>#REF!</v>
      </c>
      <c r="AH56" s="70" t="e">
        <f t="shared" si="18"/>
        <v>#REF!</v>
      </c>
      <c r="AI56" s="70" t="e">
        <f t="shared" si="18"/>
        <v>#REF!</v>
      </c>
      <c r="AJ56" s="70" t="e">
        <f t="shared" si="18"/>
        <v>#REF!</v>
      </c>
      <c r="AK56" s="70" t="e">
        <f t="shared" si="18"/>
        <v>#REF!</v>
      </c>
      <c r="AL56" s="70" t="e">
        <f t="shared" si="18"/>
        <v>#REF!</v>
      </c>
      <c r="AM56" s="70" t="e">
        <f t="shared" si="18"/>
        <v>#REF!</v>
      </c>
      <c r="AN56" s="70" t="e">
        <f t="shared" si="18"/>
        <v>#REF!</v>
      </c>
      <c r="AO56" s="70" t="e">
        <f t="shared" si="18"/>
        <v>#REF!</v>
      </c>
      <c r="AP56" s="70"/>
      <c r="AQ56" s="70"/>
      <c r="AR56" s="70" t="e">
        <f t="shared" ref="AR56:BA56" si="19">AR17+AR19+AR21+AR23</f>
        <v>#REF!</v>
      </c>
      <c r="AS56" s="70" t="e">
        <f t="shared" si="19"/>
        <v>#REF!</v>
      </c>
      <c r="AT56" s="70" t="e">
        <f t="shared" si="19"/>
        <v>#REF!</v>
      </c>
      <c r="AU56" s="70" t="e">
        <f t="shared" si="19"/>
        <v>#REF!</v>
      </c>
      <c r="AV56" s="70" t="e">
        <f t="shared" si="19"/>
        <v>#REF!</v>
      </c>
      <c r="AW56" s="70" t="e">
        <f t="shared" si="19"/>
        <v>#REF!</v>
      </c>
      <c r="AX56" s="70" t="e">
        <f t="shared" si="19"/>
        <v>#REF!</v>
      </c>
      <c r="AY56" s="70" t="e">
        <f t="shared" si="19"/>
        <v>#REF!</v>
      </c>
      <c r="AZ56" s="70" t="e">
        <f t="shared" si="19"/>
        <v>#REF!</v>
      </c>
      <c r="BA56" s="70" t="e">
        <f t="shared" si="19"/>
        <v>#REF!</v>
      </c>
    </row>
    <row r="57" spans="27:53" hidden="1">
      <c r="AA57" s="71" t="s">
        <v>41</v>
      </c>
      <c r="AB57" s="35"/>
      <c r="AF57" s="70" t="e">
        <f t="shared" ref="AF57:AO57" si="20">AF28+AF30+AF32+AF34</f>
        <v>#REF!</v>
      </c>
      <c r="AG57" s="70" t="e">
        <f t="shared" si="20"/>
        <v>#REF!</v>
      </c>
      <c r="AH57" s="70" t="e">
        <f t="shared" si="20"/>
        <v>#REF!</v>
      </c>
      <c r="AI57" s="70" t="e">
        <f t="shared" si="20"/>
        <v>#REF!</v>
      </c>
      <c r="AJ57" s="70" t="e">
        <f t="shared" si="20"/>
        <v>#REF!</v>
      </c>
      <c r="AK57" s="70" t="e">
        <f t="shared" si="20"/>
        <v>#REF!</v>
      </c>
      <c r="AL57" s="70" t="e">
        <f t="shared" si="20"/>
        <v>#REF!</v>
      </c>
      <c r="AM57" s="70" t="e">
        <f t="shared" si="20"/>
        <v>#REF!</v>
      </c>
      <c r="AN57" s="70" t="e">
        <f t="shared" si="20"/>
        <v>#REF!</v>
      </c>
      <c r="AO57" s="70" t="e">
        <f t="shared" si="20"/>
        <v>#REF!</v>
      </c>
      <c r="AP57" s="70"/>
      <c r="AQ57" s="70"/>
      <c r="AR57" s="70" t="e">
        <f t="shared" ref="AR57:BA57" si="21">AR28+AR30+AR32+AR34</f>
        <v>#REF!</v>
      </c>
      <c r="AS57" s="70" t="e">
        <f t="shared" si="21"/>
        <v>#REF!</v>
      </c>
      <c r="AT57" s="70" t="e">
        <f t="shared" si="21"/>
        <v>#REF!</v>
      </c>
      <c r="AU57" s="70" t="e">
        <f t="shared" si="21"/>
        <v>#REF!</v>
      </c>
      <c r="AV57" s="70" t="e">
        <f t="shared" si="21"/>
        <v>#REF!</v>
      </c>
      <c r="AW57" s="70" t="e">
        <f t="shared" si="21"/>
        <v>#REF!</v>
      </c>
      <c r="AX57" s="70" t="e">
        <f t="shared" si="21"/>
        <v>#REF!</v>
      </c>
      <c r="AY57" s="70" t="e">
        <f t="shared" si="21"/>
        <v>#REF!</v>
      </c>
      <c r="AZ57" s="70" t="e">
        <f t="shared" si="21"/>
        <v>#REF!</v>
      </c>
      <c r="BA57" s="70" t="e">
        <f t="shared" si="21"/>
        <v>#REF!</v>
      </c>
    </row>
    <row r="58" spans="27:53" hidden="1">
      <c r="AA58" s="71" t="s">
        <v>42</v>
      </c>
      <c r="AB58" s="35"/>
      <c r="AF58" s="70" t="e">
        <f t="shared" ref="AF58:AO58" si="22">AF39+AF41+AF43+AF45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AR39+AR41+AR43+AR45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69" t="s">
        <v>46</v>
      </c>
      <c r="AB59" s="35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</row>
    <row r="60" spans="27:53" hidden="1">
      <c r="AA60" s="71" t="s">
        <v>29</v>
      </c>
      <c r="AB60" s="35"/>
      <c r="AF60" s="70" t="e">
        <f t="shared" ref="AF60:AO60" si="24">AF17+AF19+AF21+AF22+AF24</f>
        <v>#REF!</v>
      </c>
      <c r="AG60" s="70" t="e">
        <f t="shared" si="24"/>
        <v>#REF!</v>
      </c>
      <c r="AH60" s="70" t="e">
        <f t="shared" si="24"/>
        <v>#REF!</v>
      </c>
      <c r="AI60" s="70" t="e">
        <f t="shared" si="24"/>
        <v>#REF!</v>
      </c>
      <c r="AJ60" s="70" t="e">
        <f t="shared" si="24"/>
        <v>#REF!</v>
      </c>
      <c r="AK60" s="70" t="e">
        <f t="shared" si="24"/>
        <v>#REF!</v>
      </c>
      <c r="AL60" s="70" t="e">
        <f t="shared" si="24"/>
        <v>#REF!</v>
      </c>
      <c r="AM60" s="70" t="e">
        <f t="shared" si="24"/>
        <v>#REF!</v>
      </c>
      <c r="AN60" s="70" t="e">
        <f t="shared" si="24"/>
        <v>#REF!</v>
      </c>
      <c r="AO60" s="70" t="e">
        <f t="shared" si="24"/>
        <v>#REF!</v>
      </c>
      <c r="AP60" s="70"/>
      <c r="AQ60" s="70"/>
      <c r="AR60" s="70" t="e">
        <f t="shared" ref="AR60:BA60" si="25">AR17+AR19+AR21+AR22+AR24</f>
        <v>#REF!</v>
      </c>
      <c r="AS60" s="70" t="e">
        <f t="shared" si="25"/>
        <v>#REF!</v>
      </c>
      <c r="AT60" s="70" t="e">
        <f t="shared" si="25"/>
        <v>#REF!</v>
      </c>
      <c r="AU60" s="70" t="e">
        <f t="shared" si="25"/>
        <v>#REF!</v>
      </c>
      <c r="AV60" s="70" t="e">
        <f t="shared" si="25"/>
        <v>#REF!</v>
      </c>
      <c r="AW60" s="70" t="e">
        <f t="shared" si="25"/>
        <v>#REF!</v>
      </c>
      <c r="AX60" s="70" t="e">
        <f t="shared" si="25"/>
        <v>#REF!</v>
      </c>
      <c r="AY60" s="70" t="e">
        <f t="shared" si="25"/>
        <v>#REF!</v>
      </c>
      <c r="AZ60" s="70" t="e">
        <f t="shared" si="25"/>
        <v>#REF!</v>
      </c>
      <c r="BA60" s="70" t="e">
        <f t="shared" si="25"/>
        <v>#REF!</v>
      </c>
    </row>
    <row r="61" spans="27:53" hidden="1">
      <c r="AA61" s="71" t="s">
        <v>41</v>
      </c>
      <c r="AB61" s="35"/>
      <c r="AF61" s="70" t="e">
        <f t="shared" ref="AF61:AO61" si="26">AF28+AF30+AF32+AF33+AF35</f>
        <v>#REF!</v>
      </c>
      <c r="AG61" s="70" t="e">
        <f t="shared" si="26"/>
        <v>#REF!</v>
      </c>
      <c r="AH61" s="70" t="e">
        <f t="shared" si="26"/>
        <v>#REF!</v>
      </c>
      <c r="AI61" s="70" t="e">
        <f t="shared" si="26"/>
        <v>#REF!</v>
      </c>
      <c r="AJ61" s="70" t="e">
        <f t="shared" si="26"/>
        <v>#REF!</v>
      </c>
      <c r="AK61" s="70" t="e">
        <f t="shared" si="26"/>
        <v>#REF!</v>
      </c>
      <c r="AL61" s="70" t="e">
        <f t="shared" si="26"/>
        <v>#REF!</v>
      </c>
      <c r="AM61" s="70" t="e">
        <f t="shared" si="26"/>
        <v>#REF!</v>
      </c>
      <c r="AN61" s="70" t="e">
        <f t="shared" si="26"/>
        <v>#REF!</v>
      </c>
      <c r="AO61" s="70" t="e">
        <f t="shared" si="26"/>
        <v>#REF!</v>
      </c>
      <c r="AP61" s="70"/>
      <c r="AQ61" s="70"/>
      <c r="AR61" s="70" t="e">
        <f t="shared" ref="AR61:BA61" si="27">AR28+AR30+AR32+AR33+AR35</f>
        <v>#REF!</v>
      </c>
      <c r="AS61" s="70" t="e">
        <f t="shared" si="27"/>
        <v>#REF!</v>
      </c>
      <c r="AT61" s="70" t="e">
        <f t="shared" si="27"/>
        <v>#REF!</v>
      </c>
      <c r="AU61" s="70" t="e">
        <f t="shared" si="27"/>
        <v>#REF!</v>
      </c>
      <c r="AV61" s="70" t="e">
        <f t="shared" si="27"/>
        <v>#REF!</v>
      </c>
      <c r="AW61" s="70" t="e">
        <f t="shared" si="27"/>
        <v>#REF!</v>
      </c>
      <c r="AX61" s="70" t="e">
        <f t="shared" si="27"/>
        <v>#REF!</v>
      </c>
      <c r="AY61" s="70" t="e">
        <f t="shared" si="27"/>
        <v>#REF!</v>
      </c>
      <c r="AZ61" s="70" t="e">
        <f t="shared" si="27"/>
        <v>#REF!</v>
      </c>
      <c r="BA61" s="70" t="e">
        <f t="shared" si="27"/>
        <v>#REF!</v>
      </c>
    </row>
    <row r="62" spans="27:53" hidden="1">
      <c r="AA62" s="71" t="s">
        <v>42</v>
      </c>
      <c r="AB62" s="35"/>
      <c r="AF62" s="70" t="e">
        <f t="shared" ref="AF62:AO62" si="28">AF39+AF41+AF43+AF44+AF46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AR39+AR41+AR43+AR44+AR46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69" t="s">
        <v>47</v>
      </c>
      <c r="AB63" s="35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</row>
    <row r="64" spans="27:53" hidden="1">
      <c r="AA64" s="71" t="s">
        <v>29</v>
      </c>
      <c r="AB64" s="35"/>
      <c r="AF64" s="70" t="e">
        <f t="shared" ref="AF64:AO64" si="30">AF17+AF19+AF21+AF22+AF25</f>
        <v>#REF!</v>
      </c>
      <c r="AG64" s="70" t="e">
        <f t="shared" si="30"/>
        <v>#REF!</v>
      </c>
      <c r="AH64" s="70" t="e">
        <f t="shared" si="30"/>
        <v>#REF!</v>
      </c>
      <c r="AI64" s="70" t="e">
        <f t="shared" si="30"/>
        <v>#REF!</v>
      </c>
      <c r="AJ64" s="70" t="e">
        <f t="shared" si="30"/>
        <v>#REF!</v>
      </c>
      <c r="AK64" s="70" t="e">
        <f t="shared" si="30"/>
        <v>#REF!</v>
      </c>
      <c r="AL64" s="70" t="e">
        <f t="shared" si="30"/>
        <v>#REF!</v>
      </c>
      <c r="AM64" s="70" t="e">
        <f t="shared" si="30"/>
        <v>#REF!</v>
      </c>
      <c r="AN64" s="70" t="e">
        <f t="shared" si="30"/>
        <v>#REF!</v>
      </c>
      <c r="AO64" s="70" t="e">
        <f t="shared" si="30"/>
        <v>#REF!</v>
      </c>
      <c r="AP64" s="70"/>
      <c r="AQ64" s="70"/>
      <c r="AR64" s="70" t="e">
        <f t="shared" ref="AR64:BA64" si="31">AR17+AR19+AR21+AR22+AR25</f>
        <v>#REF!</v>
      </c>
      <c r="AS64" s="70" t="e">
        <f t="shared" si="31"/>
        <v>#REF!</v>
      </c>
      <c r="AT64" s="70" t="e">
        <f t="shared" si="31"/>
        <v>#REF!</v>
      </c>
      <c r="AU64" s="70" t="e">
        <f t="shared" si="31"/>
        <v>#REF!</v>
      </c>
      <c r="AV64" s="70" t="e">
        <f t="shared" si="31"/>
        <v>#REF!</v>
      </c>
      <c r="AW64" s="70" t="e">
        <f t="shared" si="31"/>
        <v>#REF!</v>
      </c>
      <c r="AX64" s="70" t="e">
        <f t="shared" si="31"/>
        <v>#REF!</v>
      </c>
      <c r="AY64" s="70" t="e">
        <f t="shared" si="31"/>
        <v>#REF!</v>
      </c>
      <c r="AZ64" s="70" t="e">
        <f t="shared" si="31"/>
        <v>#REF!</v>
      </c>
      <c r="BA64" s="70" t="e">
        <f t="shared" si="31"/>
        <v>#REF!</v>
      </c>
    </row>
    <row r="65" spans="27:53" hidden="1">
      <c r="AA65" s="71" t="s">
        <v>41</v>
      </c>
      <c r="AB65" s="35"/>
      <c r="AF65" s="70" t="e">
        <f t="shared" ref="AF65:AO65" si="32">AF28+AF30+AF32+AF33+AF36</f>
        <v>#REF!</v>
      </c>
      <c r="AG65" s="70" t="e">
        <f t="shared" si="32"/>
        <v>#REF!</v>
      </c>
      <c r="AH65" s="70" t="e">
        <f t="shared" si="32"/>
        <v>#REF!</v>
      </c>
      <c r="AI65" s="70" t="e">
        <f t="shared" si="32"/>
        <v>#REF!</v>
      </c>
      <c r="AJ65" s="70" t="e">
        <f t="shared" si="32"/>
        <v>#REF!</v>
      </c>
      <c r="AK65" s="70" t="e">
        <f t="shared" si="32"/>
        <v>#REF!</v>
      </c>
      <c r="AL65" s="70" t="e">
        <f t="shared" si="32"/>
        <v>#REF!</v>
      </c>
      <c r="AM65" s="70" t="e">
        <f t="shared" si="32"/>
        <v>#REF!</v>
      </c>
      <c r="AN65" s="70" t="e">
        <f t="shared" si="32"/>
        <v>#REF!</v>
      </c>
      <c r="AO65" s="70" t="e">
        <f t="shared" si="32"/>
        <v>#REF!</v>
      </c>
      <c r="AP65" s="70"/>
      <c r="AQ65" s="70"/>
      <c r="AR65" s="70" t="e">
        <f t="shared" ref="AR65:BA65" si="33">AR28+AR30+AR32+AR33+AR36</f>
        <v>#REF!</v>
      </c>
      <c r="AS65" s="70" t="e">
        <f t="shared" si="33"/>
        <v>#REF!</v>
      </c>
      <c r="AT65" s="70" t="e">
        <f t="shared" si="33"/>
        <v>#REF!</v>
      </c>
      <c r="AU65" s="70" t="e">
        <f t="shared" si="33"/>
        <v>#REF!</v>
      </c>
      <c r="AV65" s="70" t="e">
        <f t="shared" si="33"/>
        <v>#REF!</v>
      </c>
      <c r="AW65" s="70" t="e">
        <f t="shared" si="33"/>
        <v>#REF!</v>
      </c>
      <c r="AX65" s="70" t="e">
        <f t="shared" si="33"/>
        <v>#REF!</v>
      </c>
      <c r="AY65" s="70" t="e">
        <f t="shared" si="33"/>
        <v>#REF!</v>
      </c>
      <c r="AZ65" s="70" t="e">
        <f t="shared" si="33"/>
        <v>#REF!</v>
      </c>
      <c r="BA65" s="70" t="e">
        <f t="shared" si="33"/>
        <v>#REF!</v>
      </c>
    </row>
    <row r="66" spans="27:53" hidden="1">
      <c r="AA66" s="71" t="s">
        <v>42</v>
      </c>
      <c r="AB66" s="35"/>
      <c r="AF66" s="70" t="e">
        <f t="shared" ref="AF66:AO66" si="34">AF39+AF41+AF43+AF44+AF47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AR39+AR41+AR43+AR44+AR47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69" t="s">
        <v>48</v>
      </c>
      <c r="AB67" s="35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</row>
    <row r="68" spans="27:53" hidden="1">
      <c r="AA68" s="71" t="s">
        <v>29</v>
      </c>
      <c r="AB68" s="35"/>
      <c r="AF68" s="70" t="e">
        <f t="shared" ref="AF68:AO68" si="36">AF17+AF18+AF23</f>
        <v>#REF!</v>
      </c>
      <c r="AG68" s="70" t="e">
        <f t="shared" si="36"/>
        <v>#REF!</v>
      </c>
      <c r="AH68" s="70" t="e">
        <f t="shared" si="36"/>
        <v>#REF!</v>
      </c>
      <c r="AI68" s="70" t="e">
        <f t="shared" si="36"/>
        <v>#REF!</v>
      </c>
      <c r="AJ68" s="70" t="e">
        <f t="shared" si="36"/>
        <v>#REF!</v>
      </c>
      <c r="AK68" s="70" t="e">
        <f t="shared" si="36"/>
        <v>#REF!</v>
      </c>
      <c r="AL68" s="70" t="e">
        <f t="shared" si="36"/>
        <v>#REF!</v>
      </c>
      <c r="AM68" s="70" t="e">
        <f t="shared" si="36"/>
        <v>#REF!</v>
      </c>
      <c r="AN68" s="70" t="e">
        <f t="shared" si="36"/>
        <v>#REF!</v>
      </c>
      <c r="AO68" s="70" t="e">
        <f t="shared" si="36"/>
        <v>#REF!</v>
      </c>
      <c r="AP68" s="70"/>
      <c r="AQ68" s="70"/>
      <c r="AR68" s="70" t="e">
        <f t="shared" ref="AR68:BA68" si="37">AR17+AR18+AR23</f>
        <v>#REF!</v>
      </c>
      <c r="AS68" s="70" t="e">
        <f t="shared" si="37"/>
        <v>#REF!</v>
      </c>
      <c r="AT68" s="70" t="e">
        <f t="shared" si="37"/>
        <v>#REF!</v>
      </c>
      <c r="AU68" s="70" t="e">
        <f t="shared" si="37"/>
        <v>#REF!</v>
      </c>
      <c r="AV68" s="70" t="e">
        <f t="shared" si="37"/>
        <v>#REF!</v>
      </c>
      <c r="AW68" s="70" t="e">
        <f t="shared" si="37"/>
        <v>#REF!</v>
      </c>
      <c r="AX68" s="70" t="e">
        <f t="shared" si="37"/>
        <v>#REF!</v>
      </c>
      <c r="AY68" s="70" t="e">
        <f t="shared" si="37"/>
        <v>#REF!</v>
      </c>
      <c r="AZ68" s="70" t="e">
        <f t="shared" si="37"/>
        <v>#REF!</v>
      </c>
      <c r="BA68" s="70" t="e">
        <f t="shared" si="37"/>
        <v>#REF!</v>
      </c>
    </row>
    <row r="69" spans="27:53" hidden="1">
      <c r="AA69" s="71" t="s">
        <v>41</v>
      </c>
      <c r="AB69" s="35"/>
      <c r="AF69" s="70" t="e">
        <f t="shared" ref="AF69:AO69" si="38">AF28+AF29+AF34</f>
        <v>#REF!</v>
      </c>
      <c r="AG69" s="70" t="e">
        <f t="shared" si="38"/>
        <v>#REF!</v>
      </c>
      <c r="AH69" s="70" t="e">
        <f t="shared" si="38"/>
        <v>#REF!</v>
      </c>
      <c r="AI69" s="70" t="e">
        <f t="shared" si="38"/>
        <v>#REF!</v>
      </c>
      <c r="AJ69" s="70" t="e">
        <f t="shared" si="38"/>
        <v>#REF!</v>
      </c>
      <c r="AK69" s="70" t="e">
        <f t="shared" si="38"/>
        <v>#REF!</v>
      </c>
      <c r="AL69" s="70" t="e">
        <f t="shared" si="38"/>
        <v>#REF!</v>
      </c>
      <c r="AM69" s="70" t="e">
        <f t="shared" si="38"/>
        <v>#REF!</v>
      </c>
      <c r="AN69" s="70" t="e">
        <f t="shared" si="38"/>
        <v>#REF!</v>
      </c>
      <c r="AO69" s="70" t="e">
        <f t="shared" si="38"/>
        <v>#REF!</v>
      </c>
      <c r="AP69" s="70"/>
      <c r="AQ69" s="70"/>
      <c r="AR69" s="70" t="e">
        <f t="shared" ref="AR69:BA69" si="39">AR28+AR29+AR34</f>
        <v>#REF!</v>
      </c>
      <c r="AS69" s="70" t="e">
        <f t="shared" si="39"/>
        <v>#REF!</v>
      </c>
      <c r="AT69" s="70" t="e">
        <f t="shared" si="39"/>
        <v>#REF!</v>
      </c>
      <c r="AU69" s="70" t="e">
        <f t="shared" si="39"/>
        <v>#REF!</v>
      </c>
      <c r="AV69" s="70" t="e">
        <f t="shared" si="39"/>
        <v>#REF!</v>
      </c>
      <c r="AW69" s="70" t="e">
        <f t="shared" si="39"/>
        <v>#REF!</v>
      </c>
      <c r="AX69" s="70" t="e">
        <f t="shared" si="39"/>
        <v>#REF!</v>
      </c>
      <c r="AY69" s="70" t="e">
        <f t="shared" si="39"/>
        <v>#REF!</v>
      </c>
      <c r="AZ69" s="70" t="e">
        <f t="shared" si="39"/>
        <v>#REF!</v>
      </c>
      <c r="BA69" s="70" t="e">
        <f t="shared" si="39"/>
        <v>#REF!</v>
      </c>
    </row>
    <row r="70" spans="27:53" hidden="1">
      <c r="AA70" s="71" t="s">
        <v>42</v>
      </c>
      <c r="AB70" s="35"/>
      <c r="AF70" s="70" t="e">
        <f t="shared" ref="AF70:AO70" si="40">AF39+AF40+AF45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AR39+AR40+AR45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2" t="s">
        <v>49</v>
      </c>
      <c r="AB71" s="35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</row>
    <row r="72" spans="27:53" hidden="1">
      <c r="AA72" s="71" t="s">
        <v>29</v>
      </c>
      <c r="AB72" s="35"/>
      <c r="AF72" s="70" t="e">
        <f t="shared" ref="AF72:AO72" si="42">AF17+AF18+AF22+AF24</f>
        <v>#REF!</v>
      </c>
      <c r="AG72" s="70" t="e">
        <f t="shared" si="42"/>
        <v>#REF!</v>
      </c>
      <c r="AH72" s="70" t="e">
        <f t="shared" si="42"/>
        <v>#REF!</v>
      </c>
      <c r="AI72" s="70" t="e">
        <f t="shared" si="42"/>
        <v>#REF!</v>
      </c>
      <c r="AJ72" s="70" t="e">
        <f t="shared" si="42"/>
        <v>#REF!</v>
      </c>
      <c r="AK72" s="70" t="e">
        <f t="shared" si="42"/>
        <v>#REF!</v>
      </c>
      <c r="AL72" s="70" t="e">
        <f t="shared" si="42"/>
        <v>#REF!</v>
      </c>
      <c r="AM72" s="70" t="e">
        <f t="shared" si="42"/>
        <v>#REF!</v>
      </c>
      <c r="AN72" s="70" t="e">
        <f t="shared" si="42"/>
        <v>#REF!</v>
      </c>
      <c r="AO72" s="70" t="e">
        <f t="shared" si="42"/>
        <v>#REF!</v>
      </c>
      <c r="AP72" s="70"/>
      <c r="AQ72" s="70"/>
      <c r="AR72" s="70" t="e">
        <f t="shared" ref="AR72:BA72" si="43">AR17+AR18+AR22+AR24</f>
        <v>#REF!</v>
      </c>
      <c r="AS72" s="70" t="e">
        <f t="shared" si="43"/>
        <v>#REF!</v>
      </c>
      <c r="AT72" s="70" t="e">
        <f t="shared" si="43"/>
        <v>#REF!</v>
      </c>
      <c r="AU72" s="70" t="e">
        <f t="shared" si="43"/>
        <v>#REF!</v>
      </c>
      <c r="AV72" s="70" t="e">
        <f t="shared" si="43"/>
        <v>#REF!</v>
      </c>
      <c r="AW72" s="70" t="e">
        <f t="shared" si="43"/>
        <v>#REF!</v>
      </c>
      <c r="AX72" s="70" t="e">
        <f t="shared" si="43"/>
        <v>#REF!</v>
      </c>
      <c r="AY72" s="70" t="e">
        <f t="shared" si="43"/>
        <v>#REF!</v>
      </c>
      <c r="AZ72" s="70" t="e">
        <f t="shared" si="43"/>
        <v>#REF!</v>
      </c>
      <c r="BA72" s="70" t="e">
        <f t="shared" si="43"/>
        <v>#REF!</v>
      </c>
    </row>
    <row r="73" spans="27:53" hidden="1">
      <c r="AA73" s="71" t="s">
        <v>41</v>
      </c>
      <c r="AB73" s="35"/>
      <c r="AF73" s="70" t="e">
        <f t="shared" ref="AF73:AO73" si="44">AF28+AF29+AF33+AF35</f>
        <v>#REF!</v>
      </c>
      <c r="AG73" s="70" t="e">
        <f t="shared" si="44"/>
        <v>#REF!</v>
      </c>
      <c r="AH73" s="70" t="e">
        <f t="shared" si="44"/>
        <v>#REF!</v>
      </c>
      <c r="AI73" s="70" t="e">
        <f t="shared" si="44"/>
        <v>#REF!</v>
      </c>
      <c r="AJ73" s="70" t="e">
        <f t="shared" si="44"/>
        <v>#REF!</v>
      </c>
      <c r="AK73" s="70" t="e">
        <f t="shared" si="44"/>
        <v>#REF!</v>
      </c>
      <c r="AL73" s="70" t="e">
        <f t="shared" si="44"/>
        <v>#REF!</v>
      </c>
      <c r="AM73" s="70" t="e">
        <f t="shared" si="44"/>
        <v>#REF!</v>
      </c>
      <c r="AN73" s="70" t="e">
        <f t="shared" si="44"/>
        <v>#REF!</v>
      </c>
      <c r="AO73" s="70" t="e">
        <f t="shared" si="44"/>
        <v>#REF!</v>
      </c>
      <c r="AP73" s="70"/>
      <c r="AQ73" s="70"/>
      <c r="AR73" s="70" t="e">
        <f t="shared" ref="AR73:BA73" si="45">AR28+AR29+AR33+AR35</f>
        <v>#REF!</v>
      </c>
      <c r="AS73" s="70" t="e">
        <f t="shared" si="45"/>
        <v>#REF!</v>
      </c>
      <c r="AT73" s="70" t="e">
        <f t="shared" si="45"/>
        <v>#REF!</v>
      </c>
      <c r="AU73" s="70" t="e">
        <f t="shared" si="45"/>
        <v>#REF!</v>
      </c>
      <c r="AV73" s="70" t="e">
        <f t="shared" si="45"/>
        <v>#REF!</v>
      </c>
      <c r="AW73" s="70" t="e">
        <f t="shared" si="45"/>
        <v>#REF!</v>
      </c>
      <c r="AX73" s="70" t="e">
        <f t="shared" si="45"/>
        <v>#REF!</v>
      </c>
      <c r="AY73" s="70" t="e">
        <f t="shared" si="45"/>
        <v>#REF!</v>
      </c>
      <c r="AZ73" s="70" t="e">
        <f t="shared" si="45"/>
        <v>#REF!</v>
      </c>
      <c r="BA73" s="70" t="e">
        <f t="shared" si="45"/>
        <v>#REF!</v>
      </c>
    </row>
    <row r="74" spans="27:53" hidden="1">
      <c r="AA74" s="71" t="s">
        <v>42</v>
      </c>
      <c r="AB74" s="35"/>
      <c r="AF74" s="70" t="e">
        <f t="shared" ref="AF74:AO74" si="46">AF39+AF40+AF44+AF46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AR39+AR40+AR44+AR46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69" t="s">
        <v>50</v>
      </c>
      <c r="AB75" s="35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</row>
    <row r="76" spans="27:53" hidden="1">
      <c r="AA76" s="71" t="s">
        <v>29</v>
      </c>
      <c r="AB76" s="35"/>
      <c r="AF76" s="70" t="e">
        <f t="shared" ref="AF76:AO76" si="48">AF17+AF18+AF22+AF25</f>
        <v>#REF!</v>
      </c>
      <c r="AG76" s="70" t="e">
        <f t="shared" si="48"/>
        <v>#REF!</v>
      </c>
      <c r="AH76" s="70" t="e">
        <f t="shared" si="48"/>
        <v>#REF!</v>
      </c>
      <c r="AI76" s="70" t="e">
        <f t="shared" si="48"/>
        <v>#REF!</v>
      </c>
      <c r="AJ76" s="70" t="e">
        <f t="shared" si="48"/>
        <v>#REF!</v>
      </c>
      <c r="AK76" s="70" t="e">
        <f t="shared" si="48"/>
        <v>#REF!</v>
      </c>
      <c r="AL76" s="70" t="e">
        <f t="shared" si="48"/>
        <v>#REF!</v>
      </c>
      <c r="AM76" s="70" t="e">
        <f t="shared" si="48"/>
        <v>#REF!</v>
      </c>
      <c r="AN76" s="70" t="e">
        <f t="shared" si="48"/>
        <v>#REF!</v>
      </c>
      <c r="AO76" s="70" t="e">
        <f t="shared" si="48"/>
        <v>#REF!</v>
      </c>
      <c r="AP76" s="70"/>
      <c r="AQ76" s="70"/>
      <c r="AR76" s="70" t="e">
        <f t="shared" ref="AR76:BA76" si="49">AR17+AR18+AR22+AR25</f>
        <v>#REF!</v>
      </c>
      <c r="AS76" s="70" t="e">
        <f t="shared" si="49"/>
        <v>#REF!</v>
      </c>
      <c r="AT76" s="70" t="e">
        <f t="shared" si="49"/>
        <v>#REF!</v>
      </c>
      <c r="AU76" s="70" t="e">
        <f t="shared" si="49"/>
        <v>#REF!</v>
      </c>
      <c r="AV76" s="70" t="e">
        <f t="shared" si="49"/>
        <v>#REF!</v>
      </c>
      <c r="AW76" s="70" t="e">
        <f t="shared" si="49"/>
        <v>#REF!</v>
      </c>
      <c r="AX76" s="70" t="e">
        <f t="shared" si="49"/>
        <v>#REF!</v>
      </c>
      <c r="AY76" s="70" t="e">
        <f t="shared" si="49"/>
        <v>#REF!</v>
      </c>
      <c r="AZ76" s="70" t="e">
        <f t="shared" si="49"/>
        <v>#REF!</v>
      </c>
      <c r="BA76" s="70" t="e">
        <f t="shared" si="49"/>
        <v>#REF!</v>
      </c>
    </row>
    <row r="77" spans="27:53" hidden="1">
      <c r="AA77" s="71" t="s">
        <v>41</v>
      </c>
      <c r="AB77" s="35"/>
      <c r="AF77" s="70" t="e">
        <f t="shared" ref="AF77:AO77" si="50">AF28+AF29+AF33+AF36</f>
        <v>#REF!</v>
      </c>
      <c r="AG77" s="70" t="e">
        <f t="shared" si="50"/>
        <v>#REF!</v>
      </c>
      <c r="AH77" s="70" t="e">
        <f t="shared" si="50"/>
        <v>#REF!</v>
      </c>
      <c r="AI77" s="70" t="e">
        <f t="shared" si="50"/>
        <v>#REF!</v>
      </c>
      <c r="AJ77" s="70" t="e">
        <f t="shared" si="50"/>
        <v>#REF!</v>
      </c>
      <c r="AK77" s="70" t="e">
        <f t="shared" si="50"/>
        <v>#REF!</v>
      </c>
      <c r="AL77" s="70" t="e">
        <f t="shared" si="50"/>
        <v>#REF!</v>
      </c>
      <c r="AM77" s="70" t="e">
        <f t="shared" si="50"/>
        <v>#REF!</v>
      </c>
      <c r="AN77" s="70" t="e">
        <f t="shared" si="50"/>
        <v>#REF!</v>
      </c>
      <c r="AO77" s="70" t="e">
        <f t="shared" si="50"/>
        <v>#REF!</v>
      </c>
      <c r="AP77" s="70"/>
      <c r="AQ77" s="70"/>
      <c r="AR77" s="70" t="e">
        <f t="shared" ref="AR77:BA77" si="51">AR28+AR29+AR33+AR36</f>
        <v>#REF!</v>
      </c>
      <c r="AS77" s="70" t="e">
        <f t="shared" si="51"/>
        <v>#REF!</v>
      </c>
      <c r="AT77" s="70" t="e">
        <f t="shared" si="51"/>
        <v>#REF!</v>
      </c>
      <c r="AU77" s="70" t="e">
        <f t="shared" si="51"/>
        <v>#REF!</v>
      </c>
      <c r="AV77" s="70" t="e">
        <f t="shared" si="51"/>
        <v>#REF!</v>
      </c>
      <c r="AW77" s="70" t="e">
        <f t="shared" si="51"/>
        <v>#REF!</v>
      </c>
      <c r="AX77" s="70" t="e">
        <f t="shared" si="51"/>
        <v>#REF!</v>
      </c>
      <c r="AY77" s="70" t="e">
        <f t="shared" si="51"/>
        <v>#REF!</v>
      </c>
      <c r="AZ77" s="70" t="e">
        <f t="shared" si="51"/>
        <v>#REF!</v>
      </c>
      <c r="BA77" s="70" t="e">
        <f t="shared" si="51"/>
        <v>#REF!</v>
      </c>
    </row>
    <row r="78" spans="27:53" hidden="1">
      <c r="AA78" s="71" t="s">
        <v>42</v>
      </c>
      <c r="AB78" s="35"/>
      <c r="AF78" s="70" t="e">
        <f t="shared" ref="AF78:AO78" si="52">AF39+AF40+AF44+AF47</f>
        <v>#REF!</v>
      </c>
      <c r="AG78" s="70" t="e">
        <f t="shared" si="52"/>
        <v>#REF!</v>
      </c>
      <c r="AH78" s="70" t="e">
        <f t="shared" si="52"/>
        <v>#REF!</v>
      </c>
      <c r="AI78" s="70" t="e">
        <f t="shared" si="52"/>
        <v>#REF!</v>
      </c>
      <c r="AJ78" s="70" t="e">
        <f t="shared" si="52"/>
        <v>#REF!</v>
      </c>
      <c r="AK78" s="70" t="e">
        <f t="shared" si="52"/>
        <v>#REF!</v>
      </c>
      <c r="AL78" s="70" t="e">
        <f t="shared" si="52"/>
        <v>#REF!</v>
      </c>
      <c r="AM78" s="70" t="e">
        <f t="shared" si="52"/>
        <v>#REF!</v>
      </c>
      <c r="AN78" s="70" t="e">
        <f t="shared" si="52"/>
        <v>#REF!</v>
      </c>
      <c r="AO78" s="70" t="e">
        <f t="shared" si="52"/>
        <v>#REF!</v>
      </c>
      <c r="AP78" s="70"/>
      <c r="AQ78" s="70"/>
      <c r="AR78" s="70" t="e">
        <f t="shared" ref="AR78:BA78" si="53">AR39+AR40+AR44+AR47</f>
        <v>#REF!</v>
      </c>
      <c r="AS78" s="70" t="e">
        <f t="shared" si="53"/>
        <v>#REF!</v>
      </c>
      <c r="AT78" s="70" t="e">
        <f t="shared" si="53"/>
        <v>#REF!</v>
      </c>
      <c r="AU78" s="70" t="e">
        <f t="shared" si="53"/>
        <v>#REF!</v>
      </c>
      <c r="AV78" s="70" t="e">
        <f t="shared" si="53"/>
        <v>#REF!</v>
      </c>
      <c r="AW78" s="70" t="e">
        <f t="shared" si="53"/>
        <v>#REF!</v>
      </c>
      <c r="AX78" s="70" t="e">
        <f t="shared" si="53"/>
        <v>#REF!</v>
      </c>
      <c r="AY78" s="70" t="e">
        <f t="shared" si="53"/>
        <v>#REF!</v>
      </c>
      <c r="AZ78" s="70" t="e">
        <f t="shared" si="53"/>
        <v>#REF!</v>
      </c>
      <c r="BA78" s="70" t="e">
        <f t="shared" si="53"/>
        <v>#REF!</v>
      </c>
    </row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7" spans="1:52" hidden="1"/>
    <row r="89" spans="1:52">
      <c r="A89" s="598" t="s">
        <v>108</v>
      </c>
      <c r="B89" s="598" t="s">
        <v>52</v>
      </c>
      <c r="C89" s="39" t="s">
        <v>101</v>
      </c>
      <c r="D89" s="39" t="s">
        <v>53</v>
      </c>
      <c r="E89" s="39" t="s">
        <v>54</v>
      </c>
      <c r="F89" s="587" t="s">
        <v>64</v>
      </c>
      <c r="G89" s="600"/>
      <c r="H89" s="600"/>
      <c r="I89" s="600"/>
      <c r="J89" s="600"/>
      <c r="K89" s="600"/>
      <c r="L89" s="600"/>
      <c r="M89" s="600"/>
      <c r="N89" s="600"/>
      <c r="O89" s="600"/>
      <c r="P89" s="590"/>
      <c r="AN89" s="38"/>
      <c r="AZ89" s="36"/>
    </row>
    <row r="90" spans="1:52" ht="63.75">
      <c r="A90" s="599"/>
      <c r="B90" s="599"/>
      <c r="C90" s="41" t="s">
        <v>66</v>
      </c>
      <c r="D90" s="41" t="s">
        <v>67</v>
      </c>
      <c r="E90" s="41" t="s">
        <v>68</v>
      </c>
      <c r="F90" s="545" t="s">
        <v>55</v>
      </c>
      <c r="G90" s="545" t="s">
        <v>73</v>
      </c>
      <c r="H90" s="545" t="s">
        <v>74</v>
      </c>
      <c r="I90" s="545" t="s">
        <v>58</v>
      </c>
      <c r="J90" s="545" t="s">
        <v>59</v>
      </c>
      <c r="K90" s="545" t="s">
        <v>60</v>
      </c>
      <c r="L90" s="544" t="s">
        <v>75</v>
      </c>
      <c r="M90" s="544" t="s">
        <v>76</v>
      </c>
      <c r="N90" s="544" t="s">
        <v>61</v>
      </c>
      <c r="O90" s="544" t="s">
        <v>62</v>
      </c>
      <c r="P90" s="544" t="s">
        <v>63</v>
      </c>
      <c r="AN90" s="38"/>
      <c r="AZ90" s="36"/>
    </row>
    <row r="91" spans="1:52" ht="25.5">
      <c r="A91" s="44" t="str">
        <f t="shared" ref="A91:C92" si="54">A4</f>
        <v>General Construction</v>
      </c>
      <c r="B91" s="45" t="str">
        <f t="shared" si="54"/>
        <v>Light-Duty Truck, catalyst</v>
      </c>
      <c r="C91" s="46">
        <f t="shared" si="54"/>
        <v>3</v>
      </c>
      <c r="D91" s="46">
        <v>35</v>
      </c>
      <c r="E91" s="46">
        <v>80</v>
      </c>
      <c r="F91" s="50">
        <f>C4*($E4*$F4+($G4))/453.59</f>
        <v>1.4571581576427601</v>
      </c>
      <c r="G91" s="50">
        <f>C4*($E4*$H4+($I4))/453.59</f>
        <v>0.13101197188313402</v>
      </c>
      <c r="H91" s="50">
        <f>C4*(($E4*$J4)+($K4)+($L4)+($E4*$N4)+(($M4+$O4)))/453.59</f>
        <v>0.15149994097185998</v>
      </c>
      <c r="I91" s="50">
        <f>C4*($E4*$P4+($Q4))/453.59</f>
        <v>2.1803910814818476E-3</v>
      </c>
      <c r="J91" s="50">
        <f>C4*(($E4*($R4+$T4+$U4))+($S4))/453.59</f>
        <v>2.5572271365623688E-2</v>
      </c>
      <c r="K91" s="50">
        <f>$C4*(($E4*($V4+$X4+$Y4))+($W4))/453.59</f>
        <v>1.1136015972759426E-2</v>
      </c>
      <c r="L91" s="50">
        <f>$B$24*C4*(E4+6)</f>
        <v>2.5315747758215698E-2</v>
      </c>
      <c r="M91" s="50">
        <f t="shared" ref="M91:M94" si="55">0.41*L91</f>
        <v>1.0379456580868435E-2</v>
      </c>
      <c r="N91" s="50">
        <f>C4*($E4*$Z4+($AA4))/453.59</f>
        <v>166.27073017811671</v>
      </c>
      <c r="O91" s="50">
        <f>C4*($E4*$AB4+($AC4))/453.59</f>
        <v>9.5114261670907474E-3</v>
      </c>
      <c r="P91" s="50">
        <f>C4*($E4*$AD4+($AE4))/453.59</f>
        <v>1.7313359741530081E-2</v>
      </c>
      <c r="AN91" s="38"/>
      <c r="AZ91" s="36"/>
    </row>
    <row r="92" spans="1:52" ht="25.5">
      <c r="A92" s="44" t="str">
        <f t="shared" si="54"/>
        <v>Substation General Construction</v>
      </c>
      <c r="B92" s="45" t="str">
        <f t="shared" si="54"/>
        <v>Light-Duty Truck, catalyst</v>
      </c>
      <c r="C92" s="46">
        <f t="shared" si="54"/>
        <v>3</v>
      </c>
      <c r="D92" s="46">
        <v>35</v>
      </c>
      <c r="E92" s="46">
        <v>80</v>
      </c>
      <c r="F92" s="50">
        <f>C5*($E5*$F5+($G5))/453.59</f>
        <v>1.4571581576427601</v>
      </c>
      <c r="G92" s="50">
        <f>C5*($E5*$H5+($I5))/453.59</f>
        <v>0.13101197188313402</v>
      </c>
      <c r="H92" s="50">
        <f>C5*(($E5*$J5)+($K5)+($L5)+($E5*$N5)+(($M5+$O5)))/453.59</f>
        <v>0.15149994097185998</v>
      </c>
      <c r="I92" s="50">
        <f>C5*($E5*$P5+($Q5))/453.59</f>
        <v>2.1803910814818476E-3</v>
      </c>
      <c r="J92" s="50">
        <f>C5*(($E5*($R5+$T5+$U5))+($S5))/453.59</f>
        <v>2.5572271365623688E-2</v>
      </c>
      <c r="K92" s="50">
        <f>$C5*(($E5*($V5+$X5+$Y5))+($W5))/453.59</f>
        <v>1.1136015972759426E-2</v>
      </c>
      <c r="L92" s="50">
        <f>$B$24*C5*(E5+6)</f>
        <v>2.5315747758215698E-2</v>
      </c>
      <c r="M92" s="50">
        <f t="shared" si="55"/>
        <v>1.0379456580868435E-2</v>
      </c>
      <c r="N92" s="50">
        <f>C5*($E5*$Z5+($AA5))/453.59</f>
        <v>166.27073017811671</v>
      </c>
      <c r="O92" s="50">
        <f>C5*($E5*$AB5+($AC5))/453.59</f>
        <v>9.5114261670907474E-3</v>
      </c>
      <c r="P92" s="50">
        <f>C5*($E5*$AD5+($AE5))/453.59</f>
        <v>1.7313359741530081E-2</v>
      </c>
      <c r="AN92" s="38"/>
      <c r="AZ92" s="36"/>
    </row>
    <row r="93" spans="1:52" ht="25.5">
      <c r="A93" s="44" t="str">
        <f t="shared" ref="A93:C94" si="56">A6</f>
        <v>Site and Access Road Grading</v>
      </c>
      <c r="B93" s="45" t="str">
        <f t="shared" si="56"/>
        <v>Light-Duty Truck, catalyst</v>
      </c>
      <c r="C93" s="46">
        <f t="shared" si="56"/>
        <v>19</v>
      </c>
      <c r="D93" s="46">
        <v>35</v>
      </c>
      <c r="E93" s="46">
        <v>80</v>
      </c>
      <c r="F93" s="50">
        <f>C6*($E6*$F6+($G6))/453.59</f>
        <v>9.2286683317374809</v>
      </c>
      <c r="G93" s="50">
        <f>C6*($E6*$H6+($I6))/453.59</f>
        <v>0.82974248859318211</v>
      </c>
      <c r="H93" s="50">
        <f>C6*(($E6*$J6)+($K6)+($L6)+($E6*$N6)+(($M6+$O6)))/453.59</f>
        <v>0.95949962615511319</v>
      </c>
      <c r="I93" s="50">
        <f>C6*($E6*$P6+($Q6))/453.59</f>
        <v>1.3809143516051703E-2</v>
      </c>
      <c r="J93" s="50">
        <f>C6*(($E6*($R6+$T6+$U6))+($S6))/453.59</f>
        <v>0.16195771864895006</v>
      </c>
      <c r="K93" s="50">
        <f>$C6*(($E6*($V6+$X6+$Y6))+($W6))/453.59</f>
        <v>7.0528101160809695E-2</v>
      </c>
      <c r="L93" s="50">
        <f>$B$24*C6*(E6+6)</f>
        <v>0.16033306913536607</v>
      </c>
      <c r="M93" s="50">
        <f t="shared" ref="M93" si="57">0.41*L93</f>
        <v>6.5736558345500087E-2</v>
      </c>
      <c r="N93" s="50">
        <f>C6*($E6*$Z6+($AA6))/453.59</f>
        <v>1053.047957794739</v>
      </c>
      <c r="O93" s="50">
        <f>C6*($E6*$AB6+($AC6))/453.59</f>
        <v>6.0239032391574736E-2</v>
      </c>
      <c r="P93" s="50">
        <f>C6*($E6*$AD6+($AE6))/453.59</f>
        <v>0.10965127836302384</v>
      </c>
      <c r="AN93" s="38"/>
      <c r="AZ93" s="36"/>
    </row>
    <row r="94" spans="1:52" ht="25.5">
      <c r="A94" s="44" t="str">
        <f t="shared" si="56"/>
        <v>Public Improvements and Access Road Paving</v>
      </c>
      <c r="B94" s="45" t="str">
        <f t="shared" si="56"/>
        <v>Light-Duty Truck, catalyst</v>
      </c>
      <c r="C94" s="46">
        <f t="shared" si="56"/>
        <v>12</v>
      </c>
      <c r="D94" s="46">
        <v>35</v>
      </c>
      <c r="E94" s="46">
        <v>80</v>
      </c>
      <c r="F94" s="50">
        <f>C7*($E7*$F7+($G7))/453.59</f>
        <v>5.8286326305710405</v>
      </c>
      <c r="G94" s="50">
        <f>C7*($E7*$H7+($I7))/453.59</f>
        <v>0.52404788753253606</v>
      </c>
      <c r="H94" s="50">
        <f>C7*(($E7*$J7)+($K7)+($L7)+($E7*$N7)+(($M7+$O7)))/453.59</f>
        <v>0.60599976388743992</v>
      </c>
      <c r="I94" s="50">
        <f>C7*($E7*$P7+($Q7))/453.59</f>
        <v>8.7215643259273903E-3</v>
      </c>
      <c r="J94" s="50">
        <f>C7*(($E7*($R7+$T7+$U7))+($S7))/453.59</f>
        <v>0.10228908546249475</v>
      </c>
      <c r="K94" s="50">
        <f>$C7*(($E7*($V7+$X7+$Y7))+($W7))/453.59</f>
        <v>4.4544063891037704E-2</v>
      </c>
      <c r="L94" s="50">
        <f>$B$24*C7*(E7+6)</f>
        <v>0.10126299103286279</v>
      </c>
      <c r="M94" s="50">
        <f t="shared" si="55"/>
        <v>4.1517826323473742E-2</v>
      </c>
      <c r="N94" s="50">
        <f>C7*($E7*$Z7+($AA7))/453.59</f>
        <v>665.08292071246683</v>
      </c>
      <c r="O94" s="50">
        <f>C7*($E7*$AB7+($AC7))/453.59</f>
        <v>3.804570466836299E-2</v>
      </c>
      <c r="P94" s="50">
        <f>C7*($E7*$AD7+($AE7))/453.59</f>
        <v>6.9253438966120323E-2</v>
      </c>
      <c r="AN94" s="38"/>
      <c r="AZ94" s="36"/>
    </row>
    <row r="95" spans="1:52">
      <c r="A95" s="61" t="s">
        <v>389</v>
      </c>
      <c r="B95" s="40"/>
      <c r="C95" s="40"/>
      <c r="D95" s="40"/>
      <c r="E95" s="40"/>
      <c r="F95" s="81">
        <f t="shared" ref="F95:P95" si="58">SUM(F91:F94)</f>
        <v>17.971617277594042</v>
      </c>
      <c r="G95" s="81">
        <f t="shared" si="58"/>
        <v>1.6158143198919863</v>
      </c>
      <c r="H95" s="81">
        <f t="shared" si="58"/>
        <v>1.8684992719862732</v>
      </c>
      <c r="I95" s="81">
        <f t="shared" si="58"/>
        <v>2.6891490004942786E-2</v>
      </c>
      <c r="J95" s="81">
        <f t="shared" si="58"/>
        <v>0.31539134684269221</v>
      </c>
      <c r="K95" s="81">
        <f t="shared" si="58"/>
        <v>0.13734419699736625</v>
      </c>
      <c r="L95" s="81">
        <f t="shared" si="58"/>
        <v>0.31222755568466026</v>
      </c>
      <c r="M95" s="81">
        <f t="shared" si="58"/>
        <v>0.12801329783071069</v>
      </c>
      <c r="N95" s="81">
        <f t="shared" si="58"/>
        <v>2050.6723388634391</v>
      </c>
      <c r="O95" s="81">
        <f t="shared" si="58"/>
        <v>0.11730758939411923</v>
      </c>
      <c r="P95" s="81">
        <f t="shared" si="58"/>
        <v>0.21353143681220432</v>
      </c>
      <c r="AN95" s="38"/>
      <c r="AZ95" s="36"/>
    </row>
  </sheetData>
  <mergeCells count="16">
    <mergeCell ref="AR14:BA14"/>
    <mergeCell ref="A89:A90"/>
    <mergeCell ref="B89:B90"/>
    <mergeCell ref="F89:P89"/>
    <mergeCell ref="R2:U2"/>
    <mergeCell ref="V2:Y2"/>
    <mergeCell ref="Z2:AA2"/>
    <mergeCell ref="AB2:AC2"/>
    <mergeCell ref="AD2:AE2"/>
    <mergeCell ref="AF14:AO14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31"/>
  <sheetViews>
    <sheetView zoomScale="75" zoomScaleNormal="75" workbookViewId="0">
      <selection activeCell="O50" sqref="O50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570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314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8</v>
      </c>
      <c r="P8" s="88">
        <v>125</v>
      </c>
      <c r="Q8" s="34">
        <f t="shared" ref="Q8:Y10" si="2">(E8*$N8*$O8)</f>
        <v>0.49946184642775621</v>
      </c>
      <c r="R8" s="26">
        <f t="shared" si="2"/>
        <v>2.4431746031746027</v>
      </c>
      <c r="S8" s="26">
        <f t="shared" si="2"/>
        <v>3.1176888888888881</v>
      </c>
      <c r="T8" s="26">
        <f t="shared" si="2"/>
        <v>4.4060015200662857E-3</v>
      </c>
      <c r="U8" s="26">
        <f t="shared" si="2"/>
        <v>0.19809523809523807</v>
      </c>
      <c r="V8" s="26">
        <f t="shared" si="2"/>
        <v>0.17630476190476188</v>
      </c>
      <c r="W8" s="26">
        <f t="shared" si="2"/>
        <v>375.60183859341714</v>
      </c>
      <c r="X8" s="26">
        <f t="shared" si="2"/>
        <v>5.4697471816927752E-2</v>
      </c>
      <c r="Y8" s="26">
        <f t="shared" si="2"/>
        <v>0.29618044444444436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9</v>
      </c>
      <c r="P9" s="363">
        <v>125</v>
      </c>
      <c r="Q9" s="34">
        <f t="shared" si="2"/>
        <v>1.0612998664693185</v>
      </c>
      <c r="R9" s="26">
        <f t="shared" si="2"/>
        <v>3.2860974016937274</v>
      </c>
      <c r="S9" s="26">
        <f t="shared" si="2"/>
        <v>7.8103317854039886</v>
      </c>
      <c r="T9" s="26">
        <f t="shared" si="2"/>
        <v>1.6865295748293957E-2</v>
      </c>
      <c r="U9" s="26">
        <f t="shared" si="2"/>
        <v>0.26137541066030878</v>
      </c>
      <c r="V9" s="26">
        <f t="shared" si="2"/>
        <v>0.23262411548767484</v>
      </c>
      <c r="W9" s="26">
        <f t="shared" si="2"/>
        <v>1498.908740620727</v>
      </c>
      <c r="X9" s="26">
        <f t="shared" si="2"/>
        <v>9.5759396799267066E-2</v>
      </c>
      <c r="Y9" s="26">
        <f t="shared" si="2"/>
        <v>0.74198151961337888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3</v>
      </c>
      <c r="P10" s="363">
        <v>125</v>
      </c>
      <c r="Q10" s="34">
        <f t="shared" si="2"/>
        <v>3.9051121312432671E-2</v>
      </c>
      <c r="R10" s="26">
        <f t="shared" si="2"/>
        <v>0.1468253968253968</v>
      </c>
      <c r="S10" s="26">
        <f t="shared" si="2"/>
        <v>0.13018518518518515</v>
      </c>
      <c r="T10" s="26">
        <f t="shared" si="2"/>
        <v>4.7652059865273245E-4</v>
      </c>
      <c r="U10" s="26">
        <f t="shared" si="2"/>
        <v>1.4682539682539681E-2</v>
      </c>
      <c r="V10" s="26">
        <f t="shared" si="2"/>
        <v>1.3067460317460314E-2</v>
      </c>
      <c r="W10" s="26">
        <f t="shared" si="2"/>
        <v>30.622980859093083</v>
      </c>
      <c r="X10" s="26">
        <f t="shared" si="2"/>
        <v>3.8388136396804665E-3</v>
      </c>
      <c r="Y10" s="26">
        <f t="shared" si="2"/>
        <v>1.236759259259259E-2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1.5998128342095075</v>
      </c>
      <c r="R11" s="101">
        <f t="shared" ref="R11:Y11" si="3">SUM(R8:R10)</f>
        <v>5.8760974016937269</v>
      </c>
      <c r="S11" s="101">
        <f t="shared" si="3"/>
        <v>11.058205859478063</v>
      </c>
      <c r="T11" s="101">
        <f t="shared" si="3"/>
        <v>2.1747817867012974E-2</v>
      </c>
      <c r="U11" s="101">
        <f t="shared" si="3"/>
        <v>0.47415318843808657</v>
      </c>
      <c r="V11" s="101">
        <f t="shared" si="3"/>
        <v>0.42199633770989703</v>
      </c>
      <c r="W11" s="101">
        <f t="shared" si="3"/>
        <v>1905.1335600732373</v>
      </c>
      <c r="X11" s="101">
        <f t="shared" si="3"/>
        <v>0.15429568225587528</v>
      </c>
      <c r="Y11" s="101">
        <f t="shared" si="3"/>
        <v>1.0505295566504158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87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7" t="s">
        <v>315</v>
      </c>
      <c r="B13" s="579"/>
      <c r="C13" s="18"/>
      <c r="D13" s="18"/>
      <c r="E13" s="19"/>
      <c r="F13" s="19"/>
      <c r="G13" s="19"/>
      <c r="H13" s="19"/>
      <c r="I13" s="19"/>
      <c r="J13" s="19"/>
      <c r="K13" s="19"/>
      <c r="L13" s="19"/>
      <c r="M13" s="19"/>
      <c r="N13" s="30"/>
      <c r="O13" s="30"/>
      <c r="P13" s="30"/>
      <c r="Q13" s="20"/>
      <c r="R13" s="20"/>
      <c r="S13" s="20"/>
      <c r="T13" s="20"/>
      <c r="U13" s="20"/>
      <c r="V13" s="20"/>
      <c r="W13" s="21"/>
      <c r="X13" s="20"/>
      <c r="Y13" s="20"/>
    </row>
    <row r="14" spans="1:25" s="3" customFormat="1">
      <c r="A14" s="24" t="s">
        <v>119</v>
      </c>
      <c r="B14" s="90" t="s">
        <v>27</v>
      </c>
      <c r="C14" s="22">
        <v>78</v>
      </c>
      <c r="D14" s="22">
        <f>VLOOKUP(A14,'Offroad Tiers LF'!$B$6:$C$40,2,FALSE)</f>
        <v>0.48</v>
      </c>
      <c r="E14" s="102">
        <v>6.2432730803469526E-2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0.30539682539682533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0.38971111111111101</v>
      </c>
      <c r="H14" s="102">
        <v>5.5075019000828571E-4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2.4761904761904759E-2</v>
      </c>
      <c r="J14" s="100">
        <f t="shared" ref="J14:J16" si="4">0.89*I14</f>
        <v>2.2038095238095235E-2</v>
      </c>
      <c r="K14" s="103">
        <v>46.950229824177143</v>
      </c>
      <c r="L14" s="102">
        <v>6.837183977115969E-3</v>
      </c>
      <c r="M14" s="104">
        <f t="shared" ref="M14:M16" si="5">0.095*G14</f>
        <v>3.7022555555555545E-2</v>
      </c>
      <c r="N14" s="98">
        <v>1</v>
      </c>
      <c r="O14" s="98">
        <v>6</v>
      </c>
      <c r="P14" s="88">
        <v>125</v>
      </c>
      <c r="Q14" s="34">
        <f t="shared" ref="Q14:Y16" si="6">(E14*$N14*$O14)</f>
        <v>0.37459638482081714</v>
      </c>
      <c r="R14" s="26">
        <f t="shared" si="6"/>
        <v>1.832380952380952</v>
      </c>
      <c r="S14" s="26">
        <f t="shared" si="6"/>
        <v>2.3382666666666658</v>
      </c>
      <c r="T14" s="26">
        <f t="shared" si="6"/>
        <v>3.3045011400497145E-3</v>
      </c>
      <c r="U14" s="26">
        <f t="shared" si="6"/>
        <v>0.14857142857142855</v>
      </c>
      <c r="V14" s="26">
        <f t="shared" si="6"/>
        <v>0.13222857142857142</v>
      </c>
      <c r="W14" s="26">
        <f t="shared" si="6"/>
        <v>281.70137894506286</v>
      </c>
      <c r="X14" s="26">
        <f t="shared" si="6"/>
        <v>4.1023103862695816E-2</v>
      </c>
      <c r="Y14" s="26">
        <f t="shared" si="6"/>
        <v>0.22213533333333327</v>
      </c>
    </row>
    <row r="15" spans="1:25" s="3" customFormat="1">
      <c r="A15" s="24" t="s">
        <v>305</v>
      </c>
      <c r="B15" s="29" t="s">
        <v>27</v>
      </c>
      <c r="C15" s="22">
        <v>175</v>
      </c>
      <c r="D15" s="22"/>
      <c r="E15" s="102">
        <v>0.11792220738547983</v>
      </c>
      <c r="F15" s="102">
        <v>0.36512193352152528</v>
      </c>
      <c r="G15" s="102">
        <v>0.86781464282266541</v>
      </c>
      <c r="H15" s="102">
        <v>1.8739217498104396E-3</v>
      </c>
      <c r="I15" s="102">
        <v>2.9041712295589866E-2</v>
      </c>
      <c r="J15" s="100">
        <f t="shared" si="4"/>
        <v>2.5847123943074982E-2</v>
      </c>
      <c r="K15" s="103">
        <v>166.54541562452522</v>
      </c>
      <c r="L15" s="102">
        <v>1.063993297769634E-2</v>
      </c>
      <c r="M15" s="104">
        <f t="shared" si="5"/>
        <v>8.2442391068153209E-2</v>
      </c>
      <c r="N15" s="98">
        <v>1</v>
      </c>
      <c r="O15" s="87">
        <v>2</v>
      </c>
      <c r="P15" s="363">
        <v>125</v>
      </c>
      <c r="Q15" s="34">
        <f t="shared" si="6"/>
        <v>0.23584441477095966</v>
      </c>
      <c r="R15" s="26">
        <f t="shared" si="6"/>
        <v>0.73024386704305055</v>
      </c>
      <c r="S15" s="26">
        <f t="shared" si="6"/>
        <v>1.7356292856453308</v>
      </c>
      <c r="T15" s="26">
        <f t="shared" si="6"/>
        <v>3.7478434996208792E-3</v>
      </c>
      <c r="U15" s="26">
        <f t="shared" si="6"/>
        <v>5.8083424591179732E-2</v>
      </c>
      <c r="V15" s="26">
        <f t="shared" si="6"/>
        <v>5.1694247886149965E-2</v>
      </c>
      <c r="W15" s="26">
        <f t="shared" si="6"/>
        <v>333.09083124905044</v>
      </c>
      <c r="X15" s="26">
        <f t="shared" si="6"/>
        <v>2.127986595539268E-2</v>
      </c>
      <c r="Y15" s="26">
        <f t="shared" si="6"/>
        <v>0.16488478213630642</v>
      </c>
    </row>
    <row r="16" spans="1:25" s="3" customFormat="1">
      <c r="A16" s="24" t="s">
        <v>368</v>
      </c>
      <c r="B16" s="29" t="s">
        <v>27</v>
      </c>
      <c r="C16" s="22">
        <v>5</v>
      </c>
      <c r="D16" s="22">
        <v>0.74</v>
      </c>
      <c r="E16" s="102">
        <v>1.3017040437477556E-2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4.8941798941798939E-2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4.3395061728395051E-2</v>
      </c>
      <c r="H16" s="102">
        <v>1.5884019955091081E-4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4.8941798941798936E-3</v>
      </c>
      <c r="J16" s="100">
        <f t="shared" si="4"/>
        <v>4.3558201058201051E-3</v>
      </c>
      <c r="K16" s="103">
        <v>10.20766028636436</v>
      </c>
      <c r="L16" s="102">
        <v>1.2796045465601556E-3</v>
      </c>
      <c r="M16" s="104">
        <f t="shared" si="5"/>
        <v>4.1225308641975296E-3</v>
      </c>
      <c r="N16" s="98">
        <v>1</v>
      </c>
      <c r="O16" s="87">
        <v>8</v>
      </c>
      <c r="P16" s="363">
        <v>125</v>
      </c>
      <c r="Q16" s="34">
        <f t="shared" si="6"/>
        <v>0.10413632349982045</v>
      </c>
      <c r="R16" s="26">
        <f t="shared" si="6"/>
        <v>0.39153439153439151</v>
      </c>
      <c r="S16" s="26">
        <f t="shared" si="6"/>
        <v>0.34716049382716041</v>
      </c>
      <c r="T16" s="26">
        <f t="shared" si="6"/>
        <v>1.2707215964072865E-3</v>
      </c>
      <c r="U16" s="26">
        <f t="shared" si="6"/>
        <v>3.9153439153439148E-2</v>
      </c>
      <c r="V16" s="26">
        <f t="shared" si="6"/>
        <v>3.4846560846560841E-2</v>
      </c>
      <c r="W16" s="26">
        <f t="shared" si="6"/>
        <v>81.661282290914883</v>
      </c>
      <c r="X16" s="26">
        <f t="shared" si="6"/>
        <v>1.0236836372481245E-2</v>
      </c>
      <c r="Y16" s="26">
        <f t="shared" si="6"/>
        <v>3.2980246913580237E-2</v>
      </c>
    </row>
    <row r="17" spans="1:25" s="3" customFormat="1">
      <c r="A17" s="17" t="s">
        <v>28</v>
      </c>
      <c r="B17" s="29"/>
      <c r="C17" s="22"/>
      <c r="D17" s="22"/>
      <c r="E17" s="108"/>
      <c r="F17" s="108"/>
      <c r="G17" s="108"/>
      <c r="H17" s="108"/>
      <c r="I17" s="108"/>
      <c r="J17" s="100"/>
      <c r="K17" s="365"/>
      <c r="L17" s="110"/>
      <c r="M17" s="102"/>
      <c r="N17" s="98"/>
      <c r="O17" s="87"/>
      <c r="P17" s="363"/>
      <c r="Q17" s="101">
        <f>SUM(Q14:Q16)</f>
        <v>0.71457712309159727</v>
      </c>
      <c r="R17" s="101">
        <f t="shared" ref="R17:Y17" si="7">SUM(R14:R16)</f>
        <v>2.9541592109583941</v>
      </c>
      <c r="S17" s="101">
        <f t="shared" si="7"/>
        <v>4.4210564461391568</v>
      </c>
      <c r="T17" s="101">
        <f t="shared" si="7"/>
        <v>8.32306623607788E-3</v>
      </c>
      <c r="U17" s="101">
        <f t="shared" si="7"/>
        <v>0.24580829231604745</v>
      </c>
      <c r="V17" s="101">
        <f t="shared" si="7"/>
        <v>0.21876938016128222</v>
      </c>
      <c r="W17" s="101">
        <f t="shared" si="7"/>
        <v>696.45349248502816</v>
      </c>
      <c r="X17" s="101">
        <f t="shared" si="7"/>
        <v>7.2539806190569739E-2</v>
      </c>
      <c r="Y17" s="101">
        <f t="shared" si="7"/>
        <v>0.42000036238321992</v>
      </c>
    </row>
    <row r="18" spans="1:25" s="3" customFormat="1">
      <c r="A18" s="24"/>
      <c r="B18" s="29"/>
      <c r="C18" s="22"/>
      <c r="D18" s="22"/>
      <c r="E18" s="108"/>
      <c r="F18" s="108"/>
      <c r="G18" s="108"/>
      <c r="H18" s="108"/>
      <c r="I18" s="108"/>
      <c r="J18" s="100"/>
      <c r="K18" s="365"/>
      <c r="L18" s="110"/>
      <c r="M18" s="102"/>
      <c r="N18" s="98"/>
      <c r="O18" s="98"/>
      <c r="P18" s="363"/>
      <c r="Q18" s="34"/>
      <c r="R18" s="26"/>
      <c r="S18" s="26"/>
      <c r="T18" s="26"/>
      <c r="U18" s="26"/>
      <c r="V18" s="26"/>
      <c r="W18" s="26"/>
      <c r="X18" s="26"/>
      <c r="Y18" s="26"/>
    </row>
    <row r="19" spans="1:25" s="3" customFormat="1">
      <c r="A19" s="17" t="s">
        <v>281</v>
      </c>
      <c r="B19" s="90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30"/>
      <c r="O19" s="30"/>
      <c r="P19" s="30"/>
      <c r="Q19" s="20"/>
      <c r="R19" s="20"/>
      <c r="S19" s="27"/>
      <c r="T19" s="20"/>
      <c r="U19" s="20"/>
      <c r="V19" s="20"/>
      <c r="W19" s="21"/>
      <c r="X19" s="20"/>
      <c r="Y19" s="20"/>
    </row>
    <row r="20" spans="1:25" s="3" customFormat="1">
      <c r="A20" s="100" t="s">
        <v>121</v>
      </c>
      <c r="B20" s="29" t="s">
        <v>27</v>
      </c>
      <c r="C20" s="22">
        <v>162</v>
      </c>
      <c r="D20" s="22">
        <v>0.41</v>
      </c>
      <c r="E20" s="108">
        <v>0.12153885438656534</v>
      </c>
      <c r="F20" s="397">
        <f>IF($C20&lt;11,'Offroad Tiers EF (2)'!$AN$4*$C20*$D20,IF($C20&lt;25,'Offroad Tiers EF (2)'!$AN$5*$C20*$D20,IF($C20&lt;50,'Offroad Tiers EF (2)'!$AN$6*$C20*$D20,IF($C20&lt;75,'Offroad Tiers EF (2)'!$AN$7*$C20*$D20,IF($C20&lt;100,'Offroad Tiers EF (2)'!$AN$8*$C20*$D20,IF($C20&lt;175,'Offroad Tiers EF (2)'!$AN$9*$C20*$D20,IF($C20&lt;300,'Offroad Tiers EF (2)'!$AN$10*$C20*$D20,IF($C20&lt;600,'Offroad Tiers EF (2)'!$AN$11*$C20*$D20,"!"))))))))</f>
        <v>0.5417857142857142</v>
      </c>
      <c r="G20" s="397">
        <f>IF($C20&lt;11,'Offroad Tiers EF (2)'!$AM$4*$C20*$D20,IF($C20&lt;25,'Offroad Tiers EF (2)'!$AM$5*$C20*$D20,IF($C20&lt;50,'Offroad Tiers EF (2)'!$AM$6*$C20*$D20,IF($C20&lt;75,'Offroad Tiers EF (2)'!$AM$7*$C20*$D20,IF($C20&lt;100,'Offroad Tiers EF (2)'!$AM$8*$C20*$D20,IF($C20&lt;175,'Offroad Tiers EF (2)'!$AM$9*$C20*$D20,IF($C20&lt;300,'Offroad Tiers EF (2)'!$AM$10*$C20*$D20,IF($C20&lt;600,'Offroad Tiers EF (2)'!$AM$11*$C20*$D20,"!"))))))))</f>
        <v>0.60233392857142853</v>
      </c>
      <c r="H20" s="108">
        <v>1.3943296443626662E-3</v>
      </c>
      <c r="I20" s="397">
        <f>IF($C20&lt;11,'Offroad Tiers EF (2)'!$AO$4*$C20*$D20,IF($C20&lt;25,'Offroad Tiers EF (2)'!$AO$5*$C20*$D20,IF($C20&lt;50,'Offroad Tiers EF (2)'!$AO$6*$C20*$D20,IF($C20&lt;75,'Offroad Tiers EF (2)'!$AO$7*$C20*$D20,IF($C20&lt;100,'Offroad Tiers EF (2)'!$AO$8*$C20*$D20,IF($C20&lt;175,'Offroad Tiers EF (2)'!$AO$9*$C20*$D20,IF($C20&lt;300,'Offroad Tiers EF (2)'!$AO$10*$C20*$D20,IF($C20&lt;600,'Offroad Tiers EF (2)'!$AO$11*$C20*$D20,"!"))))))))</f>
        <v>3.2214285714285709E-2</v>
      </c>
      <c r="J20" s="100">
        <f t="shared" ref="J20:J21" si="8">0.89*I20</f>
        <v>2.8670714285714282E-2</v>
      </c>
      <c r="K20" s="365">
        <v>123.92149503712022</v>
      </c>
      <c r="L20" s="23">
        <v>1.1720218383966691E-2</v>
      </c>
      <c r="M20" s="102">
        <f t="shared" ref="M20:M21" si="9">0.095*G20</f>
        <v>5.7221723214285709E-2</v>
      </c>
      <c r="N20" s="98">
        <v>1</v>
      </c>
      <c r="O20" s="87">
        <v>8</v>
      </c>
      <c r="P20" s="363">
        <v>75</v>
      </c>
      <c r="Q20" s="34">
        <f t="shared" ref="Q20:Y21" si="10">(E20*$N20*$O20)</f>
        <v>0.9723108350925227</v>
      </c>
      <c r="R20" s="26">
        <f t="shared" si="10"/>
        <v>4.3342857142857136</v>
      </c>
      <c r="S20" s="26">
        <f t="shared" si="10"/>
        <v>4.8186714285714283</v>
      </c>
      <c r="T20" s="26">
        <f t="shared" si="10"/>
        <v>1.115463715490133E-2</v>
      </c>
      <c r="U20" s="26">
        <f t="shared" si="10"/>
        <v>0.25771428571428567</v>
      </c>
      <c r="V20" s="26">
        <f t="shared" si="10"/>
        <v>0.22936571428571426</v>
      </c>
      <c r="W20" s="26">
        <f t="shared" si="10"/>
        <v>991.37196029696179</v>
      </c>
      <c r="X20" s="26">
        <f t="shared" si="10"/>
        <v>9.3761747071733528E-2</v>
      </c>
      <c r="Y20" s="26">
        <f t="shared" si="10"/>
        <v>0.45777378571428567</v>
      </c>
    </row>
    <row r="21" spans="1:25" s="3" customFormat="1">
      <c r="A21" s="100" t="s">
        <v>126</v>
      </c>
      <c r="B21" s="29" t="s">
        <v>27</v>
      </c>
      <c r="C21" s="22">
        <v>175</v>
      </c>
      <c r="D21" s="22"/>
      <c r="E21" s="102">
        <v>0.11792220738547983</v>
      </c>
      <c r="F21" s="102">
        <v>0.36512193352152528</v>
      </c>
      <c r="G21" s="102">
        <v>0.86781464282266541</v>
      </c>
      <c r="H21" s="102">
        <v>1.8739217498104396E-3</v>
      </c>
      <c r="I21" s="102">
        <v>2.9041712295589866E-2</v>
      </c>
      <c r="J21" s="100">
        <f t="shared" si="8"/>
        <v>2.5847123943074982E-2</v>
      </c>
      <c r="K21" s="103">
        <v>166.54541562452522</v>
      </c>
      <c r="L21" s="102">
        <v>1.063993297769634E-2</v>
      </c>
      <c r="M21" s="104">
        <f t="shared" si="9"/>
        <v>8.2442391068153209E-2</v>
      </c>
      <c r="N21" s="98">
        <v>2</v>
      </c>
      <c r="O21" s="87">
        <v>8</v>
      </c>
      <c r="P21" s="363">
        <v>75</v>
      </c>
      <c r="Q21" s="34">
        <f t="shared" si="10"/>
        <v>1.8867553181676773</v>
      </c>
      <c r="R21" s="26">
        <f t="shared" si="10"/>
        <v>5.8419509363444044</v>
      </c>
      <c r="S21" s="26">
        <f t="shared" si="10"/>
        <v>13.885034285162646</v>
      </c>
      <c r="T21" s="26">
        <f t="shared" si="10"/>
        <v>2.9982747996967034E-2</v>
      </c>
      <c r="U21" s="26">
        <f t="shared" si="10"/>
        <v>0.46466739672943785</v>
      </c>
      <c r="V21" s="26">
        <f t="shared" si="10"/>
        <v>0.41355398308919972</v>
      </c>
      <c r="W21" s="26">
        <f t="shared" si="10"/>
        <v>2664.7266499924035</v>
      </c>
      <c r="X21" s="26">
        <f t="shared" si="10"/>
        <v>0.17023892764314144</v>
      </c>
      <c r="Y21" s="26">
        <f t="shared" si="10"/>
        <v>1.3190782570904513</v>
      </c>
    </row>
    <row r="22" spans="1:25" s="3" customFormat="1">
      <c r="A22" s="11" t="s">
        <v>28</v>
      </c>
      <c r="B22" s="579"/>
      <c r="C22" s="18"/>
      <c r="D22" s="22"/>
      <c r="E22" s="19"/>
      <c r="F22" s="19"/>
      <c r="G22" s="19"/>
      <c r="H22" s="19"/>
      <c r="I22" s="19"/>
      <c r="J22" s="19"/>
      <c r="K22" s="19"/>
      <c r="L22" s="19"/>
      <c r="M22" s="19"/>
      <c r="N22" s="30"/>
      <c r="O22" s="30"/>
      <c r="P22" s="364"/>
      <c r="Q22" s="20">
        <f t="shared" ref="Q22:Y22" si="11">SUM(Q20:Q21)</f>
        <v>2.8590661532602</v>
      </c>
      <c r="R22" s="20">
        <f t="shared" si="11"/>
        <v>10.176236650630118</v>
      </c>
      <c r="S22" s="27">
        <f t="shared" si="11"/>
        <v>18.703705713734074</v>
      </c>
      <c r="T22" s="20">
        <f t="shared" si="11"/>
        <v>4.1137385151868364E-2</v>
      </c>
      <c r="U22" s="20">
        <f t="shared" si="11"/>
        <v>0.72238168244372347</v>
      </c>
      <c r="V22" s="20">
        <f t="shared" si="11"/>
        <v>0.64291969737491395</v>
      </c>
      <c r="W22" s="20">
        <f t="shared" si="11"/>
        <v>3656.0986102893653</v>
      </c>
      <c r="X22" s="20">
        <f t="shared" si="11"/>
        <v>0.26400067471487498</v>
      </c>
      <c r="Y22" s="20">
        <f t="shared" si="11"/>
        <v>1.776852042804737</v>
      </c>
    </row>
    <row r="23" spans="1:25" s="3" customFormat="1">
      <c r="A23" s="11"/>
      <c r="B23" s="579"/>
      <c r="C23" s="18"/>
      <c r="D23" s="22"/>
      <c r="E23" s="19"/>
      <c r="F23" s="19"/>
      <c r="G23" s="19"/>
      <c r="H23" s="19"/>
      <c r="I23" s="19"/>
      <c r="J23" s="19"/>
      <c r="K23" s="19"/>
      <c r="L23" s="19"/>
      <c r="M23" s="19"/>
      <c r="N23" s="30"/>
      <c r="O23" s="30"/>
      <c r="P23" s="364"/>
      <c r="Q23" s="20"/>
      <c r="R23" s="20"/>
      <c r="S23" s="27"/>
      <c r="T23" s="20"/>
      <c r="U23" s="20"/>
      <c r="V23" s="20"/>
      <c r="W23" s="20"/>
      <c r="X23" s="20"/>
      <c r="Y23" s="20"/>
    </row>
    <row r="24" spans="1:25">
      <c r="A24" s="11" t="s">
        <v>286</v>
      </c>
      <c r="B24" s="22"/>
      <c r="C24" s="18"/>
      <c r="D24" s="22"/>
      <c r="E24" s="19"/>
      <c r="F24" s="19"/>
      <c r="G24" s="19"/>
      <c r="H24" s="19"/>
      <c r="I24" s="19"/>
      <c r="J24" s="19"/>
      <c r="K24" s="19"/>
      <c r="L24" s="19"/>
      <c r="M24" s="19"/>
      <c r="N24" s="11"/>
      <c r="O24" s="11"/>
      <c r="P24" s="11"/>
      <c r="Q24" s="27"/>
      <c r="R24" s="27"/>
      <c r="S24" s="27"/>
      <c r="T24" s="27"/>
      <c r="U24" s="27"/>
      <c r="V24" s="27"/>
      <c r="W24" s="28"/>
      <c r="X24" s="27"/>
      <c r="Y24" s="27"/>
    </row>
    <row r="25" spans="1:25">
      <c r="A25" s="100" t="s">
        <v>287</v>
      </c>
      <c r="B25" s="97" t="s">
        <v>27</v>
      </c>
      <c r="C25" s="97">
        <v>37</v>
      </c>
      <c r="D25" s="22">
        <v>0.37</v>
      </c>
      <c r="E25" s="102">
        <v>3.2313389441625637E-2</v>
      </c>
      <c r="F25" s="397">
        <f>IF($C25&lt;11,'Offroad Tiers EF (2)'!$AN$4*$C25*$D25,IF($C25&lt;25,'Offroad Tiers EF (2)'!$AN$5*$C25*$D25,IF($C25&lt;50,'Offroad Tiers EF (2)'!$AN$6*$C25*$D25,IF($C25&lt;75,'Offroad Tiers EF (2)'!$AN$7*$C25*$D25,IF($C25&lt;100,'Offroad Tiers EF (2)'!$AN$8*$C25*$D25,IF($C25&lt;175,'Offroad Tiers EF (2)'!$AN$9*$C25*$D25,IF($C25&lt;300,'Offroad Tiers EF (2)'!$AN$10*$C25*$D25,IF($C25&lt;600,'Offroad Tiers EF (2)'!$AN$11*$C25*$D25,"!"))))))))</f>
        <v>0.12374118165784832</v>
      </c>
      <c r="G25" s="397">
        <f>IF($C25&lt;11,'Offroad Tiers EF (2)'!$AM$4*$C25*$D25,IF($C25&lt;25,'Offroad Tiers EF (2)'!$AM$5*$C25*$D25,IF($C25&lt;50,'Offroad Tiers EF (2)'!$AM$6*$C25*$D25,IF($C25&lt;75,'Offroad Tiers EF (2)'!$AM$7*$C25*$D25,IF($C25&lt;100,'Offroad Tiers EF (2)'!$AM$8*$C25*$D25,IF($C25&lt;175,'Offroad Tiers EF (2)'!$AM$9*$C25*$D25,IF($C25&lt;300,'Offroad Tiers EF (2)'!$AM$10*$C25*$D25,IF($C25&lt;600,'Offroad Tiers EF (2)'!$AM$11*$C25*$D25,"!"))))))))</f>
        <v>0.16056172839506169</v>
      </c>
      <c r="H25" s="102">
        <v>3.2989906092678058E-4</v>
      </c>
      <c r="I25" s="397">
        <f>IF($C25&lt;11,'Offroad Tiers EF (2)'!$AO$4*$C25*$D25,IF($C25&lt;25,'Offroad Tiers EF (2)'!$AO$5*$C25*$D25,IF($C25&lt;50,'Offroad Tiers EF (2)'!$AO$6*$C25*$D25,IF($C25&lt;75,'Offroad Tiers EF (2)'!$AO$7*$C25*$D25,IF($C25&lt;100,'Offroad Tiers EF (2)'!$AO$8*$C25*$D25,IF($C25&lt;175,'Offroad Tiers EF (2)'!$AO$9*$C25*$D25,IF($C25&lt;300,'Offroad Tiers EF (2)'!$AO$10*$C25*$D25,IF($C25&lt;600,'Offroad Tiers EF (2)'!$AO$11*$C25*$D25,"!"))))))))</f>
        <v>1.3581349206349205E-2</v>
      </c>
      <c r="J25" s="100">
        <f t="shared" ref="J25:J28" si="12">0.89*I25</f>
        <v>1.2087400793650793E-2</v>
      </c>
      <c r="K25" s="103">
        <v>25.519156990664225</v>
      </c>
      <c r="L25" s="102">
        <v>3.413848047070189E-3</v>
      </c>
      <c r="M25" s="104">
        <f t="shared" ref="M25:M28" si="13">0.095*G25</f>
        <v>1.5253364197530862E-2</v>
      </c>
      <c r="N25" s="88">
        <v>1</v>
      </c>
      <c r="O25" s="88">
        <v>1</v>
      </c>
      <c r="P25" s="367">
        <v>75</v>
      </c>
      <c r="Q25" s="26">
        <f t="shared" ref="Q25:Y28" si="14">(E25*$N25*$O25)</f>
        <v>3.2313389441625637E-2</v>
      </c>
      <c r="R25" s="26">
        <f t="shared" si="14"/>
        <v>0.12374118165784832</v>
      </c>
      <c r="S25" s="26">
        <f t="shared" si="14"/>
        <v>0.16056172839506169</v>
      </c>
      <c r="T25" s="26">
        <f t="shared" si="14"/>
        <v>3.2989906092678058E-4</v>
      </c>
      <c r="U25" s="26">
        <f t="shared" si="14"/>
        <v>1.3581349206349205E-2</v>
      </c>
      <c r="V25" s="26">
        <f t="shared" si="14"/>
        <v>1.2087400793650793E-2</v>
      </c>
      <c r="W25" s="26">
        <f t="shared" si="14"/>
        <v>25.519156990664225</v>
      </c>
      <c r="X25" s="26">
        <f t="shared" si="14"/>
        <v>3.413848047070189E-3</v>
      </c>
      <c r="Y25" s="26">
        <f t="shared" si="14"/>
        <v>1.5253364197530862E-2</v>
      </c>
    </row>
    <row r="26" spans="1:25">
      <c r="A26" s="100" t="s">
        <v>121</v>
      </c>
      <c r="B26" s="29" t="s">
        <v>27</v>
      </c>
      <c r="C26" s="22">
        <v>162</v>
      </c>
      <c r="D26" s="22">
        <v>0.41</v>
      </c>
      <c r="E26" s="108">
        <v>0.12153885438656534</v>
      </c>
      <c r="F26" s="397">
        <f>IF($C26&lt;11,'Offroad Tiers EF (2)'!$AN$4*$C26*$D26,IF($C26&lt;25,'Offroad Tiers EF (2)'!$AN$5*$C26*$D26,IF($C26&lt;50,'Offroad Tiers EF (2)'!$AN$6*$C26*$D26,IF($C26&lt;75,'Offroad Tiers EF (2)'!$AN$7*$C26*$D26,IF($C26&lt;100,'Offroad Tiers EF (2)'!$AN$8*$C26*$D26,IF($C26&lt;175,'Offroad Tiers EF (2)'!$AN$9*$C26*$D26,IF($C26&lt;300,'Offroad Tiers EF (2)'!$AN$10*$C26*$D26,IF($C26&lt;600,'Offroad Tiers EF (2)'!$AN$11*$C26*$D26,"!"))))))))</f>
        <v>0.5417857142857142</v>
      </c>
      <c r="G26" s="397">
        <f>IF($C26&lt;11,'Offroad Tiers EF (2)'!$AM$4*$C26*$D26,IF($C26&lt;25,'Offroad Tiers EF (2)'!$AM$5*$C26*$D26,IF($C26&lt;50,'Offroad Tiers EF (2)'!$AM$6*$C26*$D26,IF($C26&lt;75,'Offroad Tiers EF (2)'!$AM$7*$C26*$D26,IF($C26&lt;100,'Offroad Tiers EF (2)'!$AM$8*$C26*$D26,IF($C26&lt;175,'Offroad Tiers EF (2)'!$AM$9*$C26*$D26,IF($C26&lt;300,'Offroad Tiers EF (2)'!$AM$10*$C26*$D26,IF($C26&lt;600,'Offroad Tiers EF (2)'!$AM$11*$C26*$D26,"!"))))))))</f>
        <v>0.60233392857142853</v>
      </c>
      <c r="H26" s="108">
        <v>1.3943296443626662E-3</v>
      </c>
      <c r="I26" s="397">
        <f>IF($C26&lt;11,'Offroad Tiers EF (2)'!$AO$4*$C26*$D26,IF($C26&lt;25,'Offroad Tiers EF (2)'!$AO$5*$C26*$D26,IF($C26&lt;50,'Offroad Tiers EF (2)'!$AO$6*$C26*$D26,IF($C26&lt;75,'Offroad Tiers EF (2)'!$AO$7*$C26*$D26,IF($C26&lt;100,'Offroad Tiers EF (2)'!$AO$8*$C26*$D26,IF($C26&lt;175,'Offroad Tiers EF (2)'!$AO$9*$C26*$D26,IF($C26&lt;300,'Offroad Tiers EF (2)'!$AO$10*$C26*$D26,IF($C26&lt;600,'Offroad Tiers EF (2)'!$AO$11*$C26*$D26,"!"))))))))</f>
        <v>3.2214285714285709E-2</v>
      </c>
      <c r="J26" s="100">
        <f t="shared" si="12"/>
        <v>2.8670714285714282E-2</v>
      </c>
      <c r="K26" s="365">
        <v>123.92149503712022</v>
      </c>
      <c r="L26" s="23">
        <v>1.1720218383966691E-2</v>
      </c>
      <c r="M26" s="102">
        <f t="shared" si="13"/>
        <v>5.7221723214285709E-2</v>
      </c>
      <c r="N26" s="98">
        <v>1</v>
      </c>
      <c r="O26" s="87">
        <v>8</v>
      </c>
      <c r="P26" s="363">
        <v>75</v>
      </c>
      <c r="Q26" s="34">
        <f t="shared" si="14"/>
        <v>0.9723108350925227</v>
      </c>
      <c r="R26" s="26">
        <f t="shared" si="14"/>
        <v>4.3342857142857136</v>
      </c>
      <c r="S26" s="26">
        <f t="shared" si="14"/>
        <v>4.8186714285714283</v>
      </c>
      <c r="T26" s="26">
        <f t="shared" si="14"/>
        <v>1.115463715490133E-2</v>
      </c>
      <c r="U26" s="26">
        <f t="shared" si="14"/>
        <v>0.25771428571428567</v>
      </c>
      <c r="V26" s="26">
        <f t="shared" si="14"/>
        <v>0.22936571428571426</v>
      </c>
      <c r="W26" s="26">
        <f t="shared" si="14"/>
        <v>991.37196029696179</v>
      </c>
      <c r="X26" s="26">
        <f t="shared" si="14"/>
        <v>9.3761747071733528E-2</v>
      </c>
      <c r="Y26" s="26">
        <f t="shared" si="14"/>
        <v>0.45777378571428567</v>
      </c>
    </row>
    <row r="27" spans="1:25">
      <c r="A27" s="100" t="s">
        <v>124</v>
      </c>
      <c r="B27" s="29" t="s">
        <v>27</v>
      </c>
      <c r="C27" s="97">
        <v>87</v>
      </c>
      <c r="D27" s="22">
        <v>0.37</v>
      </c>
      <c r="E27" s="102">
        <v>7.7253202863558038E-2</v>
      </c>
      <c r="F27" s="397">
        <f>IF($C27&lt;11,'Offroad Tiers EF (2)'!$AN$4*$C27*$D27,IF($C27&lt;25,'Offroad Tiers EF (2)'!$AN$5*$C27*$D27,IF($C27&lt;50,'Offroad Tiers EF (2)'!$AN$6*$C27*$D27,IF($C27&lt;75,'Offroad Tiers EF (2)'!$AN$7*$C27*$D27,IF($C27&lt;100,'Offroad Tiers EF (2)'!$AN$8*$C27*$D27,IF($C27&lt;175,'Offroad Tiers EF (2)'!$AN$9*$C27*$D27,IF($C27&lt;300,'Offroad Tiers EF (2)'!$AN$10*$C27*$D27,IF($C27&lt;600,'Offroad Tiers EF (2)'!$AN$11*$C27*$D27,"!"))))))))</f>
        <v>0.26257275132275132</v>
      </c>
      <c r="G27" s="397">
        <f>IF($C27&lt;11,'Offroad Tiers EF (2)'!$AM$4*$C27*$D27,IF($C27&lt;25,'Offroad Tiers EF (2)'!$AM$5*$C27*$D27,IF($C27&lt;50,'Offroad Tiers EF (2)'!$AM$6*$C27*$D27,IF($C27&lt;75,'Offroad Tiers EF (2)'!$AM$7*$C27*$D27,IF($C27&lt;100,'Offroad Tiers EF (2)'!$AM$8*$C27*$D27,IF($C27&lt;175,'Offroad Tiers EF (2)'!$AM$9*$C27*$D27,IF($C27&lt;300,'Offroad Tiers EF (2)'!$AM$10*$C27*$D27,IF($C27&lt;600,'Offroad Tiers EF (2)'!$AM$11*$C27*$D27,"!"))))))))</f>
        <v>0.33506412037037031</v>
      </c>
      <c r="H27" s="102">
        <v>6.910856115004858E-4</v>
      </c>
      <c r="I27" s="397">
        <f>IF($C27&lt;11,'Offroad Tiers EF (2)'!$AO$4*$C27*$D27,IF($C27&lt;25,'Offroad Tiers EF (2)'!$AO$5*$C27*$D27,IF($C27&lt;50,'Offroad Tiers EF (2)'!$AO$6*$C27*$D27,IF($C27&lt;75,'Offroad Tiers EF (2)'!$AO$7*$C27*$D27,IF($C27&lt;100,'Offroad Tiers EF (2)'!$AO$8*$C27*$D27,IF($C27&lt;175,'Offroad Tiers EF (2)'!$AO$9*$C27*$D27,IF($C27&lt;300,'Offroad Tiers EF (2)'!$AO$10*$C27*$D27,IF($C27&lt;600,'Offroad Tiers EF (2)'!$AO$11*$C27*$D27,"!"))))))))</f>
        <v>2.1289682539682539E-2</v>
      </c>
      <c r="J27" s="100">
        <f t="shared" si="12"/>
        <v>1.894781746031746E-2</v>
      </c>
      <c r="K27" s="103">
        <v>58.913505111712794</v>
      </c>
      <c r="L27" s="102">
        <v>7.5344751889799754E-3</v>
      </c>
      <c r="M27" s="102">
        <f t="shared" si="13"/>
        <v>3.1831091435185178E-2</v>
      </c>
      <c r="N27" s="98">
        <v>1</v>
      </c>
      <c r="O27" s="87">
        <v>8</v>
      </c>
      <c r="P27" s="363">
        <v>15</v>
      </c>
      <c r="Q27" s="34">
        <f t="shared" si="14"/>
        <v>0.6180256229084643</v>
      </c>
      <c r="R27" s="26">
        <f t="shared" si="14"/>
        <v>2.1005820105820106</v>
      </c>
      <c r="S27" s="26">
        <f t="shared" si="14"/>
        <v>2.6805129629629625</v>
      </c>
      <c r="T27" s="26">
        <f t="shared" si="14"/>
        <v>5.5286848920038864E-3</v>
      </c>
      <c r="U27" s="26">
        <f t="shared" si="14"/>
        <v>0.17031746031746031</v>
      </c>
      <c r="V27" s="26">
        <f t="shared" si="14"/>
        <v>0.15158253968253968</v>
      </c>
      <c r="W27" s="26">
        <f t="shared" si="14"/>
        <v>471.30804089370235</v>
      </c>
      <c r="X27" s="26">
        <f t="shared" si="14"/>
        <v>6.0275801511839804E-2</v>
      </c>
      <c r="Y27" s="26">
        <f t="shared" si="14"/>
        <v>0.25464873148148143</v>
      </c>
    </row>
    <row r="28" spans="1:25">
      <c r="A28" s="100" t="s">
        <v>126</v>
      </c>
      <c r="B28" s="22" t="s">
        <v>27</v>
      </c>
      <c r="C28" s="22">
        <v>175</v>
      </c>
      <c r="D28" s="22"/>
      <c r="E28" s="102">
        <v>0.11792220738547983</v>
      </c>
      <c r="F28" s="102">
        <v>0.36512193352152528</v>
      </c>
      <c r="G28" s="102">
        <v>0.86781464282266541</v>
      </c>
      <c r="H28" s="102">
        <v>1.8739217498104396E-3</v>
      </c>
      <c r="I28" s="102">
        <v>2.9041712295589866E-2</v>
      </c>
      <c r="J28" s="100">
        <f t="shared" si="12"/>
        <v>2.5847123943074982E-2</v>
      </c>
      <c r="K28" s="103">
        <v>166.54541562452522</v>
      </c>
      <c r="L28" s="102">
        <v>1.063993297769634E-2</v>
      </c>
      <c r="M28" s="104">
        <f t="shared" si="13"/>
        <v>8.2442391068153209E-2</v>
      </c>
      <c r="N28" s="88">
        <v>1</v>
      </c>
      <c r="O28" s="88">
        <v>3</v>
      </c>
      <c r="P28" s="367">
        <v>40</v>
      </c>
      <c r="Q28" s="26">
        <f t="shared" si="14"/>
        <v>0.3537666221564395</v>
      </c>
      <c r="R28" s="26">
        <f t="shared" si="14"/>
        <v>1.0953658005645759</v>
      </c>
      <c r="S28" s="26">
        <f t="shared" si="14"/>
        <v>2.6034439284679962</v>
      </c>
      <c r="T28" s="26">
        <f t="shared" si="14"/>
        <v>5.6217652494313184E-3</v>
      </c>
      <c r="U28" s="26">
        <f t="shared" si="14"/>
        <v>8.7125136886769594E-2</v>
      </c>
      <c r="V28" s="26">
        <f t="shared" si="14"/>
        <v>7.754137182922495E-2</v>
      </c>
      <c r="W28" s="26">
        <f t="shared" si="14"/>
        <v>499.63624687357566</v>
      </c>
      <c r="X28" s="26">
        <f t="shared" si="14"/>
        <v>3.1919798933089022E-2</v>
      </c>
      <c r="Y28" s="26">
        <f t="shared" si="14"/>
        <v>0.24732717320445963</v>
      </c>
    </row>
    <row r="29" spans="1:25">
      <c r="A29" s="17" t="s">
        <v>28</v>
      </c>
      <c r="B29" s="97"/>
      <c r="C29" s="22"/>
      <c r="D29" s="22"/>
      <c r="E29" s="23"/>
      <c r="F29" s="23"/>
      <c r="G29" s="23"/>
      <c r="H29" s="23"/>
      <c r="I29" s="23"/>
      <c r="J29" s="24"/>
      <c r="K29" s="25"/>
      <c r="L29" s="23"/>
      <c r="M29" s="23"/>
      <c r="N29" s="88"/>
      <c r="O29" s="88"/>
      <c r="P29" s="88"/>
      <c r="Q29" s="27">
        <f t="shared" ref="Q29:Y29" si="15">SUM(Q25:Q28)</f>
        <v>1.976416469599052</v>
      </c>
      <c r="R29" s="27">
        <f t="shared" si="15"/>
        <v>7.653974707090148</v>
      </c>
      <c r="S29" s="27">
        <f t="shared" si="15"/>
        <v>10.263190048397449</v>
      </c>
      <c r="T29" s="27">
        <f t="shared" si="15"/>
        <v>2.2634986357263312E-2</v>
      </c>
      <c r="U29" s="27">
        <f t="shared" si="15"/>
        <v>0.52873823212486482</v>
      </c>
      <c r="V29" s="27">
        <f t="shared" si="15"/>
        <v>0.47057702659112965</v>
      </c>
      <c r="W29" s="27">
        <f t="shared" si="15"/>
        <v>1987.835405054904</v>
      </c>
      <c r="X29" s="27">
        <f t="shared" si="15"/>
        <v>0.18937119556373255</v>
      </c>
      <c r="Y29" s="27">
        <f t="shared" si="15"/>
        <v>0.9750030545977576</v>
      </c>
    </row>
    <row r="30" spans="1:25">
      <c r="A30" s="11"/>
      <c r="B30" s="579"/>
      <c r="C30" s="18"/>
      <c r="D30" s="22"/>
      <c r="E30" s="19"/>
      <c r="F30" s="19"/>
      <c r="G30" s="19"/>
      <c r="H30" s="19"/>
      <c r="I30" s="19"/>
      <c r="J30" s="19"/>
      <c r="K30" s="19"/>
      <c r="L30" s="19"/>
      <c r="M30" s="19"/>
      <c r="N30" s="30"/>
      <c r="O30" s="375"/>
      <c r="P30" s="364"/>
      <c r="Q30" s="20"/>
      <c r="R30" s="20"/>
      <c r="S30" s="27"/>
      <c r="T30" s="20"/>
      <c r="U30" s="20"/>
      <c r="V30" s="20"/>
      <c r="W30" s="21"/>
      <c r="X30" s="20"/>
      <c r="Y30" s="20"/>
    </row>
    <row r="31" spans="1:25">
      <c r="A31" s="17" t="s">
        <v>365</v>
      </c>
      <c r="B31" s="549"/>
      <c r="C31" s="18"/>
      <c r="D31" s="22"/>
      <c r="E31" s="19"/>
      <c r="F31" s="19"/>
      <c r="G31" s="19"/>
      <c r="H31" s="19"/>
      <c r="I31" s="19"/>
      <c r="J31" s="19"/>
      <c r="K31" s="19"/>
      <c r="L31" s="19"/>
      <c r="M31" s="19"/>
      <c r="N31" s="30"/>
      <c r="O31" s="30"/>
      <c r="P31" s="364"/>
      <c r="Q31" s="20">
        <f>Q11+Q17+Q22+Q29</f>
        <v>7.1498725801603573</v>
      </c>
      <c r="R31" s="20">
        <f t="shared" ref="R31:Y31" si="16">R11+R17+R22+R29</f>
        <v>26.660467970372387</v>
      </c>
      <c r="S31" s="20">
        <f t="shared" si="16"/>
        <v>44.44615806774874</v>
      </c>
      <c r="T31" s="20">
        <f t="shared" si="16"/>
        <v>9.3843255612222523E-2</v>
      </c>
      <c r="U31" s="20">
        <f t="shared" si="16"/>
        <v>1.9710813953227224</v>
      </c>
      <c r="V31" s="20">
        <f t="shared" si="16"/>
        <v>1.754262441837223</v>
      </c>
      <c r="W31" s="20">
        <f t="shared" si="16"/>
        <v>8245.5210679025349</v>
      </c>
      <c r="X31" s="20">
        <f t="shared" si="16"/>
        <v>0.68020735872505256</v>
      </c>
      <c r="Y31" s="20">
        <f t="shared" si="16"/>
        <v>4.2223850164361307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90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571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C9*(F9)*$B$297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C10*(F10)*$B$297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 ht="25.5">
      <c r="A13" s="114" t="s">
        <v>315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326</v>
      </c>
      <c r="B14" s="76" t="s">
        <v>95</v>
      </c>
      <c r="C14" s="79">
        <v>3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9.9891275533645019E-2</v>
      </c>
      <c r="U14" s="50">
        <f>C14*($F14*$H14)/453.59</f>
        <v>0.18440937782971867</v>
      </c>
      <c r="V14" s="50">
        <f>C14*(($F14*$I14))/453.59</f>
        <v>2.253067276294635E-2</v>
      </c>
      <c r="W14" s="50">
        <f>C14*($F14*$J14)/453.59</f>
        <v>1.3898613406074772E-3</v>
      </c>
      <c r="X14" s="50">
        <f>C14*(($F14*($K14+$L14+$M14)))/453.59</f>
        <v>3.6369464870151122E-2</v>
      </c>
      <c r="Y14" s="50">
        <f>C14*(($F14*($N14+$O14+$P14)))/453.59</f>
        <v>2.4166098982977401E-2</v>
      </c>
      <c r="Z14" s="50">
        <f>C14*(F14)*$B$297</f>
        <v>0</v>
      </c>
      <c r="AA14" s="50">
        <f>Z14*0.21</f>
        <v>0</v>
      </c>
      <c r="AB14" s="50">
        <f>C14*(($F14*($Q14)))/453.59</f>
        <v>96.814105590256631</v>
      </c>
      <c r="AC14" s="50">
        <f>C14*(($F14*($R14)))/453.59</f>
        <v>5.5322484357440338E-3</v>
      </c>
      <c r="AD14" s="50">
        <f>C14*(($F14*($S14)))/453.59</f>
        <v>2.4799901288000137E-3</v>
      </c>
    </row>
    <row r="15" spans="1:30">
      <c r="A15" s="78" t="s">
        <v>327</v>
      </c>
      <c r="B15" s="76" t="s">
        <v>105</v>
      </c>
      <c r="C15" s="374">
        <v>1</v>
      </c>
      <c r="D15" s="77"/>
      <c r="E15" s="77">
        <v>35</v>
      </c>
      <c r="F15" s="77">
        <v>80</v>
      </c>
      <c r="G15" s="106">
        <v>1.08263976628415</v>
      </c>
      <c r="H15" s="106">
        <v>4.9712718909585103</v>
      </c>
      <c r="I15" s="106">
        <v>0.26248012575016899</v>
      </c>
      <c r="J15" s="106">
        <v>1.0711818E-2</v>
      </c>
      <c r="K15" s="106">
        <v>7.1679901072141505E-2</v>
      </c>
      <c r="L15" s="576">
        <v>3.59998119015979E-2</v>
      </c>
      <c r="M15" s="576">
        <v>6.1739677411240299E-2</v>
      </c>
      <c r="N15" s="106">
        <v>6.5945508986370194E-2</v>
      </c>
      <c r="O15" s="576">
        <v>2.9999843251331498E-3</v>
      </c>
      <c r="P15" s="576">
        <v>5.5859708133979398E-2</v>
      </c>
      <c r="Q15" s="106">
        <v>1710.7260798814</v>
      </c>
      <c r="R15" s="47">
        <v>1.5235246282551899E-2</v>
      </c>
      <c r="S15" s="80">
        <f>0.000025616*Q15</f>
        <v>4.3821959262241944E-2</v>
      </c>
      <c r="T15" s="50">
        <f>C15*($F15*$G15)/453.59</f>
        <v>0.19094596728925242</v>
      </c>
      <c r="U15" s="50">
        <f>C15*($F15*$H15)/453.59</f>
        <v>0.87678685878586582</v>
      </c>
      <c r="V15" s="50">
        <f>C15*(($F15*$I15))/453.59</f>
        <v>4.6293811724274173E-2</v>
      </c>
      <c r="W15" s="50">
        <f>C15*($F15*$J15)/453.59</f>
        <v>1.8892511739676801E-3</v>
      </c>
      <c r="X15" s="50">
        <f>C15*(($F15*($K15+$L15+$M15)))/453.59</f>
        <v>2.9880621774726907E-2</v>
      </c>
      <c r="Y15" s="50">
        <f>C15*(($F15*($N15+$O15+$P15)))/453.59</f>
        <v>2.2011984646131133E-2</v>
      </c>
      <c r="Z15" s="50">
        <f>C15*(F15)*$B$297</f>
        <v>0</v>
      </c>
      <c r="AA15" s="50">
        <f>Z15*0.21</f>
        <v>0</v>
      </c>
      <c r="AB15" s="50">
        <f>C15*(($F15*($Q15)))/453.59</f>
        <v>301.72200972356535</v>
      </c>
      <c r="AC15" s="50">
        <f>C15*(($F15*($R15)))/453.59</f>
        <v>2.6870515280410772E-3</v>
      </c>
      <c r="AD15" s="50">
        <f>C15*(($F15*($S15)))/453.59</f>
        <v>7.7289110010788503E-3</v>
      </c>
    </row>
    <row r="16" spans="1:30">
      <c r="A16" s="75" t="s">
        <v>28</v>
      </c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>
        <f t="shared" ref="T16:AD16" si="1">SUM(T14:T15)</f>
        <v>0.29083724282289747</v>
      </c>
      <c r="U16" s="81">
        <f t="shared" si="1"/>
        <v>1.0611962366155845</v>
      </c>
      <c r="V16" s="81">
        <f t="shared" si="1"/>
        <v>6.8824484487220519E-2</v>
      </c>
      <c r="W16" s="81">
        <f t="shared" si="1"/>
        <v>3.2791125145751575E-3</v>
      </c>
      <c r="X16" s="81">
        <f t="shared" si="1"/>
        <v>6.6250086644878026E-2</v>
      </c>
      <c r="Y16" s="81">
        <f t="shared" si="1"/>
        <v>4.6178083629108538E-2</v>
      </c>
      <c r="Z16" s="81">
        <f t="shared" si="1"/>
        <v>0</v>
      </c>
      <c r="AA16" s="81">
        <f t="shared" si="1"/>
        <v>0</v>
      </c>
      <c r="AB16" s="81">
        <f t="shared" si="1"/>
        <v>398.53611531382199</v>
      </c>
      <c r="AC16" s="81">
        <f t="shared" si="1"/>
        <v>8.2192999637851101E-3</v>
      </c>
      <c r="AD16" s="81">
        <f t="shared" si="1"/>
        <v>1.0208901129878864E-2</v>
      </c>
    </row>
    <row r="17" spans="1:30">
      <c r="A17" s="75"/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</row>
    <row r="18" spans="1:30">
      <c r="A18" s="114" t="s">
        <v>330</v>
      </c>
      <c r="B18" s="74"/>
      <c r="C18" s="112"/>
      <c r="D18" s="112"/>
      <c r="E18" s="74"/>
      <c r="F18" s="74"/>
      <c r="G18" s="577"/>
      <c r="H18" s="41"/>
      <c r="I18" s="41"/>
      <c r="J18" s="41"/>
      <c r="K18" s="574"/>
      <c r="L18" s="574"/>
      <c r="M18" s="574"/>
      <c r="N18" s="574"/>
      <c r="O18" s="574"/>
      <c r="P18" s="574"/>
      <c r="Q18" s="41"/>
      <c r="R18" s="574"/>
      <c r="S18" s="574"/>
      <c r="T18" s="61"/>
      <c r="U18" s="61"/>
      <c r="V18" s="61"/>
      <c r="W18" s="61"/>
      <c r="X18" s="61"/>
      <c r="Y18" s="61"/>
      <c r="Z18" s="62"/>
      <c r="AA18" s="62"/>
      <c r="AB18" s="62"/>
      <c r="AC18" s="62"/>
      <c r="AD18" s="62"/>
    </row>
    <row r="19" spans="1:30">
      <c r="A19" s="78" t="s">
        <v>320</v>
      </c>
      <c r="B19" s="76" t="s">
        <v>95</v>
      </c>
      <c r="C19" s="79">
        <v>12</v>
      </c>
      <c r="D19" s="77"/>
      <c r="E19" s="77">
        <v>35</v>
      </c>
      <c r="F19" s="77">
        <v>60</v>
      </c>
      <c r="G19" s="106">
        <v>0.25172046482947802</v>
      </c>
      <c r="H19" s="106">
        <v>0.464701387165456</v>
      </c>
      <c r="I19" s="106">
        <v>5.6776043658582402E-2</v>
      </c>
      <c r="J19" s="106">
        <v>3.5023733638119199E-3</v>
      </c>
      <c r="K19" s="106">
        <v>4.6899256897933901E-2</v>
      </c>
      <c r="L19" s="47">
        <v>7.99995847163921E-3</v>
      </c>
      <c r="M19" s="47">
        <v>3.6749815577381599E-2</v>
      </c>
      <c r="N19" s="106">
        <v>4.3147317248333997E-2</v>
      </c>
      <c r="O19" s="47">
        <v>1.9999896145790402E-3</v>
      </c>
      <c r="P19" s="47">
        <v>1.57499200131354E-2</v>
      </c>
      <c r="Q19" s="106">
        <v>243.966167526025</v>
      </c>
      <c r="R19" s="47">
        <f>0.000057143*Q19</f>
        <v>1.3940958710939646E-2</v>
      </c>
      <c r="S19" s="80">
        <f>0.000025616*Q19</f>
        <v>6.2494373473466567E-3</v>
      </c>
      <c r="T19" s="50">
        <f>C19*($F19*$G19)/453.59</f>
        <v>0.39956510213458007</v>
      </c>
      <c r="U19" s="50">
        <f>C19*($F19*$H19)/453.59</f>
        <v>0.73763751131887467</v>
      </c>
      <c r="V19" s="50">
        <f>C19*(($F19*$I19))/453.59</f>
        <v>9.01226910517854E-2</v>
      </c>
      <c r="W19" s="50">
        <f>C19*($F19*$J19)/453.59</f>
        <v>5.5594453624299087E-3</v>
      </c>
      <c r="X19" s="50">
        <f>C19*(($F19*($K19+$L19+$M19)))/453.59</f>
        <v>0.14547785948060449</v>
      </c>
      <c r="Y19" s="50">
        <f>C19*(($F19*($N19+$O19+$P19)))/453.59</f>
        <v>9.6664395931909605E-2</v>
      </c>
      <c r="Z19" s="50">
        <f>C19*(F19)*$B$297</f>
        <v>0</v>
      </c>
      <c r="AA19" s="50">
        <f>Z19*0.21</f>
        <v>0</v>
      </c>
      <c r="AB19" s="50">
        <f>C19*(($F19*($Q19)))/453.59</f>
        <v>387.25642236102652</v>
      </c>
      <c r="AC19" s="50">
        <f>C19*(($F19*($R19)))/453.59</f>
        <v>2.2128993742976135E-2</v>
      </c>
      <c r="AD19" s="50">
        <f>C19*(($F19*($S19)))/453.59</f>
        <v>9.9199605152000547E-3</v>
      </c>
    </row>
    <row r="20" spans="1:30">
      <c r="A20" s="75" t="s">
        <v>28</v>
      </c>
      <c r="B20" s="74"/>
      <c r="C20" s="112"/>
      <c r="D20" s="112"/>
      <c r="E20" s="74"/>
      <c r="F20" s="74"/>
      <c r="G20" s="577"/>
      <c r="H20" s="41"/>
      <c r="I20" s="41"/>
      <c r="J20" s="41"/>
      <c r="K20" s="574"/>
      <c r="L20" s="574"/>
      <c r="M20" s="574"/>
      <c r="N20" s="574"/>
      <c r="O20" s="574"/>
      <c r="P20" s="574"/>
      <c r="Q20" s="41"/>
      <c r="R20" s="574"/>
      <c r="S20" s="574"/>
      <c r="T20" s="81">
        <f t="shared" ref="T20:AD20" si="2">SUM(T19:T19)</f>
        <v>0.39956510213458007</v>
      </c>
      <c r="U20" s="81">
        <f t="shared" si="2"/>
        <v>0.73763751131887467</v>
      </c>
      <c r="V20" s="81">
        <f t="shared" si="2"/>
        <v>9.01226910517854E-2</v>
      </c>
      <c r="W20" s="81">
        <f t="shared" si="2"/>
        <v>5.5594453624299087E-3</v>
      </c>
      <c r="X20" s="81">
        <f t="shared" si="2"/>
        <v>0.14547785948060449</v>
      </c>
      <c r="Y20" s="81">
        <f t="shared" si="2"/>
        <v>9.6664395931909605E-2</v>
      </c>
      <c r="Z20" s="81">
        <f t="shared" si="2"/>
        <v>0</v>
      </c>
      <c r="AA20" s="81">
        <f t="shared" si="2"/>
        <v>0</v>
      </c>
      <c r="AB20" s="81">
        <f t="shared" si="2"/>
        <v>387.25642236102652</v>
      </c>
      <c r="AC20" s="81">
        <f t="shared" si="2"/>
        <v>2.2128993742976135E-2</v>
      </c>
      <c r="AD20" s="81">
        <f t="shared" si="2"/>
        <v>9.9199605152000547E-3</v>
      </c>
    </row>
    <row r="21" spans="1:30">
      <c r="A21" s="573"/>
      <c r="B21" s="74"/>
      <c r="C21" s="112"/>
      <c r="D21" s="112"/>
      <c r="E21" s="74"/>
      <c r="F21" s="74"/>
      <c r="G21" s="577"/>
      <c r="H21" s="41"/>
      <c r="I21" s="41"/>
      <c r="J21" s="41"/>
      <c r="K21" s="574"/>
      <c r="L21" s="574"/>
      <c r="M21" s="574"/>
      <c r="N21" s="574"/>
      <c r="O21" s="574"/>
      <c r="P21" s="574"/>
      <c r="Q21" s="41"/>
      <c r="R21" s="574"/>
      <c r="S21" s="574"/>
      <c r="T21" s="61"/>
      <c r="U21" s="61"/>
      <c r="V21" s="61"/>
      <c r="W21" s="61"/>
      <c r="X21" s="61"/>
      <c r="Y21" s="61"/>
      <c r="Z21" s="62"/>
      <c r="AA21" s="62"/>
      <c r="AB21" s="62"/>
      <c r="AC21" s="62"/>
      <c r="AD21" s="62"/>
    </row>
    <row r="22" spans="1:30" ht="25.5">
      <c r="A22" s="114" t="s">
        <v>332</v>
      </c>
      <c r="B22" s="74"/>
      <c r="C22" s="112"/>
      <c r="D22" s="112"/>
      <c r="E22" s="74"/>
      <c r="F22" s="74"/>
      <c r="G22" s="577"/>
      <c r="H22" s="41"/>
      <c r="I22" s="41"/>
      <c r="J22" s="41"/>
      <c r="K22" s="574"/>
      <c r="L22" s="574"/>
      <c r="M22" s="574"/>
      <c r="N22" s="574"/>
      <c r="O22" s="574"/>
      <c r="P22" s="574"/>
      <c r="Q22" s="41"/>
      <c r="R22" s="574"/>
      <c r="S22" s="574"/>
      <c r="T22" s="61"/>
      <c r="U22" s="61"/>
      <c r="V22" s="61"/>
      <c r="W22" s="61"/>
      <c r="X22" s="61"/>
      <c r="Y22" s="61"/>
      <c r="Z22" s="62"/>
      <c r="AA22" s="62"/>
      <c r="AB22" s="62"/>
      <c r="AC22" s="62"/>
      <c r="AD22" s="62"/>
    </row>
    <row r="23" spans="1:30">
      <c r="A23" s="78" t="s">
        <v>320</v>
      </c>
      <c r="B23" s="76" t="s">
        <v>95</v>
      </c>
      <c r="C23" s="79">
        <v>6</v>
      </c>
      <c r="D23" s="77"/>
      <c r="E23" s="77">
        <v>35</v>
      </c>
      <c r="F23" s="77">
        <v>60</v>
      </c>
      <c r="G23" s="106">
        <v>0.25172046482947802</v>
      </c>
      <c r="H23" s="106">
        <v>0.464701387165456</v>
      </c>
      <c r="I23" s="106">
        <v>5.6776043658582402E-2</v>
      </c>
      <c r="J23" s="106">
        <v>3.5023733638119199E-3</v>
      </c>
      <c r="K23" s="106">
        <v>4.6899256897933901E-2</v>
      </c>
      <c r="L23" s="47">
        <v>7.99995847163921E-3</v>
      </c>
      <c r="M23" s="47">
        <v>3.6749815577381599E-2</v>
      </c>
      <c r="N23" s="106">
        <v>4.3147317248333997E-2</v>
      </c>
      <c r="O23" s="47">
        <v>1.9999896145790402E-3</v>
      </c>
      <c r="P23" s="47">
        <v>1.57499200131354E-2</v>
      </c>
      <c r="Q23" s="106">
        <v>243.966167526025</v>
      </c>
      <c r="R23" s="47">
        <f>0.000057143*Q23</f>
        <v>1.3940958710939646E-2</v>
      </c>
      <c r="S23" s="80">
        <f>0.000025616*Q23</f>
        <v>6.2494373473466567E-3</v>
      </c>
      <c r="T23" s="50">
        <f>C23*($F23*$G23)/453.59</f>
        <v>0.19978255106729004</v>
      </c>
      <c r="U23" s="50">
        <f>C23*($F23*$H23)/453.59</f>
        <v>0.36881875565943734</v>
      </c>
      <c r="V23" s="50">
        <f>C23*(($F23*$I23))/453.59</f>
        <v>4.50613455258927E-2</v>
      </c>
      <c r="W23" s="50">
        <f>C23*($F23*$J23)/453.59</f>
        <v>2.7797226812149543E-3</v>
      </c>
      <c r="X23" s="50">
        <f>C23*(($F23*($K23+$L23+$M23)))/453.59</f>
        <v>7.2738929740302244E-2</v>
      </c>
      <c r="Y23" s="50">
        <f>C23*(($F23*($N23+$O23+$P23)))/453.59</f>
        <v>4.8332197965954803E-2</v>
      </c>
      <c r="Z23" s="50">
        <f>C23*(F23)*$B$326</f>
        <v>0</v>
      </c>
      <c r="AA23" s="50">
        <f>Z23*0.21</f>
        <v>0</v>
      </c>
      <c r="AB23" s="50">
        <f>C23*(($F23*($Q23)))/453.59</f>
        <v>193.62821118051326</v>
      </c>
      <c r="AC23" s="50">
        <f>C23*(($F23*($R23)))/453.59</f>
        <v>1.1064496871488068E-2</v>
      </c>
      <c r="AD23" s="50">
        <f>C23*(($F23*($S23)))/453.59</f>
        <v>4.9599802576000274E-3</v>
      </c>
    </row>
    <row r="24" spans="1:30">
      <c r="A24" s="78" t="s">
        <v>331</v>
      </c>
      <c r="B24" s="76" t="s">
        <v>105</v>
      </c>
      <c r="C24" s="77">
        <v>2</v>
      </c>
      <c r="D24" s="77"/>
      <c r="E24" s="77">
        <v>35</v>
      </c>
      <c r="F24" s="77">
        <v>80</v>
      </c>
      <c r="G24" s="106">
        <v>1.08263976628415</v>
      </c>
      <c r="H24" s="106">
        <v>4.9712718909585103</v>
      </c>
      <c r="I24" s="106">
        <v>0.26248012575016899</v>
      </c>
      <c r="J24" s="106">
        <v>1.0711818E-2</v>
      </c>
      <c r="K24" s="106">
        <v>7.1679901072141505E-2</v>
      </c>
      <c r="L24" s="576">
        <v>3.59998119015979E-2</v>
      </c>
      <c r="M24" s="576">
        <v>6.1739677411240299E-2</v>
      </c>
      <c r="N24" s="106">
        <v>6.5945508986370194E-2</v>
      </c>
      <c r="O24" s="576">
        <v>2.9999843251331498E-3</v>
      </c>
      <c r="P24" s="576">
        <v>5.5859708133979398E-2</v>
      </c>
      <c r="Q24" s="106">
        <v>1710.7260798814</v>
      </c>
      <c r="R24" s="47">
        <v>1.5235246282551899E-2</v>
      </c>
      <c r="S24" s="80">
        <f>0.000025616*Q24</f>
        <v>4.3821959262241944E-2</v>
      </c>
      <c r="T24" s="50">
        <f>C24*($F24*$G24)/453.59</f>
        <v>0.38189193457850484</v>
      </c>
      <c r="U24" s="50">
        <f>C24*($F24*$H24)/453.59</f>
        <v>1.7535737175717316</v>
      </c>
      <c r="V24" s="50">
        <f>C24*(($F24*$I24))/453.59</f>
        <v>9.2587623448548345E-2</v>
      </c>
      <c r="W24" s="50">
        <f>C24*($F24*$J24)/453.59</f>
        <v>3.7785023479353602E-3</v>
      </c>
      <c r="X24" s="50">
        <f>C24*(($F24*($K24+$L24+$M24)))/453.59</f>
        <v>5.9761243549453814E-2</v>
      </c>
      <c r="Y24" s="50">
        <f>C24*(($F24*($N24+$O24+$P24)))/453.59</f>
        <v>4.4023969292262266E-2</v>
      </c>
      <c r="Z24" s="50">
        <f>C24*(F24)*$B$326</f>
        <v>0</v>
      </c>
      <c r="AA24" s="50">
        <f>Z24*0.21</f>
        <v>0</v>
      </c>
      <c r="AB24" s="50">
        <f>C24*(($F24*($Q24)))/453.59</f>
        <v>603.4440194471307</v>
      </c>
      <c r="AC24" s="50">
        <f>C24*(($F24*($R24)))/453.59</f>
        <v>5.3741030560821544E-3</v>
      </c>
      <c r="AD24" s="50">
        <f>C24*(($F24*($S24)))/453.59</f>
        <v>1.5457822002157701E-2</v>
      </c>
    </row>
    <row r="25" spans="1:30">
      <c r="A25" s="75" t="s">
        <v>28</v>
      </c>
      <c r="B25" s="74"/>
      <c r="C25" s="112"/>
      <c r="D25" s="112"/>
      <c r="E25" s="74"/>
      <c r="F25" s="74"/>
      <c r="G25" s="577"/>
      <c r="H25" s="41"/>
      <c r="I25" s="41"/>
      <c r="J25" s="41"/>
      <c r="K25" s="574"/>
      <c r="L25" s="574"/>
      <c r="M25" s="574"/>
      <c r="N25" s="574"/>
      <c r="O25" s="574"/>
      <c r="P25" s="574"/>
      <c r="Q25" s="41"/>
      <c r="R25" s="574"/>
      <c r="S25" s="574"/>
      <c r="T25" s="81">
        <f t="shared" ref="T25:AD25" si="3">SUM(T23:T24)</f>
        <v>0.58167448564579494</v>
      </c>
      <c r="U25" s="81">
        <f t="shared" si="3"/>
        <v>2.122392473231169</v>
      </c>
      <c r="V25" s="81">
        <f t="shared" si="3"/>
        <v>0.13764896897444104</v>
      </c>
      <c r="W25" s="81">
        <f t="shared" si="3"/>
        <v>6.558225029150315E-3</v>
      </c>
      <c r="X25" s="81">
        <f t="shared" si="3"/>
        <v>0.13250017328975605</v>
      </c>
      <c r="Y25" s="81">
        <f t="shared" si="3"/>
        <v>9.2356167258217076E-2</v>
      </c>
      <c r="Z25" s="81">
        <f t="shared" si="3"/>
        <v>0</v>
      </c>
      <c r="AA25" s="81">
        <f t="shared" si="3"/>
        <v>0</v>
      </c>
      <c r="AB25" s="81">
        <f t="shared" si="3"/>
        <v>797.07223062764399</v>
      </c>
      <c r="AC25" s="81">
        <f t="shared" si="3"/>
        <v>1.643859992757022E-2</v>
      </c>
      <c r="AD25" s="81">
        <f t="shared" si="3"/>
        <v>2.0417802259757728E-2</v>
      </c>
    </row>
    <row r="26" spans="1:30">
      <c r="A26" s="75" t="s">
        <v>388</v>
      </c>
      <c r="B26" s="74"/>
      <c r="C26" s="112"/>
      <c r="D26" s="112"/>
      <c r="E26" s="74"/>
      <c r="F26" s="74"/>
      <c r="G26" s="547"/>
      <c r="H26" s="41"/>
      <c r="I26" s="41"/>
      <c r="J26" s="41"/>
      <c r="K26" s="544"/>
      <c r="L26" s="544"/>
      <c r="M26" s="544"/>
      <c r="N26" s="544"/>
      <c r="O26" s="544"/>
      <c r="P26" s="544"/>
      <c r="Q26" s="41"/>
      <c r="R26" s="544"/>
      <c r="S26" s="544"/>
      <c r="T26" s="81">
        <f>T11+T16+T20+T25</f>
        <v>1.5629140734261699</v>
      </c>
      <c r="U26" s="81">
        <f t="shared" ref="U26:AD26" si="4">U11+U16+U20+U25</f>
        <v>4.9824224577812126</v>
      </c>
      <c r="V26" s="81">
        <f t="shared" si="4"/>
        <v>0.36542062900066752</v>
      </c>
      <c r="W26" s="81">
        <f t="shared" si="4"/>
        <v>1.8675895420730539E-2</v>
      </c>
      <c r="X26" s="81">
        <f t="shared" si="4"/>
        <v>0.41047820606011659</v>
      </c>
      <c r="Y26" s="81">
        <f t="shared" si="4"/>
        <v>0.28137673044834377</v>
      </c>
      <c r="Z26" s="81">
        <f t="shared" si="4"/>
        <v>0</v>
      </c>
      <c r="AA26" s="81">
        <f t="shared" si="4"/>
        <v>0</v>
      </c>
      <c r="AB26" s="81">
        <f t="shared" si="4"/>
        <v>1981.4008836163143</v>
      </c>
      <c r="AC26" s="81">
        <f t="shared" si="4"/>
        <v>5.5006193598116572E-2</v>
      </c>
      <c r="AD26" s="81">
        <f t="shared" si="4"/>
        <v>5.0755565034715511E-2</v>
      </c>
    </row>
    <row r="27" spans="1:30">
      <c r="A27" s="370"/>
      <c r="B27" s="371"/>
      <c r="C27" s="372"/>
      <c r="D27" s="372"/>
      <c r="E27" s="371"/>
      <c r="F27" s="371"/>
      <c r="G27" s="373"/>
      <c r="H27" s="373"/>
      <c r="I27" s="373"/>
      <c r="J27" s="373"/>
      <c r="K27" s="373"/>
      <c r="L27" s="373"/>
      <c r="M27" s="373"/>
      <c r="N27" s="373"/>
      <c r="O27" s="373"/>
      <c r="P27" s="373"/>
      <c r="Q27" s="373"/>
      <c r="R27" s="373"/>
      <c r="S27" s="373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</row>
    <row r="28" spans="1:30">
      <c r="A28" s="370"/>
      <c r="B28" s="371"/>
      <c r="C28" s="372"/>
      <c r="D28" s="372"/>
      <c r="E28" s="371"/>
      <c r="F28" s="371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</row>
    <row r="29" spans="1:30">
      <c r="A29" s="370"/>
      <c r="B29" s="371"/>
      <c r="C29" s="372"/>
      <c r="D29" s="372"/>
      <c r="E29" s="371"/>
      <c r="F29" s="371"/>
      <c r="G29" s="373"/>
      <c r="H29" s="373"/>
      <c r="I29" s="373"/>
      <c r="J29" s="373"/>
      <c r="K29" s="373"/>
      <c r="L29" s="373"/>
      <c r="M29" s="373"/>
      <c r="N29" s="373"/>
      <c r="O29" s="373"/>
      <c r="P29" s="373"/>
      <c r="Q29" s="373"/>
      <c r="R29" s="373"/>
      <c r="S29" s="373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</row>
    <row r="30" spans="1:30">
      <c r="A30" s="370"/>
      <c r="B30" s="371"/>
      <c r="C30" s="372"/>
      <c r="D30" s="372"/>
      <c r="E30" s="371"/>
      <c r="F30" s="371"/>
      <c r="G30" s="373"/>
      <c r="H30" s="373"/>
      <c r="I30" s="373"/>
      <c r="J30" s="373"/>
      <c r="K30" s="373"/>
      <c r="L30" s="373"/>
      <c r="M30" s="373"/>
      <c r="N30" s="373"/>
      <c r="O30" s="373"/>
      <c r="P30" s="373"/>
      <c r="Q30" s="373"/>
      <c r="R30" s="373"/>
      <c r="S30" s="373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</row>
    <row r="378" spans="1:1" ht="25.5">
      <c r="A378" s="82" t="s">
        <v>109</v>
      </c>
    </row>
    <row r="380" spans="1:1">
      <c r="A380" s="36" t="s">
        <v>81</v>
      </c>
    </row>
    <row r="381" spans="1:1">
      <c r="A381" s="36" t="s">
        <v>82</v>
      </c>
    </row>
    <row r="382" spans="1:1">
      <c r="A382" s="36" t="s">
        <v>83</v>
      </c>
    </row>
    <row r="383" spans="1:1">
      <c r="A383" s="37" t="s">
        <v>96</v>
      </c>
    </row>
    <row r="384" spans="1:1">
      <c r="A384" s="36" t="s">
        <v>85</v>
      </c>
    </row>
    <row r="385" spans="1:2">
      <c r="A385" s="36" t="s">
        <v>86</v>
      </c>
    </row>
    <row r="386" spans="1:2">
      <c r="A386" s="36" t="s">
        <v>87</v>
      </c>
    </row>
    <row r="387" spans="1:2">
      <c r="A387" s="36" t="s">
        <v>0</v>
      </c>
    </row>
    <row r="388" spans="1:2">
      <c r="A388" s="37" t="s">
        <v>97</v>
      </c>
      <c r="B388" s="36">
        <f>(0.016*(0.03/2)^0.65*(2/3)^1.5)-0.00047</f>
        <v>9.8123053326417428E-5</v>
      </c>
    </row>
    <row r="389" spans="1:2">
      <c r="A389" s="37" t="s">
        <v>98</v>
      </c>
      <c r="B389" s="36">
        <f>(0.016*(0.03/2)^0.65*(13/3)^1.5)-0.00047</f>
        <v>8.9448292388582783E-3</v>
      </c>
    </row>
    <row r="390" spans="1:2">
      <c r="A390" s="37" t="s">
        <v>99</v>
      </c>
      <c r="B39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5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572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346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7" si="0">0.000049261*AA4</f>
        <v>2.2095931710230707E-2</v>
      </c>
      <c r="AD4" s="49">
        <v>3.2599999999999997E-2</v>
      </c>
      <c r="AE4" s="47">
        <f t="shared" ref="AE4:AE7" si="1">0.000021675*AA4</f>
        <v>9.7222817202097123E-3</v>
      </c>
    </row>
    <row r="5" spans="1:67" ht="25.5">
      <c r="A5" s="44" t="s">
        <v>328</v>
      </c>
      <c r="B5" s="45" t="s">
        <v>102</v>
      </c>
      <c r="C5" s="46">
        <v>3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ref="AC5" si="2">0.000049261*AA5</f>
        <v>2.2095931710230707E-2</v>
      </c>
      <c r="AD5" s="49">
        <v>3.2599999999999997E-2</v>
      </c>
      <c r="AE5" s="47">
        <f t="shared" ref="AE5" si="3">0.000021675*AA5</f>
        <v>9.7222817202097123E-3</v>
      </c>
    </row>
    <row r="6" spans="1:67" ht="25.5">
      <c r="A6" s="44" t="s">
        <v>330</v>
      </c>
      <c r="B6" s="45" t="s">
        <v>102</v>
      </c>
      <c r="C6" s="46">
        <v>19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ref="AC6" si="4">0.000049261*AA6</f>
        <v>2.2095931710230707E-2</v>
      </c>
      <c r="AD6" s="49">
        <v>3.2599999999999997E-2</v>
      </c>
      <c r="AE6" s="47">
        <f t="shared" ref="AE6" si="5">0.000021675*AA6</f>
        <v>9.7222817202097123E-3</v>
      </c>
    </row>
    <row r="7" spans="1:67" ht="25.5">
      <c r="A7" s="44" t="s">
        <v>332</v>
      </c>
      <c r="B7" s="45" t="s">
        <v>102</v>
      </c>
      <c r="C7" s="46">
        <v>12</v>
      </c>
      <c r="D7" s="46">
        <v>35</v>
      </c>
      <c r="E7" s="46">
        <v>80</v>
      </c>
      <c r="F7" s="47">
        <v>2.3611622044318601</v>
      </c>
      <c r="G7" s="48">
        <v>31.4244798871777</v>
      </c>
      <c r="H7" s="48">
        <v>0.22493614397154399</v>
      </c>
      <c r="I7" s="48">
        <v>1.8136819244333999</v>
      </c>
      <c r="J7" s="47">
        <v>5.7965153248686403E-2</v>
      </c>
      <c r="K7" s="48">
        <v>2.3946366793705498</v>
      </c>
      <c r="L7" s="48">
        <v>1.62197187247403</v>
      </c>
      <c r="M7" s="48">
        <v>0.70709499821369304</v>
      </c>
      <c r="N7" s="48">
        <v>0.16038404042738499</v>
      </c>
      <c r="O7" s="48">
        <v>0.71464703099800198</v>
      </c>
      <c r="P7" s="48">
        <v>4.0478385316323803E-3</v>
      </c>
      <c r="Q7" s="48">
        <v>5.8407810191933099E-3</v>
      </c>
      <c r="R7" s="47">
        <v>3.2157701660956101E-3</v>
      </c>
      <c r="S7" s="48">
        <v>2.9198634356063399E-2</v>
      </c>
      <c r="T7" s="48">
        <v>7.9999583995993707E-3</v>
      </c>
      <c r="U7" s="48">
        <v>3.6749815874576097E-2</v>
      </c>
      <c r="V7" s="48">
        <v>2.9606446234606999E-3</v>
      </c>
      <c r="W7" s="48">
        <v>2.6884174180557701E-2</v>
      </c>
      <c r="X7" s="48">
        <v>1.9999896010969099E-3</v>
      </c>
      <c r="Y7" s="48">
        <v>1.57499197860352E-2</v>
      </c>
      <c r="Z7" s="48">
        <v>308.63789988642998</v>
      </c>
      <c r="AA7" s="48">
        <v>448.54817624958298</v>
      </c>
      <c r="AB7" s="47">
        <v>1.77E-2</v>
      </c>
      <c r="AC7" s="47">
        <f t="shared" si="0"/>
        <v>2.2095931710230707E-2</v>
      </c>
      <c r="AD7" s="49">
        <v>3.2599999999999997E-2</v>
      </c>
      <c r="AE7" s="47">
        <f t="shared" si="1"/>
        <v>9.7222817202097123E-3</v>
      </c>
    </row>
    <row r="8" spans="1:67">
      <c r="A8" s="52"/>
      <c r="B8" s="52"/>
      <c r="C8" s="53"/>
      <c r="D8" s="54"/>
      <c r="E8" s="54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</row>
    <row r="9" spans="1:67" ht="25.5">
      <c r="A9" s="55" t="s">
        <v>504</v>
      </c>
      <c r="B9" s="37"/>
      <c r="C9" s="37"/>
    </row>
    <row r="10" spans="1:67">
      <c r="A10" s="55" t="s">
        <v>77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84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</row>
    <row r="11" spans="1:67">
      <c r="A11" s="55" t="s">
        <v>78</v>
      </c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t="38.25" hidden="1">
      <c r="A12" s="55" t="s">
        <v>79</v>
      </c>
      <c r="B12" s="37"/>
      <c r="C12" s="37"/>
      <c r="AA12" s="57"/>
      <c r="AB12" s="58" t="s">
        <v>80</v>
      </c>
      <c r="AC12" s="57"/>
      <c r="AD12" s="57"/>
      <c r="AE12" s="57"/>
      <c r="AF12" s="57" t="e">
        <f>#REF!/60</f>
        <v>#REF!</v>
      </c>
      <c r="AG12" s="57" t="e">
        <f>#REF!/60</f>
        <v>#REF!</v>
      </c>
      <c r="AH12" s="57" t="e">
        <f>#REF!/60</f>
        <v>#REF!</v>
      </c>
      <c r="AI12" s="57" t="e">
        <f>#REF!/60</f>
        <v>#REF!</v>
      </c>
      <c r="AJ12" s="57" t="e">
        <f>#REF!/60</f>
        <v>#REF!</v>
      </c>
      <c r="AK12" s="57" t="e">
        <f>#REF!/60</f>
        <v>#REF!</v>
      </c>
      <c r="AL12" s="57" t="e">
        <f>#REF!/60</f>
        <v>#REF!</v>
      </c>
      <c r="AM12" s="57" t="e">
        <f>#REF!/60</f>
        <v>#REF!</v>
      </c>
      <c r="AN12" s="57" t="e">
        <f>#REF!/60</f>
        <v>#REF!</v>
      </c>
      <c r="AO12" s="57" t="e">
        <f>#REF!/60</f>
        <v>#REF!</v>
      </c>
      <c r="AP12" s="57"/>
      <c r="AQ12" s="57"/>
      <c r="AR12" s="57" t="e">
        <f>#REF!/60</f>
        <v>#REF!</v>
      </c>
      <c r="AS12" s="57" t="e">
        <f>#REF!/60</f>
        <v>#REF!</v>
      </c>
      <c r="AT12" s="57" t="e">
        <f>#REF!/60</f>
        <v>#REF!</v>
      </c>
      <c r="AU12" s="57" t="e">
        <f>#REF!/60</f>
        <v>#REF!</v>
      </c>
      <c r="AV12" s="57" t="e">
        <f>#REF!/60</f>
        <v>#REF!</v>
      </c>
      <c r="AW12" s="57" t="e">
        <f>#REF!/60</f>
        <v>#REF!</v>
      </c>
      <c r="AX12" s="57" t="e">
        <f>#REF!/60</f>
        <v>#REF!</v>
      </c>
      <c r="AY12" s="57" t="e">
        <f>#REF!/60</f>
        <v>#REF!</v>
      </c>
      <c r="AZ12" s="57" t="e">
        <f>#REF!/60</f>
        <v>#REF!</v>
      </c>
      <c r="BA12" s="57" t="e">
        <f>#REF!/60</f>
        <v>#REF!</v>
      </c>
    </row>
    <row r="13" spans="1:67" hidden="1">
      <c r="A13" s="55"/>
      <c r="B13" s="37"/>
      <c r="C13" s="3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9"/>
      <c r="AS13" s="59"/>
      <c r="AT13" s="59"/>
      <c r="AU13" s="59"/>
      <c r="AV13" s="59"/>
      <c r="AW13" s="59"/>
      <c r="AX13" s="59"/>
      <c r="AY13" s="59"/>
      <c r="AZ13" s="60"/>
      <c r="BA13" s="59"/>
    </row>
    <row r="14" spans="1:67" hidden="1">
      <c r="A14" s="37"/>
      <c r="B14" s="37"/>
      <c r="C14" s="37"/>
      <c r="AF14" s="596" t="s">
        <v>64</v>
      </c>
      <c r="AG14" s="596"/>
      <c r="AH14" s="596"/>
      <c r="AI14" s="596"/>
      <c r="AJ14" s="596"/>
      <c r="AK14" s="597"/>
      <c r="AL14" s="597"/>
      <c r="AM14" s="597"/>
      <c r="AN14" s="597"/>
      <c r="AO14" s="597"/>
      <c r="AP14" s="546"/>
      <c r="AQ14" s="56"/>
      <c r="AR14" s="596" t="s">
        <v>65</v>
      </c>
      <c r="AS14" s="596"/>
      <c r="AT14" s="596"/>
      <c r="AU14" s="596"/>
      <c r="AV14" s="596"/>
      <c r="AW14" s="597"/>
      <c r="AX14" s="597"/>
      <c r="AY14" s="597"/>
      <c r="AZ14" s="597"/>
      <c r="BA14" s="597"/>
    </row>
    <row r="15" spans="1:67" ht="63.75" hidden="1">
      <c r="A15" s="37"/>
      <c r="B15" s="37"/>
      <c r="C15" s="37"/>
      <c r="AF15" s="61" t="s">
        <v>55</v>
      </c>
      <c r="AG15" s="61" t="s">
        <v>73</v>
      </c>
      <c r="AH15" s="61" t="s">
        <v>74</v>
      </c>
      <c r="AI15" s="61" t="s">
        <v>58</v>
      </c>
      <c r="AJ15" s="61" t="s">
        <v>59</v>
      </c>
      <c r="AK15" s="61" t="s">
        <v>60</v>
      </c>
      <c r="AL15" s="62" t="s">
        <v>75</v>
      </c>
      <c r="AM15" s="62" t="s">
        <v>76</v>
      </c>
      <c r="AN15" s="62" t="s">
        <v>61</v>
      </c>
      <c r="AO15" s="62" t="s">
        <v>62</v>
      </c>
      <c r="AP15" s="62"/>
      <c r="AQ15" s="43"/>
      <c r="AR15" s="61" t="s">
        <v>55</v>
      </c>
      <c r="AS15" s="61" t="s">
        <v>73</v>
      </c>
      <c r="AT15" s="61" t="s">
        <v>74</v>
      </c>
      <c r="AU15" s="61" t="s">
        <v>58</v>
      </c>
      <c r="AV15" s="61" t="s">
        <v>59</v>
      </c>
      <c r="AW15" s="61" t="s">
        <v>60</v>
      </c>
      <c r="AX15" s="62" t="s">
        <v>75</v>
      </c>
      <c r="AY15" s="62" t="s">
        <v>76</v>
      </c>
      <c r="AZ15" s="63" t="s">
        <v>61</v>
      </c>
      <c r="BA15" s="61" t="s">
        <v>62</v>
      </c>
    </row>
    <row r="16" spans="1:67" hidden="1">
      <c r="A16" s="37" t="s">
        <v>81</v>
      </c>
      <c r="B16" s="37"/>
      <c r="C16" s="37"/>
      <c r="AA16" s="64" t="s">
        <v>29</v>
      </c>
      <c r="AB16" s="65" t="s">
        <v>30</v>
      </c>
      <c r="AC16" s="65" t="s">
        <v>31</v>
      </c>
      <c r="AD16" s="65"/>
      <c r="AE16" s="65"/>
      <c r="AQ16" s="38"/>
    </row>
    <row r="17" spans="1:53" hidden="1">
      <c r="A17" s="37" t="s">
        <v>82</v>
      </c>
      <c r="B17" s="37"/>
      <c r="C17" s="37"/>
      <c r="AA17" s="64"/>
      <c r="AB17" s="65" t="s">
        <v>32</v>
      </c>
      <c r="AC17" s="65">
        <v>13.25</v>
      </c>
      <c r="AD17" s="65"/>
      <c r="AE17" s="65"/>
      <c r="AF17" s="36" t="e">
        <f>AF$12*$AC17</f>
        <v>#REF!</v>
      </c>
      <c r="AG17" s="36" t="e">
        <f t="shared" ref="AG17:AO25" si="6">AG$12*$AC17</f>
        <v>#REF!</v>
      </c>
      <c r="AH17" s="36" t="e">
        <f t="shared" si="6"/>
        <v>#REF!</v>
      </c>
      <c r="AI17" s="36" t="e">
        <f t="shared" si="6"/>
        <v>#REF!</v>
      </c>
      <c r="AJ17" s="36" t="e">
        <f t="shared" si="6"/>
        <v>#REF!</v>
      </c>
      <c r="AK17" s="36" t="e">
        <f t="shared" si="6"/>
        <v>#REF!</v>
      </c>
      <c r="AL17" s="36" t="e">
        <f t="shared" si="6"/>
        <v>#REF!</v>
      </c>
      <c r="AM17" s="36" t="e">
        <f t="shared" si="6"/>
        <v>#REF!</v>
      </c>
      <c r="AN17" s="36" t="e">
        <f t="shared" si="6"/>
        <v>#REF!</v>
      </c>
      <c r="AO17" s="36" t="e">
        <f t="shared" si="6"/>
        <v>#REF!</v>
      </c>
      <c r="AQ17" s="38"/>
      <c r="AR17" s="36" t="e">
        <f>AR$12*$AC17</f>
        <v>#REF!</v>
      </c>
      <c r="AS17" s="36" t="e">
        <f t="shared" ref="AS17:BA25" si="7">AS$12*$AC17</f>
        <v>#REF!</v>
      </c>
      <c r="AT17" s="36" t="e">
        <f t="shared" si="7"/>
        <v>#REF!</v>
      </c>
      <c r="AU17" s="36" t="e">
        <f t="shared" si="7"/>
        <v>#REF!</v>
      </c>
      <c r="AV17" s="36" t="e">
        <f t="shared" si="7"/>
        <v>#REF!</v>
      </c>
      <c r="AW17" s="36" t="e">
        <f t="shared" si="7"/>
        <v>#REF!</v>
      </c>
      <c r="AX17" s="36" t="e">
        <f t="shared" si="7"/>
        <v>#REF!</v>
      </c>
      <c r="AY17" s="36" t="e">
        <f t="shared" si="7"/>
        <v>#REF!</v>
      </c>
      <c r="AZ17" s="36" t="e">
        <f t="shared" si="7"/>
        <v>#REF!</v>
      </c>
      <c r="BA17" s="36" t="e">
        <f t="shared" si="7"/>
        <v>#REF!</v>
      </c>
    </row>
    <row r="18" spans="1:53" hidden="1">
      <c r="A18" s="37" t="s">
        <v>83</v>
      </c>
      <c r="B18" s="37"/>
      <c r="C18" s="37"/>
      <c r="AA18" s="64"/>
      <c r="AB18" s="65" t="s">
        <v>33</v>
      </c>
      <c r="AC18" s="65">
        <v>20.298999999999999</v>
      </c>
      <c r="AD18" s="65"/>
      <c r="AE18" s="65"/>
      <c r="AF18" s="36" t="e">
        <f t="shared" ref="AF18:AF25" si="8">AF$12*$AC18</f>
        <v>#REF!</v>
      </c>
      <c r="AG18" s="36" t="e">
        <f t="shared" si="6"/>
        <v>#REF!</v>
      </c>
      <c r="AH18" s="36" t="e">
        <f t="shared" si="6"/>
        <v>#REF!</v>
      </c>
      <c r="AI18" s="36" t="e">
        <f t="shared" si="6"/>
        <v>#REF!</v>
      </c>
      <c r="AJ18" s="36" t="e">
        <f t="shared" si="6"/>
        <v>#REF!</v>
      </c>
      <c r="AK18" s="36" t="e">
        <f t="shared" si="6"/>
        <v>#REF!</v>
      </c>
      <c r="AL18" s="36" t="e">
        <f t="shared" si="6"/>
        <v>#REF!</v>
      </c>
      <c r="AM18" s="36" t="e">
        <f t="shared" si="6"/>
        <v>#REF!</v>
      </c>
      <c r="AN18" s="36" t="e">
        <f t="shared" si="6"/>
        <v>#REF!</v>
      </c>
      <c r="AO18" s="36" t="e">
        <f t="shared" si="6"/>
        <v>#REF!</v>
      </c>
      <c r="AQ18" s="38"/>
      <c r="AR18" s="36" t="e">
        <f t="shared" ref="AR18:AR25" si="9">AR$12*$AC18</f>
        <v>#REF!</v>
      </c>
      <c r="AS18" s="36" t="e">
        <f t="shared" si="7"/>
        <v>#REF!</v>
      </c>
      <c r="AT18" s="36" t="e">
        <f t="shared" si="7"/>
        <v>#REF!</v>
      </c>
      <c r="AU18" s="36" t="e">
        <f t="shared" si="7"/>
        <v>#REF!</v>
      </c>
      <c r="AV18" s="36" t="e">
        <f t="shared" si="7"/>
        <v>#REF!</v>
      </c>
      <c r="AW18" s="36" t="e">
        <f t="shared" si="7"/>
        <v>#REF!</v>
      </c>
      <c r="AX18" s="36" t="e">
        <f t="shared" si="7"/>
        <v>#REF!</v>
      </c>
      <c r="AY18" s="36" t="e">
        <f t="shared" si="7"/>
        <v>#REF!</v>
      </c>
      <c r="AZ18" s="36" t="e">
        <f t="shared" si="7"/>
        <v>#REF!</v>
      </c>
      <c r="BA18" s="36" t="e">
        <f t="shared" si="7"/>
        <v>#REF!</v>
      </c>
    </row>
    <row r="19" spans="1:53" hidden="1">
      <c r="A19" s="37" t="s">
        <v>84</v>
      </c>
      <c r="B19" s="37"/>
      <c r="C19" s="37"/>
      <c r="AA19" s="64"/>
      <c r="AB19" s="65" t="s">
        <v>34</v>
      </c>
      <c r="AC19" s="65">
        <v>21.68</v>
      </c>
      <c r="AD19" s="65"/>
      <c r="AE19" s="65"/>
      <c r="AF19" s="36" t="e">
        <f t="shared" si="8"/>
        <v>#REF!</v>
      </c>
      <c r="AG19" s="36" t="e">
        <f t="shared" si="6"/>
        <v>#REF!</v>
      </c>
      <c r="AH19" s="36" t="e">
        <f t="shared" si="6"/>
        <v>#REF!</v>
      </c>
      <c r="AI19" s="36" t="e">
        <f t="shared" si="6"/>
        <v>#REF!</v>
      </c>
      <c r="AJ19" s="36" t="e">
        <f t="shared" si="6"/>
        <v>#REF!</v>
      </c>
      <c r="AK19" s="36" t="e">
        <f t="shared" si="6"/>
        <v>#REF!</v>
      </c>
      <c r="AL19" s="36" t="e">
        <f t="shared" si="6"/>
        <v>#REF!</v>
      </c>
      <c r="AM19" s="36" t="e">
        <f t="shared" si="6"/>
        <v>#REF!</v>
      </c>
      <c r="AN19" s="36" t="e">
        <f t="shared" si="6"/>
        <v>#REF!</v>
      </c>
      <c r="AO19" s="36" t="e">
        <f t="shared" si="6"/>
        <v>#REF!</v>
      </c>
      <c r="AQ19" s="38"/>
      <c r="AR19" s="36" t="e">
        <f t="shared" si="9"/>
        <v>#REF!</v>
      </c>
      <c r="AS19" s="36" t="e">
        <f t="shared" si="7"/>
        <v>#REF!</v>
      </c>
      <c r="AT19" s="36" t="e">
        <f t="shared" si="7"/>
        <v>#REF!</v>
      </c>
      <c r="AU19" s="36" t="e">
        <f t="shared" si="7"/>
        <v>#REF!</v>
      </c>
      <c r="AV19" s="36" t="e">
        <f t="shared" si="7"/>
        <v>#REF!</v>
      </c>
      <c r="AW19" s="36" t="e">
        <f t="shared" si="7"/>
        <v>#REF!</v>
      </c>
      <c r="AX19" s="36" t="e">
        <f t="shared" si="7"/>
        <v>#REF!</v>
      </c>
      <c r="AY19" s="36" t="e">
        <f t="shared" si="7"/>
        <v>#REF!</v>
      </c>
      <c r="AZ19" s="36" t="e">
        <f t="shared" si="7"/>
        <v>#REF!</v>
      </c>
      <c r="BA19" s="36" t="e">
        <f t="shared" si="7"/>
        <v>#REF!</v>
      </c>
    </row>
    <row r="20" spans="1:53" hidden="1">
      <c r="A20" s="37" t="s">
        <v>85</v>
      </c>
      <c r="B20" s="37"/>
      <c r="C20" s="37"/>
      <c r="AA20" s="64"/>
      <c r="AB20" s="65" t="s">
        <v>35</v>
      </c>
      <c r="AC20" s="65">
        <v>9.3046500000000005</v>
      </c>
      <c r="AD20" s="65"/>
      <c r="AE20" s="65"/>
      <c r="AF20" s="36" t="e">
        <f t="shared" si="8"/>
        <v>#REF!</v>
      </c>
      <c r="AG20" s="36" t="e">
        <f t="shared" si="6"/>
        <v>#REF!</v>
      </c>
      <c r="AH20" s="36" t="e">
        <f t="shared" si="6"/>
        <v>#REF!</v>
      </c>
      <c r="AI20" s="36" t="e">
        <f t="shared" si="6"/>
        <v>#REF!</v>
      </c>
      <c r="AJ20" s="36" t="e">
        <f t="shared" si="6"/>
        <v>#REF!</v>
      </c>
      <c r="AK20" s="36" t="e">
        <f t="shared" si="6"/>
        <v>#REF!</v>
      </c>
      <c r="AL20" s="36" t="e">
        <f t="shared" si="6"/>
        <v>#REF!</v>
      </c>
      <c r="AM20" s="36" t="e">
        <f t="shared" si="6"/>
        <v>#REF!</v>
      </c>
      <c r="AN20" s="36" t="e">
        <f t="shared" si="6"/>
        <v>#REF!</v>
      </c>
      <c r="AO20" s="36" t="e">
        <f t="shared" si="6"/>
        <v>#REF!</v>
      </c>
      <c r="AQ20" s="38"/>
      <c r="AR20" s="36" t="e">
        <f t="shared" si="9"/>
        <v>#REF!</v>
      </c>
      <c r="AS20" s="36" t="e">
        <f t="shared" si="7"/>
        <v>#REF!</v>
      </c>
      <c r="AT20" s="36" t="e">
        <f t="shared" si="7"/>
        <v>#REF!</v>
      </c>
      <c r="AU20" s="36" t="e">
        <f t="shared" si="7"/>
        <v>#REF!</v>
      </c>
      <c r="AV20" s="36" t="e">
        <f t="shared" si="7"/>
        <v>#REF!</v>
      </c>
      <c r="AW20" s="36" t="e">
        <f t="shared" si="7"/>
        <v>#REF!</v>
      </c>
      <c r="AX20" s="36" t="e">
        <f t="shared" si="7"/>
        <v>#REF!</v>
      </c>
      <c r="AY20" s="36" t="e">
        <f t="shared" si="7"/>
        <v>#REF!</v>
      </c>
      <c r="AZ20" s="36" t="e">
        <f t="shared" si="7"/>
        <v>#REF!</v>
      </c>
      <c r="BA20" s="36" t="e">
        <f t="shared" si="7"/>
        <v>#REF!</v>
      </c>
    </row>
    <row r="21" spans="1:53" hidden="1">
      <c r="A21" s="37" t="s">
        <v>86</v>
      </c>
      <c r="B21" s="37"/>
      <c r="C21" s="37"/>
      <c r="AA21" s="64"/>
      <c r="AB21" s="65" t="s">
        <v>36</v>
      </c>
      <c r="AC21" s="65">
        <v>5.0347999999999997</v>
      </c>
      <c r="AD21" s="65"/>
      <c r="AE21" s="65"/>
      <c r="AF21" s="36" t="e">
        <f t="shared" si="8"/>
        <v>#REF!</v>
      </c>
      <c r="AG21" s="36" t="e">
        <f t="shared" si="6"/>
        <v>#REF!</v>
      </c>
      <c r="AH21" s="36" t="e">
        <f t="shared" si="6"/>
        <v>#REF!</v>
      </c>
      <c r="AI21" s="36" t="e">
        <f t="shared" si="6"/>
        <v>#REF!</v>
      </c>
      <c r="AJ21" s="36" t="e">
        <f t="shared" si="6"/>
        <v>#REF!</v>
      </c>
      <c r="AK21" s="36" t="e">
        <f t="shared" si="6"/>
        <v>#REF!</v>
      </c>
      <c r="AL21" s="36" t="e">
        <f t="shared" si="6"/>
        <v>#REF!</v>
      </c>
      <c r="AM21" s="36" t="e">
        <f t="shared" si="6"/>
        <v>#REF!</v>
      </c>
      <c r="AN21" s="36" t="e">
        <f t="shared" si="6"/>
        <v>#REF!</v>
      </c>
      <c r="AO21" s="36" t="e">
        <f t="shared" si="6"/>
        <v>#REF!</v>
      </c>
      <c r="AQ21" s="38"/>
      <c r="AR21" s="36" t="e">
        <f t="shared" si="9"/>
        <v>#REF!</v>
      </c>
      <c r="AS21" s="36" t="e">
        <f t="shared" si="7"/>
        <v>#REF!</v>
      </c>
      <c r="AT21" s="36" t="e">
        <f t="shared" si="7"/>
        <v>#REF!</v>
      </c>
      <c r="AU21" s="36" t="e">
        <f t="shared" si="7"/>
        <v>#REF!</v>
      </c>
      <c r="AV21" s="36" t="e">
        <f t="shared" si="7"/>
        <v>#REF!</v>
      </c>
      <c r="AW21" s="36" t="e">
        <f t="shared" si="7"/>
        <v>#REF!</v>
      </c>
      <c r="AX21" s="36" t="e">
        <f t="shared" si="7"/>
        <v>#REF!</v>
      </c>
      <c r="AY21" s="36" t="e">
        <f t="shared" si="7"/>
        <v>#REF!</v>
      </c>
      <c r="AZ21" s="36" t="e">
        <f t="shared" si="7"/>
        <v>#REF!</v>
      </c>
      <c r="BA21" s="36" t="e">
        <f t="shared" si="7"/>
        <v>#REF!</v>
      </c>
    </row>
    <row r="22" spans="1:53" hidden="1">
      <c r="A22" s="37" t="s">
        <v>87</v>
      </c>
      <c r="B22" s="37"/>
      <c r="C22" s="37"/>
      <c r="AA22" s="64"/>
      <c r="AB22" s="65" t="s">
        <v>37</v>
      </c>
      <c r="AC22" s="65">
        <v>0</v>
      </c>
      <c r="AD22" s="65"/>
      <c r="AE22" s="65"/>
      <c r="AF22" s="36" t="e">
        <f t="shared" si="8"/>
        <v>#REF!</v>
      </c>
      <c r="AG22" s="36" t="e">
        <f t="shared" si="6"/>
        <v>#REF!</v>
      </c>
      <c r="AH22" s="36" t="e">
        <f t="shared" si="6"/>
        <v>#REF!</v>
      </c>
      <c r="AI22" s="36" t="e">
        <f t="shared" si="6"/>
        <v>#REF!</v>
      </c>
      <c r="AJ22" s="36" t="e">
        <f t="shared" si="6"/>
        <v>#REF!</v>
      </c>
      <c r="AK22" s="36" t="e">
        <f t="shared" si="6"/>
        <v>#REF!</v>
      </c>
      <c r="AL22" s="36" t="e">
        <f t="shared" si="6"/>
        <v>#REF!</v>
      </c>
      <c r="AM22" s="36" t="e">
        <f t="shared" si="6"/>
        <v>#REF!</v>
      </c>
      <c r="AN22" s="36" t="e">
        <f t="shared" si="6"/>
        <v>#REF!</v>
      </c>
      <c r="AO22" s="36" t="e">
        <f t="shared" si="6"/>
        <v>#REF!</v>
      </c>
      <c r="AQ22" s="38"/>
      <c r="AR22" s="36" t="e">
        <f t="shared" si="9"/>
        <v>#REF!</v>
      </c>
      <c r="AS22" s="36" t="e">
        <f t="shared" si="7"/>
        <v>#REF!</v>
      </c>
      <c r="AT22" s="36" t="e">
        <f t="shared" si="7"/>
        <v>#REF!</v>
      </c>
      <c r="AU22" s="36" t="e">
        <f t="shared" si="7"/>
        <v>#REF!</v>
      </c>
      <c r="AV22" s="36" t="e">
        <f t="shared" si="7"/>
        <v>#REF!</v>
      </c>
      <c r="AW22" s="36" t="e">
        <f t="shared" si="7"/>
        <v>#REF!</v>
      </c>
      <c r="AX22" s="36" t="e">
        <f t="shared" si="7"/>
        <v>#REF!</v>
      </c>
      <c r="AY22" s="36" t="e">
        <f t="shared" si="7"/>
        <v>#REF!</v>
      </c>
      <c r="AZ22" s="36" t="e">
        <f t="shared" si="7"/>
        <v>#REF!</v>
      </c>
      <c r="BA22" s="36" t="e">
        <f t="shared" si="7"/>
        <v>#REF!</v>
      </c>
    </row>
    <row r="23" spans="1:53" hidden="1">
      <c r="A23" s="37" t="s">
        <v>0</v>
      </c>
      <c r="B23" s="37"/>
      <c r="C23" s="37"/>
      <c r="AA23" s="64"/>
      <c r="AB23" s="65" t="s">
        <v>38</v>
      </c>
      <c r="AC23" s="65">
        <v>0</v>
      </c>
      <c r="AD23" s="65"/>
      <c r="AE23" s="65"/>
      <c r="AF23" s="36" t="e">
        <f t="shared" si="8"/>
        <v>#REF!</v>
      </c>
      <c r="AG23" s="36" t="e">
        <f t="shared" si="6"/>
        <v>#REF!</v>
      </c>
      <c r="AH23" s="36" t="e">
        <f t="shared" si="6"/>
        <v>#REF!</v>
      </c>
      <c r="AI23" s="36" t="e">
        <f t="shared" si="6"/>
        <v>#REF!</v>
      </c>
      <c r="AJ23" s="36" t="e">
        <f t="shared" si="6"/>
        <v>#REF!</v>
      </c>
      <c r="AK23" s="36" t="e">
        <f t="shared" si="6"/>
        <v>#REF!</v>
      </c>
      <c r="AL23" s="36" t="e">
        <f t="shared" si="6"/>
        <v>#REF!</v>
      </c>
      <c r="AM23" s="36" t="e">
        <f t="shared" si="6"/>
        <v>#REF!</v>
      </c>
      <c r="AN23" s="36" t="e">
        <f t="shared" si="6"/>
        <v>#REF!</v>
      </c>
      <c r="AO23" s="36" t="e">
        <f t="shared" si="6"/>
        <v>#REF!</v>
      </c>
      <c r="AQ23" s="38"/>
      <c r="AR23" s="36" t="e">
        <f t="shared" si="9"/>
        <v>#REF!</v>
      </c>
      <c r="AS23" s="36" t="e">
        <f t="shared" si="7"/>
        <v>#REF!</v>
      </c>
      <c r="AT23" s="36" t="e">
        <f t="shared" si="7"/>
        <v>#REF!</v>
      </c>
      <c r="AU23" s="36" t="e">
        <f t="shared" si="7"/>
        <v>#REF!</v>
      </c>
      <c r="AV23" s="36" t="e">
        <f t="shared" si="7"/>
        <v>#REF!</v>
      </c>
      <c r="AW23" s="36" t="e">
        <f t="shared" si="7"/>
        <v>#REF!</v>
      </c>
      <c r="AX23" s="36" t="e">
        <f t="shared" si="7"/>
        <v>#REF!</v>
      </c>
      <c r="AY23" s="36" t="e">
        <f t="shared" si="7"/>
        <v>#REF!</v>
      </c>
      <c r="AZ23" s="36" t="e">
        <f t="shared" si="7"/>
        <v>#REF!</v>
      </c>
      <c r="BA23" s="36" t="e">
        <f t="shared" si="7"/>
        <v>#REF!</v>
      </c>
    </row>
    <row r="24" spans="1:53" hidden="1">
      <c r="A24" s="37" t="s">
        <v>59</v>
      </c>
      <c r="B24" s="37">
        <f>(0.016*(0.03/2)^0.65*(2/3)^1.5)-0.00047</f>
        <v>9.8123053326417428E-5</v>
      </c>
      <c r="C24" s="37"/>
      <c r="AA24" s="64"/>
      <c r="AB24" s="65" t="s">
        <v>39</v>
      </c>
      <c r="AC24" s="65">
        <v>0</v>
      </c>
      <c r="AD24" s="65"/>
      <c r="AE24" s="65"/>
      <c r="AF24" s="36" t="e">
        <f t="shared" si="8"/>
        <v>#REF!</v>
      </c>
      <c r="AG24" s="36" t="e">
        <f t="shared" si="6"/>
        <v>#REF!</v>
      </c>
      <c r="AH24" s="36" t="e">
        <f t="shared" si="6"/>
        <v>#REF!</v>
      </c>
      <c r="AI24" s="36" t="e">
        <f t="shared" si="6"/>
        <v>#REF!</v>
      </c>
      <c r="AJ24" s="36" t="e">
        <f t="shared" si="6"/>
        <v>#REF!</v>
      </c>
      <c r="AK24" s="36" t="e">
        <f t="shared" si="6"/>
        <v>#REF!</v>
      </c>
      <c r="AL24" s="36" t="e">
        <f t="shared" si="6"/>
        <v>#REF!</v>
      </c>
      <c r="AM24" s="36" t="e">
        <f t="shared" si="6"/>
        <v>#REF!</v>
      </c>
      <c r="AN24" s="36" t="e">
        <f t="shared" si="6"/>
        <v>#REF!</v>
      </c>
      <c r="AO24" s="36" t="e">
        <f t="shared" si="6"/>
        <v>#REF!</v>
      </c>
      <c r="AQ24" s="38"/>
      <c r="AR24" s="36" t="e">
        <f t="shared" si="9"/>
        <v>#REF!</v>
      </c>
      <c r="AS24" s="36" t="e">
        <f t="shared" si="7"/>
        <v>#REF!</v>
      </c>
      <c r="AT24" s="36" t="e">
        <f t="shared" si="7"/>
        <v>#REF!</v>
      </c>
      <c r="AU24" s="36" t="e">
        <f t="shared" si="7"/>
        <v>#REF!</v>
      </c>
      <c r="AV24" s="36" t="e">
        <f t="shared" si="7"/>
        <v>#REF!</v>
      </c>
      <c r="AW24" s="36" t="e">
        <f t="shared" si="7"/>
        <v>#REF!</v>
      </c>
      <c r="AX24" s="36" t="e">
        <f t="shared" si="7"/>
        <v>#REF!</v>
      </c>
      <c r="AY24" s="36" t="e">
        <f t="shared" si="7"/>
        <v>#REF!</v>
      </c>
      <c r="AZ24" s="36" t="e">
        <f t="shared" si="7"/>
        <v>#REF!</v>
      </c>
      <c r="BA24" s="36" t="e">
        <f t="shared" si="7"/>
        <v>#REF!</v>
      </c>
    </row>
    <row r="25" spans="1:53" hidden="1">
      <c r="A25" s="37"/>
      <c r="B25" s="37"/>
      <c r="C25" s="37"/>
      <c r="AA25" s="64"/>
      <c r="AB25" s="65" t="s">
        <v>40</v>
      </c>
      <c r="AC25" s="65">
        <v>0</v>
      </c>
      <c r="AD25" s="65"/>
      <c r="AE25" s="65"/>
      <c r="AF25" s="36" t="e">
        <f t="shared" si="8"/>
        <v>#REF!</v>
      </c>
      <c r="AG25" s="36" t="e">
        <f t="shared" si="6"/>
        <v>#REF!</v>
      </c>
      <c r="AH25" s="36" t="e">
        <f t="shared" si="6"/>
        <v>#REF!</v>
      </c>
      <c r="AI25" s="36" t="e">
        <f t="shared" si="6"/>
        <v>#REF!</v>
      </c>
      <c r="AJ25" s="36" t="e">
        <f t="shared" si="6"/>
        <v>#REF!</v>
      </c>
      <c r="AK25" s="36" t="e">
        <f t="shared" si="6"/>
        <v>#REF!</v>
      </c>
      <c r="AL25" s="36" t="e">
        <f t="shared" si="6"/>
        <v>#REF!</v>
      </c>
      <c r="AM25" s="36" t="e">
        <f t="shared" si="6"/>
        <v>#REF!</v>
      </c>
      <c r="AN25" s="36" t="e">
        <f t="shared" si="6"/>
        <v>#REF!</v>
      </c>
      <c r="AO25" s="36" t="e">
        <f t="shared" si="6"/>
        <v>#REF!</v>
      </c>
      <c r="AQ25" s="38"/>
      <c r="AR25" s="36" t="e">
        <f t="shared" si="9"/>
        <v>#REF!</v>
      </c>
      <c r="AS25" s="36" t="e">
        <f t="shared" si="7"/>
        <v>#REF!</v>
      </c>
      <c r="AT25" s="36" t="e">
        <f t="shared" si="7"/>
        <v>#REF!</v>
      </c>
      <c r="AU25" s="36" t="e">
        <f t="shared" si="7"/>
        <v>#REF!</v>
      </c>
      <c r="AV25" s="36" t="e">
        <f t="shared" si="7"/>
        <v>#REF!</v>
      </c>
      <c r="AW25" s="36" t="e">
        <f t="shared" si="7"/>
        <v>#REF!</v>
      </c>
      <c r="AX25" s="36" t="e">
        <f t="shared" si="7"/>
        <v>#REF!</v>
      </c>
      <c r="AY25" s="36" t="e">
        <f t="shared" si="7"/>
        <v>#REF!</v>
      </c>
      <c r="AZ25" s="36" t="e">
        <f t="shared" si="7"/>
        <v>#REF!</v>
      </c>
      <c r="BA25" s="36" t="e">
        <f t="shared" si="7"/>
        <v>#REF!</v>
      </c>
    </row>
    <row r="26" spans="1:53" hidden="1">
      <c r="A26" s="37"/>
      <c r="B26" s="37"/>
      <c r="C26" s="37"/>
      <c r="AA26" s="64"/>
      <c r="AB26" s="65"/>
      <c r="AC26" s="65"/>
      <c r="AD26" s="65"/>
      <c r="AE26" s="65"/>
      <c r="AQ26" s="38"/>
    </row>
    <row r="27" spans="1:53" hidden="1">
      <c r="A27" s="37"/>
      <c r="B27" s="37"/>
      <c r="C27" s="37"/>
      <c r="AA27" s="64" t="s">
        <v>41</v>
      </c>
      <c r="AB27" s="65" t="s">
        <v>30</v>
      </c>
      <c r="AC27" s="65" t="s">
        <v>31</v>
      </c>
      <c r="AD27" s="65"/>
      <c r="AE27" s="65"/>
      <c r="AQ27" s="38"/>
    </row>
    <row r="28" spans="1:53" hidden="1">
      <c r="A28" s="37" t="s">
        <v>88</v>
      </c>
      <c r="B28" s="37"/>
      <c r="C28" s="37"/>
      <c r="AA28" s="64"/>
      <c r="AB28" s="65" t="s">
        <v>32</v>
      </c>
      <c r="AC28" s="65">
        <v>0</v>
      </c>
      <c r="AD28" s="65"/>
      <c r="AE28" s="65"/>
      <c r="AF28" s="36" t="e">
        <f t="shared" ref="AF28:AO36" si="10">AF$12*$AC28</f>
        <v>#REF!</v>
      </c>
      <c r="AG28" s="36" t="e">
        <f t="shared" si="10"/>
        <v>#REF!</v>
      </c>
      <c r="AH28" s="36" t="e">
        <f t="shared" si="10"/>
        <v>#REF!</v>
      </c>
      <c r="AI28" s="36" t="e">
        <f t="shared" si="10"/>
        <v>#REF!</v>
      </c>
      <c r="AJ28" s="36" t="e">
        <f t="shared" si="10"/>
        <v>#REF!</v>
      </c>
      <c r="AK28" s="36" t="e">
        <f t="shared" si="10"/>
        <v>#REF!</v>
      </c>
      <c r="AL28" s="36" t="e">
        <f t="shared" si="10"/>
        <v>#REF!</v>
      </c>
      <c r="AM28" s="36" t="e">
        <f t="shared" si="10"/>
        <v>#REF!</v>
      </c>
      <c r="AN28" s="36" t="e">
        <f t="shared" si="10"/>
        <v>#REF!</v>
      </c>
      <c r="AO28" s="36" t="e">
        <f t="shared" si="10"/>
        <v>#REF!</v>
      </c>
      <c r="AQ28" s="38"/>
      <c r="AR28" s="36" t="e">
        <f t="shared" ref="AR28:BA36" si="11">AR$12*$AC28</f>
        <v>#REF!</v>
      </c>
      <c r="AS28" s="36" t="e">
        <f t="shared" si="11"/>
        <v>#REF!</v>
      </c>
      <c r="AT28" s="36" t="e">
        <f t="shared" si="11"/>
        <v>#REF!</v>
      </c>
      <c r="AU28" s="36" t="e">
        <f t="shared" si="11"/>
        <v>#REF!</v>
      </c>
      <c r="AV28" s="36" t="e">
        <f t="shared" si="11"/>
        <v>#REF!</v>
      </c>
      <c r="AW28" s="36" t="e">
        <f t="shared" si="11"/>
        <v>#REF!</v>
      </c>
      <c r="AX28" s="36" t="e">
        <f t="shared" si="11"/>
        <v>#REF!</v>
      </c>
      <c r="AY28" s="36" t="e">
        <f t="shared" si="11"/>
        <v>#REF!</v>
      </c>
      <c r="AZ28" s="36" t="e">
        <f t="shared" si="11"/>
        <v>#REF!</v>
      </c>
      <c r="BA28" s="36" t="e">
        <f t="shared" si="11"/>
        <v>#REF!</v>
      </c>
    </row>
    <row r="29" spans="1:53" hidden="1">
      <c r="A29" s="37" t="s">
        <v>89</v>
      </c>
      <c r="B29" s="37"/>
      <c r="C29" s="37"/>
      <c r="AA29" s="64"/>
      <c r="AB29" s="65" t="s">
        <v>33</v>
      </c>
      <c r="AC29" s="65">
        <v>6.2010000000000005</v>
      </c>
      <c r="AD29" s="65"/>
      <c r="AE29" s="65"/>
      <c r="AF29" s="36" t="e">
        <f t="shared" si="10"/>
        <v>#REF!</v>
      </c>
      <c r="AG29" s="36" t="e">
        <f t="shared" si="10"/>
        <v>#REF!</v>
      </c>
      <c r="AH29" s="36" t="e">
        <f t="shared" si="10"/>
        <v>#REF!</v>
      </c>
      <c r="AI29" s="36" t="e">
        <f t="shared" si="10"/>
        <v>#REF!</v>
      </c>
      <c r="AJ29" s="36" t="e">
        <f t="shared" si="10"/>
        <v>#REF!</v>
      </c>
      <c r="AK29" s="36" t="e">
        <f t="shared" si="10"/>
        <v>#REF!</v>
      </c>
      <c r="AL29" s="36" t="e">
        <f t="shared" si="10"/>
        <v>#REF!</v>
      </c>
      <c r="AM29" s="36" t="e">
        <f t="shared" si="10"/>
        <v>#REF!</v>
      </c>
      <c r="AN29" s="36" t="e">
        <f t="shared" si="10"/>
        <v>#REF!</v>
      </c>
      <c r="AO29" s="36" t="e">
        <f t="shared" si="10"/>
        <v>#REF!</v>
      </c>
      <c r="AQ29" s="38"/>
      <c r="AR29" s="36" t="e">
        <f t="shared" si="11"/>
        <v>#REF!</v>
      </c>
      <c r="AS29" s="36" t="e">
        <f t="shared" si="11"/>
        <v>#REF!</v>
      </c>
      <c r="AT29" s="36" t="e">
        <f t="shared" si="11"/>
        <v>#REF!</v>
      </c>
      <c r="AU29" s="36" t="e">
        <f t="shared" si="11"/>
        <v>#REF!</v>
      </c>
      <c r="AV29" s="36" t="e">
        <f t="shared" si="11"/>
        <v>#REF!</v>
      </c>
      <c r="AW29" s="36" t="e">
        <f t="shared" si="11"/>
        <v>#REF!</v>
      </c>
      <c r="AX29" s="36" t="e">
        <f t="shared" si="11"/>
        <v>#REF!</v>
      </c>
      <c r="AY29" s="36" t="e">
        <f t="shared" si="11"/>
        <v>#REF!</v>
      </c>
      <c r="AZ29" s="36" t="e">
        <f t="shared" si="11"/>
        <v>#REF!</v>
      </c>
      <c r="BA29" s="36" t="e">
        <f t="shared" si="11"/>
        <v>#REF!</v>
      </c>
    </row>
    <row r="30" spans="1:53" hidden="1">
      <c r="A30" s="37" t="s">
        <v>90</v>
      </c>
      <c r="B30" s="37"/>
      <c r="C30" s="37"/>
      <c r="AA30" s="64"/>
      <c r="AB30" s="65" t="s">
        <v>34</v>
      </c>
      <c r="AC30" s="65">
        <v>0</v>
      </c>
      <c r="AD30" s="65"/>
      <c r="AE30" s="65"/>
      <c r="AF30" s="36" t="e">
        <f t="shared" si="10"/>
        <v>#REF!</v>
      </c>
      <c r="AG30" s="36" t="e">
        <f t="shared" si="10"/>
        <v>#REF!</v>
      </c>
      <c r="AH30" s="36" t="e">
        <f t="shared" si="10"/>
        <v>#REF!</v>
      </c>
      <c r="AI30" s="36" t="e">
        <f t="shared" si="10"/>
        <v>#REF!</v>
      </c>
      <c r="AJ30" s="36" t="e">
        <f t="shared" si="10"/>
        <v>#REF!</v>
      </c>
      <c r="AK30" s="36" t="e">
        <f t="shared" si="10"/>
        <v>#REF!</v>
      </c>
      <c r="AL30" s="36" t="e">
        <f t="shared" si="10"/>
        <v>#REF!</v>
      </c>
      <c r="AM30" s="36" t="e">
        <f t="shared" si="10"/>
        <v>#REF!</v>
      </c>
      <c r="AN30" s="36" t="e">
        <f t="shared" si="10"/>
        <v>#REF!</v>
      </c>
      <c r="AO30" s="36" t="e">
        <f t="shared" si="10"/>
        <v>#REF!</v>
      </c>
      <c r="AQ30" s="38"/>
      <c r="AR30" s="36" t="e">
        <f t="shared" si="11"/>
        <v>#REF!</v>
      </c>
      <c r="AS30" s="36" t="e">
        <f t="shared" si="11"/>
        <v>#REF!</v>
      </c>
      <c r="AT30" s="36" t="e">
        <f t="shared" si="11"/>
        <v>#REF!</v>
      </c>
      <c r="AU30" s="36" t="e">
        <f t="shared" si="11"/>
        <v>#REF!</v>
      </c>
      <c r="AV30" s="36" t="e">
        <f t="shared" si="11"/>
        <v>#REF!</v>
      </c>
      <c r="AW30" s="36" t="e">
        <f t="shared" si="11"/>
        <v>#REF!</v>
      </c>
      <c r="AX30" s="36" t="e">
        <f t="shared" si="11"/>
        <v>#REF!</v>
      </c>
      <c r="AY30" s="36" t="e">
        <f t="shared" si="11"/>
        <v>#REF!</v>
      </c>
      <c r="AZ30" s="36" t="e">
        <f t="shared" si="11"/>
        <v>#REF!</v>
      </c>
      <c r="BA30" s="36" t="e">
        <f t="shared" si="11"/>
        <v>#REF!</v>
      </c>
    </row>
    <row r="31" spans="1:53" hidden="1">
      <c r="A31" s="37" t="s">
        <v>91</v>
      </c>
      <c r="B31" s="37"/>
      <c r="C31" s="37"/>
      <c r="AA31" s="64"/>
      <c r="AB31" s="65" t="s">
        <v>35</v>
      </c>
      <c r="AC31" s="65">
        <v>9.8037500000000009</v>
      </c>
      <c r="AD31" s="65"/>
      <c r="AE31" s="65"/>
      <c r="AF31" s="36" t="e">
        <f t="shared" si="10"/>
        <v>#REF!</v>
      </c>
      <c r="AG31" s="36" t="e">
        <f t="shared" si="10"/>
        <v>#REF!</v>
      </c>
      <c r="AH31" s="36" t="e">
        <f t="shared" si="10"/>
        <v>#REF!</v>
      </c>
      <c r="AI31" s="36" t="e">
        <f t="shared" si="10"/>
        <v>#REF!</v>
      </c>
      <c r="AJ31" s="36" t="e">
        <f t="shared" si="10"/>
        <v>#REF!</v>
      </c>
      <c r="AK31" s="36" t="e">
        <f t="shared" si="10"/>
        <v>#REF!</v>
      </c>
      <c r="AL31" s="36" t="e">
        <f t="shared" si="10"/>
        <v>#REF!</v>
      </c>
      <c r="AM31" s="36" t="e">
        <f t="shared" si="10"/>
        <v>#REF!</v>
      </c>
      <c r="AN31" s="36" t="e">
        <f t="shared" si="10"/>
        <v>#REF!</v>
      </c>
      <c r="AO31" s="36" t="e">
        <f t="shared" si="10"/>
        <v>#REF!</v>
      </c>
      <c r="AQ31" s="38"/>
      <c r="AR31" s="36" t="e">
        <f t="shared" si="11"/>
        <v>#REF!</v>
      </c>
      <c r="AS31" s="36" t="e">
        <f t="shared" si="11"/>
        <v>#REF!</v>
      </c>
      <c r="AT31" s="36" t="e">
        <f t="shared" si="11"/>
        <v>#REF!</v>
      </c>
      <c r="AU31" s="36" t="e">
        <f t="shared" si="11"/>
        <v>#REF!</v>
      </c>
      <c r="AV31" s="36" t="e">
        <f t="shared" si="11"/>
        <v>#REF!</v>
      </c>
      <c r="AW31" s="36" t="e">
        <f t="shared" si="11"/>
        <v>#REF!</v>
      </c>
      <c r="AX31" s="36" t="e">
        <f t="shared" si="11"/>
        <v>#REF!</v>
      </c>
      <c r="AY31" s="36" t="e">
        <f t="shared" si="11"/>
        <v>#REF!</v>
      </c>
      <c r="AZ31" s="36" t="e">
        <f t="shared" si="11"/>
        <v>#REF!</v>
      </c>
      <c r="BA31" s="36" t="e">
        <f t="shared" si="11"/>
        <v>#REF!</v>
      </c>
    </row>
    <row r="32" spans="1:53" hidden="1">
      <c r="A32" s="37" t="s">
        <v>92</v>
      </c>
      <c r="B32" s="37"/>
      <c r="C32" s="37"/>
      <c r="AA32" s="64"/>
      <c r="AB32" s="65" t="s">
        <v>36</v>
      </c>
      <c r="AC32" s="65">
        <v>7.2451999999999996</v>
      </c>
      <c r="AD32" s="65"/>
      <c r="AE32" s="65"/>
      <c r="AF32" s="36" t="e">
        <f t="shared" si="10"/>
        <v>#REF!</v>
      </c>
      <c r="AG32" s="36" t="e">
        <f t="shared" si="10"/>
        <v>#REF!</v>
      </c>
      <c r="AH32" s="36" t="e">
        <f t="shared" si="10"/>
        <v>#REF!</v>
      </c>
      <c r="AI32" s="36" t="e">
        <f t="shared" si="10"/>
        <v>#REF!</v>
      </c>
      <c r="AJ32" s="36" t="e">
        <f t="shared" si="10"/>
        <v>#REF!</v>
      </c>
      <c r="AK32" s="36" t="e">
        <f t="shared" si="10"/>
        <v>#REF!</v>
      </c>
      <c r="AL32" s="36" t="e">
        <f t="shared" si="10"/>
        <v>#REF!</v>
      </c>
      <c r="AM32" s="36" t="e">
        <f t="shared" si="10"/>
        <v>#REF!</v>
      </c>
      <c r="AN32" s="36" t="e">
        <f t="shared" si="10"/>
        <v>#REF!</v>
      </c>
      <c r="AO32" s="36" t="e">
        <f t="shared" si="10"/>
        <v>#REF!</v>
      </c>
      <c r="AQ32" s="38"/>
      <c r="AR32" s="36" t="e">
        <f t="shared" si="11"/>
        <v>#REF!</v>
      </c>
      <c r="AS32" s="36" t="e">
        <f t="shared" si="11"/>
        <v>#REF!</v>
      </c>
      <c r="AT32" s="36" t="e">
        <f t="shared" si="11"/>
        <v>#REF!</v>
      </c>
      <c r="AU32" s="36" t="e">
        <f t="shared" si="11"/>
        <v>#REF!</v>
      </c>
      <c r="AV32" s="36" t="e">
        <f t="shared" si="11"/>
        <v>#REF!</v>
      </c>
      <c r="AW32" s="36" t="e">
        <f t="shared" si="11"/>
        <v>#REF!</v>
      </c>
      <c r="AX32" s="36" t="e">
        <f t="shared" si="11"/>
        <v>#REF!</v>
      </c>
      <c r="AY32" s="36" t="e">
        <f t="shared" si="11"/>
        <v>#REF!</v>
      </c>
      <c r="AZ32" s="36" t="e">
        <f t="shared" si="11"/>
        <v>#REF!</v>
      </c>
      <c r="BA32" s="36" t="e">
        <f t="shared" si="11"/>
        <v>#REF!</v>
      </c>
    </row>
    <row r="33" spans="1:53" hidden="1">
      <c r="A33" s="37" t="s">
        <v>84</v>
      </c>
      <c r="B33" s="37"/>
      <c r="C33" s="37"/>
      <c r="AA33" s="64"/>
      <c r="AB33" s="65" t="s">
        <v>37</v>
      </c>
      <c r="AC33" s="65">
        <v>3.6</v>
      </c>
      <c r="AD33" s="65"/>
      <c r="AE33" s="65"/>
      <c r="AF33" s="36" t="e">
        <f t="shared" si="10"/>
        <v>#REF!</v>
      </c>
      <c r="AG33" s="36" t="e">
        <f t="shared" si="10"/>
        <v>#REF!</v>
      </c>
      <c r="AH33" s="36" t="e">
        <f t="shared" si="10"/>
        <v>#REF!</v>
      </c>
      <c r="AI33" s="36" t="e">
        <f t="shared" si="10"/>
        <v>#REF!</v>
      </c>
      <c r="AJ33" s="36" t="e">
        <f t="shared" si="10"/>
        <v>#REF!</v>
      </c>
      <c r="AK33" s="36" t="e">
        <f t="shared" si="10"/>
        <v>#REF!</v>
      </c>
      <c r="AL33" s="36" t="e">
        <f t="shared" si="10"/>
        <v>#REF!</v>
      </c>
      <c r="AM33" s="36" t="e">
        <f t="shared" si="10"/>
        <v>#REF!</v>
      </c>
      <c r="AN33" s="36" t="e">
        <f t="shared" si="10"/>
        <v>#REF!</v>
      </c>
      <c r="AO33" s="36" t="e">
        <f t="shared" si="10"/>
        <v>#REF!</v>
      </c>
      <c r="AQ33" s="38"/>
      <c r="AR33" s="36" t="e">
        <f t="shared" si="11"/>
        <v>#REF!</v>
      </c>
      <c r="AS33" s="36" t="e">
        <f t="shared" si="11"/>
        <v>#REF!</v>
      </c>
      <c r="AT33" s="36" t="e">
        <f t="shared" si="11"/>
        <v>#REF!</v>
      </c>
      <c r="AU33" s="36" t="e">
        <f t="shared" si="11"/>
        <v>#REF!</v>
      </c>
      <c r="AV33" s="36" t="e">
        <f t="shared" si="11"/>
        <v>#REF!</v>
      </c>
      <c r="AW33" s="36" t="e">
        <f t="shared" si="11"/>
        <v>#REF!</v>
      </c>
      <c r="AX33" s="36" t="e">
        <f t="shared" si="11"/>
        <v>#REF!</v>
      </c>
      <c r="AY33" s="36" t="e">
        <f t="shared" si="11"/>
        <v>#REF!</v>
      </c>
      <c r="AZ33" s="36" t="e">
        <f t="shared" si="11"/>
        <v>#REF!</v>
      </c>
      <c r="BA33" s="36" t="e">
        <f t="shared" si="11"/>
        <v>#REF!</v>
      </c>
    </row>
    <row r="34" spans="1:53" hidden="1">
      <c r="A34" s="37" t="s">
        <v>93</v>
      </c>
      <c r="B34" s="37"/>
      <c r="C34" s="37"/>
      <c r="AA34" s="64"/>
      <c r="AB34" s="65" t="s">
        <v>38</v>
      </c>
      <c r="AC34" s="65">
        <v>6.1984000000000004</v>
      </c>
      <c r="AD34" s="65"/>
      <c r="AE34" s="65"/>
      <c r="AF34" s="36" t="e">
        <f t="shared" si="10"/>
        <v>#REF!</v>
      </c>
      <c r="AG34" s="36" t="e">
        <f t="shared" si="10"/>
        <v>#REF!</v>
      </c>
      <c r="AH34" s="36" t="e">
        <f t="shared" si="10"/>
        <v>#REF!</v>
      </c>
      <c r="AI34" s="36" t="e">
        <f t="shared" si="10"/>
        <v>#REF!</v>
      </c>
      <c r="AJ34" s="36" t="e">
        <f t="shared" si="10"/>
        <v>#REF!</v>
      </c>
      <c r="AK34" s="36" t="e">
        <f t="shared" si="10"/>
        <v>#REF!</v>
      </c>
      <c r="AL34" s="36" t="e">
        <f t="shared" si="10"/>
        <v>#REF!</v>
      </c>
      <c r="AM34" s="36" t="e">
        <f t="shared" si="10"/>
        <v>#REF!</v>
      </c>
      <c r="AN34" s="36" t="e">
        <f t="shared" si="10"/>
        <v>#REF!</v>
      </c>
      <c r="AO34" s="36" t="e">
        <f t="shared" si="10"/>
        <v>#REF!</v>
      </c>
      <c r="AQ34" s="38"/>
      <c r="AR34" s="36" t="e">
        <f t="shared" si="11"/>
        <v>#REF!</v>
      </c>
      <c r="AS34" s="36" t="e">
        <f t="shared" si="11"/>
        <v>#REF!</v>
      </c>
      <c r="AT34" s="36" t="e">
        <f t="shared" si="11"/>
        <v>#REF!</v>
      </c>
      <c r="AU34" s="36" t="e">
        <f t="shared" si="11"/>
        <v>#REF!</v>
      </c>
      <c r="AV34" s="36" t="e">
        <f t="shared" si="11"/>
        <v>#REF!</v>
      </c>
      <c r="AW34" s="36" t="e">
        <f t="shared" si="11"/>
        <v>#REF!</v>
      </c>
      <c r="AX34" s="36" t="e">
        <f t="shared" si="11"/>
        <v>#REF!</v>
      </c>
      <c r="AY34" s="36" t="e">
        <f t="shared" si="11"/>
        <v>#REF!</v>
      </c>
      <c r="AZ34" s="36" t="e">
        <f t="shared" si="11"/>
        <v>#REF!</v>
      </c>
      <c r="BA34" s="36" t="e">
        <f t="shared" si="11"/>
        <v>#REF!</v>
      </c>
    </row>
    <row r="35" spans="1:53" hidden="1">
      <c r="A35" s="37" t="s">
        <v>94</v>
      </c>
      <c r="B35" s="37"/>
      <c r="C35" s="37"/>
      <c r="AA35" s="64"/>
      <c r="AB35" s="65" t="s">
        <v>39</v>
      </c>
      <c r="AC35" s="65">
        <v>5.1995100000000001</v>
      </c>
      <c r="AD35" s="65"/>
      <c r="AE35" s="65"/>
      <c r="AF35" s="36" t="e">
        <f t="shared" si="10"/>
        <v>#REF!</v>
      </c>
      <c r="AG35" s="36" t="e">
        <f t="shared" si="10"/>
        <v>#REF!</v>
      </c>
      <c r="AH35" s="36" t="e">
        <f t="shared" si="10"/>
        <v>#REF!</v>
      </c>
      <c r="AI35" s="36" t="e">
        <f t="shared" si="10"/>
        <v>#REF!</v>
      </c>
      <c r="AJ35" s="36" t="e">
        <f t="shared" si="10"/>
        <v>#REF!</v>
      </c>
      <c r="AK35" s="36" t="e">
        <f t="shared" si="10"/>
        <v>#REF!</v>
      </c>
      <c r="AL35" s="36" t="e">
        <f t="shared" si="10"/>
        <v>#REF!</v>
      </c>
      <c r="AM35" s="36" t="e">
        <f t="shared" si="10"/>
        <v>#REF!</v>
      </c>
      <c r="AN35" s="36" t="e">
        <f t="shared" si="10"/>
        <v>#REF!</v>
      </c>
      <c r="AO35" s="36" t="e">
        <f t="shared" si="10"/>
        <v>#REF!</v>
      </c>
      <c r="AQ35" s="38"/>
      <c r="AR35" s="36" t="e">
        <f t="shared" si="11"/>
        <v>#REF!</v>
      </c>
      <c r="AS35" s="36" t="e">
        <f t="shared" si="11"/>
        <v>#REF!</v>
      </c>
      <c r="AT35" s="36" t="e">
        <f t="shared" si="11"/>
        <v>#REF!</v>
      </c>
      <c r="AU35" s="36" t="e">
        <f t="shared" si="11"/>
        <v>#REF!</v>
      </c>
      <c r="AV35" s="36" t="e">
        <f t="shared" si="11"/>
        <v>#REF!</v>
      </c>
      <c r="AW35" s="36" t="e">
        <f t="shared" si="11"/>
        <v>#REF!</v>
      </c>
      <c r="AX35" s="36" t="e">
        <f t="shared" si="11"/>
        <v>#REF!</v>
      </c>
      <c r="AY35" s="36" t="e">
        <f t="shared" si="11"/>
        <v>#REF!</v>
      </c>
      <c r="AZ35" s="36" t="e">
        <f t="shared" si="11"/>
        <v>#REF!</v>
      </c>
      <c r="BA35" s="36" t="e">
        <f t="shared" si="11"/>
        <v>#REF!</v>
      </c>
    </row>
    <row r="36" spans="1:53" hidden="1">
      <c r="A36" s="37" t="s">
        <v>0</v>
      </c>
      <c r="B36" s="37"/>
      <c r="C36" s="37"/>
      <c r="AA36" s="64"/>
      <c r="AB36" s="65" t="s">
        <v>40</v>
      </c>
      <c r="AC36" s="65">
        <v>17.71416</v>
      </c>
      <c r="AD36" s="65"/>
      <c r="AE36" s="65"/>
      <c r="AF36" s="36" t="e">
        <f t="shared" si="10"/>
        <v>#REF!</v>
      </c>
      <c r="AG36" s="36" t="e">
        <f t="shared" si="10"/>
        <v>#REF!</v>
      </c>
      <c r="AH36" s="36" t="e">
        <f t="shared" si="10"/>
        <v>#REF!</v>
      </c>
      <c r="AI36" s="36" t="e">
        <f t="shared" si="10"/>
        <v>#REF!</v>
      </c>
      <c r="AJ36" s="36" t="e">
        <f t="shared" si="10"/>
        <v>#REF!</v>
      </c>
      <c r="AK36" s="36" t="e">
        <f t="shared" si="10"/>
        <v>#REF!</v>
      </c>
      <c r="AL36" s="36" t="e">
        <f t="shared" si="10"/>
        <v>#REF!</v>
      </c>
      <c r="AM36" s="36" t="e">
        <f t="shared" si="10"/>
        <v>#REF!</v>
      </c>
      <c r="AN36" s="36" t="e">
        <f t="shared" si="10"/>
        <v>#REF!</v>
      </c>
      <c r="AO36" s="36" t="e">
        <f t="shared" si="10"/>
        <v>#REF!</v>
      </c>
      <c r="AQ36" s="38"/>
      <c r="AR36" s="36" t="e">
        <f t="shared" si="11"/>
        <v>#REF!</v>
      </c>
      <c r="AS36" s="36" t="e">
        <f t="shared" si="11"/>
        <v>#REF!</v>
      </c>
      <c r="AT36" s="36" t="e">
        <f t="shared" si="11"/>
        <v>#REF!</v>
      </c>
      <c r="AU36" s="36" t="e">
        <f t="shared" si="11"/>
        <v>#REF!</v>
      </c>
      <c r="AV36" s="36" t="e">
        <f t="shared" si="11"/>
        <v>#REF!</v>
      </c>
      <c r="AW36" s="36" t="e">
        <f t="shared" si="11"/>
        <v>#REF!</v>
      </c>
      <c r="AX36" s="36" t="e">
        <f t="shared" si="11"/>
        <v>#REF!</v>
      </c>
      <c r="AY36" s="36" t="e">
        <f t="shared" si="11"/>
        <v>#REF!</v>
      </c>
      <c r="AZ36" s="36" t="e">
        <f t="shared" si="11"/>
        <v>#REF!</v>
      </c>
      <c r="BA36" s="36" t="e">
        <f t="shared" si="11"/>
        <v>#REF!</v>
      </c>
    </row>
    <row r="37" spans="1:53" hidden="1">
      <c r="A37" s="37" t="s">
        <v>59</v>
      </c>
      <c r="B37" s="37">
        <f>0.39*1.5*(8.5/12)^0.9*(2/3)^0.45</f>
        <v>0.35737873826145539</v>
      </c>
      <c r="C37" s="37"/>
      <c r="AA37" s="64"/>
      <c r="AB37" s="65"/>
      <c r="AC37" s="65"/>
      <c r="AD37" s="65"/>
      <c r="AE37" s="65"/>
      <c r="AQ37" s="38"/>
    </row>
    <row r="38" spans="1:53" hidden="1">
      <c r="A38" s="37" t="s">
        <v>60</v>
      </c>
      <c r="B38" s="37">
        <f>0.39*0.15*(8.5/12)^0.9*(2/3)^0.45</f>
        <v>3.5737873826145544E-2</v>
      </c>
      <c r="C38" s="37"/>
      <c r="AA38" s="64" t="s">
        <v>42</v>
      </c>
      <c r="AB38" s="65" t="s">
        <v>30</v>
      </c>
      <c r="AC38" s="65" t="s">
        <v>31</v>
      </c>
      <c r="AD38" s="65"/>
      <c r="AE38" s="65"/>
      <c r="AQ38" s="38"/>
    </row>
    <row r="39" spans="1:53" hidden="1">
      <c r="AA39" s="64"/>
      <c r="AB39" s="65" t="s">
        <v>32</v>
      </c>
      <c r="AC39" s="65">
        <v>0</v>
      </c>
      <c r="AD39" s="65"/>
      <c r="AE39" s="65"/>
      <c r="AF39" s="36" t="e">
        <f t="shared" ref="AF39:AO47" si="12">AF$12*$AC39</f>
        <v>#REF!</v>
      </c>
      <c r="AG39" s="36" t="e">
        <f t="shared" si="12"/>
        <v>#REF!</v>
      </c>
      <c r="AH39" s="36" t="e">
        <f t="shared" si="12"/>
        <v>#REF!</v>
      </c>
      <c r="AI39" s="36" t="e">
        <f t="shared" si="12"/>
        <v>#REF!</v>
      </c>
      <c r="AJ39" s="36" t="e">
        <f t="shared" si="12"/>
        <v>#REF!</v>
      </c>
      <c r="AK39" s="36" t="e">
        <f t="shared" si="12"/>
        <v>#REF!</v>
      </c>
      <c r="AL39" s="36" t="e">
        <f t="shared" si="12"/>
        <v>#REF!</v>
      </c>
      <c r="AM39" s="36" t="e">
        <f t="shared" si="12"/>
        <v>#REF!</v>
      </c>
      <c r="AN39" s="36" t="e">
        <f t="shared" si="12"/>
        <v>#REF!</v>
      </c>
      <c r="AO39" s="36" t="e">
        <f t="shared" si="12"/>
        <v>#REF!</v>
      </c>
      <c r="AQ39" s="38"/>
      <c r="AR39" s="36" t="e">
        <f t="shared" ref="AR39:BA47" si="13">AR$12*$AC39</f>
        <v>#REF!</v>
      </c>
      <c r="AS39" s="36" t="e">
        <f t="shared" si="13"/>
        <v>#REF!</v>
      </c>
      <c r="AT39" s="36" t="e">
        <f t="shared" si="13"/>
        <v>#REF!</v>
      </c>
      <c r="AU39" s="36" t="e">
        <f t="shared" si="13"/>
        <v>#REF!</v>
      </c>
      <c r="AV39" s="36" t="e">
        <f t="shared" si="13"/>
        <v>#REF!</v>
      </c>
      <c r="AW39" s="36" t="e">
        <f t="shared" si="13"/>
        <v>#REF!</v>
      </c>
      <c r="AX39" s="36" t="e">
        <f t="shared" si="13"/>
        <v>#REF!</v>
      </c>
      <c r="AY39" s="36" t="e">
        <f t="shared" si="13"/>
        <v>#REF!</v>
      </c>
      <c r="AZ39" s="36" t="e">
        <f t="shared" si="13"/>
        <v>#REF!</v>
      </c>
      <c r="BA39" s="36" t="e">
        <f t="shared" si="13"/>
        <v>#REF!</v>
      </c>
    </row>
    <row r="40" spans="1:53" hidden="1">
      <c r="AA40" s="64"/>
      <c r="AB40" s="65" t="s">
        <v>33</v>
      </c>
      <c r="AC40" s="65">
        <v>0</v>
      </c>
      <c r="AD40" s="65"/>
      <c r="AE40" s="65"/>
      <c r="AF40" s="36" t="e">
        <f t="shared" si="12"/>
        <v>#REF!</v>
      </c>
      <c r="AG40" s="36" t="e">
        <f t="shared" si="12"/>
        <v>#REF!</v>
      </c>
      <c r="AH40" s="36" t="e">
        <f t="shared" si="12"/>
        <v>#REF!</v>
      </c>
      <c r="AI40" s="36" t="e">
        <f t="shared" si="12"/>
        <v>#REF!</v>
      </c>
      <c r="AJ40" s="36" t="e">
        <f t="shared" si="12"/>
        <v>#REF!</v>
      </c>
      <c r="AK40" s="36" t="e">
        <f t="shared" si="12"/>
        <v>#REF!</v>
      </c>
      <c r="AL40" s="36" t="e">
        <f t="shared" si="12"/>
        <v>#REF!</v>
      </c>
      <c r="AM40" s="36" t="e">
        <f t="shared" si="12"/>
        <v>#REF!</v>
      </c>
      <c r="AN40" s="36" t="e">
        <f t="shared" si="12"/>
        <v>#REF!</v>
      </c>
      <c r="AO40" s="36" t="e">
        <f t="shared" si="12"/>
        <v>#REF!</v>
      </c>
      <c r="AQ40" s="38"/>
      <c r="AR40" s="36" t="e">
        <f t="shared" si="13"/>
        <v>#REF!</v>
      </c>
      <c r="AS40" s="36" t="e">
        <f t="shared" si="13"/>
        <v>#REF!</v>
      </c>
      <c r="AT40" s="36" t="e">
        <f t="shared" si="13"/>
        <v>#REF!</v>
      </c>
      <c r="AU40" s="36" t="e">
        <f t="shared" si="13"/>
        <v>#REF!</v>
      </c>
      <c r="AV40" s="36" t="e">
        <f t="shared" si="13"/>
        <v>#REF!</v>
      </c>
      <c r="AW40" s="36" t="e">
        <f t="shared" si="13"/>
        <v>#REF!</v>
      </c>
      <c r="AX40" s="36" t="e">
        <f t="shared" si="13"/>
        <v>#REF!</v>
      </c>
      <c r="AY40" s="36" t="e">
        <f t="shared" si="13"/>
        <v>#REF!</v>
      </c>
      <c r="AZ40" s="36" t="e">
        <f t="shared" si="13"/>
        <v>#REF!</v>
      </c>
      <c r="BA40" s="36" t="e">
        <f t="shared" si="13"/>
        <v>#REF!</v>
      </c>
    </row>
    <row r="41" spans="1:53" hidden="1">
      <c r="AA41" s="64"/>
      <c r="AB41" s="65" t="s">
        <v>34</v>
      </c>
      <c r="AC41" s="65">
        <v>0</v>
      </c>
      <c r="AD41" s="65"/>
      <c r="AE41" s="65"/>
      <c r="AF41" s="36" t="e">
        <f t="shared" si="12"/>
        <v>#REF!</v>
      </c>
      <c r="AG41" s="36" t="e">
        <f t="shared" si="12"/>
        <v>#REF!</v>
      </c>
      <c r="AH41" s="36" t="e">
        <f t="shared" si="12"/>
        <v>#REF!</v>
      </c>
      <c r="AI41" s="36" t="e">
        <f t="shared" si="12"/>
        <v>#REF!</v>
      </c>
      <c r="AJ41" s="36" t="e">
        <f t="shared" si="12"/>
        <v>#REF!</v>
      </c>
      <c r="AK41" s="36" t="e">
        <f t="shared" si="12"/>
        <v>#REF!</v>
      </c>
      <c r="AL41" s="36" t="e">
        <f t="shared" si="12"/>
        <v>#REF!</v>
      </c>
      <c r="AM41" s="36" t="e">
        <f t="shared" si="12"/>
        <v>#REF!</v>
      </c>
      <c r="AN41" s="36" t="e">
        <f t="shared" si="12"/>
        <v>#REF!</v>
      </c>
      <c r="AO41" s="36" t="e">
        <f t="shared" si="12"/>
        <v>#REF!</v>
      </c>
      <c r="AQ41" s="38"/>
      <c r="AR41" s="36" t="e">
        <f t="shared" si="13"/>
        <v>#REF!</v>
      </c>
      <c r="AS41" s="36" t="e">
        <f t="shared" si="13"/>
        <v>#REF!</v>
      </c>
      <c r="AT41" s="36" t="e">
        <f t="shared" si="13"/>
        <v>#REF!</v>
      </c>
      <c r="AU41" s="36" t="e">
        <f t="shared" si="13"/>
        <v>#REF!</v>
      </c>
      <c r="AV41" s="36" t="e">
        <f t="shared" si="13"/>
        <v>#REF!</v>
      </c>
      <c r="AW41" s="36" t="e">
        <f t="shared" si="13"/>
        <v>#REF!</v>
      </c>
      <c r="AX41" s="36" t="e">
        <f t="shared" si="13"/>
        <v>#REF!</v>
      </c>
      <c r="AY41" s="36" t="e">
        <f t="shared" si="13"/>
        <v>#REF!</v>
      </c>
      <c r="AZ41" s="36" t="e">
        <f t="shared" si="13"/>
        <v>#REF!</v>
      </c>
      <c r="BA41" s="36" t="e">
        <f t="shared" si="13"/>
        <v>#REF!</v>
      </c>
    </row>
    <row r="42" spans="1:53" hidden="1">
      <c r="AA42" s="64"/>
      <c r="AB42" s="65" t="s">
        <v>35</v>
      </c>
      <c r="AC42" s="65">
        <v>16.541599999999999</v>
      </c>
      <c r="AD42" s="65"/>
      <c r="AE42" s="65"/>
      <c r="AF42" s="36" t="e">
        <f t="shared" si="12"/>
        <v>#REF!</v>
      </c>
      <c r="AG42" s="36" t="e">
        <f t="shared" si="12"/>
        <v>#REF!</v>
      </c>
      <c r="AH42" s="36" t="e">
        <f t="shared" si="12"/>
        <v>#REF!</v>
      </c>
      <c r="AI42" s="36" t="e">
        <f t="shared" si="12"/>
        <v>#REF!</v>
      </c>
      <c r="AJ42" s="36" t="e">
        <f t="shared" si="12"/>
        <v>#REF!</v>
      </c>
      <c r="AK42" s="36" t="e">
        <f t="shared" si="12"/>
        <v>#REF!</v>
      </c>
      <c r="AL42" s="36" t="e">
        <f t="shared" si="12"/>
        <v>#REF!</v>
      </c>
      <c r="AM42" s="36" t="e">
        <f t="shared" si="12"/>
        <v>#REF!</v>
      </c>
      <c r="AN42" s="36" t="e">
        <f t="shared" si="12"/>
        <v>#REF!</v>
      </c>
      <c r="AO42" s="36" t="e">
        <f t="shared" si="12"/>
        <v>#REF!</v>
      </c>
      <c r="AQ42" s="38"/>
      <c r="AR42" s="36" t="e">
        <f t="shared" si="13"/>
        <v>#REF!</v>
      </c>
      <c r="AS42" s="36" t="e">
        <f t="shared" si="13"/>
        <v>#REF!</v>
      </c>
      <c r="AT42" s="36" t="e">
        <f t="shared" si="13"/>
        <v>#REF!</v>
      </c>
      <c r="AU42" s="36" t="e">
        <f t="shared" si="13"/>
        <v>#REF!</v>
      </c>
      <c r="AV42" s="36" t="e">
        <f t="shared" si="13"/>
        <v>#REF!</v>
      </c>
      <c r="AW42" s="36" t="e">
        <f t="shared" si="13"/>
        <v>#REF!</v>
      </c>
      <c r="AX42" s="36" t="e">
        <f t="shared" si="13"/>
        <v>#REF!</v>
      </c>
      <c r="AY42" s="36" t="e">
        <f t="shared" si="13"/>
        <v>#REF!</v>
      </c>
      <c r="AZ42" s="36" t="e">
        <f t="shared" si="13"/>
        <v>#REF!</v>
      </c>
      <c r="BA42" s="36" t="e">
        <f t="shared" si="13"/>
        <v>#REF!</v>
      </c>
    </row>
    <row r="43" spans="1:53" hidden="1">
      <c r="AA43" s="64"/>
      <c r="AB43" s="65" t="s">
        <v>36</v>
      </c>
      <c r="AC43" s="65">
        <v>0</v>
      </c>
      <c r="AD43" s="65"/>
      <c r="AE43" s="65"/>
      <c r="AF43" s="36" t="e">
        <f t="shared" si="12"/>
        <v>#REF!</v>
      </c>
      <c r="AG43" s="36" t="e">
        <f t="shared" si="12"/>
        <v>#REF!</v>
      </c>
      <c r="AH43" s="36" t="e">
        <f t="shared" si="12"/>
        <v>#REF!</v>
      </c>
      <c r="AI43" s="36" t="e">
        <f t="shared" si="12"/>
        <v>#REF!</v>
      </c>
      <c r="AJ43" s="36" t="e">
        <f t="shared" si="12"/>
        <v>#REF!</v>
      </c>
      <c r="AK43" s="36" t="e">
        <f t="shared" si="12"/>
        <v>#REF!</v>
      </c>
      <c r="AL43" s="36" t="e">
        <f t="shared" si="12"/>
        <v>#REF!</v>
      </c>
      <c r="AM43" s="36" t="e">
        <f t="shared" si="12"/>
        <v>#REF!</v>
      </c>
      <c r="AN43" s="36" t="e">
        <f t="shared" si="12"/>
        <v>#REF!</v>
      </c>
      <c r="AO43" s="36" t="e">
        <f t="shared" si="12"/>
        <v>#REF!</v>
      </c>
      <c r="AQ43" s="38"/>
      <c r="AR43" s="36" t="e">
        <f t="shared" si="13"/>
        <v>#REF!</v>
      </c>
      <c r="AS43" s="36" t="e">
        <f t="shared" si="13"/>
        <v>#REF!</v>
      </c>
      <c r="AT43" s="36" t="e">
        <f t="shared" si="13"/>
        <v>#REF!</v>
      </c>
      <c r="AU43" s="36" t="e">
        <f t="shared" si="13"/>
        <v>#REF!</v>
      </c>
      <c r="AV43" s="36" t="e">
        <f t="shared" si="13"/>
        <v>#REF!</v>
      </c>
      <c r="AW43" s="36" t="e">
        <f t="shared" si="13"/>
        <v>#REF!</v>
      </c>
      <c r="AX43" s="36" t="e">
        <f t="shared" si="13"/>
        <v>#REF!</v>
      </c>
      <c r="AY43" s="36" t="e">
        <f t="shared" si="13"/>
        <v>#REF!</v>
      </c>
      <c r="AZ43" s="36" t="e">
        <f t="shared" si="13"/>
        <v>#REF!</v>
      </c>
      <c r="BA43" s="36" t="e">
        <f t="shared" si="13"/>
        <v>#REF!</v>
      </c>
    </row>
    <row r="44" spans="1:53" hidden="1">
      <c r="AA44" s="64"/>
      <c r="AB44" s="65" t="s">
        <v>37</v>
      </c>
      <c r="AC44" s="65">
        <v>0</v>
      </c>
      <c r="AD44" s="65"/>
      <c r="AE44" s="65"/>
      <c r="AF44" s="36" t="e">
        <f t="shared" si="12"/>
        <v>#REF!</v>
      </c>
      <c r="AG44" s="36" t="e">
        <f t="shared" si="12"/>
        <v>#REF!</v>
      </c>
      <c r="AH44" s="36" t="e">
        <f t="shared" si="12"/>
        <v>#REF!</v>
      </c>
      <c r="AI44" s="36" t="e">
        <f t="shared" si="12"/>
        <v>#REF!</v>
      </c>
      <c r="AJ44" s="36" t="e">
        <f t="shared" si="12"/>
        <v>#REF!</v>
      </c>
      <c r="AK44" s="36" t="e">
        <f t="shared" si="12"/>
        <v>#REF!</v>
      </c>
      <c r="AL44" s="36" t="e">
        <f t="shared" si="12"/>
        <v>#REF!</v>
      </c>
      <c r="AM44" s="36" t="e">
        <f t="shared" si="12"/>
        <v>#REF!</v>
      </c>
      <c r="AN44" s="36" t="e">
        <f t="shared" si="12"/>
        <v>#REF!</v>
      </c>
      <c r="AO44" s="36" t="e">
        <f t="shared" si="12"/>
        <v>#REF!</v>
      </c>
      <c r="AQ44" s="38"/>
      <c r="AR44" s="36" t="e">
        <f t="shared" si="13"/>
        <v>#REF!</v>
      </c>
      <c r="AS44" s="36" t="e">
        <f t="shared" si="13"/>
        <v>#REF!</v>
      </c>
      <c r="AT44" s="36" t="e">
        <f t="shared" si="13"/>
        <v>#REF!</v>
      </c>
      <c r="AU44" s="36" t="e">
        <f t="shared" si="13"/>
        <v>#REF!</v>
      </c>
      <c r="AV44" s="36" t="e">
        <f t="shared" si="13"/>
        <v>#REF!</v>
      </c>
      <c r="AW44" s="36" t="e">
        <f t="shared" si="13"/>
        <v>#REF!</v>
      </c>
      <c r="AX44" s="36" t="e">
        <f t="shared" si="13"/>
        <v>#REF!</v>
      </c>
      <c r="AY44" s="36" t="e">
        <f t="shared" si="13"/>
        <v>#REF!</v>
      </c>
      <c r="AZ44" s="36" t="e">
        <f t="shared" si="13"/>
        <v>#REF!</v>
      </c>
      <c r="BA44" s="36" t="e">
        <f t="shared" si="13"/>
        <v>#REF!</v>
      </c>
    </row>
    <row r="45" spans="1:53" hidden="1">
      <c r="AA45" s="64"/>
      <c r="AB45" s="65" t="s">
        <v>38</v>
      </c>
      <c r="AC45" s="65">
        <v>14.601599999999999</v>
      </c>
      <c r="AD45" s="65"/>
      <c r="AE45" s="65"/>
      <c r="AF45" s="36" t="e">
        <f t="shared" si="12"/>
        <v>#REF!</v>
      </c>
      <c r="AG45" s="36" t="e">
        <f t="shared" si="12"/>
        <v>#REF!</v>
      </c>
      <c r="AH45" s="36" t="e">
        <f t="shared" si="12"/>
        <v>#REF!</v>
      </c>
      <c r="AI45" s="36" t="e">
        <f t="shared" si="12"/>
        <v>#REF!</v>
      </c>
      <c r="AJ45" s="36" t="e">
        <f t="shared" si="12"/>
        <v>#REF!</v>
      </c>
      <c r="AK45" s="36" t="e">
        <f t="shared" si="12"/>
        <v>#REF!</v>
      </c>
      <c r="AL45" s="36" t="e">
        <f t="shared" si="12"/>
        <v>#REF!</v>
      </c>
      <c r="AM45" s="36" t="e">
        <f t="shared" si="12"/>
        <v>#REF!</v>
      </c>
      <c r="AN45" s="36" t="e">
        <f t="shared" si="12"/>
        <v>#REF!</v>
      </c>
      <c r="AO45" s="36" t="e">
        <f t="shared" si="12"/>
        <v>#REF!</v>
      </c>
      <c r="AQ45" s="38"/>
      <c r="AR45" s="36" t="e">
        <f t="shared" si="13"/>
        <v>#REF!</v>
      </c>
      <c r="AS45" s="36" t="e">
        <f t="shared" si="13"/>
        <v>#REF!</v>
      </c>
      <c r="AT45" s="36" t="e">
        <f t="shared" si="13"/>
        <v>#REF!</v>
      </c>
      <c r="AU45" s="36" t="e">
        <f t="shared" si="13"/>
        <v>#REF!</v>
      </c>
      <c r="AV45" s="36" t="e">
        <f t="shared" si="13"/>
        <v>#REF!</v>
      </c>
      <c r="AW45" s="36" t="e">
        <f t="shared" si="13"/>
        <v>#REF!</v>
      </c>
      <c r="AX45" s="36" t="e">
        <f t="shared" si="13"/>
        <v>#REF!</v>
      </c>
      <c r="AY45" s="36" t="e">
        <f t="shared" si="13"/>
        <v>#REF!</v>
      </c>
      <c r="AZ45" s="36" t="e">
        <f t="shared" si="13"/>
        <v>#REF!</v>
      </c>
      <c r="BA45" s="36" t="e">
        <f t="shared" si="13"/>
        <v>#REF!</v>
      </c>
    </row>
    <row r="46" spans="1:53" hidden="1">
      <c r="AA46" s="64"/>
      <c r="AB46" s="65" t="s">
        <v>39</v>
      </c>
      <c r="AC46" s="65">
        <v>14.570489999999999</v>
      </c>
      <c r="AD46" s="65"/>
      <c r="AE46" s="65"/>
      <c r="AF46" s="36" t="e">
        <f t="shared" si="12"/>
        <v>#REF!</v>
      </c>
      <c r="AG46" s="36" t="e">
        <f t="shared" si="12"/>
        <v>#REF!</v>
      </c>
      <c r="AH46" s="36" t="e">
        <f t="shared" si="12"/>
        <v>#REF!</v>
      </c>
      <c r="AI46" s="36" t="e">
        <f t="shared" si="12"/>
        <v>#REF!</v>
      </c>
      <c r="AJ46" s="36" t="e">
        <f t="shared" si="12"/>
        <v>#REF!</v>
      </c>
      <c r="AK46" s="36" t="e">
        <f t="shared" si="12"/>
        <v>#REF!</v>
      </c>
      <c r="AL46" s="36" t="e">
        <f t="shared" si="12"/>
        <v>#REF!</v>
      </c>
      <c r="AM46" s="36" t="e">
        <f t="shared" si="12"/>
        <v>#REF!</v>
      </c>
      <c r="AN46" s="36" t="e">
        <f t="shared" si="12"/>
        <v>#REF!</v>
      </c>
      <c r="AO46" s="36" t="e">
        <f t="shared" si="12"/>
        <v>#REF!</v>
      </c>
      <c r="AQ46" s="38"/>
      <c r="AR46" s="36" t="e">
        <f t="shared" si="13"/>
        <v>#REF!</v>
      </c>
      <c r="AS46" s="36" t="e">
        <f t="shared" si="13"/>
        <v>#REF!</v>
      </c>
      <c r="AT46" s="36" t="e">
        <f t="shared" si="13"/>
        <v>#REF!</v>
      </c>
      <c r="AU46" s="36" t="e">
        <f t="shared" si="13"/>
        <v>#REF!</v>
      </c>
      <c r="AV46" s="36" t="e">
        <f t="shared" si="13"/>
        <v>#REF!</v>
      </c>
      <c r="AW46" s="36" t="e">
        <f t="shared" si="13"/>
        <v>#REF!</v>
      </c>
      <c r="AX46" s="36" t="e">
        <f t="shared" si="13"/>
        <v>#REF!</v>
      </c>
      <c r="AY46" s="36" t="e">
        <f t="shared" si="13"/>
        <v>#REF!</v>
      </c>
      <c r="AZ46" s="36" t="e">
        <f t="shared" si="13"/>
        <v>#REF!</v>
      </c>
      <c r="BA46" s="36" t="e">
        <f t="shared" si="13"/>
        <v>#REF!</v>
      </c>
    </row>
    <row r="47" spans="1:53" hidden="1">
      <c r="AA47" s="64"/>
      <c r="AB47" s="65" t="s">
        <v>40</v>
      </c>
      <c r="AC47" s="65">
        <v>14.14584</v>
      </c>
      <c r="AD47" s="65"/>
      <c r="AE47" s="65"/>
      <c r="AF47" s="36" t="e">
        <f t="shared" si="12"/>
        <v>#REF!</v>
      </c>
      <c r="AG47" s="36" t="e">
        <f t="shared" si="12"/>
        <v>#REF!</v>
      </c>
      <c r="AH47" s="36" t="e">
        <f t="shared" si="12"/>
        <v>#REF!</v>
      </c>
      <c r="AI47" s="36" t="e">
        <f t="shared" si="12"/>
        <v>#REF!</v>
      </c>
      <c r="AJ47" s="36" t="e">
        <f t="shared" si="12"/>
        <v>#REF!</v>
      </c>
      <c r="AK47" s="36" t="e">
        <f t="shared" si="12"/>
        <v>#REF!</v>
      </c>
      <c r="AL47" s="36" t="e">
        <f t="shared" si="12"/>
        <v>#REF!</v>
      </c>
      <c r="AM47" s="36" t="e">
        <f t="shared" si="12"/>
        <v>#REF!</v>
      </c>
      <c r="AN47" s="36" t="e">
        <f t="shared" si="12"/>
        <v>#REF!</v>
      </c>
      <c r="AO47" s="36" t="e">
        <f t="shared" si="12"/>
        <v>#REF!</v>
      </c>
      <c r="AQ47" s="38"/>
      <c r="AR47" s="36" t="e">
        <f t="shared" si="13"/>
        <v>#REF!</v>
      </c>
      <c r="AS47" s="36" t="e">
        <f t="shared" si="13"/>
        <v>#REF!</v>
      </c>
      <c r="AT47" s="36" t="e">
        <f t="shared" si="13"/>
        <v>#REF!</v>
      </c>
      <c r="AU47" s="36" t="e">
        <f t="shared" si="13"/>
        <v>#REF!</v>
      </c>
      <c r="AV47" s="36" t="e">
        <f t="shared" si="13"/>
        <v>#REF!</v>
      </c>
      <c r="AW47" s="36" t="e">
        <f t="shared" si="13"/>
        <v>#REF!</v>
      </c>
      <c r="AX47" s="36" t="e">
        <f t="shared" si="13"/>
        <v>#REF!</v>
      </c>
      <c r="AY47" s="36" t="e">
        <f t="shared" si="13"/>
        <v>#REF!</v>
      </c>
      <c r="AZ47" s="36" t="e">
        <f t="shared" si="13"/>
        <v>#REF!</v>
      </c>
      <c r="BA47" s="36" t="e">
        <f t="shared" si="13"/>
        <v>#REF!</v>
      </c>
    </row>
    <row r="48" spans="1:53" hidden="1">
      <c r="AQ48" s="38"/>
    </row>
    <row r="49" spans="27:53" hidden="1">
      <c r="AQ49" s="38"/>
    </row>
    <row r="50" spans="27:53" ht="63.75" hidden="1">
      <c r="AA50" s="66" t="s">
        <v>43</v>
      </c>
      <c r="AB50" s="67"/>
      <c r="AC50" s="68"/>
      <c r="AD50" s="68"/>
      <c r="AE50" s="68"/>
      <c r="AF50" s="61" t="s">
        <v>55</v>
      </c>
      <c r="AG50" s="61" t="s">
        <v>73</v>
      </c>
      <c r="AH50" s="61" t="s">
        <v>57</v>
      </c>
      <c r="AI50" s="61" t="s">
        <v>58</v>
      </c>
      <c r="AJ50" s="61" t="s">
        <v>59</v>
      </c>
      <c r="AK50" s="61" t="s">
        <v>60</v>
      </c>
      <c r="AL50" s="62" t="s">
        <v>75</v>
      </c>
      <c r="AM50" s="62" t="s">
        <v>76</v>
      </c>
      <c r="AN50" s="62" t="s">
        <v>61</v>
      </c>
      <c r="AO50" s="62" t="s">
        <v>62</v>
      </c>
      <c r="AP50" s="62"/>
      <c r="AQ50" s="43"/>
      <c r="AR50" s="61" t="s">
        <v>55</v>
      </c>
      <c r="AS50" s="61" t="s">
        <v>73</v>
      </c>
      <c r="AT50" s="61" t="s">
        <v>74</v>
      </c>
      <c r="AU50" s="61" t="s">
        <v>58</v>
      </c>
      <c r="AV50" s="61" t="s">
        <v>59</v>
      </c>
      <c r="AW50" s="61" t="s">
        <v>60</v>
      </c>
      <c r="AX50" s="62" t="s">
        <v>75</v>
      </c>
      <c r="AY50" s="62" t="s">
        <v>76</v>
      </c>
      <c r="AZ50" s="63" t="s">
        <v>61</v>
      </c>
      <c r="BA50" s="61" t="s">
        <v>62</v>
      </c>
    </row>
    <row r="51" spans="27:53" hidden="1">
      <c r="AA51" s="69" t="s">
        <v>44</v>
      </c>
      <c r="AB51" s="35"/>
      <c r="AG51" s="70"/>
      <c r="AQ51" s="38"/>
    </row>
    <row r="52" spans="27:53" hidden="1">
      <c r="AA52" s="71" t="s">
        <v>29</v>
      </c>
      <c r="AB52" s="35"/>
      <c r="AF52" s="70" t="e">
        <f t="shared" ref="AF52:AO52" si="14">AF17+AF19+AF20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AR17+AR19+AR20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71" t="s">
        <v>41</v>
      </c>
      <c r="AB53" s="35"/>
      <c r="AF53" s="70" t="e">
        <f t="shared" ref="AF53:AO53" si="16">AF28+AF30+AF31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AR28+AR30+AR31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71" t="s">
        <v>42</v>
      </c>
      <c r="AB54" s="35"/>
      <c r="AF54" s="70" t="e">
        <f t="shared" ref="AF54:AO54" si="18">AF39+AF41+AF42</f>
        <v>#REF!</v>
      </c>
      <c r="AG54" s="70" t="e">
        <f t="shared" si="18"/>
        <v>#REF!</v>
      </c>
      <c r="AH54" s="70" t="e">
        <f t="shared" si="18"/>
        <v>#REF!</v>
      </c>
      <c r="AI54" s="70" t="e">
        <f t="shared" si="18"/>
        <v>#REF!</v>
      </c>
      <c r="AJ54" s="70" t="e">
        <f t="shared" si="18"/>
        <v>#REF!</v>
      </c>
      <c r="AK54" s="70" t="e">
        <f t="shared" si="18"/>
        <v>#REF!</v>
      </c>
      <c r="AL54" s="70" t="e">
        <f t="shared" si="18"/>
        <v>#REF!</v>
      </c>
      <c r="AM54" s="70" t="e">
        <f t="shared" si="18"/>
        <v>#REF!</v>
      </c>
      <c r="AN54" s="70" t="e">
        <f t="shared" si="18"/>
        <v>#REF!</v>
      </c>
      <c r="AO54" s="70" t="e">
        <f t="shared" si="18"/>
        <v>#REF!</v>
      </c>
      <c r="AP54" s="70"/>
      <c r="AQ54" s="70"/>
      <c r="AR54" s="70" t="e">
        <f t="shared" ref="AR54:BA54" si="19">AR39+AR41+AR42</f>
        <v>#REF!</v>
      </c>
      <c r="AS54" s="70" t="e">
        <f t="shared" si="19"/>
        <v>#REF!</v>
      </c>
      <c r="AT54" s="70" t="e">
        <f t="shared" si="19"/>
        <v>#REF!</v>
      </c>
      <c r="AU54" s="70" t="e">
        <f t="shared" si="19"/>
        <v>#REF!</v>
      </c>
      <c r="AV54" s="70" t="e">
        <f t="shared" si="19"/>
        <v>#REF!</v>
      </c>
      <c r="AW54" s="70" t="e">
        <f t="shared" si="19"/>
        <v>#REF!</v>
      </c>
      <c r="AX54" s="70" t="e">
        <f t="shared" si="19"/>
        <v>#REF!</v>
      </c>
      <c r="AY54" s="70" t="e">
        <f t="shared" si="19"/>
        <v>#REF!</v>
      </c>
      <c r="AZ54" s="70" t="e">
        <f t="shared" si="19"/>
        <v>#REF!</v>
      </c>
      <c r="BA54" s="70" t="e">
        <f t="shared" si="19"/>
        <v>#REF!</v>
      </c>
    </row>
    <row r="55" spans="27:53" hidden="1">
      <c r="AA55" s="69" t="s">
        <v>45</v>
      </c>
      <c r="AB55" s="35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</row>
    <row r="56" spans="27:53" hidden="1">
      <c r="AA56" s="71" t="s">
        <v>29</v>
      </c>
      <c r="AB56" s="35"/>
      <c r="AF56" s="70" t="e">
        <f t="shared" ref="AF56:AO56" si="20">AF17+AF19+AF21+AF23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AR17+AR19+AR21+AR23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71" t="s">
        <v>41</v>
      </c>
      <c r="AB57" s="35"/>
      <c r="AF57" s="70" t="e">
        <f t="shared" ref="AF57:AO57" si="22">AF28+AF30+AF32+AF34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AR28+AR30+AR32+AR34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71" t="s">
        <v>42</v>
      </c>
      <c r="AB58" s="35"/>
      <c r="AF58" s="70" t="e">
        <f t="shared" ref="AF58:AO58" si="24">AF39+AF41+AF43+AF45</f>
        <v>#REF!</v>
      </c>
      <c r="AG58" s="70" t="e">
        <f t="shared" si="24"/>
        <v>#REF!</v>
      </c>
      <c r="AH58" s="70" t="e">
        <f t="shared" si="24"/>
        <v>#REF!</v>
      </c>
      <c r="AI58" s="70" t="e">
        <f t="shared" si="24"/>
        <v>#REF!</v>
      </c>
      <c r="AJ58" s="70" t="e">
        <f t="shared" si="24"/>
        <v>#REF!</v>
      </c>
      <c r="AK58" s="70" t="e">
        <f t="shared" si="24"/>
        <v>#REF!</v>
      </c>
      <c r="AL58" s="70" t="e">
        <f t="shared" si="24"/>
        <v>#REF!</v>
      </c>
      <c r="AM58" s="70" t="e">
        <f t="shared" si="24"/>
        <v>#REF!</v>
      </c>
      <c r="AN58" s="70" t="e">
        <f t="shared" si="24"/>
        <v>#REF!</v>
      </c>
      <c r="AO58" s="70" t="e">
        <f t="shared" si="24"/>
        <v>#REF!</v>
      </c>
      <c r="AP58" s="70"/>
      <c r="AQ58" s="70"/>
      <c r="AR58" s="70" t="e">
        <f t="shared" ref="AR58:BA58" si="25">AR39+AR41+AR43+AR45</f>
        <v>#REF!</v>
      </c>
      <c r="AS58" s="70" t="e">
        <f t="shared" si="25"/>
        <v>#REF!</v>
      </c>
      <c r="AT58" s="70" t="e">
        <f t="shared" si="25"/>
        <v>#REF!</v>
      </c>
      <c r="AU58" s="70" t="e">
        <f t="shared" si="25"/>
        <v>#REF!</v>
      </c>
      <c r="AV58" s="70" t="e">
        <f t="shared" si="25"/>
        <v>#REF!</v>
      </c>
      <c r="AW58" s="70" t="e">
        <f t="shared" si="25"/>
        <v>#REF!</v>
      </c>
      <c r="AX58" s="70" t="e">
        <f t="shared" si="25"/>
        <v>#REF!</v>
      </c>
      <c r="AY58" s="70" t="e">
        <f t="shared" si="25"/>
        <v>#REF!</v>
      </c>
      <c r="AZ58" s="70" t="e">
        <f t="shared" si="25"/>
        <v>#REF!</v>
      </c>
      <c r="BA58" s="70" t="e">
        <f t="shared" si="25"/>
        <v>#REF!</v>
      </c>
    </row>
    <row r="59" spans="27:53" hidden="1">
      <c r="AA59" s="69" t="s">
        <v>46</v>
      </c>
      <c r="AB59" s="35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</row>
    <row r="60" spans="27:53" hidden="1">
      <c r="AA60" s="71" t="s">
        <v>29</v>
      </c>
      <c r="AB60" s="35"/>
      <c r="AF60" s="70" t="e">
        <f t="shared" ref="AF60:AO60" si="26">AF17+AF19+AF21+AF22+AF24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AR17+AR19+AR21+AR22+AR24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71" t="s">
        <v>41</v>
      </c>
      <c r="AB61" s="35"/>
      <c r="AF61" s="70" t="e">
        <f t="shared" ref="AF61:AO61" si="28">AF28+AF30+AF32+AF33+AF35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AR28+AR30+AR32+AR33+AR35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71" t="s">
        <v>42</v>
      </c>
      <c r="AB62" s="35"/>
      <c r="AF62" s="70" t="e">
        <f t="shared" ref="AF62:AO62" si="30">AF39+AF41+AF43+AF44+AF46</f>
        <v>#REF!</v>
      </c>
      <c r="AG62" s="70" t="e">
        <f t="shared" si="30"/>
        <v>#REF!</v>
      </c>
      <c r="AH62" s="70" t="e">
        <f t="shared" si="30"/>
        <v>#REF!</v>
      </c>
      <c r="AI62" s="70" t="e">
        <f t="shared" si="30"/>
        <v>#REF!</v>
      </c>
      <c r="AJ62" s="70" t="e">
        <f t="shared" si="30"/>
        <v>#REF!</v>
      </c>
      <c r="AK62" s="70" t="e">
        <f t="shared" si="30"/>
        <v>#REF!</v>
      </c>
      <c r="AL62" s="70" t="e">
        <f t="shared" si="30"/>
        <v>#REF!</v>
      </c>
      <c r="AM62" s="70" t="e">
        <f t="shared" si="30"/>
        <v>#REF!</v>
      </c>
      <c r="AN62" s="70" t="e">
        <f t="shared" si="30"/>
        <v>#REF!</v>
      </c>
      <c r="AO62" s="70" t="e">
        <f t="shared" si="30"/>
        <v>#REF!</v>
      </c>
      <c r="AP62" s="70"/>
      <c r="AQ62" s="70"/>
      <c r="AR62" s="70" t="e">
        <f t="shared" ref="AR62:BA62" si="31">AR39+AR41+AR43+AR44+AR46</f>
        <v>#REF!</v>
      </c>
      <c r="AS62" s="70" t="e">
        <f t="shared" si="31"/>
        <v>#REF!</v>
      </c>
      <c r="AT62" s="70" t="e">
        <f t="shared" si="31"/>
        <v>#REF!</v>
      </c>
      <c r="AU62" s="70" t="e">
        <f t="shared" si="31"/>
        <v>#REF!</v>
      </c>
      <c r="AV62" s="70" t="e">
        <f t="shared" si="31"/>
        <v>#REF!</v>
      </c>
      <c r="AW62" s="70" t="e">
        <f t="shared" si="31"/>
        <v>#REF!</v>
      </c>
      <c r="AX62" s="70" t="e">
        <f t="shared" si="31"/>
        <v>#REF!</v>
      </c>
      <c r="AY62" s="70" t="e">
        <f t="shared" si="31"/>
        <v>#REF!</v>
      </c>
      <c r="AZ62" s="70" t="e">
        <f t="shared" si="31"/>
        <v>#REF!</v>
      </c>
      <c r="BA62" s="70" t="e">
        <f t="shared" si="31"/>
        <v>#REF!</v>
      </c>
    </row>
    <row r="63" spans="27:53" hidden="1">
      <c r="AA63" s="69" t="s">
        <v>47</v>
      </c>
      <c r="AB63" s="35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</row>
    <row r="64" spans="27:53" hidden="1">
      <c r="AA64" s="71" t="s">
        <v>29</v>
      </c>
      <c r="AB64" s="35"/>
      <c r="AF64" s="70" t="e">
        <f t="shared" ref="AF64:AO64" si="32">AF17+AF19+AF21+AF22+AF25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AR17+AR19+AR21+AR22+AR25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71" t="s">
        <v>41</v>
      </c>
      <c r="AB65" s="35"/>
      <c r="AF65" s="70" t="e">
        <f t="shared" ref="AF65:AO65" si="34">AF28+AF30+AF32+AF33+AF36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AR28+AR30+AR32+AR33+AR36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71" t="s">
        <v>42</v>
      </c>
      <c r="AB66" s="35"/>
      <c r="AF66" s="70" t="e">
        <f t="shared" ref="AF66:AO66" si="36">AF39+AF41+AF43+AF44+AF47</f>
        <v>#REF!</v>
      </c>
      <c r="AG66" s="70" t="e">
        <f t="shared" si="36"/>
        <v>#REF!</v>
      </c>
      <c r="AH66" s="70" t="e">
        <f t="shared" si="36"/>
        <v>#REF!</v>
      </c>
      <c r="AI66" s="70" t="e">
        <f t="shared" si="36"/>
        <v>#REF!</v>
      </c>
      <c r="AJ66" s="70" t="e">
        <f t="shared" si="36"/>
        <v>#REF!</v>
      </c>
      <c r="AK66" s="70" t="e">
        <f t="shared" si="36"/>
        <v>#REF!</v>
      </c>
      <c r="AL66" s="70" t="e">
        <f t="shared" si="36"/>
        <v>#REF!</v>
      </c>
      <c r="AM66" s="70" t="e">
        <f t="shared" si="36"/>
        <v>#REF!</v>
      </c>
      <c r="AN66" s="70" t="e">
        <f t="shared" si="36"/>
        <v>#REF!</v>
      </c>
      <c r="AO66" s="70" t="e">
        <f t="shared" si="36"/>
        <v>#REF!</v>
      </c>
      <c r="AP66" s="70"/>
      <c r="AQ66" s="70"/>
      <c r="AR66" s="70" t="e">
        <f t="shared" ref="AR66:BA66" si="37">AR39+AR41+AR43+AR44+AR47</f>
        <v>#REF!</v>
      </c>
      <c r="AS66" s="70" t="e">
        <f t="shared" si="37"/>
        <v>#REF!</v>
      </c>
      <c r="AT66" s="70" t="e">
        <f t="shared" si="37"/>
        <v>#REF!</v>
      </c>
      <c r="AU66" s="70" t="e">
        <f t="shared" si="37"/>
        <v>#REF!</v>
      </c>
      <c r="AV66" s="70" t="e">
        <f t="shared" si="37"/>
        <v>#REF!</v>
      </c>
      <c r="AW66" s="70" t="e">
        <f t="shared" si="37"/>
        <v>#REF!</v>
      </c>
      <c r="AX66" s="70" t="e">
        <f t="shared" si="37"/>
        <v>#REF!</v>
      </c>
      <c r="AY66" s="70" t="e">
        <f t="shared" si="37"/>
        <v>#REF!</v>
      </c>
      <c r="AZ66" s="70" t="e">
        <f t="shared" si="37"/>
        <v>#REF!</v>
      </c>
      <c r="BA66" s="70" t="e">
        <f t="shared" si="37"/>
        <v>#REF!</v>
      </c>
    </row>
    <row r="67" spans="27:53" hidden="1">
      <c r="AA67" s="69" t="s">
        <v>48</v>
      </c>
      <c r="AB67" s="35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</row>
    <row r="68" spans="27:53" hidden="1">
      <c r="AA68" s="71" t="s">
        <v>29</v>
      </c>
      <c r="AB68" s="35"/>
      <c r="AF68" s="70" t="e">
        <f t="shared" ref="AF68:AO68" si="38">AF17+AF18+AF23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AR17+AR18+AR23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1" t="s">
        <v>41</v>
      </c>
      <c r="AB69" s="35"/>
      <c r="AF69" s="70" t="e">
        <f t="shared" ref="AF69:AO69" si="40">AF28+AF29+AF34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AR28+AR29+AR34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1" t="s">
        <v>42</v>
      </c>
      <c r="AB70" s="35"/>
      <c r="AF70" s="70" t="e">
        <f t="shared" ref="AF70:AO70" si="42">AF39+AF40+AF45</f>
        <v>#REF!</v>
      </c>
      <c r="AG70" s="70" t="e">
        <f t="shared" si="42"/>
        <v>#REF!</v>
      </c>
      <c r="AH70" s="70" t="e">
        <f t="shared" si="42"/>
        <v>#REF!</v>
      </c>
      <c r="AI70" s="70" t="e">
        <f t="shared" si="42"/>
        <v>#REF!</v>
      </c>
      <c r="AJ70" s="70" t="e">
        <f t="shared" si="42"/>
        <v>#REF!</v>
      </c>
      <c r="AK70" s="70" t="e">
        <f t="shared" si="42"/>
        <v>#REF!</v>
      </c>
      <c r="AL70" s="70" t="e">
        <f t="shared" si="42"/>
        <v>#REF!</v>
      </c>
      <c r="AM70" s="70" t="e">
        <f t="shared" si="42"/>
        <v>#REF!</v>
      </c>
      <c r="AN70" s="70" t="e">
        <f t="shared" si="42"/>
        <v>#REF!</v>
      </c>
      <c r="AO70" s="70" t="e">
        <f t="shared" si="42"/>
        <v>#REF!</v>
      </c>
      <c r="AP70" s="70"/>
      <c r="AQ70" s="70"/>
      <c r="AR70" s="70" t="e">
        <f t="shared" ref="AR70:BA70" si="43">AR39+AR40+AR45</f>
        <v>#REF!</v>
      </c>
      <c r="AS70" s="70" t="e">
        <f t="shared" si="43"/>
        <v>#REF!</v>
      </c>
      <c r="AT70" s="70" t="e">
        <f t="shared" si="43"/>
        <v>#REF!</v>
      </c>
      <c r="AU70" s="70" t="e">
        <f t="shared" si="43"/>
        <v>#REF!</v>
      </c>
      <c r="AV70" s="70" t="e">
        <f t="shared" si="43"/>
        <v>#REF!</v>
      </c>
      <c r="AW70" s="70" t="e">
        <f t="shared" si="43"/>
        <v>#REF!</v>
      </c>
      <c r="AX70" s="70" t="e">
        <f t="shared" si="43"/>
        <v>#REF!</v>
      </c>
      <c r="AY70" s="70" t="e">
        <f t="shared" si="43"/>
        <v>#REF!</v>
      </c>
      <c r="AZ70" s="70" t="e">
        <f t="shared" si="43"/>
        <v>#REF!</v>
      </c>
      <c r="BA70" s="70" t="e">
        <f t="shared" si="43"/>
        <v>#REF!</v>
      </c>
    </row>
    <row r="71" spans="27:53" hidden="1">
      <c r="AA71" s="72" t="s">
        <v>49</v>
      </c>
      <c r="AB71" s="35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</row>
    <row r="72" spans="27:53" hidden="1">
      <c r="AA72" s="71" t="s">
        <v>29</v>
      </c>
      <c r="AB72" s="35"/>
      <c r="AF72" s="70" t="e">
        <f t="shared" ref="AF72:AO72" si="44">AF17+AF18+AF22+AF24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AR17+AR18+AR22+AR24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71" t="s">
        <v>41</v>
      </c>
      <c r="AB73" s="35"/>
      <c r="AF73" s="70" t="e">
        <f t="shared" ref="AF73:AO73" si="46">AF28+AF29+AF33+AF35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AR28+AR29+AR33+AR35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71" t="s">
        <v>42</v>
      </c>
      <c r="AB74" s="35"/>
      <c r="AF74" s="70" t="e">
        <f t="shared" ref="AF74:AO74" si="48">AF39+AF40+AF44+AF46</f>
        <v>#REF!</v>
      </c>
      <c r="AG74" s="70" t="e">
        <f t="shared" si="48"/>
        <v>#REF!</v>
      </c>
      <c r="AH74" s="70" t="e">
        <f t="shared" si="48"/>
        <v>#REF!</v>
      </c>
      <c r="AI74" s="70" t="e">
        <f t="shared" si="48"/>
        <v>#REF!</v>
      </c>
      <c r="AJ74" s="70" t="e">
        <f t="shared" si="48"/>
        <v>#REF!</v>
      </c>
      <c r="AK74" s="70" t="e">
        <f t="shared" si="48"/>
        <v>#REF!</v>
      </c>
      <c r="AL74" s="70" t="e">
        <f t="shared" si="48"/>
        <v>#REF!</v>
      </c>
      <c r="AM74" s="70" t="e">
        <f t="shared" si="48"/>
        <v>#REF!</v>
      </c>
      <c r="AN74" s="70" t="e">
        <f t="shared" si="48"/>
        <v>#REF!</v>
      </c>
      <c r="AO74" s="70" t="e">
        <f t="shared" si="48"/>
        <v>#REF!</v>
      </c>
      <c r="AP74" s="70"/>
      <c r="AQ74" s="70"/>
      <c r="AR74" s="70" t="e">
        <f t="shared" ref="AR74:BA74" si="49">AR39+AR40+AR44+AR46</f>
        <v>#REF!</v>
      </c>
      <c r="AS74" s="70" t="e">
        <f t="shared" si="49"/>
        <v>#REF!</v>
      </c>
      <c r="AT74" s="70" t="e">
        <f t="shared" si="49"/>
        <v>#REF!</v>
      </c>
      <c r="AU74" s="70" t="e">
        <f t="shared" si="49"/>
        <v>#REF!</v>
      </c>
      <c r="AV74" s="70" t="e">
        <f t="shared" si="49"/>
        <v>#REF!</v>
      </c>
      <c r="AW74" s="70" t="e">
        <f t="shared" si="49"/>
        <v>#REF!</v>
      </c>
      <c r="AX74" s="70" t="e">
        <f t="shared" si="49"/>
        <v>#REF!</v>
      </c>
      <c r="AY74" s="70" t="e">
        <f t="shared" si="49"/>
        <v>#REF!</v>
      </c>
      <c r="AZ74" s="70" t="e">
        <f t="shared" si="49"/>
        <v>#REF!</v>
      </c>
      <c r="BA74" s="70" t="e">
        <f t="shared" si="49"/>
        <v>#REF!</v>
      </c>
    </row>
    <row r="75" spans="27:53" hidden="1">
      <c r="AA75" s="69" t="s">
        <v>50</v>
      </c>
      <c r="AB75" s="35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</row>
    <row r="76" spans="27:53" hidden="1">
      <c r="AA76" s="71" t="s">
        <v>29</v>
      </c>
      <c r="AB76" s="35"/>
      <c r="AF76" s="70" t="e">
        <f t="shared" ref="AF76:AO76" si="50">AF17+AF18+AF22+AF25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AR17+AR18+AR22+AR25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>
      <c r="AA77" s="71" t="s">
        <v>41</v>
      </c>
      <c r="AB77" s="35"/>
      <c r="AF77" s="70" t="e">
        <f t="shared" ref="AF77:AO77" si="52">AF28+AF29+AF33+AF36</f>
        <v>#REF!</v>
      </c>
      <c r="AG77" s="70" t="e">
        <f t="shared" si="52"/>
        <v>#REF!</v>
      </c>
      <c r="AH77" s="70" t="e">
        <f t="shared" si="52"/>
        <v>#REF!</v>
      </c>
      <c r="AI77" s="70" t="e">
        <f t="shared" si="52"/>
        <v>#REF!</v>
      </c>
      <c r="AJ77" s="70" t="e">
        <f t="shared" si="52"/>
        <v>#REF!</v>
      </c>
      <c r="AK77" s="70" t="e">
        <f t="shared" si="52"/>
        <v>#REF!</v>
      </c>
      <c r="AL77" s="70" t="e">
        <f t="shared" si="52"/>
        <v>#REF!</v>
      </c>
      <c r="AM77" s="70" t="e">
        <f t="shared" si="52"/>
        <v>#REF!</v>
      </c>
      <c r="AN77" s="70" t="e">
        <f t="shared" si="52"/>
        <v>#REF!</v>
      </c>
      <c r="AO77" s="70" t="e">
        <f t="shared" si="52"/>
        <v>#REF!</v>
      </c>
      <c r="AP77" s="70"/>
      <c r="AQ77" s="70"/>
      <c r="AR77" s="70" t="e">
        <f t="shared" ref="AR77:BA77" si="53">AR28+AR29+AR33+AR36</f>
        <v>#REF!</v>
      </c>
      <c r="AS77" s="70" t="e">
        <f t="shared" si="53"/>
        <v>#REF!</v>
      </c>
      <c r="AT77" s="70" t="e">
        <f t="shared" si="53"/>
        <v>#REF!</v>
      </c>
      <c r="AU77" s="70" t="e">
        <f t="shared" si="53"/>
        <v>#REF!</v>
      </c>
      <c r="AV77" s="70" t="e">
        <f t="shared" si="53"/>
        <v>#REF!</v>
      </c>
      <c r="AW77" s="70" t="e">
        <f t="shared" si="53"/>
        <v>#REF!</v>
      </c>
      <c r="AX77" s="70" t="e">
        <f t="shared" si="53"/>
        <v>#REF!</v>
      </c>
      <c r="AY77" s="70" t="e">
        <f t="shared" si="53"/>
        <v>#REF!</v>
      </c>
      <c r="AZ77" s="70" t="e">
        <f t="shared" si="53"/>
        <v>#REF!</v>
      </c>
      <c r="BA77" s="70" t="e">
        <f t="shared" si="53"/>
        <v>#REF!</v>
      </c>
    </row>
    <row r="78" spans="27:53" hidden="1">
      <c r="AA78" s="71" t="s">
        <v>42</v>
      </c>
      <c r="AB78" s="35"/>
      <c r="AF78" s="70" t="e">
        <f t="shared" ref="AF78:AO78" si="54">AF39+AF40+AF44+AF47</f>
        <v>#REF!</v>
      </c>
      <c r="AG78" s="70" t="e">
        <f t="shared" si="54"/>
        <v>#REF!</v>
      </c>
      <c r="AH78" s="70" t="e">
        <f t="shared" si="54"/>
        <v>#REF!</v>
      </c>
      <c r="AI78" s="70" t="e">
        <f t="shared" si="54"/>
        <v>#REF!</v>
      </c>
      <c r="AJ78" s="70" t="e">
        <f t="shared" si="54"/>
        <v>#REF!</v>
      </c>
      <c r="AK78" s="70" t="e">
        <f t="shared" si="54"/>
        <v>#REF!</v>
      </c>
      <c r="AL78" s="70" t="e">
        <f t="shared" si="54"/>
        <v>#REF!</v>
      </c>
      <c r="AM78" s="70" t="e">
        <f t="shared" si="54"/>
        <v>#REF!</v>
      </c>
      <c r="AN78" s="70" t="e">
        <f t="shared" si="54"/>
        <v>#REF!</v>
      </c>
      <c r="AO78" s="70" t="e">
        <f t="shared" si="54"/>
        <v>#REF!</v>
      </c>
      <c r="AP78" s="70"/>
      <c r="AQ78" s="70"/>
      <c r="AR78" s="70" t="e">
        <f t="shared" ref="AR78:BA78" si="55">AR39+AR40+AR44+AR47</f>
        <v>#REF!</v>
      </c>
      <c r="AS78" s="70" t="e">
        <f t="shared" si="55"/>
        <v>#REF!</v>
      </c>
      <c r="AT78" s="70" t="e">
        <f t="shared" si="55"/>
        <v>#REF!</v>
      </c>
      <c r="AU78" s="70" t="e">
        <f t="shared" si="55"/>
        <v>#REF!</v>
      </c>
      <c r="AV78" s="70" t="e">
        <f t="shared" si="55"/>
        <v>#REF!</v>
      </c>
      <c r="AW78" s="70" t="e">
        <f t="shared" si="55"/>
        <v>#REF!</v>
      </c>
      <c r="AX78" s="70" t="e">
        <f t="shared" si="55"/>
        <v>#REF!</v>
      </c>
      <c r="AY78" s="70" t="e">
        <f t="shared" si="55"/>
        <v>#REF!</v>
      </c>
      <c r="AZ78" s="70" t="e">
        <f t="shared" si="55"/>
        <v>#REF!</v>
      </c>
      <c r="BA78" s="70" t="e">
        <f t="shared" si="55"/>
        <v>#REF!</v>
      </c>
    </row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7" spans="1:52" hidden="1"/>
    <row r="89" spans="1:52">
      <c r="A89" s="598" t="s">
        <v>108</v>
      </c>
      <c r="B89" s="598" t="s">
        <v>52</v>
      </c>
      <c r="C89" s="39" t="s">
        <v>101</v>
      </c>
      <c r="D89" s="39" t="s">
        <v>53</v>
      </c>
      <c r="E89" s="39" t="s">
        <v>54</v>
      </c>
      <c r="F89" s="587" t="s">
        <v>64</v>
      </c>
      <c r="G89" s="600"/>
      <c r="H89" s="600"/>
      <c r="I89" s="600"/>
      <c r="J89" s="600"/>
      <c r="K89" s="600"/>
      <c r="L89" s="600"/>
      <c r="M89" s="600"/>
      <c r="N89" s="600"/>
      <c r="O89" s="600"/>
      <c r="P89" s="590"/>
      <c r="AN89" s="38"/>
      <c r="AZ89" s="36"/>
    </row>
    <row r="90" spans="1:52" ht="63.75">
      <c r="A90" s="599"/>
      <c r="B90" s="599"/>
      <c r="C90" s="41" t="s">
        <v>66</v>
      </c>
      <c r="D90" s="41" t="s">
        <v>67</v>
      </c>
      <c r="E90" s="41" t="s">
        <v>68</v>
      </c>
      <c r="F90" s="545" t="s">
        <v>55</v>
      </c>
      <c r="G90" s="545" t="s">
        <v>73</v>
      </c>
      <c r="H90" s="545" t="s">
        <v>74</v>
      </c>
      <c r="I90" s="545" t="s">
        <v>58</v>
      </c>
      <c r="J90" s="545" t="s">
        <v>59</v>
      </c>
      <c r="K90" s="545" t="s">
        <v>60</v>
      </c>
      <c r="L90" s="544" t="s">
        <v>75</v>
      </c>
      <c r="M90" s="544" t="s">
        <v>76</v>
      </c>
      <c r="N90" s="544" t="s">
        <v>61</v>
      </c>
      <c r="O90" s="544" t="s">
        <v>62</v>
      </c>
      <c r="P90" s="544" t="s">
        <v>63</v>
      </c>
      <c r="AN90" s="38"/>
      <c r="AZ90" s="36"/>
    </row>
    <row r="91" spans="1:52" ht="25.5">
      <c r="A91" s="44" t="str">
        <f>A4</f>
        <v>General Construction</v>
      </c>
      <c r="B91" s="45" t="str">
        <f>B4</f>
        <v>Light-Duty Truck, catalyst</v>
      </c>
      <c r="C91" s="46">
        <f>C4</f>
        <v>3</v>
      </c>
      <c r="D91" s="46">
        <v>35</v>
      </c>
      <c r="E91" s="46">
        <v>80</v>
      </c>
      <c r="F91" s="50">
        <f>C4*($E4*$F4+($G4))/453.59</f>
        <v>1.4571581576427601</v>
      </c>
      <c r="G91" s="50">
        <f>C4*($E4*$H4+($I4))/453.59</f>
        <v>0.13101197188313402</v>
      </c>
      <c r="H91" s="50">
        <f>C4*(($E4*$J4)+($K4)+($L4)+($E4*$N4)+(($M4+$O4)))/453.59</f>
        <v>0.15149994097185998</v>
      </c>
      <c r="I91" s="50">
        <f>C4*($E4*$P4+($Q4))/453.59</f>
        <v>2.1803910814818476E-3</v>
      </c>
      <c r="J91" s="50">
        <f>C4*(($E4*($R4+$T4+$U4))+($S4))/453.59</f>
        <v>2.5572271365623688E-2</v>
      </c>
      <c r="K91" s="50">
        <f>$C4*(($E4*($V4+$X4+$Y4))+($W4))/453.59</f>
        <v>1.1136015972759426E-2</v>
      </c>
      <c r="L91" s="50">
        <f>$B$24*C4*(E4+6)</f>
        <v>2.5315747758215698E-2</v>
      </c>
      <c r="M91" s="50">
        <f t="shared" ref="M91:M94" si="56">0.41*L91</f>
        <v>1.0379456580868435E-2</v>
      </c>
      <c r="N91" s="50">
        <f>C4*($E4*$Z4+($AA4))/453.59</f>
        <v>166.27073017811671</v>
      </c>
      <c r="O91" s="50">
        <f>C4*($E4*$AB4+($AC4))/453.59</f>
        <v>9.5114261670907474E-3</v>
      </c>
      <c r="P91" s="50">
        <f>C4*($E4*$AD4+($AE4))/453.59</f>
        <v>1.7313359741530081E-2</v>
      </c>
      <c r="AN91" s="38"/>
      <c r="AZ91" s="36"/>
    </row>
    <row r="92" spans="1:52" ht="25.5">
      <c r="A92" s="44" t="str">
        <f t="shared" ref="A92:C94" si="57">A5</f>
        <v>Substation General Construction</v>
      </c>
      <c r="B92" s="45" t="str">
        <f t="shared" si="57"/>
        <v>Light-Duty Truck, catalyst</v>
      </c>
      <c r="C92" s="46">
        <f t="shared" si="57"/>
        <v>3</v>
      </c>
      <c r="D92" s="46">
        <v>35</v>
      </c>
      <c r="E92" s="46">
        <v>80</v>
      </c>
      <c r="F92" s="50">
        <f>C5*($E5*$F5+($G5))/453.59</f>
        <v>1.4571581576427601</v>
      </c>
      <c r="G92" s="50">
        <f>C5*($E5*$H5+($I5))/453.59</f>
        <v>0.13101197188313402</v>
      </c>
      <c r="H92" s="50">
        <f>C5*(($E5*$J5)+($K5)+($L5)+($E5*$N5)+(($M5+$O5)))/453.59</f>
        <v>0.15149994097185998</v>
      </c>
      <c r="I92" s="50">
        <f>C5*($E5*$P5+($Q5))/453.59</f>
        <v>2.1803910814818476E-3</v>
      </c>
      <c r="J92" s="50">
        <f>C5*(($E5*($R5+$T5+$U5))+($S5))/453.59</f>
        <v>2.5572271365623688E-2</v>
      </c>
      <c r="K92" s="50">
        <f>$C5*(($E5*($V5+$X5+$Y5))+($W5))/453.59</f>
        <v>1.1136015972759426E-2</v>
      </c>
      <c r="L92" s="50">
        <f>$B$24*C5*(E5+6)</f>
        <v>2.5315747758215698E-2</v>
      </c>
      <c r="M92" s="50">
        <f t="shared" ref="M92" si="58">0.41*L92</f>
        <v>1.0379456580868435E-2</v>
      </c>
      <c r="N92" s="50">
        <f>C5*($E5*$Z5+($AA5))/453.59</f>
        <v>166.27073017811671</v>
      </c>
      <c r="O92" s="50">
        <f>C5*($E5*$AB5+($AC5))/453.59</f>
        <v>9.5114261670907474E-3</v>
      </c>
      <c r="P92" s="50">
        <f>C5*($E5*$AD5+($AE5))/453.59</f>
        <v>1.7313359741530081E-2</v>
      </c>
      <c r="AN92" s="38"/>
      <c r="AZ92" s="36"/>
    </row>
    <row r="93" spans="1:52" ht="25.5">
      <c r="A93" s="44" t="str">
        <f t="shared" si="57"/>
        <v>Site and Access Road Grading</v>
      </c>
      <c r="B93" s="45" t="str">
        <f t="shared" si="57"/>
        <v>Light-Duty Truck, catalyst</v>
      </c>
      <c r="C93" s="46">
        <f t="shared" si="57"/>
        <v>19</v>
      </c>
      <c r="D93" s="46">
        <v>35</v>
      </c>
      <c r="E93" s="46">
        <v>80</v>
      </c>
      <c r="F93" s="50">
        <f>C6*($E6*$F6+($G6))/453.59</f>
        <v>9.2286683317374809</v>
      </c>
      <c r="G93" s="50">
        <f>C6*($E6*$H6+($I6))/453.59</f>
        <v>0.82974248859318211</v>
      </c>
      <c r="H93" s="50">
        <f>C6*(($E6*$J6)+($K6)+($L6)+($E6*$N6)+(($M6+$O6)))/453.59</f>
        <v>0.95949962615511319</v>
      </c>
      <c r="I93" s="50">
        <f>C6*($E6*$P6+($Q6))/453.59</f>
        <v>1.3809143516051703E-2</v>
      </c>
      <c r="J93" s="50">
        <f>C6*(($E6*($R6+$T6+$U6))+($S6))/453.59</f>
        <v>0.16195771864895006</v>
      </c>
      <c r="K93" s="50">
        <f>$C6*(($E6*($V6+$X6+$Y6))+($W6))/453.59</f>
        <v>7.0528101160809695E-2</v>
      </c>
      <c r="L93" s="50">
        <f>$B$24*C6*(E6+6)</f>
        <v>0.16033306913536607</v>
      </c>
      <c r="M93" s="50">
        <f t="shared" ref="M93" si="59">0.41*L93</f>
        <v>6.5736558345500087E-2</v>
      </c>
      <c r="N93" s="50">
        <f>C6*($E6*$Z6+($AA6))/453.59</f>
        <v>1053.047957794739</v>
      </c>
      <c r="O93" s="50">
        <f>C6*($E6*$AB6+($AC6))/453.59</f>
        <v>6.0239032391574736E-2</v>
      </c>
      <c r="P93" s="50">
        <f>C6*($E6*$AD6+($AE6))/453.59</f>
        <v>0.10965127836302384</v>
      </c>
      <c r="AN93" s="38"/>
      <c r="AZ93" s="36"/>
    </row>
    <row r="94" spans="1:52" ht="25.5">
      <c r="A94" s="44" t="str">
        <f t="shared" si="57"/>
        <v>Public Improvements and Access Road Paving</v>
      </c>
      <c r="B94" s="45" t="str">
        <f t="shared" si="57"/>
        <v>Light-Duty Truck, catalyst</v>
      </c>
      <c r="C94" s="46">
        <f t="shared" si="57"/>
        <v>12</v>
      </c>
      <c r="D94" s="46">
        <v>35</v>
      </c>
      <c r="E94" s="46">
        <v>80</v>
      </c>
      <c r="F94" s="50">
        <f>C7*($E7*$F7+($G7))/453.59</f>
        <v>5.8286326305710405</v>
      </c>
      <c r="G94" s="50">
        <f>C7*($E7*$H7+($I7))/453.59</f>
        <v>0.52404788753253606</v>
      </c>
      <c r="H94" s="50">
        <f>C7*(($E7*$J7)+($K7)+($L7)+($E7*$N7)+(($M7+$O7)))/453.59</f>
        <v>0.60599976388743992</v>
      </c>
      <c r="I94" s="50">
        <f>C7*($E7*$P7+($Q7))/453.59</f>
        <v>8.7215643259273903E-3</v>
      </c>
      <c r="J94" s="50">
        <f>C7*(($E7*($R7+$T7+$U7))+($S7))/453.59</f>
        <v>0.10228908546249475</v>
      </c>
      <c r="K94" s="50">
        <f>$C7*(($E7*($V7+$X7+$Y7))+($W7))/453.59</f>
        <v>4.4544063891037704E-2</v>
      </c>
      <c r="L94" s="50">
        <f>$B$24*C7*(E7+6)</f>
        <v>0.10126299103286279</v>
      </c>
      <c r="M94" s="50">
        <f t="shared" si="56"/>
        <v>4.1517826323473742E-2</v>
      </c>
      <c r="N94" s="50">
        <f>C7*($E7*$Z7+($AA7))/453.59</f>
        <v>665.08292071246683</v>
      </c>
      <c r="O94" s="50">
        <f>C7*($E7*$AB7+($AC7))/453.59</f>
        <v>3.804570466836299E-2</v>
      </c>
      <c r="P94" s="50">
        <f>C7*($E7*$AD7+($AE7))/453.59</f>
        <v>6.9253438966120323E-2</v>
      </c>
      <c r="AN94" s="38"/>
      <c r="AZ94" s="36"/>
    </row>
    <row r="95" spans="1:52">
      <c r="A95" s="61" t="s">
        <v>389</v>
      </c>
      <c r="B95" s="40"/>
      <c r="C95" s="40"/>
      <c r="D95" s="40"/>
      <c r="E95" s="40"/>
      <c r="F95" s="81">
        <f t="shared" ref="F95:P95" si="60">SUM(F91:F94)</f>
        <v>17.971617277594042</v>
      </c>
      <c r="G95" s="81">
        <f t="shared" si="60"/>
        <v>1.6158143198919863</v>
      </c>
      <c r="H95" s="81">
        <f t="shared" si="60"/>
        <v>1.8684992719862732</v>
      </c>
      <c r="I95" s="81">
        <f t="shared" si="60"/>
        <v>2.6891490004942786E-2</v>
      </c>
      <c r="J95" s="81">
        <f t="shared" si="60"/>
        <v>0.31539134684269221</v>
      </c>
      <c r="K95" s="81">
        <f t="shared" si="60"/>
        <v>0.13734419699736625</v>
      </c>
      <c r="L95" s="81">
        <f t="shared" si="60"/>
        <v>0.31222755568466026</v>
      </c>
      <c r="M95" s="81">
        <f t="shared" si="60"/>
        <v>0.12801329783071069</v>
      </c>
      <c r="N95" s="81">
        <f t="shared" si="60"/>
        <v>2050.6723388634391</v>
      </c>
      <c r="O95" s="81">
        <f t="shared" si="60"/>
        <v>0.11730758939411923</v>
      </c>
      <c r="P95" s="81">
        <f t="shared" si="60"/>
        <v>0.21353143681220432</v>
      </c>
      <c r="AN95" s="38"/>
      <c r="AZ95" s="36"/>
    </row>
  </sheetData>
  <mergeCells count="16">
    <mergeCell ref="AR14:BA14"/>
    <mergeCell ref="A89:A90"/>
    <mergeCell ref="B89:B90"/>
    <mergeCell ref="F89:P89"/>
    <mergeCell ref="R2:U2"/>
    <mergeCell ref="V2:Y2"/>
    <mergeCell ref="Z2:AA2"/>
    <mergeCell ref="AB2:AC2"/>
    <mergeCell ref="AD2:AE2"/>
    <mergeCell ref="AF14:AO14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5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573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314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8</v>
      </c>
      <c r="P8" s="88">
        <v>125</v>
      </c>
      <c r="Q8" s="34">
        <f t="shared" ref="Q8:Y10" si="2">(E8*$N8*$O8)</f>
        <v>0.49946184642775621</v>
      </c>
      <c r="R8" s="26">
        <f t="shared" si="2"/>
        <v>2.4431746031746027</v>
      </c>
      <c r="S8" s="26">
        <f t="shared" si="2"/>
        <v>3.1176888888888881</v>
      </c>
      <c r="T8" s="26">
        <f t="shared" si="2"/>
        <v>4.4060015200662857E-3</v>
      </c>
      <c r="U8" s="26">
        <f t="shared" si="2"/>
        <v>0.19809523809523807</v>
      </c>
      <c r="V8" s="26">
        <f t="shared" si="2"/>
        <v>0.17630476190476188</v>
      </c>
      <c r="W8" s="26">
        <f t="shared" si="2"/>
        <v>375.60183859341714</v>
      </c>
      <c r="X8" s="26">
        <f t="shared" si="2"/>
        <v>5.4697471816927752E-2</v>
      </c>
      <c r="Y8" s="26">
        <f t="shared" si="2"/>
        <v>0.29618044444444436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9</v>
      </c>
      <c r="P9" s="363">
        <v>125</v>
      </c>
      <c r="Q9" s="34">
        <f t="shared" si="2"/>
        <v>1.0612998664693185</v>
      </c>
      <c r="R9" s="26">
        <f t="shared" si="2"/>
        <v>3.2860974016937274</v>
      </c>
      <c r="S9" s="26">
        <f t="shared" si="2"/>
        <v>7.8103317854039886</v>
      </c>
      <c r="T9" s="26">
        <f t="shared" si="2"/>
        <v>1.6865295748293957E-2</v>
      </c>
      <c r="U9" s="26">
        <f t="shared" si="2"/>
        <v>0.26137541066030878</v>
      </c>
      <c r="V9" s="26">
        <f t="shared" si="2"/>
        <v>0.23262411548767484</v>
      </c>
      <c r="W9" s="26">
        <f t="shared" si="2"/>
        <v>1498.908740620727</v>
      </c>
      <c r="X9" s="26">
        <f t="shared" si="2"/>
        <v>9.5759396799267066E-2</v>
      </c>
      <c r="Y9" s="26">
        <f t="shared" si="2"/>
        <v>0.74198151961337888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3</v>
      </c>
      <c r="P10" s="363">
        <v>125</v>
      </c>
      <c r="Q10" s="34">
        <f t="shared" si="2"/>
        <v>3.9051121312432671E-2</v>
      </c>
      <c r="R10" s="26">
        <f t="shared" si="2"/>
        <v>0.1468253968253968</v>
      </c>
      <c r="S10" s="26">
        <f t="shared" si="2"/>
        <v>0.13018518518518515</v>
      </c>
      <c r="T10" s="26">
        <f t="shared" si="2"/>
        <v>4.7652059865273245E-4</v>
      </c>
      <c r="U10" s="26">
        <f t="shared" si="2"/>
        <v>1.4682539682539681E-2</v>
      </c>
      <c r="V10" s="26">
        <f t="shared" si="2"/>
        <v>1.3067460317460314E-2</v>
      </c>
      <c r="W10" s="26">
        <f t="shared" si="2"/>
        <v>30.622980859093083</v>
      </c>
      <c r="X10" s="26">
        <f t="shared" si="2"/>
        <v>3.8388136396804665E-3</v>
      </c>
      <c r="Y10" s="26">
        <f t="shared" si="2"/>
        <v>1.236759259259259E-2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1.5998128342095075</v>
      </c>
      <c r="R11" s="101">
        <f t="shared" ref="R11:Y11" si="3">SUM(R8:R10)</f>
        <v>5.8760974016937269</v>
      </c>
      <c r="S11" s="101">
        <f t="shared" si="3"/>
        <v>11.058205859478063</v>
      </c>
      <c r="T11" s="101">
        <f t="shared" si="3"/>
        <v>2.1747817867012974E-2</v>
      </c>
      <c r="U11" s="101">
        <f t="shared" si="3"/>
        <v>0.47415318843808657</v>
      </c>
      <c r="V11" s="101">
        <f t="shared" si="3"/>
        <v>0.42199633770989703</v>
      </c>
      <c r="W11" s="101">
        <f t="shared" si="3"/>
        <v>1905.1335600732373</v>
      </c>
      <c r="X11" s="101">
        <f t="shared" si="3"/>
        <v>0.15429568225587528</v>
      </c>
      <c r="Y11" s="101">
        <f t="shared" si="3"/>
        <v>1.0505295566504158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87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7" t="s">
        <v>315</v>
      </c>
      <c r="B13" s="579"/>
      <c r="C13" s="18"/>
      <c r="D13" s="18"/>
      <c r="E13" s="19"/>
      <c r="F13" s="19"/>
      <c r="G13" s="19"/>
      <c r="H13" s="19"/>
      <c r="I13" s="19"/>
      <c r="J13" s="19"/>
      <c r="K13" s="19"/>
      <c r="L13" s="19"/>
      <c r="M13" s="19"/>
      <c r="N13" s="30"/>
      <c r="O13" s="30"/>
      <c r="P13" s="30"/>
      <c r="Q13" s="20"/>
      <c r="R13" s="20"/>
      <c r="S13" s="20"/>
      <c r="T13" s="20"/>
      <c r="U13" s="20"/>
      <c r="V13" s="20"/>
      <c r="W13" s="21"/>
      <c r="X13" s="20"/>
      <c r="Y13" s="20"/>
    </row>
    <row r="14" spans="1:25" s="3" customFormat="1">
      <c r="A14" s="24" t="s">
        <v>119</v>
      </c>
      <c r="B14" s="90" t="s">
        <v>27</v>
      </c>
      <c r="C14" s="22">
        <v>78</v>
      </c>
      <c r="D14" s="22">
        <f>VLOOKUP(A14,'Offroad Tiers LF'!$B$6:$C$40,2,FALSE)</f>
        <v>0.48</v>
      </c>
      <c r="E14" s="102">
        <v>6.2432730803469526E-2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0.30539682539682533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0.38971111111111101</v>
      </c>
      <c r="H14" s="102">
        <v>5.5075019000828571E-4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2.4761904761904759E-2</v>
      </c>
      <c r="J14" s="100">
        <f t="shared" ref="J14:J16" si="4">0.89*I14</f>
        <v>2.2038095238095235E-2</v>
      </c>
      <c r="K14" s="103">
        <v>46.950229824177143</v>
      </c>
      <c r="L14" s="102">
        <v>6.837183977115969E-3</v>
      </c>
      <c r="M14" s="104">
        <f t="shared" ref="M14:M16" si="5">0.095*G14</f>
        <v>3.7022555555555545E-2</v>
      </c>
      <c r="N14" s="98">
        <v>1</v>
      </c>
      <c r="O14" s="98">
        <v>6</v>
      </c>
      <c r="P14" s="88">
        <v>125</v>
      </c>
      <c r="Q14" s="34">
        <f t="shared" ref="Q14:Y16" si="6">(E14*$N14*$O14)</f>
        <v>0.37459638482081714</v>
      </c>
      <c r="R14" s="26">
        <f t="shared" si="6"/>
        <v>1.832380952380952</v>
      </c>
      <c r="S14" s="26">
        <f t="shared" si="6"/>
        <v>2.3382666666666658</v>
      </c>
      <c r="T14" s="26">
        <f t="shared" si="6"/>
        <v>3.3045011400497145E-3</v>
      </c>
      <c r="U14" s="26">
        <f t="shared" si="6"/>
        <v>0.14857142857142855</v>
      </c>
      <c r="V14" s="26">
        <f t="shared" si="6"/>
        <v>0.13222857142857142</v>
      </c>
      <c r="W14" s="26">
        <f t="shared" si="6"/>
        <v>281.70137894506286</v>
      </c>
      <c r="X14" s="26">
        <f t="shared" si="6"/>
        <v>4.1023103862695816E-2</v>
      </c>
      <c r="Y14" s="26">
        <f t="shared" si="6"/>
        <v>0.22213533333333327</v>
      </c>
    </row>
    <row r="15" spans="1:25" s="3" customFormat="1">
      <c r="A15" s="24" t="s">
        <v>305</v>
      </c>
      <c r="B15" s="29" t="s">
        <v>27</v>
      </c>
      <c r="C15" s="22">
        <v>175</v>
      </c>
      <c r="D15" s="22"/>
      <c r="E15" s="102">
        <v>0.11792220738547983</v>
      </c>
      <c r="F15" s="102">
        <v>0.36512193352152528</v>
      </c>
      <c r="G15" s="102">
        <v>0.86781464282266541</v>
      </c>
      <c r="H15" s="102">
        <v>1.8739217498104396E-3</v>
      </c>
      <c r="I15" s="102">
        <v>2.9041712295589866E-2</v>
      </c>
      <c r="J15" s="100">
        <f t="shared" si="4"/>
        <v>2.5847123943074982E-2</v>
      </c>
      <c r="K15" s="103">
        <v>166.54541562452522</v>
      </c>
      <c r="L15" s="102">
        <v>1.063993297769634E-2</v>
      </c>
      <c r="M15" s="104">
        <f t="shared" si="5"/>
        <v>8.2442391068153209E-2</v>
      </c>
      <c r="N15" s="98">
        <v>1</v>
      </c>
      <c r="O15" s="87">
        <v>2</v>
      </c>
      <c r="P15" s="363">
        <v>125</v>
      </c>
      <c r="Q15" s="34">
        <f t="shared" si="6"/>
        <v>0.23584441477095966</v>
      </c>
      <c r="R15" s="26">
        <f t="shared" si="6"/>
        <v>0.73024386704305055</v>
      </c>
      <c r="S15" s="26">
        <f t="shared" si="6"/>
        <v>1.7356292856453308</v>
      </c>
      <c r="T15" s="26">
        <f t="shared" si="6"/>
        <v>3.7478434996208792E-3</v>
      </c>
      <c r="U15" s="26">
        <f t="shared" si="6"/>
        <v>5.8083424591179732E-2</v>
      </c>
      <c r="V15" s="26">
        <f t="shared" si="6"/>
        <v>5.1694247886149965E-2</v>
      </c>
      <c r="W15" s="26">
        <f t="shared" si="6"/>
        <v>333.09083124905044</v>
      </c>
      <c r="X15" s="26">
        <f t="shared" si="6"/>
        <v>2.127986595539268E-2</v>
      </c>
      <c r="Y15" s="26">
        <f t="shared" si="6"/>
        <v>0.16488478213630642</v>
      </c>
    </row>
    <row r="16" spans="1:25" s="3" customFormat="1">
      <c r="A16" s="24" t="s">
        <v>368</v>
      </c>
      <c r="B16" s="29" t="s">
        <v>27</v>
      </c>
      <c r="C16" s="22">
        <v>5</v>
      </c>
      <c r="D16" s="22">
        <v>0.74</v>
      </c>
      <c r="E16" s="102">
        <v>1.3017040437477556E-2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4.8941798941798939E-2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4.3395061728395051E-2</v>
      </c>
      <c r="H16" s="102">
        <v>1.5884019955091081E-4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4.8941798941798936E-3</v>
      </c>
      <c r="J16" s="100">
        <f t="shared" si="4"/>
        <v>4.3558201058201051E-3</v>
      </c>
      <c r="K16" s="103">
        <v>10.20766028636436</v>
      </c>
      <c r="L16" s="102">
        <v>1.2796045465601556E-3</v>
      </c>
      <c r="M16" s="104">
        <f t="shared" si="5"/>
        <v>4.1225308641975296E-3</v>
      </c>
      <c r="N16" s="98">
        <v>1</v>
      </c>
      <c r="O16" s="87">
        <v>8</v>
      </c>
      <c r="P16" s="363">
        <v>125</v>
      </c>
      <c r="Q16" s="34">
        <f t="shared" si="6"/>
        <v>0.10413632349982045</v>
      </c>
      <c r="R16" s="26">
        <f t="shared" si="6"/>
        <v>0.39153439153439151</v>
      </c>
      <c r="S16" s="26">
        <f t="shared" si="6"/>
        <v>0.34716049382716041</v>
      </c>
      <c r="T16" s="26">
        <f t="shared" si="6"/>
        <v>1.2707215964072865E-3</v>
      </c>
      <c r="U16" s="26">
        <f t="shared" si="6"/>
        <v>3.9153439153439148E-2</v>
      </c>
      <c r="V16" s="26">
        <f t="shared" si="6"/>
        <v>3.4846560846560841E-2</v>
      </c>
      <c r="W16" s="26">
        <f t="shared" si="6"/>
        <v>81.661282290914883</v>
      </c>
      <c r="X16" s="26">
        <f t="shared" si="6"/>
        <v>1.0236836372481245E-2</v>
      </c>
      <c r="Y16" s="26">
        <f t="shared" si="6"/>
        <v>3.2980246913580237E-2</v>
      </c>
    </row>
    <row r="17" spans="1:25" s="3" customFormat="1">
      <c r="A17" s="17" t="s">
        <v>28</v>
      </c>
      <c r="B17" s="29"/>
      <c r="C17" s="22"/>
      <c r="D17" s="22"/>
      <c r="E17" s="108"/>
      <c r="F17" s="108"/>
      <c r="G17" s="108"/>
      <c r="H17" s="108"/>
      <c r="I17" s="108"/>
      <c r="J17" s="100"/>
      <c r="K17" s="365"/>
      <c r="L17" s="110"/>
      <c r="M17" s="102"/>
      <c r="N17" s="98"/>
      <c r="O17" s="87"/>
      <c r="P17" s="363"/>
      <c r="Q17" s="101">
        <f>SUM(Q14:Q16)</f>
        <v>0.71457712309159727</v>
      </c>
      <c r="R17" s="101">
        <f t="shared" ref="R17:Y17" si="7">SUM(R14:R16)</f>
        <v>2.9541592109583941</v>
      </c>
      <c r="S17" s="101">
        <f t="shared" si="7"/>
        <v>4.4210564461391568</v>
      </c>
      <c r="T17" s="101">
        <f t="shared" si="7"/>
        <v>8.32306623607788E-3</v>
      </c>
      <c r="U17" s="101">
        <f t="shared" si="7"/>
        <v>0.24580829231604745</v>
      </c>
      <c r="V17" s="101">
        <f t="shared" si="7"/>
        <v>0.21876938016128222</v>
      </c>
      <c r="W17" s="101">
        <f t="shared" si="7"/>
        <v>696.45349248502816</v>
      </c>
      <c r="X17" s="101">
        <f t="shared" si="7"/>
        <v>7.2539806190569739E-2</v>
      </c>
      <c r="Y17" s="101">
        <f t="shared" si="7"/>
        <v>0.42000036238321992</v>
      </c>
    </row>
    <row r="18" spans="1:25" s="3" customFormat="1">
      <c r="A18" s="24"/>
      <c r="B18" s="29"/>
      <c r="C18" s="22"/>
      <c r="D18" s="22"/>
      <c r="E18" s="108"/>
      <c r="F18" s="108"/>
      <c r="G18" s="108"/>
      <c r="H18" s="108"/>
      <c r="I18" s="108"/>
      <c r="J18" s="100"/>
      <c r="K18" s="365"/>
      <c r="L18" s="110"/>
      <c r="M18" s="102"/>
      <c r="N18" s="98"/>
      <c r="O18" s="98"/>
      <c r="P18" s="363"/>
      <c r="Q18" s="34"/>
      <c r="R18" s="26"/>
      <c r="S18" s="26"/>
      <c r="T18" s="26"/>
      <c r="U18" s="26"/>
      <c r="V18" s="26"/>
      <c r="W18" s="26"/>
      <c r="X18" s="26"/>
      <c r="Y18" s="26"/>
    </row>
    <row r="19" spans="1:25">
      <c r="A19" s="11" t="s">
        <v>286</v>
      </c>
      <c r="B19" s="22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11"/>
      <c r="O19" s="11"/>
      <c r="P19" s="11"/>
      <c r="Q19" s="27"/>
      <c r="R19" s="27"/>
      <c r="S19" s="27"/>
      <c r="T19" s="27"/>
      <c r="U19" s="27"/>
      <c r="V19" s="27"/>
      <c r="W19" s="28"/>
      <c r="X19" s="27"/>
      <c r="Y19" s="27"/>
    </row>
    <row r="20" spans="1:25">
      <c r="A20" s="100" t="s">
        <v>287</v>
      </c>
      <c r="B20" s="97" t="s">
        <v>27</v>
      </c>
      <c r="C20" s="97">
        <v>37</v>
      </c>
      <c r="D20" s="22">
        <v>0.37</v>
      </c>
      <c r="E20" s="102">
        <v>3.2313389441625637E-2</v>
      </c>
      <c r="F20" s="397">
        <f>IF($C20&lt;11,'Offroad Tiers EF (2)'!$AN$4*$C20*$D20,IF($C20&lt;25,'Offroad Tiers EF (2)'!$AN$5*$C20*$D20,IF($C20&lt;50,'Offroad Tiers EF (2)'!$AN$6*$C20*$D20,IF($C20&lt;75,'Offroad Tiers EF (2)'!$AN$7*$C20*$D20,IF($C20&lt;100,'Offroad Tiers EF (2)'!$AN$8*$C20*$D20,IF($C20&lt;175,'Offroad Tiers EF (2)'!$AN$9*$C20*$D20,IF($C20&lt;300,'Offroad Tiers EF (2)'!$AN$10*$C20*$D20,IF($C20&lt;600,'Offroad Tiers EF (2)'!$AN$11*$C20*$D20,"!"))))))))</f>
        <v>0.12374118165784832</v>
      </c>
      <c r="G20" s="397">
        <f>IF($C20&lt;11,'Offroad Tiers EF (2)'!$AM$4*$C20*$D20,IF($C20&lt;25,'Offroad Tiers EF (2)'!$AM$5*$C20*$D20,IF($C20&lt;50,'Offroad Tiers EF (2)'!$AM$6*$C20*$D20,IF($C20&lt;75,'Offroad Tiers EF (2)'!$AM$7*$C20*$D20,IF($C20&lt;100,'Offroad Tiers EF (2)'!$AM$8*$C20*$D20,IF($C20&lt;175,'Offroad Tiers EF (2)'!$AM$9*$C20*$D20,IF($C20&lt;300,'Offroad Tiers EF (2)'!$AM$10*$C20*$D20,IF($C20&lt;600,'Offroad Tiers EF (2)'!$AM$11*$C20*$D20,"!"))))))))</f>
        <v>0.16056172839506169</v>
      </c>
      <c r="H20" s="102">
        <v>3.2989906092678058E-4</v>
      </c>
      <c r="I20" s="397">
        <f>IF($C20&lt;11,'Offroad Tiers EF (2)'!$AO$4*$C20*$D20,IF($C20&lt;25,'Offroad Tiers EF (2)'!$AO$5*$C20*$D20,IF($C20&lt;50,'Offroad Tiers EF (2)'!$AO$6*$C20*$D20,IF($C20&lt;75,'Offroad Tiers EF (2)'!$AO$7*$C20*$D20,IF($C20&lt;100,'Offroad Tiers EF (2)'!$AO$8*$C20*$D20,IF($C20&lt;175,'Offroad Tiers EF (2)'!$AO$9*$C20*$D20,IF($C20&lt;300,'Offroad Tiers EF (2)'!$AO$10*$C20*$D20,IF($C20&lt;600,'Offroad Tiers EF (2)'!$AO$11*$C20*$D20,"!"))))))))</f>
        <v>1.3581349206349205E-2</v>
      </c>
      <c r="J20" s="100">
        <f t="shared" ref="J20:J22" si="8">0.89*I20</f>
        <v>1.2087400793650793E-2</v>
      </c>
      <c r="K20" s="103">
        <v>25.519156990664225</v>
      </c>
      <c r="L20" s="102">
        <v>3.413848047070189E-3</v>
      </c>
      <c r="M20" s="104">
        <f t="shared" ref="M20:M22" si="9">0.095*G20</f>
        <v>1.5253364197530862E-2</v>
      </c>
      <c r="N20" s="88">
        <v>1</v>
      </c>
      <c r="O20" s="88">
        <v>1</v>
      </c>
      <c r="P20" s="367">
        <v>75</v>
      </c>
      <c r="Q20" s="26">
        <f t="shared" ref="Q20:Y22" si="10">(E20*$N20*$O20)</f>
        <v>3.2313389441625637E-2</v>
      </c>
      <c r="R20" s="26">
        <f t="shared" si="10"/>
        <v>0.12374118165784832</v>
      </c>
      <c r="S20" s="26">
        <f t="shared" si="10"/>
        <v>0.16056172839506169</v>
      </c>
      <c r="T20" s="26">
        <f t="shared" si="10"/>
        <v>3.2989906092678058E-4</v>
      </c>
      <c r="U20" s="26">
        <f t="shared" si="10"/>
        <v>1.3581349206349205E-2</v>
      </c>
      <c r="V20" s="26">
        <f t="shared" si="10"/>
        <v>1.2087400793650793E-2</v>
      </c>
      <c r="W20" s="26">
        <f t="shared" si="10"/>
        <v>25.519156990664225</v>
      </c>
      <c r="X20" s="26">
        <f t="shared" si="10"/>
        <v>3.413848047070189E-3</v>
      </c>
      <c r="Y20" s="26">
        <f t="shared" si="10"/>
        <v>1.5253364197530862E-2</v>
      </c>
    </row>
    <row r="21" spans="1:25">
      <c r="A21" s="100" t="s">
        <v>124</v>
      </c>
      <c r="B21" s="29" t="s">
        <v>27</v>
      </c>
      <c r="C21" s="97">
        <v>87</v>
      </c>
      <c r="D21" s="22">
        <v>0.37</v>
      </c>
      <c r="E21" s="102">
        <v>7.7253202863558038E-2</v>
      </c>
      <c r="F21" s="397">
        <f>IF($C21&lt;11,'Offroad Tiers EF (2)'!$AN$4*$C21*$D21,IF($C21&lt;25,'Offroad Tiers EF (2)'!$AN$5*$C21*$D21,IF($C21&lt;50,'Offroad Tiers EF (2)'!$AN$6*$C21*$D21,IF($C21&lt;75,'Offroad Tiers EF (2)'!$AN$7*$C21*$D21,IF($C21&lt;100,'Offroad Tiers EF (2)'!$AN$8*$C21*$D21,IF($C21&lt;175,'Offroad Tiers EF (2)'!$AN$9*$C21*$D21,IF($C21&lt;300,'Offroad Tiers EF (2)'!$AN$10*$C21*$D21,IF($C21&lt;600,'Offroad Tiers EF (2)'!$AN$11*$C21*$D21,"!"))))))))</f>
        <v>0.26257275132275132</v>
      </c>
      <c r="G21" s="397">
        <f>IF($C21&lt;11,'Offroad Tiers EF (2)'!$AM$4*$C21*$D21,IF($C21&lt;25,'Offroad Tiers EF (2)'!$AM$5*$C21*$D21,IF($C21&lt;50,'Offroad Tiers EF (2)'!$AM$6*$C21*$D21,IF($C21&lt;75,'Offroad Tiers EF (2)'!$AM$7*$C21*$D21,IF($C21&lt;100,'Offroad Tiers EF (2)'!$AM$8*$C21*$D21,IF($C21&lt;175,'Offroad Tiers EF (2)'!$AM$9*$C21*$D21,IF($C21&lt;300,'Offroad Tiers EF (2)'!$AM$10*$C21*$D21,IF($C21&lt;600,'Offroad Tiers EF (2)'!$AM$11*$C21*$D21,"!"))))))))</f>
        <v>0.33506412037037031</v>
      </c>
      <c r="H21" s="102">
        <v>6.910856115004858E-4</v>
      </c>
      <c r="I21" s="397">
        <f>IF($C21&lt;11,'Offroad Tiers EF (2)'!$AO$4*$C21*$D21,IF($C21&lt;25,'Offroad Tiers EF (2)'!$AO$5*$C21*$D21,IF($C21&lt;50,'Offroad Tiers EF (2)'!$AO$6*$C21*$D21,IF($C21&lt;75,'Offroad Tiers EF (2)'!$AO$7*$C21*$D21,IF($C21&lt;100,'Offroad Tiers EF (2)'!$AO$8*$C21*$D21,IF($C21&lt;175,'Offroad Tiers EF (2)'!$AO$9*$C21*$D21,IF($C21&lt;300,'Offroad Tiers EF (2)'!$AO$10*$C21*$D21,IF($C21&lt;600,'Offroad Tiers EF (2)'!$AO$11*$C21*$D21,"!"))))))))</f>
        <v>2.1289682539682539E-2</v>
      </c>
      <c r="J21" s="100">
        <f t="shared" si="8"/>
        <v>1.894781746031746E-2</v>
      </c>
      <c r="K21" s="103">
        <v>58.913505111712794</v>
      </c>
      <c r="L21" s="102">
        <v>7.5344751889799754E-3</v>
      </c>
      <c r="M21" s="102">
        <f t="shared" si="9"/>
        <v>3.1831091435185178E-2</v>
      </c>
      <c r="N21" s="98">
        <v>1</v>
      </c>
      <c r="O21" s="87">
        <v>8</v>
      </c>
      <c r="P21" s="363">
        <v>15</v>
      </c>
      <c r="Q21" s="34">
        <f t="shared" si="10"/>
        <v>0.6180256229084643</v>
      </c>
      <c r="R21" s="26">
        <f t="shared" si="10"/>
        <v>2.1005820105820106</v>
      </c>
      <c r="S21" s="26">
        <f t="shared" si="10"/>
        <v>2.6805129629629625</v>
      </c>
      <c r="T21" s="26">
        <f t="shared" si="10"/>
        <v>5.5286848920038864E-3</v>
      </c>
      <c r="U21" s="26">
        <f t="shared" si="10"/>
        <v>0.17031746031746031</v>
      </c>
      <c r="V21" s="26">
        <f t="shared" si="10"/>
        <v>0.15158253968253968</v>
      </c>
      <c r="W21" s="26">
        <f t="shared" si="10"/>
        <v>471.30804089370235</v>
      </c>
      <c r="X21" s="26">
        <f t="shared" si="10"/>
        <v>6.0275801511839804E-2</v>
      </c>
      <c r="Y21" s="26">
        <f t="shared" si="10"/>
        <v>0.25464873148148143</v>
      </c>
    </row>
    <row r="22" spans="1:25">
      <c r="A22" s="100" t="s">
        <v>126</v>
      </c>
      <c r="B22" s="22" t="s">
        <v>27</v>
      </c>
      <c r="C22" s="22">
        <v>175</v>
      </c>
      <c r="D22" s="22"/>
      <c r="E22" s="102">
        <v>0.11792220738547983</v>
      </c>
      <c r="F22" s="102">
        <v>0.36512193352152528</v>
      </c>
      <c r="G22" s="102">
        <v>0.86781464282266541</v>
      </c>
      <c r="H22" s="102">
        <v>1.8739217498104396E-3</v>
      </c>
      <c r="I22" s="102">
        <v>2.9041712295589866E-2</v>
      </c>
      <c r="J22" s="100">
        <f t="shared" si="8"/>
        <v>2.5847123943074982E-2</v>
      </c>
      <c r="K22" s="103">
        <v>166.54541562452522</v>
      </c>
      <c r="L22" s="102">
        <v>1.063993297769634E-2</v>
      </c>
      <c r="M22" s="104">
        <f t="shared" si="9"/>
        <v>8.2442391068153209E-2</v>
      </c>
      <c r="N22" s="88">
        <v>1</v>
      </c>
      <c r="O22" s="88">
        <v>3</v>
      </c>
      <c r="P22" s="367">
        <v>40</v>
      </c>
      <c r="Q22" s="26">
        <f t="shared" si="10"/>
        <v>0.3537666221564395</v>
      </c>
      <c r="R22" s="26">
        <f t="shared" si="10"/>
        <v>1.0953658005645759</v>
      </c>
      <c r="S22" s="26">
        <f t="shared" si="10"/>
        <v>2.6034439284679962</v>
      </c>
      <c r="T22" s="26">
        <f t="shared" si="10"/>
        <v>5.6217652494313184E-3</v>
      </c>
      <c r="U22" s="26">
        <f t="shared" si="10"/>
        <v>8.7125136886769594E-2</v>
      </c>
      <c r="V22" s="26">
        <f t="shared" si="10"/>
        <v>7.754137182922495E-2</v>
      </c>
      <c r="W22" s="26">
        <f t="shared" si="10"/>
        <v>499.63624687357566</v>
      </c>
      <c r="X22" s="26">
        <f t="shared" si="10"/>
        <v>3.1919798933089022E-2</v>
      </c>
      <c r="Y22" s="26">
        <f t="shared" si="10"/>
        <v>0.24732717320445963</v>
      </c>
    </row>
    <row r="23" spans="1:25">
      <c r="A23" s="17" t="s">
        <v>28</v>
      </c>
      <c r="B23" s="97"/>
      <c r="C23" s="22"/>
      <c r="D23" s="22"/>
      <c r="E23" s="23"/>
      <c r="F23" s="23"/>
      <c r="G23" s="23"/>
      <c r="H23" s="23"/>
      <c r="I23" s="23"/>
      <c r="J23" s="24"/>
      <c r="K23" s="25"/>
      <c r="L23" s="23"/>
      <c r="M23" s="23"/>
      <c r="N23" s="88"/>
      <c r="O23" s="88"/>
      <c r="P23" s="88"/>
      <c r="Q23" s="27">
        <f t="shared" ref="Q23:Y23" si="11">SUM(Q20:Q22)</f>
        <v>1.0041056345065296</v>
      </c>
      <c r="R23" s="27">
        <f t="shared" si="11"/>
        <v>3.3196889928044344</v>
      </c>
      <c r="S23" s="27">
        <f t="shared" si="11"/>
        <v>5.4445186198260203</v>
      </c>
      <c r="T23" s="27">
        <f t="shared" si="11"/>
        <v>1.1480349202361986E-2</v>
      </c>
      <c r="U23" s="27">
        <f t="shared" si="11"/>
        <v>0.27102394641057914</v>
      </c>
      <c r="V23" s="27">
        <f t="shared" si="11"/>
        <v>0.24121131230541543</v>
      </c>
      <c r="W23" s="27">
        <f t="shared" si="11"/>
        <v>996.46344475794217</v>
      </c>
      <c r="X23" s="27">
        <f t="shared" si="11"/>
        <v>9.5609448491999011E-2</v>
      </c>
      <c r="Y23" s="27">
        <f t="shared" si="11"/>
        <v>0.51722926888347187</v>
      </c>
    </row>
    <row r="24" spans="1:25">
      <c r="A24" s="11"/>
      <c r="B24" s="579"/>
      <c r="C24" s="18"/>
      <c r="D24" s="22"/>
      <c r="E24" s="19"/>
      <c r="F24" s="19"/>
      <c r="G24" s="19"/>
      <c r="H24" s="19"/>
      <c r="I24" s="19"/>
      <c r="J24" s="19"/>
      <c r="K24" s="19"/>
      <c r="L24" s="19"/>
      <c r="M24" s="19"/>
      <c r="N24" s="30"/>
      <c r="O24" s="375"/>
      <c r="P24" s="364"/>
      <c r="Q24" s="20"/>
      <c r="R24" s="20"/>
      <c r="S24" s="27"/>
      <c r="T24" s="20"/>
      <c r="U24" s="20"/>
      <c r="V24" s="20"/>
      <c r="W24" s="21"/>
      <c r="X24" s="20"/>
      <c r="Y24" s="20"/>
    </row>
    <row r="25" spans="1:25">
      <c r="A25" s="17" t="s">
        <v>365</v>
      </c>
      <c r="B25" s="549"/>
      <c r="C25" s="18"/>
      <c r="D25" s="22"/>
      <c r="E25" s="19"/>
      <c r="F25" s="19"/>
      <c r="G25" s="19"/>
      <c r="H25" s="19"/>
      <c r="I25" s="19"/>
      <c r="J25" s="19"/>
      <c r="K25" s="19"/>
      <c r="L25" s="19"/>
      <c r="M25" s="19"/>
      <c r="N25" s="30"/>
      <c r="O25" s="30"/>
      <c r="P25" s="364"/>
      <c r="Q25" s="20">
        <f>Q11+Q17+Q23</f>
        <v>3.3184955918076344</v>
      </c>
      <c r="R25" s="20">
        <f t="shared" ref="R25:Y25" si="12">R11+R17+R23</f>
        <v>12.149945605456555</v>
      </c>
      <c r="S25" s="20">
        <f t="shared" si="12"/>
        <v>20.923780925443239</v>
      </c>
      <c r="T25" s="20">
        <f t="shared" si="12"/>
        <v>4.1551233305452837E-2</v>
      </c>
      <c r="U25" s="20">
        <f t="shared" si="12"/>
        <v>0.99098542716471316</v>
      </c>
      <c r="V25" s="20">
        <f t="shared" si="12"/>
        <v>0.88197703017659457</v>
      </c>
      <c r="W25" s="20">
        <f t="shared" si="12"/>
        <v>3598.0504973162078</v>
      </c>
      <c r="X25" s="20">
        <f t="shared" si="12"/>
        <v>0.322444936938444</v>
      </c>
      <c r="Y25" s="20">
        <f t="shared" si="12"/>
        <v>1.9877591879171077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5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574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C9*(F9)*$B$282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C10*(F10)*$B$282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 ht="25.5">
      <c r="A13" s="114" t="s">
        <v>315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326</v>
      </c>
      <c r="B14" s="76" t="s">
        <v>95</v>
      </c>
      <c r="C14" s="79">
        <v>3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9.9891275533645019E-2</v>
      </c>
      <c r="U14" s="50">
        <f>C14*($F14*$H14)/453.59</f>
        <v>0.18440937782971867</v>
      </c>
      <c r="V14" s="50">
        <f>C14*(($F14*$I14))/453.59</f>
        <v>2.253067276294635E-2</v>
      </c>
      <c r="W14" s="50">
        <f>C14*($F14*$J14)/453.59</f>
        <v>1.3898613406074772E-3</v>
      </c>
      <c r="X14" s="50">
        <f>C14*(($F14*($K14+$L14+$M14)))/453.59</f>
        <v>3.6369464870151122E-2</v>
      </c>
      <c r="Y14" s="50">
        <f>C14*(($F14*($N14+$O14+$P14)))/453.59</f>
        <v>2.4166098982977401E-2</v>
      </c>
      <c r="Z14" s="50">
        <f>C14*(F14)*$B$282</f>
        <v>0</v>
      </c>
      <c r="AA14" s="50">
        <f>Z14*0.21</f>
        <v>0</v>
      </c>
      <c r="AB14" s="50">
        <f>C14*(($F14*($Q14)))/453.59</f>
        <v>96.814105590256631</v>
      </c>
      <c r="AC14" s="50">
        <f>C14*(($F14*($R14)))/453.59</f>
        <v>5.5322484357440338E-3</v>
      </c>
      <c r="AD14" s="50">
        <f>C14*(($F14*($S14)))/453.59</f>
        <v>2.4799901288000137E-3</v>
      </c>
    </row>
    <row r="15" spans="1:30">
      <c r="A15" s="78" t="s">
        <v>327</v>
      </c>
      <c r="B15" s="76" t="s">
        <v>105</v>
      </c>
      <c r="C15" s="374">
        <v>1</v>
      </c>
      <c r="D15" s="77"/>
      <c r="E15" s="77">
        <v>35</v>
      </c>
      <c r="F15" s="77">
        <v>80</v>
      </c>
      <c r="G15" s="106">
        <v>1.08263976628415</v>
      </c>
      <c r="H15" s="106">
        <v>4.9712718909585103</v>
      </c>
      <c r="I15" s="106">
        <v>0.26248012575016899</v>
      </c>
      <c r="J15" s="106">
        <v>1.0711818E-2</v>
      </c>
      <c r="K15" s="106">
        <v>7.1679901072141505E-2</v>
      </c>
      <c r="L15" s="576">
        <v>3.59998119015979E-2</v>
      </c>
      <c r="M15" s="576">
        <v>6.1739677411240299E-2</v>
      </c>
      <c r="N15" s="106">
        <v>6.5945508986370194E-2</v>
      </c>
      <c r="O15" s="576">
        <v>2.9999843251331498E-3</v>
      </c>
      <c r="P15" s="576">
        <v>5.5859708133979398E-2</v>
      </c>
      <c r="Q15" s="106">
        <v>1710.7260798814</v>
      </c>
      <c r="R15" s="47">
        <v>1.5235246282551899E-2</v>
      </c>
      <c r="S15" s="80">
        <f>0.000025616*Q15</f>
        <v>4.3821959262241944E-2</v>
      </c>
      <c r="T15" s="50">
        <f>C15*($F15*$G15)/453.59</f>
        <v>0.19094596728925242</v>
      </c>
      <c r="U15" s="50">
        <f>C15*($F15*$H15)/453.59</f>
        <v>0.87678685878586582</v>
      </c>
      <c r="V15" s="50">
        <f>C15*(($F15*$I15))/453.59</f>
        <v>4.6293811724274173E-2</v>
      </c>
      <c r="W15" s="50">
        <f>C15*($F15*$J15)/453.59</f>
        <v>1.8892511739676801E-3</v>
      </c>
      <c r="X15" s="50">
        <f>C15*(($F15*($K15+$L15+$M15)))/453.59</f>
        <v>2.9880621774726907E-2</v>
      </c>
      <c r="Y15" s="50">
        <f>C15*(($F15*($N15+$O15+$P15)))/453.59</f>
        <v>2.2011984646131133E-2</v>
      </c>
      <c r="Z15" s="50">
        <f>C15*(F15)*$B$282</f>
        <v>0</v>
      </c>
      <c r="AA15" s="50">
        <f>Z15*0.21</f>
        <v>0</v>
      </c>
      <c r="AB15" s="50">
        <f>C15*(($F15*($Q15)))/453.59</f>
        <v>301.72200972356535</v>
      </c>
      <c r="AC15" s="50">
        <f>C15*(($F15*($R15)))/453.59</f>
        <v>2.6870515280410772E-3</v>
      </c>
      <c r="AD15" s="50">
        <f>C15*(($F15*($S15)))/453.59</f>
        <v>7.7289110010788503E-3</v>
      </c>
    </row>
    <row r="16" spans="1:30">
      <c r="A16" s="75" t="s">
        <v>28</v>
      </c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>
        <f t="shared" ref="T16:AD16" si="1">SUM(T14:T15)</f>
        <v>0.29083724282289747</v>
      </c>
      <c r="U16" s="81">
        <f t="shared" si="1"/>
        <v>1.0611962366155845</v>
      </c>
      <c r="V16" s="81">
        <f t="shared" si="1"/>
        <v>6.8824484487220519E-2</v>
      </c>
      <c r="W16" s="81">
        <f t="shared" si="1"/>
        <v>3.2791125145751575E-3</v>
      </c>
      <c r="X16" s="81">
        <f t="shared" si="1"/>
        <v>6.6250086644878026E-2</v>
      </c>
      <c r="Y16" s="81">
        <f t="shared" si="1"/>
        <v>4.6178083629108538E-2</v>
      </c>
      <c r="Z16" s="81">
        <f t="shared" si="1"/>
        <v>0</v>
      </c>
      <c r="AA16" s="81">
        <f t="shared" si="1"/>
        <v>0</v>
      </c>
      <c r="AB16" s="81">
        <f t="shared" si="1"/>
        <v>398.53611531382199</v>
      </c>
      <c r="AC16" s="81">
        <f t="shared" si="1"/>
        <v>8.2192999637851101E-3</v>
      </c>
      <c r="AD16" s="81">
        <f t="shared" si="1"/>
        <v>1.0208901129878864E-2</v>
      </c>
    </row>
    <row r="17" spans="1:30">
      <c r="A17" s="75"/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</row>
    <row r="18" spans="1:30" ht="25.5">
      <c r="A18" s="114" t="s">
        <v>332</v>
      </c>
      <c r="B18" s="74"/>
      <c r="C18" s="112"/>
      <c r="D18" s="112"/>
      <c r="E18" s="74"/>
      <c r="F18" s="74"/>
      <c r="G18" s="577"/>
      <c r="H18" s="41"/>
      <c r="I18" s="41"/>
      <c r="J18" s="41"/>
      <c r="K18" s="574"/>
      <c r="L18" s="574"/>
      <c r="M18" s="574"/>
      <c r="N18" s="574"/>
      <c r="O18" s="574"/>
      <c r="P18" s="574"/>
      <c r="Q18" s="41"/>
      <c r="R18" s="574"/>
      <c r="S18" s="574"/>
      <c r="T18" s="61"/>
      <c r="U18" s="61"/>
      <c r="V18" s="61"/>
      <c r="W18" s="61"/>
      <c r="X18" s="61"/>
      <c r="Y18" s="61"/>
      <c r="Z18" s="62"/>
      <c r="AA18" s="62"/>
      <c r="AB18" s="62"/>
      <c r="AC18" s="62"/>
      <c r="AD18" s="62"/>
    </row>
    <row r="19" spans="1:30">
      <c r="A19" s="78" t="s">
        <v>320</v>
      </c>
      <c r="B19" s="76" t="s">
        <v>95</v>
      </c>
      <c r="C19" s="79">
        <v>6</v>
      </c>
      <c r="D19" s="77"/>
      <c r="E19" s="77">
        <v>35</v>
      </c>
      <c r="F19" s="77">
        <v>60</v>
      </c>
      <c r="G19" s="106">
        <v>0.25172046482947802</v>
      </c>
      <c r="H19" s="106">
        <v>0.464701387165456</v>
      </c>
      <c r="I19" s="106">
        <v>5.6776043658582402E-2</v>
      </c>
      <c r="J19" s="106">
        <v>3.5023733638119199E-3</v>
      </c>
      <c r="K19" s="106">
        <v>4.6899256897933901E-2</v>
      </c>
      <c r="L19" s="47">
        <v>7.99995847163921E-3</v>
      </c>
      <c r="M19" s="47">
        <v>3.6749815577381599E-2</v>
      </c>
      <c r="N19" s="106">
        <v>4.3147317248333997E-2</v>
      </c>
      <c r="O19" s="47">
        <v>1.9999896145790402E-3</v>
      </c>
      <c r="P19" s="47">
        <v>1.57499200131354E-2</v>
      </c>
      <c r="Q19" s="106">
        <v>243.966167526025</v>
      </c>
      <c r="R19" s="47">
        <f>0.000057143*Q19</f>
        <v>1.3940958710939646E-2</v>
      </c>
      <c r="S19" s="80">
        <f>0.000025616*Q19</f>
        <v>6.2494373473466567E-3</v>
      </c>
      <c r="T19" s="50">
        <f>C19*($F19*$G19)/453.59</f>
        <v>0.19978255106729004</v>
      </c>
      <c r="U19" s="50">
        <f>C19*($F19*$H19)/453.59</f>
        <v>0.36881875565943734</v>
      </c>
      <c r="V19" s="50">
        <f>C19*(($F19*$I19))/453.59</f>
        <v>4.50613455258927E-2</v>
      </c>
      <c r="W19" s="50">
        <f>C19*($F19*$J19)/453.59</f>
        <v>2.7797226812149543E-3</v>
      </c>
      <c r="X19" s="50">
        <f>C19*(($F19*($K19+$L19+$M19)))/453.59</f>
        <v>7.2738929740302244E-2</v>
      </c>
      <c r="Y19" s="50">
        <f>C19*(($F19*($N19+$O19+$P19)))/453.59</f>
        <v>4.8332197965954803E-2</v>
      </c>
      <c r="Z19" s="50">
        <f>C19*(F19)*$B$311</f>
        <v>0</v>
      </c>
      <c r="AA19" s="50">
        <f>Z19*0.21</f>
        <v>0</v>
      </c>
      <c r="AB19" s="50">
        <f>C19*(($F19*($Q19)))/453.59</f>
        <v>193.62821118051326</v>
      </c>
      <c r="AC19" s="50">
        <f>C19*(($F19*($R19)))/453.59</f>
        <v>1.1064496871488068E-2</v>
      </c>
      <c r="AD19" s="50">
        <f>C19*(($F19*($S19)))/453.59</f>
        <v>4.9599802576000274E-3</v>
      </c>
    </row>
    <row r="20" spans="1:30">
      <c r="A20" s="75" t="s">
        <v>28</v>
      </c>
      <c r="B20" s="74"/>
      <c r="C20" s="112"/>
      <c r="D20" s="112"/>
      <c r="E20" s="74"/>
      <c r="F20" s="74"/>
      <c r="G20" s="577"/>
      <c r="H20" s="41"/>
      <c r="I20" s="41"/>
      <c r="J20" s="41"/>
      <c r="K20" s="574"/>
      <c r="L20" s="574"/>
      <c r="M20" s="574"/>
      <c r="N20" s="574"/>
      <c r="O20" s="574"/>
      <c r="P20" s="574"/>
      <c r="Q20" s="41"/>
      <c r="R20" s="574"/>
      <c r="S20" s="574"/>
      <c r="T20" s="81">
        <f t="shared" ref="T20:AD20" si="2">SUM(T19:T19)</f>
        <v>0.19978255106729004</v>
      </c>
      <c r="U20" s="81">
        <f t="shared" si="2"/>
        <v>0.36881875565943734</v>
      </c>
      <c r="V20" s="81">
        <f t="shared" si="2"/>
        <v>4.50613455258927E-2</v>
      </c>
      <c r="W20" s="81">
        <f t="shared" si="2"/>
        <v>2.7797226812149543E-3</v>
      </c>
      <c r="X20" s="81">
        <f t="shared" si="2"/>
        <v>7.2738929740302244E-2</v>
      </c>
      <c r="Y20" s="81">
        <f t="shared" si="2"/>
        <v>4.8332197965954803E-2</v>
      </c>
      <c r="Z20" s="81">
        <f t="shared" si="2"/>
        <v>0</v>
      </c>
      <c r="AA20" s="81">
        <f t="shared" si="2"/>
        <v>0</v>
      </c>
      <c r="AB20" s="81">
        <f t="shared" si="2"/>
        <v>193.62821118051326</v>
      </c>
      <c r="AC20" s="81">
        <f t="shared" si="2"/>
        <v>1.1064496871488068E-2</v>
      </c>
      <c r="AD20" s="81">
        <f t="shared" si="2"/>
        <v>4.9599802576000274E-3</v>
      </c>
    </row>
    <row r="21" spans="1:30">
      <c r="A21" s="75" t="s">
        <v>388</v>
      </c>
      <c r="B21" s="74"/>
      <c r="C21" s="112"/>
      <c r="D21" s="112"/>
      <c r="E21" s="74"/>
      <c r="F21" s="74"/>
      <c r="G21" s="547"/>
      <c r="H21" s="41"/>
      <c r="I21" s="41"/>
      <c r="J21" s="41"/>
      <c r="K21" s="544"/>
      <c r="L21" s="544"/>
      <c r="M21" s="544"/>
      <c r="N21" s="544"/>
      <c r="O21" s="544"/>
      <c r="P21" s="544"/>
      <c r="Q21" s="41"/>
      <c r="R21" s="544"/>
      <c r="S21" s="544"/>
      <c r="T21" s="81">
        <f>T11+T16+T20</f>
        <v>0.78145703671308497</v>
      </c>
      <c r="U21" s="81">
        <f t="shared" ref="U21:AD21" si="3">U11+U16+U20</f>
        <v>2.4912112288906063</v>
      </c>
      <c r="V21" s="81">
        <f t="shared" si="3"/>
        <v>0.18271031450033373</v>
      </c>
      <c r="W21" s="81">
        <f t="shared" si="3"/>
        <v>9.3379477103652693E-3</v>
      </c>
      <c r="X21" s="81">
        <f t="shared" si="3"/>
        <v>0.2052391030300583</v>
      </c>
      <c r="Y21" s="81">
        <f t="shared" si="3"/>
        <v>0.14068836522417189</v>
      </c>
      <c r="Z21" s="81">
        <f t="shared" si="3"/>
        <v>0</v>
      </c>
      <c r="AA21" s="81">
        <f t="shared" si="3"/>
        <v>0</v>
      </c>
      <c r="AB21" s="81">
        <f t="shared" si="3"/>
        <v>990.70044180815728</v>
      </c>
      <c r="AC21" s="81">
        <f t="shared" si="3"/>
        <v>2.7503096799058289E-2</v>
      </c>
      <c r="AD21" s="81">
        <f t="shared" si="3"/>
        <v>2.5377782517357755E-2</v>
      </c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25" spans="1:30">
      <c r="A25" s="370"/>
      <c r="B25" s="371"/>
      <c r="C25" s="372"/>
      <c r="D25" s="372"/>
      <c r="E25" s="371"/>
      <c r="F25" s="371"/>
      <c r="G25" s="373"/>
      <c r="H25" s="373"/>
      <c r="I25" s="373"/>
      <c r="J25" s="373"/>
      <c r="K25" s="373"/>
      <c r="L25" s="373"/>
      <c r="M25" s="373"/>
      <c r="N25" s="373"/>
      <c r="O25" s="373"/>
      <c r="P25" s="373"/>
      <c r="Q25" s="373"/>
      <c r="R25" s="373"/>
      <c r="S25" s="373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</row>
    <row r="373" spans="1:2" ht="25.5">
      <c r="A373" s="82" t="s">
        <v>109</v>
      </c>
    </row>
    <row r="375" spans="1:2">
      <c r="A375" s="36" t="s">
        <v>81</v>
      </c>
    </row>
    <row r="376" spans="1:2">
      <c r="A376" s="36" t="s">
        <v>82</v>
      </c>
    </row>
    <row r="377" spans="1:2">
      <c r="A377" s="36" t="s">
        <v>83</v>
      </c>
    </row>
    <row r="378" spans="1:2">
      <c r="A378" s="37" t="s">
        <v>96</v>
      </c>
    </row>
    <row r="379" spans="1:2">
      <c r="A379" s="36" t="s">
        <v>85</v>
      </c>
    </row>
    <row r="380" spans="1:2">
      <c r="A380" s="36" t="s">
        <v>86</v>
      </c>
    </row>
    <row r="381" spans="1:2">
      <c r="A381" s="36" t="s">
        <v>87</v>
      </c>
    </row>
    <row r="382" spans="1:2">
      <c r="A382" s="36" t="s">
        <v>0</v>
      </c>
    </row>
    <row r="383" spans="1:2">
      <c r="A383" s="37" t="s">
        <v>97</v>
      </c>
      <c r="B383" s="36">
        <f>(0.016*(0.03/2)^0.65*(2/3)^1.5)-0.00047</f>
        <v>9.8123053326417428E-5</v>
      </c>
    </row>
    <row r="384" spans="1:2">
      <c r="A384" s="37" t="s">
        <v>98</v>
      </c>
      <c r="B384" s="36">
        <f>(0.016*(0.03/2)^0.65*(13/3)^1.5)-0.00047</f>
        <v>8.9448292388582783E-3</v>
      </c>
    </row>
    <row r="385" spans="1:2">
      <c r="A385" s="37" t="s">
        <v>99</v>
      </c>
      <c r="B385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575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346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67" ht="25.5">
      <c r="A5" s="44" t="s">
        <v>328</v>
      </c>
      <c r="B5" s="45" t="s">
        <v>102</v>
      </c>
      <c r="C5" s="46">
        <v>3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ref="AC5" si="2">0.000049261*AA5</f>
        <v>2.2095931710230707E-2</v>
      </c>
      <c r="AD5" s="49">
        <v>3.2599999999999997E-2</v>
      </c>
      <c r="AE5" s="47">
        <f t="shared" ref="AE5" si="3">0.000021675*AA5</f>
        <v>9.7222817202097123E-3</v>
      </c>
    </row>
    <row r="6" spans="1:67" ht="25.5">
      <c r="A6" s="44" t="s">
        <v>332</v>
      </c>
      <c r="B6" s="45" t="s">
        <v>102</v>
      </c>
      <c r="C6" s="46">
        <v>9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546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4">AG$11*$AC16</f>
        <v>#REF!</v>
      </c>
      <c r="AH16" s="36" t="e">
        <f t="shared" si="4"/>
        <v>#REF!</v>
      </c>
      <c r="AI16" s="36" t="e">
        <f t="shared" si="4"/>
        <v>#REF!</v>
      </c>
      <c r="AJ16" s="36" t="e">
        <f t="shared" si="4"/>
        <v>#REF!</v>
      </c>
      <c r="AK16" s="36" t="e">
        <f t="shared" si="4"/>
        <v>#REF!</v>
      </c>
      <c r="AL16" s="36" t="e">
        <f t="shared" si="4"/>
        <v>#REF!</v>
      </c>
      <c r="AM16" s="36" t="e">
        <f t="shared" si="4"/>
        <v>#REF!</v>
      </c>
      <c r="AN16" s="36" t="e">
        <f t="shared" si="4"/>
        <v>#REF!</v>
      </c>
      <c r="AO16" s="36" t="e">
        <f t="shared" si="4"/>
        <v>#REF!</v>
      </c>
      <c r="AQ16" s="38"/>
      <c r="AR16" s="36" t="e">
        <f>AR$11*$AC16</f>
        <v>#REF!</v>
      </c>
      <c r="AS16" s="36" t="e">
        <f t="shared" ref="AS16:BA24" si="5">AS$11*$AC16</f>
        <v>#REF!</v>
      </c>
      <c r="AT16" s="36" t="e">
        <f t="shared" si="5"/>
        <v>#REF!</v>
      </c>
      <c r="AU16" s="36" t="e">
        <f t="shared" si="5"/>
        <v>#REF!</v>
      </c>
      <c r="AV16" s="36" t="e">
        <f t="shared" si="5"/>
        <v>#REF!</v>
      </c>
      <c r="AW16" s="36" t="e">
        <f t="shared" si="5"/>
        <v>#REF!</v>
      </c>
      <c r="AX16" s="36" t="e">
        <f t="shared" si="5"/>
        <v>#REF!</v>
      </c>
      <c r="AY16" s="36" t="e">
        <f t="shared" si="5"/>
        <v>#REF!</v>
      </c>
      <c r="AZ16" s="36" t="e">
        <f t="shared" si="5"/>
        <v>#REF!</v>
      </c>
      <c r="BA16" s="36" t="e">
        <f t="shared" si="5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6">AF$11*$AC17</f>
        <v>#REF!</v>
      </c>
      <c r="AG17" s="36" t="e">
        <f t="shared" si="4"/>
        <v>#REF!</v>
      </c>
      <c r="AH17" s="36" t="e">
        <f t="shared" si="4"/>
        <v>#REF!</v>
      </c>
      <c r="AI17" s="36" t="e">
        <f t="shared" si="4"/>
        <v>#REF!</v>
      </c>
      <c r="AJ17" s="36" t="e">
        <f t="shared" si="4"/>
        <v>#REF!</v>
      </c>
      <c r="AK17" s="36" t="e">
        <f t="shared" si="4"/>
        <v>#REF!</v>
      </c>
      <c r="AL17" s="36" t="e">
        <f t="shared" si="4"/>
        <v>#REF!</v>
      </c>
      <c r="AM17" s="36" t="e">
        <f t="shared" si="4"/>
        <v>#REF!</v>
      </c>
      <c r="AN17" s="36" t="e">
        <f t="shared" si="4"/>
        <v>#REF!</v>
      </c>
      <c r="AO17" s="36" t="e">
        <f t="shared" si="4"/>
        <v>#REF!</v>
      </c>
      <c r="AQ17" s="38"/>
      <c r="AR17" s="36" t="e">
        <f t="shared" ref="AR17:AR24" si="7">AR$11*$AC17</f>
        <v>#REF!</v>
      </c>
      <c r="AS17" s="36" t="e">
        <f t="shared" si="5"/>
        <v>#REF!</v>
      </c>
      <c r="AT17" s="36" t="e">
        <f t="shared" si="5"/>
        <v>#REF!</v>
      </c>
      <c r="AU17" s="36" t="e">
        <f t="shared" si="5"/>
        <v>#REF!</v>
      </c>
      <c r="AV17" s="36" t="e">
        <f t="shared" si="5"/>
        <v>#REF!</v>
      </c>
      <c r="AW17" s="36" t="e">
        <f t="shared" si="5"/>
        <v>#REF!</v>
      </c>
      <c r="AX17" s="36" t="e">
        <f t="shared" si="5"/>
        <v>#REF!</v>
      </c>
      <c r="AY17" s="36" t="e">
        <f t="shared" si="5"/>
        <v>#REF!</v>
      </c>
      <c r="AZ17" s="36" t="e">
        <f t="shared" si="5"/>
        <v>#REF!</v>
      </c>
      <c r="BA17" s="36" t="e">
        <f t="shared" si="5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6"/>
        <v>#REF!</v>
      </c>
      <c r="AG18" s="36" t="e">
        <f t="shared" si="4"/>
        <v>#REF!</v>
      </c>
      <c r="AH18" s="36" t="e">
        <f t="shared" si="4"/>
        <v>#REF!</v>
      </c>
      <c r="AI18" s="36" t="e">
        <f t="shared" si="4"/>
        <v>#REF!</v>
      </c>
      <c r="AJ18" s="36" t="e">
        <f t="shared" si="4"/>
        <v>#REF!</v>
      </c>
      <c r="AK18" s="36" t="e">
        <f t="shared" si="4"/>
        <v>#REF!</v>
      </c>
      <c r="AL18" s="36" t="e">
        <f t="shared" si="4"/>
        <v>#REF!</v>
      </c>
      <c r="AM18" s="36" t="e">
        <f t="shared" si="4"/>
        <v>#REF!</v>
      </c>
      <c r="AN18" s="36" t="e">
        <f t="shared" si="4"/>
        <v>#REF!</v>
      </c>
      <c r="AO18" s="36" t="e">
        <f t="shared" si="4"/>
        <v>#REF!</v>
      </c>
      <c r="AQ18" s="38"/>
      <c r="AR18" s="36" t="e">
        <f t="shared" si="7"/>
        <v>#REF!</v>
      </c>
      <c r="AS18" s="36" t="e">
        <f t="shared" si="5"/>
        <v>#REF!</v>
      </c>
      <c r="AT18" s="36" t="e">
        <f t="shared" si="5"/>
        <v>#REF!</v>
      </c>
      <c r="AU18" s="36" t="e">
        <f t="shared" si="5"/>
        <v>#REF!</v>
      </c>
      <c r="AV18" s="36" t="e">
        <f t="shared" si="5"/>
        <v>#REF!</v>
      </c>
      <c r="AW18" s="36" t="e">
        <f t="shared" si="5"/>
        <v>#REF!</v>
      </c>
      <c r="AX18" s="36" t="e">
        <f t="shared" si="5"/>
        <v>#REF!</v>
      </c>
      <c r="AY18" s="36" t="e">
        <f t="shared" si="5"/>
        <v>#REF!</v>
      </c>
      <c r="AZ18" s="36" t="e">
        <f t="shared" si="5"/>
        <v>#REF!</v>
      </c>
      <c r="BA18" s="36" t="e">
        <f t="shared" si="5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6"/>
        <v>#REF!</v>
      </c>
      <c r="AG19" s="36" t="e">
        <f t="shared" si="4"/>
        <v>#REF!</v>
      </c>
      <c r="AH19" s="36" t="e">
        <f t="shared" si="4"/>
        <v>#REF!</v>
      </c>
      <c r="AI19" s="36" t="e">
        <f t="shared" si="4"/>
        <v>#REF!</v>
      </c>
      <c r="AJ19" s="36" t="e">
        <f t="shared" si="4"/>
        <v>#REF!</v>
      </c>
      <c r="AK19" s="36" t="e">
        <f t="shared" si="4"/>
        <v>#REF!</v>
      </c>
      <c r="AL19" s="36" t="e">
        <f t="shared" si="4"/>
        <v>#REF!</v>
      </c>
      <c r="AM19" s="36" t="e">
        <f t="shared" si="4"/>
        <v>#REF!</v>
      </c>
      <c r="AN19" s="36" t="e">
        <f t="shared" si="4"/>
        <v>#REF!</v>
      </c>
      <c r="AO19" s="36" t="e">
        <f t="shared" si="4"/>
        <v>#REF!</v>
      </c>
      <c r="AQ19" s="38"/>
      <c r="AR19" s="36" t="e">
        <f t="shared" si="7"/>
        <v>#REF!</v>
      </c>
      <c r="AS19" s="36" t="e">
        <f t="shared" si="5"/>
        <v>#REF!</v>
      </c>
      <c r="AT19" s="36" t="e">
        <f t="shared" si="5"/>
        <v>#REF!</v>
      </c>
      <c r="AU19" s="36" t="e">
        <f t="shared" si="5"/>
        <v>#REF!</v>
      </c>
      <c r="AV19" s="36" t="e">
        <f t="shared" si="5"/>
        <v>#REF!</v>
      </c>
      <c r="AW19" s="36" t="e">
        <f t="shared" si="5"/>
        <v>#REF!</v>
      </c>
      <c r="AX19" s="36" t="e">
        <f t="shared" si="5"/>
        <v>#REF!</v>
      </c>
      <c r="AY19" s="36" t="e">
        <f t="shared" si="5"/>
        <v>#REF!</v>
      </c>
      <c r="AZ19" s="36" t="e">
        <f t="shared" si="5"/>
        <v>#REF!</v>
      </c>
      <c r="BA19" s="36" t="e">
        <f t="shared" si="5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6"/>
        <v>#REF!</v>
      </c>
      <c r="AG20" s="36" t="e">
        <f t="shared" si="4"/>
        <v>#REF!</v>
      </c>
      <c r="AH20" s="36" t="e">
        <f t="shared" si="4"/>
        <v>#REF!</v>
      </c>
      <c r="AI20" s="36" t="e">
        <f t="shared" si="4"/>
        <v>#REF!</v>
      </c>
      <c r="AJ20" s="36" t="e">
        <f t="shared" si="4"/>
        <v>#REF!</v>
      </c>
      <c r="AK20" s="36" t="e">
        <f t="shared" si="4"/>
        <v>#REF!</v>
      </c>
      <c r="AL20" s="36" t="e">
        <f t="shared" si="4"/>
        <v>#REF!</v>
      </c>
      <c r="AM20" s="36" t="e">
        <f t="shared" si="4"/>
        <v>#REF!</v>
      </c>
      <c r="AN20" s="36" t="e">
        <f t="shared" si="4"/>
        <v>#REF!</v>
      </c>
      <c r="AO20" s="36" t="e">
        <f t="shared" si="4"/>
        <v>#REF!</v>
      </c>
      <c r="AQ20" s="38"/>
      <c r="AR20" s="36" t="e">
        <f t="shared" si="7"/>
        <v>#REF!</v>
      </c>
      <c r="AS20" s="36" t="e">
        <f t="shared" si="5"/>
        <v>#REF!</v>
      </c>
      <c r="AT20" s="36" t="e">
        <f t="shared" si="5"/>
        <v>#REF!</v>
      </c>
      <c r="AU20" s="36" t="e">
        <f t="shared" si="5"/>
        <v>#REF!</v>
      </c>
      <c r="AV20" s="36" t="e">
        <f t="shared" si="5"/>
        <v>#REF!</v>
      </c>
      <c r="AW20" s="36" t="e">
        <f t="shared" si="5"/>
        <v>#REF!</v>
      </c>
      <c r="AX20" s="36" t="e">
        <f t="shared" si="5"/>
        <v>#REF!</v>
      </c>
      <c r="AY20" s="36" t="e">
        <f t="shared" si="5"/>
        <v>#REF!</v>
      </c>
      <c r="AZ20" s="36" t="e">
        <f t="shared" si="5"/>
        <v>#REF!</v>
      </c>
      <c r="BA20" s="36" t="e">
        <f t="shared" si="5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6"/>
        <v>#REF!</v>
      </c>
      <c r="AG21" s="36" t="e">
        <f t="shared" si="4"/>
        <v>#REF!</v>
      </c>
      <c r="AH21" s="36" t="e">
        <f t="shared" si="4"/>
        <v>#REF!</v>
      </c>
      <c r="AI21" s="36" t="e">
        <f t="shared" si="4"/>
        <v>#REF!</v>
      </c>
      <c r="AJ21" s="36" t="e">
        <f t="shared" si="4"/>
        <v>#REF!</v>
      </c>
      <c r="AK21" s="36" t="e">
        <f t="shared" si="4"/>
        <v>#REF!</v>
      </c>
      <c r="AL21" s="36" t="e">
        <f t="shared" si="4"/>
        <v>#REF!</v>
      </c>
      <c r="AM21" s="36" t="e">
        <f t="shared" si="4"/>
        <v>#REF!</v>
      </c>
      <c r="AN21" s="36" t="e">
        <f t="shared" si="4"/>
        <v>#REF!</v>
      </c>
      <c r="AO21" s="36" t="e">
        <f t="shared" si="4"/>
        <v>#REF!</v>
      </c>
      <c r="AQ21" s="38"/>
      <c r="AR21" s="36" t="e">
        <f t="shared" si="7"/>
        <v>#REF!</v>
      </c>
      <c r="AS21" s="36" t="e">
        <f t="shared" si="5"/>
        <v>#REF!</v>
      </c>
      <c r="AT21" s="36" t="e">
        <f t="shared" si="5"/>
        <v>#REF!</v>
      </c>
      <c r="AU21" s="36" t="e">
        <f t="shared" si="5"/>
        <v>#REF!</v>
      </c>
      <c r="AV21" s="36" t="e">
        <f t="shared" si="5"/>
        <v>#REF!</v>
      </c>
      <c r="AW21" s="36" t="e">
        <f t="shared" si="5"/>
        <v>#REF!</v>
      </c>
      <c r="AX21" s="36" t="e">
        <f t="shared" si="5"/>
        <v>#REF!</v>
      </c>
      <c r="AY21" s="36" t="e">
        <f t="shared" si="5"/>
        <v>#REF!</v>
      </c>
      <c r="AZ21" s="36" t="e">
        <f t="shared" si="5"/>
        <v>#REF!</v>
      </c>
      <c r="BA21" s="36" t="e">
        <f t="shared" si="5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6"/>
        <v>#REF!</v>
      </c>
      <c r="AG22" s="36" t="e">
        <f t="shared" si="4"/>
        <v>#REF!</v>
      </c>
      <c r="AH22" s="36" t="e">
        <f t="shared" si="4"/>
        <v>#REF!</v>
      </c>
      <c r="AI22" s="36" t="e">
        <f t="shared" si="4"/>
        <v>#REF!</v>
      </c>
      <c r="AJ22" s="36" t="e">
        <f t="shared" si="4"/>
        <v>#REF!</v>
      </c>
      <c r="AK22" s="36" t="e">
        <f t="shared" si="4"/>
        <v>#REF!</v>
      </c>
      <c r="AL22" s="36" t="e">
        <f t="shared" si="4"/>
        <v>#REF!</v>
      </c>
      <c r="AM22" s="36" t="e">
        <f t="shared" si="4"/>
        <v>#REF!</v>
      </c>
      <c r="AN22" s="36" t="e">
        <f t="shared" si="4"/>
        <v>#REF!</v>
      </c>
      <c r="AO22" s="36" t="e">
        <f t="shared" si="4"/>
        <v>#REF!</v>
      </c>
      <c r="AQ22" s="38"/>
      <c r="AR22" s="36" t="e">
        <f t="shared" si="7"/>
        <v>#REF!</v>
      </c>
      <c r="AS22" s="36" t="e">
        <f t="shared" si="5"/>
        <v>#REF!</v>
      </c>
      <c r="AT22" s="36" t="e">
        <f t="shared" si="5"/>
        <v>#REF!</v>
      </c>
      <c r="AU22" s="36" t="e">
        <f t="shared" si="5"/>
        <v>#REF!</v>
      </c>
      <c r="AV22" s="36" t="e">
        <f t="shared" si="5"/>
        <v>#REF!</v>
      </c>
      <c r="AW22" s="36" t="e">
        <f t="shared" si="5"/>
        <v>#REF!</v>
      </c>
      <c r="AX22" s="36" t="e">
        <f t="shared" si="5"/>
        <v>#REF!</v>
      </c>
      <c r="AY22" s="36" t="e">
        <f t="shared" si="5"/>
        <v>#REF!</v>
      </c>
      <c r="AZ22" s="36" t="e">
        <f t="shared" si="5"/>
        <v>#REF!</v>
      </c>
      <c r="BA22" s="36" t="e">
        <f t="shared" si="5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6"/>
        <v>#REF!</v>
      </c>
      <c r="AG23" s="36" t="e">
        <f t="shared" si="4"/>
        <v>#REF!</v>
      </c>
      <c r="AH23" s="36" t="e">
        <f t="shared" si="4"/>
        <v>#REF!</v>
      </c>
      <c r="AI23" s="36" t="e">
        <f t="shared" si="4"/>
        <v>#REF!</v>
      </c>
      <c r="AJ23" s="36" t="e">
        <f t="shared" si="4"/>
        <v>#REF!</v>
      </c>
      <c r="AK23" s="36" t="e">
        <f t="shared" si="4"/>
        <v>#REF!</v>
      </c>
      <c r="AL23" s="36" t="e">
        <f t="shared" si="4"/>
        <v>#REF!</v>
      </c>
      <c r="AM23" s="36" t="e">
        <f t="shared" si="4"/>
        <v>#REF!</v>
      </c>
      <c r="AN23" s="36" t="e">
        <f t="shared" si="4"/>
        <v>#REF!</v>
      </c>
      <c r="AO23" s="36" t="e">
        <f t="shared" si="4"/>
        <v>#REF!</v>
      </c>
      <c r="AQ23" s="38"/>
      <c r="AR23" s="36" t="e">
        <f t="shared" si="7"/>
        <v>#REF!</v>
      </c>
      <c r="AS23" s="36" t="e">
        <f t="shared" si="5"/>
        <v>#REF!</v>
      </c>
      <c r="AT23" s="36" t="e">
        <f t="shared" si="5"/>
        <v>#REF!</v>
      </c>
      <c r="AU23" s="36" t="e">
        <f t="shared" si="5"/>
        <v>#REF!</v>
      </c>
      <c r="AV23" s="36" t="e">
        <f t="shared" si="5"/>
        <v>#REF!</v>
      </c>
      <c r="AW23" s="36" t="e">
        <f t="shared" si="5"/>
        <v>#REF!</v>
      </c>
      <c r="AX23" s="36" t="e">
        <f t="shared" si="5"/>
        <v>#REF!</v>
      </c>
      <c r="AY23" s="36" t="e">
        <f t="shared" si="5"/>
        <v>#REF!</v>
      </c>
      <c r="AZ23" s="36" t="e">
        <f t="shared" si="5"/>
        <v>#REF!</v>
      </c>
      <c r="BA23" s="36" t="e">
        <f t="shared" si="5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6"/>
        <v>#REF!</v>
      </c>
      <c r="AG24" s="36" t="e">
        <f t="shared" si="4"/>
        <v>#REF!</v>
      </c>
      <c r="AH24" s="36" t="e">
        <f t="shared" si="4"/>
        <v>#REF!</v>
      </c>
      <c r="AI24" s="36" t="e">
        <f t="shared" si="4"/>
        <v>#REF!</v>
      </c>
      <c r="AJ24" s="36" t="e">
        <f t="shared" si="4"/>
        <v>#REF!</v>
      </c>
      <c r="AK24" s="36" t="e">
        <f t="shared" si="4"/>
        <v>#REF!</v>
      </c>
      <c r="AL24" s="36" t="e">
        <f t="shared" si="4"/>
        <v>#REF!</v>
      </c>
      <c r="AM24" s="36" t="e">
        <f t="shared" si="4"/>
        <v>#REF!</v>
      </c>
      <c r="AN24" s="36" t="e">
        <f t="shared" si="4"/>
        <v>#REF!</v>
      </c>
      <c r="AO24" s="36" t="e">
        <f t="shared" si="4"/>
        <v>#REF!</v>
      </c>
      <c r="AQ24" s="38"/>
      <c r="AR24" s="36" t="e">
        <f t="shared" si="7"/>
        <v>#REF!</v>
      </c>
      <c r="AS24" s="36" t="e">
        <f t="shared" si="5"/>
        <v>#REF!</v>
      </c>
      <c r="AT24" s="36" t="e">
        <f t="shared" si="5"/>
        <v>#REF!</v>
      </c>
      <c r="AU24" s="36" t="e">
        <f t="shared" si="5"/>
        <v>#REF!</v>
      </c>
      <c r="AV24" s="36" t="e">
        <f t="shared" si="5"/>
        <v>#REF!</v>
      </c>
      <c r="AW24" s="36" t="e">
        <f t="shared" si="5"/>
        <v>#REF!</v>
      </c>
      <c r="AX24" s="36" t="e">
        <f t="shared" si="5"/>
        <v>#REF!</v>
      </c>
      <c r="AY24" s="36" t="e">
        <f t="shared" si="5"/>
        <v>#REF!</v>
      </c>
      <c r="AZ24" s="36" t="e">
        <f t="shared" si="5"/>
        <v>#REF!</v>
      </c>
      <c r="BA24" s="36" t="e">
        <f t="shared" si="5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8">AF$11*$AC27</f>
        <v>#REF!</v>
      </c>
      <c r="AG27" s="36" t="e">
        <f t="shared" si="8"/>
        <v>#REF!</v>
      </c>
      <c r="AH27" s="36" t="e">
        <f t="shared" si="8"/>
        <v>#REF!</v>
      </c>
      <c r="AI27" s="36" t="e">
        <f t="shared" si="8"/>
        <v>#REF!</v>
      </c>
      <c r="AJ27" s="36" t="e">
        <f t="shared" si="8"/>
        <v>#REF!</v>
      </c>
      <c r="AK27" s="36" t="e">
        <f t="shared" si="8"/>
        <v>#REF!</v>
      </c>
      <c r="AL27" s="36" t="e">
        <f t="shared" si="8"/>
        <v>#REF!</v>
      </c>
      <c r="AM27" s="36" t="e">
        <f t="shared" si="8"/>
        <v>#REF!</v>
      </c>
      <c r="AN27" s="36" t="e">
        <f t="shared" si="8"/>
        <v>#REF!</v>
      </c>
      <c r="AO27" s="36" t="e">
        <f t="shared" si="8"/>
        <v>#REF!</v>
      </c>
      <c r="AQ27" s="38"/>
      <c r="AR27" s="36" t="e">
        <f t="shared" ref="AR27:BA35" si="9">AR$11*$AC27</f>
        <v>#REF!</v>
      </c>
      <c r="AS27" s="36" t="e">
        <f t="shared" si="9"/>
        <v>#REF!</v>
      </c>
      <c r="AT27" s="36" t="e">
        <f t="shared" si="9"/>
        <v>#REF!</v>
      </c>
      <c r="AU27" s="36" t="e">
        <f t="shared" si="9"/>
        <v>#REF!</v>
      </c>
      <c r="AV27" s="36" t="e">
        <f t="shared" si="9"/>
        <v>#REF!</v>
      </c>
      <c r="AW27" s="36" t="e">
        <f t="shared" si="9"/>
        <v>#REF!</v>
      </c>
      <c r="AX27" s="36" t="e">
        <f t="shared" si="9"/>
        <v>#REF!</v>
      </c>
      <c r="AY27" s="36" t="e">
        <f t="shared" si="9"/>
        <v>#REF!</v>
      </c>
      <c r="AZ27" s="36" t="e">
        <f t="shared" si="9"/>
        <v>#REF!</v>
      </c>
      <c r="BA27" s="36" t="e">
        <f t="shared" si="9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8"/>
        <v>#REF!</v>
      </c>
      <c r="AG28" s="36" t="e">
        <f t="shared" si="8"/>
        <v>#REF!</v>
      </c>
      <c r="AH28" s="36" t="e">
        <f t="shared" si="8"/>
        <v>#REF!</v>
      </c>
      <c r="AI28" s="36" t="e">
        <f t="shared" si="8"/>
        <v>#REF!</v>
      </c>
      <c r="AJ28" s="36" t="e">
        <f t="shared" si="8"/>
        <v>#REF!</v>
      </c>
      <c r="AK28" s="36" t="e">
        <f t="shared" si="8"/>
        <v>#REF!</v>
      </c>
      <c r="AL28" s="36" t="e">
        <f t="shared" si="8"/>
        <v>#REF!</v>
      </c>
      <c r="AM28" s="36" t="e">
        <f t="shared" si="8"/>
        <v>#REF!</v>
      </c>
      <c r="AN28" s="36" t="e">
        <f t="shared" si="8"/>
        <v>#REF!</v>
      </c>
      <c r="AO28" s="36" t="e">
        <f t="shared" si="8"/>
        <v>#REF!</v>
      </c>
      <c r="AQ28" s="38"/>
      <c r="AR28" s="36" t="e">
        <f t="shared" si="9"/>
        <v>#REF!</v>
      </c>
      <c r="AS28" s="36" t="e">
        <f t="shared" si="9"/>
        <v>#REF!</v>
      </c>
      <c r="AT28" s="36" t="e">
        <f t="shared" si="9"/>
        <v>#REF!</v>
      </c>
      <c r="AU28" s="36" t="e">
        <f t="shared" si="9"/>
        <v>#REF!</v>
      </c>
      <c r="AV28" s="36" t="e">
        <f t="shared" si="9"/>
        <v>#REF!</v>
      </c>
      <c r="AW28" s="36" t="e">
        <f t="shared" si="9"/>
        <v>#REF!</v>
      </c>
      <c r="AX28" s="36" t="e">
        <f t="shared" si="9"/>
        <v>#REF!</v>
      </c>
      <c r="AY28" s="36" t="e">
        <f t="shared" si="9"/>
        <v>#REF!</v>
      </c>
      <c r="AZ28" s="36" t="e">
        <f t="shared" si="9"/>
        <v>#REF!</v>
      </c>
      <c r="BA28" s="36" t="e">
        <f t="shared" si="9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8"/>
        <v>#REF!</v>
      </c>
      <c r="AG29" s="36" t="e">
        <f t="shared" si="8"/>
        <v>#REF!</v>
      </c>
      <c r="AH29" s="36" t="e">
        <f t="shared" si="8"/>
        <v>#REF!</v>
      </c>
      <c r="AI29" s="36" t="e">
        <f t="shared" si="8"/>
        <v>#REF!</v>
      </c>
      <c r="AJ29" s="36" t="e">
        <f t="shared" si="8"/>
        <v>#REF!</v>
      </c>
      <c r="AK29" s="36" t="e">
        <f t="shared" si="8"/>
        <v>#REF!</v>
      </c>
      <c r="AL29" s="36" t="e">
        <f t="shared" si="8"/>
        <v>#REF!</v>
      </c>
      <c r="AM29" s="36" t="e">
        <f t="shared" si="8"/>
        <v>#REF!</v>
      </c>
      <c r="AN29" s="36" t="e">
        <f t="shared" si="8"/>
        <v>#REF!</v>
      </c>
      <c r="AO29" s="36" t="e">
        <f t="shared" si="8"/>
        <v>#REF!</v>
      </c>
      <c r="AQ29" s="38"/>
      <c r="AR29" s="36" t="e">
        <f t="shared" si="9"/>
        <v>#REF!</v>
      </c>
      <c r="AS29" s="36" t="e">
        <f t="shared" si="9"/>
        <v>#REF!</v>
      </c>
      <c r="AT29" s="36" t="e">
        <f t="shared" si="9"/>
        <v>#REF!</v>
      </c>
      <c r="AU29" s="36" t="e">
        <f t="shared" si="9"/>
        <v>#REF!</v>
      </c>
      <c r="AV29" s="36" t="e">
        <f t="shared" si="9"/>
        <v>#REF!</v>
      </c>
      <c r="AW29" s="36" t="e">
        <f t="shared" si="9"/>
        <v>#REF!</v>
      </c>
      <c r="AX29" s="36" t="e">
        <f t="shared" si="9"/>
        <v>#REF!</v>
      </c>
      <c r="AY29" s="36" t="e">
        <f t="shared" si="9"/>
        <v>#REF!</v>
      </c>
      <c r="AZ29" s="36" t="e">
        <f t="shared" si="9"/>
        <v>#REF!</v>
      </c>
      <c r="BA29" s="36" t="e">
        <f t="shared" si="9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8"/>
        <v>#REF!</v>
      </c>
      <c r="AG30" s="36" t="e">
        <f t="shared" si="8"/>
        <v>#REF!</v>
      </c>
      <c r="AH30" s="36" t="e">
        <f t="shared" si="8"/>
        <v>#REF!</v>
      </c>
      <c r="AI30" s="36" t="e">
        <f t="shared" si="8"/>
        <v>#REF!</v>
      </c>
      <c r="AJ30" s="36" t="e">
        <f t="shared" si="8"/>
        <v>#REF!</v>
      </c>
      <c r="AK30" s="36" t="e">
        <f t="shared" si="8"/>
        <v>#REF!</v>
      </c>
      <c r="AL30" s="36" t="e">
        <f t="shared" si="8"/>
        <v>#REF!</v>
      </c>
      <c r="AM30" s="36" t="e">
        <f t="shared" si="8"/>
        <v>#REF!</v>
      </c>
      <c r="AN30" s="36" t="e">
        <f t="shared" si="8"/>
        <v>#REF!</v>
      </c>
      <c r="AO30" s="36" t="e">
        <f t="shared" si="8"/>
        <v>#REF!</v>
      </c>
      <c r="AQ30" s="38"/>
      <c r="AR30" s="36" t="e">
        <f t="shared" si="9"/>
        <v>#REF!</v>
      </c>
      <c r="AS30" s="36" t="e">
        <f t="shared" si="9"/>
        <v>#REF!</v>
      </c>
      <c r="AT30" s="36" t="e">
        <f t="shared" si="9"/>
        <v>#REF!</v>
      </c>
      <c r="AU30" s="36" t="e">
        <f t="shared" si="9"/>
        <v>#REF!</v>
      </c>
      <c r="AV30" s="36" t="e">
        <f t="shared" si="9"/>
        <v>#REF!</v>
      </c>
      <c r="AW30" s="36" t="e">
        <f t="shared" si="9"/>
        <v>#REF!</v>
      </c>
      <c r="AX30" s="36" t="e">
        <f t="shared" si="9"/>
        <v>#REF!</v>
      </c>
      <c r="AY30" s="36" t="e">
        <f t="shared" si="9"/>
        <v>#REF!</v>
      </c>
      <c r="AZ30" s="36" t="e">
        <f t="shared" si="9"/>
        <v>#REF!</v>
      </c>
      <c r="BA30" s="36" t="e">
        <f t="shared" si="9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8"/>
        <v>#REF!</v>
      </c>
      <c r="AG31" s="36" t="e">
        <f t="shared" si="8"/>
        <v>#REF!</v>
      </c>
      <c r="AH31" s="36" t="e">
        <f t="shared" si="8"/>
        <v>#REF!</v>
      </c>
      <c r="AI31" s="36" t="e">
        <f t="shared" si="8"/>
        <v>#REF!</v>
      </c>
      <c r="AJ31" s="36" t="e">
        <f t="shared" si="8"/>
        <v>#REF!</v>
      </c>
      <c r="AK31" s="36" t="e">
        <f t="shared" si="8"/>
        <v>#REF!</v>
      </c>
      <c r="AL31" s="36" t="e">
        <f t="shared" si="8"/>
        <v>#REF!</v>
      </c>
      <c r="AM31" s="36" t="e">
        <f t="shared" si="8"/>
        <v>#REF!</v>
      </c>
      <c r="AN31" s="36" t="e">
        <f t="shared" si="8"/>
        <v>#REF!</v>
      </c>
      <c r="AO31" s="36" t="e">
        <f t="shared" si="8"/>
        <v>#REF!</v>
      </c>
      <c r="AQ31" s="38"/>
      <c r="AR31" s="36" t="e">
        <f t="shared" si="9"/>
        <v>#REF!</v>
      </c>
      <c r="AS31" s="36" t="e">
        <f t="shared" si="9"/>
        <v>#REF!</v>
      </c>
      <c r="AT31" s="36" t="e">
        <f t="shared" si="9"/>
        <v>#REF!</v>
      </c>
      <c r="AU31" s="36" t="e">
        <f t="shared" si="9"/>
        <v>#REF!</v>
      </c>
      <c r="AV31" s="36" t="e">
        <f t="shared" si="9"/>
        <v>#REF!</v>
      </c>
      <c r="AW31" s="36" t="e">
        <f t="shared" si="9"/>
        <v>#REF!</v>
      </c>
      <c r="AX31" s="36" t="e">
        <f t="shared" si="9"/>
        <v>#REF!</v>
      </c>
      <c r="AY31" s="36" t="e">
        <f t="shared" si="9"/>
        <v>#REF!</v>
      </c>
      <c r="AZ31" s="36" t="e">
        <f t="shared" si="9"/>
        <v>#REF!</v>
      </c>
      <c r="BA31" s="36" t="e">
        <f t="shared" si="9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8"/>
        <v>#REF!</v>
      </c>
      <c r="AG32" s="36" t="e">
        <f t="shared" si="8"/>
        <v>#REF!</v>
      </c>
      <c r="AH32" s="36" t="e">
        <f t="shared" si="8"/>
        <v>#REF!</v>
      </c>
      <c r="AI32" s="36" t="e">
        <f t="shared" si="8"/>
        <v>#REF!</v>
      </c>
      <c r="AJ32" s="36" t="e">
        <f t="shared" si="8"/>
        <v>#REF!</v>
      </c>
      <c r="AK32" s="36" t="e">
        <f t="shared" si="8"/>
        <v>#REF!</v>
      </c>
      <c r="AL32" s="36" t="e">
        <f t="shared" si="8"/>
        <v>#REF!</v>
      </c>
      <c r="AM32" s="36" t="e">
        <f t="shared" si="8"/>
        <v>#REF!</v>
      </c>
      <c r="AN32" s="36" t="e">
        <f t="shared" si="8"/>
        <v>#REF!</v>
      </c>
      <c r="AO32" s="36" t="e">
        <f t="shared" si="8"/>
        <v>#REF!</v>
      </c>
      <c r="AQ32" s="38"/>
      <c r="AR32" s="36" t="e">
        <f t="shared" si="9"/>
        <v>#REF!</v>
      </c>
      <c r="AS32" s="36" t="e">
        <f t="shared" si="9"/>
        <v>#REF!</v>
      </c>
      <c r="AT32" s="36" t="e">
        <f t="shared" si="9"/>
        <v>#REF!</v>
      </c>
      <c r="AU32" s="36" t="e">
        <f t="shared" si="9"/>
        <v>#REF!</v>
      </c>
      <c r="AV32" s="36" t="e">
        <f t="shared" si="9"/>
        <v>#REF!</v>
      </c>
      <c r="AW32" s="36" t="e">
        <f t="shared" si="9"/>
        <v>#REF!</v>
      </c>
      <c r="AX32" s="36" t="e">
        <f t="shared" si="9"/>
        <v>#REF!</v>
      </c>
      <c r="AY32" s="36" t="e">
        <f t="shared" si="9"/>
        <v>#REF!</v>
      </c>
      <c r="AZ32" s="36" t="e">
        <f t="shared" si="9"/>
        <v>#REF!</v>
      </c>
      <c r="BA32" s="36" t="e">
        <f t="shared" si="9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8"/>
        <v>#REF!</v>
      </c>
      <c r="AG33" s="36" t="e">
        <f t="shared" si="8"/>
        <v>#REF!</v>
      </c>
      <c r="AH33" s="36" t="e">
        <f t="shared" si="8"/>
        <v>#REF!</v>
      </c>
      <c r="AI33" s="36" t="e">
        <f t="shared" si="8"/>
        <v>#REF!</v>
      </c>
      <c r="AJ33" s="36" t="e">
        <f t="shared" si="8"/>
        <v>#REF!</v>
      </c>
      <c r="AK33" s="36" t="e">
        <f t="shared" si="8"/>
        <v>#REF!</v>
      </c>
      <c r="AL33" s="36" t="e">
        <f t="shared" si="8"/>
        <v>#REF!</v>
      </c>
      <c r="AM33" s="36" t="e">
        <f t="shared" si="8"/>
        <v>#REF!</v>
      </c>
      <c r="AN33" s="36" t="e">
        <f t="shared" si="8"/>
        <v>#REF!</v>
      </c>
      <c r="AO33" s="36" t="e">
        <f t="shared" si="8"/>
        <v>#REF!</v>
      </c>
      <c r="AQ33" s="38"/>
      <c r="AR33" s="36" t="e">
        <f t="shared" si="9"/>
        <v>#REF!</v>
      </c>
      <c r="AS33" s="36" t="e">
        <f t="shared" si="9"/>
        <v>#REF!</v>
      </c>
      <c r="AT33" s="36" t="e">
        <f t="shared" si="9"/>
        <v>#REF!</v>
      </c>
      <c r="AU33" s="36" t="e">
        <f t="shared" si="9"/>
        <v>#REF!</v>
      </c>
      <c r="AV33" s="36" t="e">
        <f t="shared" si="9"/>
        <v>#REF!</v>
      </c>
      <c r="AW33" s="36" t="e">
        <f t="shared" si="9"/>
        <v>#REF!</v>
      </c>
      <c r="AX33" s="36" t="e">
        <f t="shared" si="9"/>
        <v>#REF!</v>
      </c>
      <c r="AY33" s="36" t="e">
        <f t="shared" si="9"/>
        <v>#REF!</v>
      </c>
      <c r="AZ33" s="36" t="e">
        <f t="shared" si="9"/>
        <v>#REF!</v>
      </c>
      <c r="BA33" s="36" t="e">
        <f t="shared" si="9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8"/>
        <v>#REF!</v>
      </c>
      <c r="AG34" s="36" t="e">
        <f t="shared" si="8"/>
        <v>#REF!</v>
      </c>
      <c r="AH34" s="36" t="e">
        <f t="shared" si="8"/>
        <v>#REF!</v>
      </c>
      <c r="AI34" s="36" t="e">
        <f t="shared" si="8"/>
        <v>#REF!</v>
      </c>
      <c r="AJ34" s="36" t="e">
        <f t="shared" si="8"/>
        <v>#REF!</v>
      </c>
      <c r="AK34" s="36" t="e">
        <f t="shared" si="8"/>
        <v>#REF!</v>
      </c>
      <c r="AL34" s="36" t="e">
        <f t="shared" si="8"/>
        <v>#REF!</v>
      </c>
      <c r="AM34" s="36" t="e">
        <f t="shared" si="8"/>
        <v>#REF!</v>
      </c>
      <c r="AN34" s="36" t="e">
        <f t="shared" si="8"/>
        <v>#REF!</v>
      </c>
      <c r="AO34" s="36" t="e">
        <f t="shared" si="8"/>
        <v>#REF!</v>
      </c>
      <c r="AQ34" s="38"/>
      <c r="AR34" s="36" t="e">
        <f t="shared" si="9"/>
        <v>#REF!</v>
      </c>
      <c r="AS34" s="36" t="e">
        <f t="shared" si="9"/>
        <v>#REF!</v>
      </c>
      <c r="AT34" s="36" t="e">
        <f t="shared" si="9"/>
        <v>#REF!</v>
      </c>
      <c r="AU34" s="36" t="e">
        <f t="shared" si="9"/>
        <v>#REF!</v>
      </c>
      <c r="AV34" s="36" t="e">
        <f t="shared" si="9"/>
        <v>#REF!</v>
      </c>
      <c r="AW34" s="36" t="e">
        <f t="shared" si="9"/>
        <v>#REF!</v>
      </c>
      <c r="AX34" s="36" t="e">
        <f t="shared" si="9"/>
        <v>#REF!</v>
      </c>
      <c r="AY34" s="36" t="e">
        <f t="shared" si="9"/>
        <v>#REF!</v>
      </c>
      <c r="AZ34" s="36" t="e">
        <f t="shared" si="9"/>
        <v>#REF!</v>
      </c>
      <c r="BA34" s="36" t="e">
        <f t="shared" si="9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8"/>
        <v>#REF!</v>
      </c>
      <c r="AG35" s="36" t="e">
        <f t="shared" si="8"/>
        <v>#REF!</v>
      </c>
      <c r="AH35" s="36" t="e">
        <f t="shared" si="8"/>
        <v>#REF!</v>
      </c>
      <c r="AI35" s="36" t="e">
        <f t="shared" si="8"/>
        <v>#REF!</v>
      </c>
      <c r="AJ35" s="36" t="e">
        <f t="shared" si="8"/>
        <v>#REF!</v>
      </c>
      <c r="AK35" s="36" t="e">
        <f t="shared" si="8"/>
        <v>#REF!</v>
      </c>
      <c r="AL35" s="36" t="e">
        <f t="shared" si="8"/>
        <v>#REF!</v>
      </c>
      <c r="AM35" s="36" t="e">
        <f t="shared" si="8"/>
        <v>#REF!</v>
      </c>
      <c r="AN35" s="36" t="e">
        <f t="shared" si="8"/>
        <v>#REF!</v>
      </c>
      <c r="AO35" s="36" t="e">
        <f t="shared" si="8"/>
        <v>#REF!</v>
      </c>
      <c r="AQ35" s="38"/>
      <c r="AR35" s="36" t="e">
        <f t="shared" si="9"/>
        <v>#REF!</v>
      </c>
      <c r="AS35" s="36" t="e">
        <f t="shared" si="9"/>
        <v>#REF!</v>
      </c>
      <c r="AT35" s="36" t="e">
        <f t="shared" si="9"/>
        <v>#REF!</v>
      </c>
      <c r="AU35" s="36" t="e">
        <f t="shared" si="9"/>
        <v>#REF!</v>
      </c>
      <c r="AV35" s="36" t="e">
        <f t="shared" si="9"/>
        <v>#REF!</v>
      </c>
      <c r="AW35" s="36" t="e">
        <f t="shared" si="9"/>
        <v>#REF!</v>
      </c>
      <c r="AX35" s="36" t="e">
        <f t="shared" si="9"/>
        <v>#REF!</v>
      </c>
      <c r="AY35" s="36" t="e">
        <f t="shared" si="9"/>
        <v>#REF!</v>
      </c>
      <c r="AZ35" s="36" t="e">
        <f t="shared" si="9"/>
        <v>#REF!</v>
      </c>
      <c r="BA35" s="36" t="e">
        <f t="shared" si="9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10">AF$11*$AC38</f>
        <v>#REF!</v>
      </c>
      <c r="AG38" s="36" t="e">
        <f t="shared" si="10"/>
        <v>#REF!</v>
      </c>
      <c r="AH38" s="36" t="e">
        <f t="shared" si="10"/>
        <v>#REF!</v>
      </c>
      <c r="AI38" s="36" t="e">
        <f t="shared" si="10"/>
        <v>#REF!</v>
      </c>
      <c r="AJ38" s="36" t="e">
        <f t="shared" si="10"/>
        <v>#REF!</v>
      </c>
      <c r="AK38" s="36" t="e">
        <f t="shared" si="10"/>
        <v>#REF!</v>
      </c>
      <c r="AL38" s="36" t="e">
        <f t="shared" si="10"/>
        <v>#REF!</v>
      </c>
      <c r="AM38" s="36" t="e">
        <f t="shared" si="10"/>
        <v>#REF!</v>
      </c>
      <c r="AN38" s="36" t="e">
        <f t="shared" si="10"/>
        <v>#REF!</v>
      </c>
      <c r="AO38" s="36" t="e">
        <f t="shared" si="10"/>
        <v>#REF!</v>
      </c>
      <c r="AQ38" s="38"/>
      <c r="AR38" s="36" t="e">
        <f t="shared" ref="AR38:BA46" si="11">AR$11*$AC38</f>
        <v>#REF!</v>
      </c>
      <c r="AS38" s="36" t="e">
        <f t="shared" si="11"/>
        <v>#REF!</v>
      </c>
      <c r="AT38" s="36" t="e">
        <f t="shared" si="11"/>
        <v>#REF!</v>
      </c>
      <c r="AU38" s="36" t="e">
        <f t="shared" si="11"/>
        <v>#REF!</v>
      </c>
      <c r="AV38" s="36" t="e">
        <f t="shared" si="11"/>
        <v>#REF!</v>
      </c>
      <c r="AW38" s="36" t="e">
        <f t="shared" si="11"/>
        <v>#REF!</v>
      </c>
      <c r="AX38" s="36" t="e">
        <f t="shared" si="11"/>
        <v>#REF!</v>
      </c>
      <c r="AY38" s="36" t="e">
        <f t="shared" si="11"/>
        <v>#REF!</v>
      </c>
      <c r="AZ38" s="36" t="e">
        <f t="shared" si="11"/>
        <v>#REF!</v>
      </c>
      <c r="BA38" s="36" t="e">
        <f t="shared" si="11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10"/>
        <v>#REF!</v>
      </c>
      <c r="AG39" s="36" t="e">
        <f t="shared" si="10"/>
        <v>#REF!</v>
      </c>
      <c r="AH39" s="36" t="e">
        <f t="shared" si="10"/>
        <v>#REF!</v>
      </c>
      <c r="AI39" s="36" t="e">
        <f t="shared" si="10"/>
        <v>#REF!</v>
      </c>
      <c r="AJ39" s="36" t="e">
        <f t="shared" si="10"/>
        <v>#REF!</v>
      </c>
      <c r="AK39" s="36" t="e">
        <f t="shared" si="10"/>
        <v>#REF!</v>
      </c>
      <c r="AL39" s="36" t="e">
        <f t="shared" si="10"/>
        <v>#REF!</v>
      </c>
      <c r="AM39" s="36" t="e">
        <f t="shared" si="10"/>
        <v>#REF!</v>
      </c>
      <c r="AN39" s="36" t="e">
        <f t="shared" si="10"/>
        <v>#REF!</v>
      </c>
      <c r="AO39" s="36" t="e">
        <f t="shared" si="10"/>
        <v>#REF!</v>
      </c>
      <c r="AQ39" s="38"/>
      <c r="AR39" s="36" t="e">
        <f t="shared" si="11"/>
        <v>#REF!</v>
      </c>
      <c r="AS39" s="36" t="e">
        <f t="shared" si="11"/>
        <v>#REF!</v>
      </c>
      <c r="AT39" s="36" t="e">
        <f t="shared" si="11"/>
        <v>#REF!</v>
      </c>
      <c r="AU39" s="36" t="e">
        <f t="shared" si="11"/>
        <v>#REF!</v>
      </c>
      <c r="AV39" s="36" t="e">
        <f t="shared" si="11"/>
        <v>#REF!</v>
      </c>
      <c r="AW39" s="36" t="e">
        <f t="shared" si="11"/>
        <v>#REF!</v>
      </c>
      <c r="AX39" s="36" t="e">
        <f t="shared" si="11"/>
        <v>#REF!</v>
      </c>
      <c r="AY39" s="36" t="e">
        <f t="shared" si="11"/>
        <v>#REF!</v>
      </c>
      <c r="AZ39" s="36" t="e">
        <f t="shared" si="11"/>
        <v>#REF!</v>
      </c>
      <c r="BA39" s="36" t="e">
        <f t="shared" si="11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10"/>
        <v>#REF!</v>
      </c>
      <c r="AG40" s="36" t="e">
        <f t="shared" si="10"/>
        <v>#REF!</v>
      </c>
      <c r="AH40" s="36" t="e">
        <f t="shared" si="10"/>
        <v>#REF!</v>
      </c>
      <c r="AI40" s="36" t="e">
        <f t="shared" si="10"/>
        <v>#REF!</v>
      </c>
      <c r="AJ40" s="36" t="e">
        <f t="shared" si="10"/>
        <v>#REF!</v>
      </c>
      <c r="AK40" s="36" t="e">
        <f t="shared" si="10"/>
        <v>#REF!</v>
      </c>
      <c r="AL40" s="36" t="e">
        <f t="shared" si="10"/>
        <v>#REF!</v>
      </c>
      <c r="AM40" s="36" t="e">
        <f t="shared" si="10"/>
        <v>#REF!</v>
      </c>
      <c r="AN40" s="36" t="e">
        <f t="shared" si="10"/>
        <v>#REF!</v>
      </c>
      <c r="AO40" s="36" t="e">
        <f t="shared" si="10"/>
        <v>#REF!</v>
      </c>
      <c r="AQ40" s="38"/>
      <c r="AR40" s="36" t="e">
        <f t="shared" si="11"/>
        <v>#REF!</v>
      </c>
      <c r="AS40" s="36" t="e">
        <f t="shared" si="11"/>
        <v>#REF!</v>
      </c>
      <c r="AT40" s="36" t="e">
        <f t="shared" si="11"/>
        <v>#REF!</v>
      </c>
      <c r="AU40" s="36" t="e">
        <f t="shared" si="11"/>
        <v>#REF!</v>
      </c>
      <c r="AV40" s="36" t="e">
        <f t="shared" si="11"/>
        <v>#REF!</v>
      </c>
      <c r="AW40" s="36" t="e">
        <f t="shared" si="11"/>
        <v>#REF!</v>
      </c>
      <c r="AX40" s="36" t="e">
        <f t="shared" si="11"/>
        <v>#REF!</v>
      </c>
      <c r="AY40" s="36" t="e">
        <f t="shared" si="11"/>
        <v>#REF!</v>
      </c>
      <c r="AZ40" s="36" t="e">
        <f t="shared" si="11"/>
        <v>#REF!</v>
      </c>
      <c r="BA40" s="36" t="e">
        <f t="shared" si="11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10"/>
        <v>#REF!</v>
      </c>
      <c r="AG41" s="36" t="e">
        <f t="shared" si="10"/>
        <v>#REF!</v>
      </c>
      <c r="AH41" s="36" t="e">
        <f t="shared" si="10"/>
        <v>#REF!</v>
      </c>
      <c r="AI41" s="36" t="e">
        <f t="shared" si="10"/>
        <v>#REF!</v>
      </c>
      <c r="AJ41" s="36" t="e">
        <f t="shared" si="10"/>
        <v>#REF!</v>
      </c>
      <c r="AK41" s="36" t="e">
        <f t="shared" si="10"/>
        <v>#REF!</v>
      </c>
      <c r="AL41" s="36" t="e">
        <f t="shared" si="10"/>
        <v>#REF!</v>
      </c>
      <c r="AM41" s="36" t="e">
        <f t="shared" si="10"/>
        <v>#REF!</v>
      </c>
      <c r="AN41" s="36" t="e">
        <f t="shared" si="10"/>
        <v>#REF!</v>
      </c>
      <c r="AO41" s="36" t="e">
        <f t="shared" si="10"/>
        <v>#REF!</v>
      </c>
      <c r="AQ41" s="38"/>
      <c r="AR41" s="36" t="e">
        <f t="shared" si="11"/>
        <v>#REF!</v>
      </c>
      <c r="AS41" s="36" t="e">
        <f t="shared" si="11"/>
        <v>#REF!</v>
      </c>
      <c r="AT41" s="36" t="e">
        <f t="shared" si="11"/>
        <v>#REF!</v>
      </c>
      <c r="AU41" s="36" t="e">
        <f t="shared" si="11"/>
        <v>#REF!</v>
      </c>
      <c r="AV41" s="36" t="e">
        <f t="shared" si="11"/>
        <v>#REF!</v>
      </c>
      <c r="AW41" s="36" t="e">
        <f t="shared" si="11"/>
        <v>#REF!</v>
      </c>
      <c r="AX41" s="36" t="e">
        <f t="shared" si="11"/>
        <v>#REF!</v>
      </c>
      <c r="AY41" s="36" t="e">
        <f t="shared" si="11"/>
        <v>#REF!</v>
      </c>
      <c r="AZ41" s="36" t="e">
        <f t="shared" si="11"/>
        <v>#REF!</v>
      </c>
      <c r="BA41" s="36" t="e">
        <f t="shared" si="11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10"/>
        <v>#REF!</v>
      </c>
      <c r="AG42" s="36" t="e">
        <f t="shared" si="10"/>
        <v>#REF!</v>
      </c>
      <c r="AH42" s="36" t="e">
        <f t="shared" si="10"/>
        <v>#REF!</v>
      </c>
      <c r="AI42" s="36" t="e">
        <f t="shared" si="10"/>
        <v>#REF!</v>
      </c>
      <c r="AJ42" s="36" t="e">
        <f t="shared" si="10"/>
        <v>#REF!</v>
      </c>
      <c r="AK42" s="36" t="e">
        <f t="shared" si="10"/>
        <v>#REF!</v>
      </c>
      <c r="AL42" s="36" t="e">
        <f t="shared" si="10"/>
        <v>#REF!</v>
      </c>
      <c r="AM42" s="36" t="e">
        <f t="shared" si="10"/>
        <v>#REF!</v>
      </c>
      <c r="AN42" s="36" t="e">
        <f t="shared" si="10"/>
        <v>#REF!</v>
      </c>
      <c r="AO42" s="36" t="e">
        <f t="shared" si="10"/>
        <v>#REF!</v>
      </c>
      <c r="AQ42" s="38"/>
      <c r="AR42" s="36" t="e">
        <f t="shared" si="11"/>
        <v>#REF!</v>
      </c>
      <c r="AS42" s="36" t="e">
        <f t="shared" si="11"/>
        <v>#REF!</v>
      </c>
      <c r="AT42" s="36" t="e">
        <f t="shared" si="11"/>
        <v>#REF!</v>
      </c>
      <c r="AU42" s="36" t="e">
        <f t="shared" si="11"/>
        <v>#REF!</v>
      </c>
      <c r="AV42" s="36" t="e">
        <f t="shared" si="11"/>
        <v>#REF!</v>
      </c>
      <c r="AW42" s="36" t="e">
        <f t="shared" si="11"/>
        <v>#REF!</v>
      </c>
      <c r="AX42" s="36" t="e">
        <f t="shared" si="11"/>
        <v>#REF!</v>
      </c>
      <c r="AY42" s="36" t="e">
        <f t="shared" si="11"/>
        <v>#REF!</v>
      </c>
      <c r="AZ42" s="36" t="e">
        <f t="shared" si="11"/>
        <v>#REF!</v>
      </c>
      <c r="BA42" s="36" t="e">
        <f t="shared" si="11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10"/>
        <v>#REF!</v>
      </c>
      <c r="AG43" s="36" t="e">
        <f t="shared" si="10"/>
        <v>#REF!</v>
      </c>
      <c r="AH43" s="36" t="e">
        <f t="shared" si="10"/>
        <v>#REF!</v>
      </c>
      <c r="AI43" s="36" t="e">
        <f t="shared" si="10"/>
        <v>#REF!</v>
      </c>
      <c r="AJ43" s="36" t="e">
        <f t="shared" si="10"/>
        <v>#REF!</v>
      </c>
      <c r="AK43" s="36" t="e">
        <f t="shared" si="10"/>
        <v>#REF!</v>
      </c>
      <c r="AL43" s="36" t="e">
        <f t="shared" si="10"/>
        <v>#REF!</v>
      </c>
      <c r="AM43" s="36" t="e">
        <f t="shared" si="10"/>
        <v>#REF!</v>
      </c>
      <c r="AN43" s="36" t="e">
        <f t="shared" si="10"/>
        <v>#REF!</v>
      </c>
      <c r="AO43" s="36" t="e">
        <f t="shared" si="10"/>
        <v>#REF!</v>
      </c>
      <c r="AQ43" s="38"/>
      <c r="AR43" s="36" t="e">
        <f t="shared" si="11"/>
        <v>#REF!</v>
      </c>
      <c r="AS43" s="36" t="e">
        <f t="shared" si="11"/>
        <v>#REF!</v>
      </c>
      <c r="AT43" s="36" t="e">
        <f t="shared" si="11"/>
        <v>#REF!</v>
      </c>
      <c r="AU43" s="36" t="e">
        <f t="shared" si="11"/>
        <v>#REF!</v>
      </c>
      <c r="AV43" s="36" t="e">
        <f t="shared" si="11"/>
        <v>#REF!</v>
      </c>
      <c r="AW43" s="36" t="e">
        <f t="shared" si="11"/>
        <v>#REF!</v>
      </c>
      <c r="AX43" s="36" t="e">
        <f t="shared" si="11"/>
        <v>#REF!</v>
      </c>
      <c r="AY43" s="36" t="e">
        <f t="shared" si="11"/>
        <v>#REF!</v>
      </c>
      <c r="AZ43" s="36" t="e">
        <f t="shared" si="11"/>
        <v>#REF!</v>
      </c>
      <c r="BA43" s="36" t="e">
        <f t="shared" si="11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10"/>
        <v>#REF!</v>
      </c>
      <c r="AG44" s="36" t="e">
        <f t="shared" si="10"/>
        <v>#REF!</v>
      </c>
      <c r="AH44" s="36" t="e">
        <f t="shared" si="10"/>
        <v>#REF!</v>
      </c>
      <c r="AI44" s="36" t="e">
        <f t="shared" si="10"/>
        <v>#REF!</v>
      </c>
      <c r="AJ44" s="36" t="e">
        <f t="shared" si="10"/>
        <v>#REF!</v>
      </c>
      <c r="AK44" s="36" t="e">
        <f t="shared" si="10"/>
        <v>#REF!</v>
      </c>
      <c r="AL44" s="36" t="e">
        <f t="shared" si="10"/>
        <v>#REF!</v>
      </c>
      <c r="AM44" s="36" t="e">
        <f t="shared" si="10"/>
        <v>#REF!</v>
      </c>
      <c r="AN44" s="36" t="e">
        <f t="shared" si="10"/>
        <v>#REF!</v>
      </c>
      <c r="AO44" s="36" t="e">
        <f t="shared" si="10"/>
        <v>#REF!</v>
      </c>
      <c r="AQ44" s="38"/>
      <c r="AR44" s="36" t="e">
        <f t="shared" si="11"/>
        <v>#REF!</v>
      </c>
      <c r="AS44" s="36" t="e">
        <f t="shared" si="11"/>
        <v>#REF!</v>
      </c>
      <c r="AT44" s="36" t="e">
        <f t="shared" si="11"/>
        <v>#REF!</v>
      </c>
      <c r="AU44" s="36" t="e">
        <f t="shared" si="11"/>
        <v>#REF!</v>
      </c>
      <c r="AV44" s="36" t="e">
        <f t="shared" si="11"/>
        <v>#REF!</v>
      </c>
      <c r="AW44" s="36" t="e">
        <f t="shared" si="11"/>
        <v>#REF!</v>
      </c>
      <c r="AX44" s="36" t="e">
        <f t="shared" si="11"/>
        <v>#REF!</v>
      </c>
      <c r="AY44" s="36" t="e">
        <f t="shared" si="11"/>
        <v>#REF!</v>
      </c>
      <c r="AZ44" s="36" t="e">
        <f t="shared" si="11"/>
        <v>#REF!</v>
      </c>
      <c r="BA44" s="36" t="e">
        <f t="shared" si="11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10"/>
        <v>#REF!</v>
      </c>
      <c r="AG45" s="36" t="e">
        <f t="shared" si="10"/>
        <v>#REF!</v>
      </c>
      <c r="AH45" s="36" t="e">
        <f t="shared" si="10"/>
        <v>#REF!</v>
      </c>
      <c r="AI45" s="36" t="e">
        <f t="shared" si="10"/>
        <v>#REF!</v>
      </c>
      <c r="AJ45" s="36" t="e">
        <f t="shared" si="10"/>
        <v>#REF!</v>
      </c>
      <c r="AK45" s="36" t="e">
        <f t="shared" si="10"/>
        <v>#REF!</v>
      </c>
      <c r="AL45" s="36" t="e">
        <f t="shared" si="10"/>
        <v>#REF!</v>
      </c>
      <c r="AM45" s="36" t="e">
        <f t="shared" si="10"/>
        <v>#REF!</v>
      </c>
      <c r="AN45" s="36" t="e">
        <f t="shared" si="10"/>
        <v>#REF!</v>
      </c>
      <c r="AO45" s="36" t="e">
        <f t="shared" si="10"/>
        <v>#REF!</v>
      </c>
      <c r="AQ45" s="38"/>
      <c r="AR45" s="36" t="e">
        <f t="shared" si="11"/>
        <v>#REF!</v>
      </c>
      <c r="AS45" s="36" t="e">
        <f t="shared" si="11"/>
        <v>#REF!</v>
      </c>
      <c r="AT45" s="36" t="e">
        <f t="shared" si="11"/>
        <v>#REF!</v>
      </c>
      <c r="AU45" s="36" t="e">
        <f t="shared" si="11"/>
        <v>#REF!</v>
      </c>
      <c r="AV45" s="36" t="e">
        <f t="shared" si="11"/>
        <v>#REF!</v>
      </c>
      <c r="AW45" s="36" t="e">
        <f t="shared" si="11"/>
        <v>#REF!</v>
      </c>
      <c r="AX45" s="36" t="e">
        <f t="shared" si="11"/>
        <v>#REF!</v>
      </c>
      <c r="AY45" s="36" t="e">
        <f t="shared" si="11"/>
        <v>#REF!</v>
      </c>
      <c r="AZ45" s="36" t="e">
        <f t="shared" si="11"/>
        <v>#REF!</v>
      </c>
      <c r="BA45" s="36" t="e">
        <f t="shared" si="11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10"/>
        <v>#REF!</v>
      </c>
      <c r="AG46" s="36" t="e">
        <f t="shared" si="10"/>
        <v>#REF!</v>
      </c>
      <c r="AH46" s="36" t="e">
        <f t="shared" si="10"/>
        <v>#REF!</v>
      </c>
      <c r="AI46" s="36" t="e">
        <f t="shared" si="10"/>
        <v>#REF!</v>
      </c>
      <c r="AJ46" s="36" t="e">
        <f t="shared" si="10"/>
        <v>#REF!</v>
      </c>
      <c r="AK46" s="36" t="e">
        <f t="shared" si="10"/>
        <v>#REF!</v>
      </c>
      <c r="AL46" s="36" t="e">
        <f t="shared" si="10"/>
        <v>#REF!</v>
      </c>
      <c r="AM46" s="36" t="e">
        <f t="shared" si="10"/>
        <v>#REF!</v>
      </c>
      <c r="AN46" s="36" t="e">
        <f t="shared" si="10"/>
        <v>#REF!</v>
      </c>
      <c r="AO46" s="36" t="e">
        <f t="shared" si="10"/>
        <v>#REF!</v>
      </c>
      <c r="AQ46" s="38"/>
      <c r="AR46" s="36" t="e">
        <f t="shared" si="11"/>
        <v>#REF!</v>
      </c>
      <c r="AS46" s="36" t="e">
        <f t="shared" si="11"/>
        <v>#REF!</v>
      </c>
      <c r="AT46" s="36" t="e">
        <f t="shared" si="11"/>
        <v>#REF!</v>
      </c>
      <c r="AU46" s="36" t="e">
        <f t="shared" si="11"/>
        <v>#REF!</v>
      </c>
      <c r="AV46" s="36" t="e">
        <f t="shared" si="11"/>
        <v>#REF!</v>
      </c>
      <c r="AW46" s="36" t="e">
        <f t="shared" si="11"/>
        <v>#REF!</v>
      </c>
      <c r="AX46" s="36" t="e">
        <f t="shared" si="11"/>
        <v>#REF!</v>
      </c>
      <c r="AY46" s="36" t="e">
        <f t="shared" si="11"/>
        <v>#REF!</v>
      </c>
      <c r="AZ46" s="36" t="e">
        <f t="shared" si="11"/>
        <v>#REF!</v>
      </c>
      <c r="BA46" s="36" t="e">
        <f t="shared" si="11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2">AF16+AF18+AF19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AR16+AR18+AR19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41</v>
      </c>
      <c r="AB52" s="35"/>
      <c r="AF52" s="70" t="e">
        <f t="shared" ref="AF52:AO52" si="14">AF27+AF29+AF30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AR27+AR29+AR30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71" t="s">
        <v>42</v>
      </c>
      <c r="AB53" s="35"/>
      <c r="AF53" s="70" t="e">
        <f t="shared" ref="AF53:AO53" si="16">AF38+AF40+AF41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AR38+AR40+AR41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8">AF16+AF18+AF20+AF22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AR16+AR18+AR20+AR22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41</v>
      </c>
      <c r="AB56" s="35"/>
      <c r="AF56" s="70" t="e">
        <f t="shared" ref="AF56:AO56" si="20">AF27+AF29+AF31+AF33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AR27+AR29+AR31+AR33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71" t="s">
        <v>42</v>
      </c>
      <c r="AB57" s="35"/>
      <c r="AF57" s="70" t="e">
        <f t="shared" ref="AF57:AO57" si="22">AF38+AF40+AF42+AF44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AR38+AR40+AR42+AR44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4">AF16+AF18+AF20+AF21+AF23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AR16+AR18+AR20+AR21+AR23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41</v>
      </c>
      <c r="AB60" s="35"/>
      <c r="AF60" s="70" t="e">
        <f t="shared" ref="AF60:AO60" si="26">AF27+AF29+AF31+AF32+AF34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AR27+AR29+AR31+AR32+AR34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71" t="s">
        <v>42</v>
      </c>
      <c r="AB61" s="35"/>
      <c r="AF61" s="70" t="e">
        <f t="shared" ref="AF61:AO61" si="28">AF38+AF40+AF42+AF43+AF45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AR38+AR40+AR42+AR43+AR45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30">AF16+AF18+AF20+AF21+AF24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AR16+AR18+AR20+AR21+AR24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41</v>
      </c>
      <c r="AB64" s="35"/>
      <c r="AF64" s="70" t="e">
        <f t="shared" ref="AF64:AO64" si="32">AF27+AF29+AF31+AF32+AF35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AR27+AR29+AR31+AR32+AR35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71" t="s">
        <v>42</v>
      </c>
      <c r="AB65" s="35"/>
      <c r="AF65" s="70" t="e">
        <f t="shared" ref="AF65:AO65" si="34">AF38+AF40+AF42+AF43+AF46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AR38+AR40+AR42+AR43+AR46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6">AF16+AF17+AF22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AR16+AR17+AR22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41</v>
      </c>
      <c r="AB68" s="35"/>
      <c r="AF68" s="70" t="e">
        <f t="shared" ref="AF68:AO68" si="38">AF27+AF28+AF33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AR27+AR28+AR33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1" t="s">
        <v>42</v>
      </c>
      <c r="AB69" s="35"/>
      <c r="AF69" s="70" t="e">
        <f t="shared" ref="AF69:AO69" si="40">AF38+AF39+AF44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AR38+AR39+AR44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2">AF16+AF17+AF21+AF23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AR16+AR17+AR21+AR23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41</v>
      </c>
      <c r="AB72" s="35"/>
      <c r="AF72" s="70" t="e">
        <f t="shared" ref="AF72:AO72" si="44">AF27+AF28+AF32+AF34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AR27+AR28+AR32+AR34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71" t="s">
        <v>42</v>
      </c>
      <c r="AB73" s="35"/>
      <c r="AF73" s="70" t="e">
        <f t="shared" ref="AF73:AO73" si="46">AF38+AF39+AF43+AF45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AR38+AR39+AR43+AR45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8">AF16+AF17+AF21+AF24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AR16+AR17+AR21+AR24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41</v>
      </c>
      <c r="AB76" s="35"/>
      <c r="AF76" s="70" t="e">
        <f t="shared" ref="AF76:AO76" si="50">AF27+AF28+AF32+AF35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AR27+AR28+AR32+AR35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>
      <c r="AA77" s="71" t="s">
        <v>42</v>
      </c>
      <c r="AB77" s="35"/>
      <c r="AF77" s="70" t="e">
        <f t="shared" ref="AF77:AO77" si="52">AF38+AF39+AF43+AF46</f>
        <v>#REF!</v>
      </c>
      <c r="AG77" s="70" t="e">
        <f t="shared" si="52"/>
        <v>#REF!</v>
      </c>
      <c r="AH77" s="70" t="e">
        <f t="shared" si="52"/>
        <v>#REF!</v>
      </c>
      <c r="AI77" s="70" t="e">
        <f t="shared" si="52"/>
        <v>#REF!</v>
      </c>
      <c r="AJ77" s="70" t="e">
        <f t="shared" si="52"/>
        <v>#REF!</v>
      </c>
      <c r="AK77" s="70" t="e">
        <f t="shared" si="52"/>
        <v>#REF!</v>
      </c>
      <c r="AL77" s="70" t="e">
        <f t="shared" si="52"/>
        <v>#REF!</v>
      </c>
      <c r="AM77" s="70" t="e">
        <f t="shared" si="52"/>
        <v>#REF!</v>
      </c>
      <c r="AN77" s="70" t="e">
        <f t="shared" si="52"/>
        <v>#REF!</v>
      </c>
      <c r="AO77" s="70" t="e">
        <f t="shared" si="52"/>
        <v>#REF!</v>
      </c>
      <c r="AP77" s="70"/>
      <c r="AQ77" s="70"/>
      <c r="AR77" s="70" t="e">
        <f t="shared" ref="AR77:BA77" si="53">AR38+AR39+AR43+AR46</f>
        <v>#REF!</v>
      </c>
      <c r="AS77" s="70" t="e">
        <f t="shared" si="53"/>
        <v>#REF!</v>
      </c>
      <c r="AT77" s="70" t="e">
        <f t="shared" si="53"/>
        <v>#REF!</v>
      </c>
      <c r="AU77" s="70" t="e">
        <f t="shared" si="53"/>
        <v>#REF!</v>
      </c>
      <c r="AV77" s="70" t="e">
        <f t="shared" si="53"/>
        <v>#REF!</v>
      </c>
      <c r="AW77" s="70" t="e">
        <f t="shared" si="53"/>
        <v>#REF!</v>
      </c>
      <c r="AX77" s="70" t="e">
        <f t="shared" si="53"/>
        <v>#REF!</v>
      </c>
      <c r="AY77" s="70" t="e">
        <f t="shared" si="53"/>
        <v>#REF!</v>
      </c>
      <c r="AZ77" s="70" t="e">
        <f t="shared" si="53"/>
        <v>#REF!</v>
      </c>
      <c r="BA77" s="70" t="e">
        <f t="shared" si="53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45" t="s">
        <v>55</v>
      </c>
      <c r="G89" s="545" t="s">
        <v>73</v>
      </c>
      <c r="H89" s="545" t="s">
        <v>74</v>
      </c>
      <c r="I89" s="545" t="s">
        <v>58</v>
      </c>
      <c r="J89" s="545" t="s">
        <v>59</v>
      </c>
      <c r="K89" s="545" t="s">
        <v>60</v>
      </c>
      <c r="L89" s="544" t="s">
        <v>75</v>
      </c>
      <c r="M89" s="544" t="s">
        <v>76</v>
      </c>
      <c r="N89" s="544" t="s">
        <v>61</v>
      </c>
      <c r="O89" s="544" t="s">
        <v>62</v>
      </c>
      <c r="P89" s="544" t="s">
        <v>63</v>
      </c>
      <c r="AN89" s="38"/>
      <c r="AZ89" s="36"/>
    </row>
    <row r="90" spans="1:52" ht="25.5">
      <c r="A90" s="44" t="str">
        <f t="shared" ref="A90:C92" si="54">A4</f>
        <v>General Construction</v>
      </c>
      <c r="B90" s="45" t="str">
        <f t="shared" si="54"/>
        <v>Light-Duty Truck, catalyst</v>
      </c>
      <c r="C90" s="46">
        <f t="shared" si="54"/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2" si="55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si="54"/>
        <v>Substation General Construction</v>
      </c>
      <c r="B91" s="45" t="str">
        <f t="shared" si="54"/>
        <v>Light-Duty Truck, catalyst</v>
      </c>
      <c r="C91" s="46">
        <f t="shared" si="54"/>
        <v>3</v>
      </c>
      <c r="D91" s="46">
        <v>35</v>
      </c>
      <c r="E91" s="46">
        <v>80</v>
      </c>
      <c r="F91" s="50">
        <f>C5*($E5*$F5+($G5))/453.59</f>
        <v>1.4571581576427601</v>
      </c>
      <c r="G91" s="50">
        <f>C5*($E5*$H5+($I5))/453.59</f>
        <v>0.13101197188313402</v>
      </c>
      <c r="H91" s="50">
        <f>C5*(($E5*$J5)+($K5)+($L5)+($E5*$N5)+(($M5+$O5)))/453.59</f>
        <v>0.15149994097185998</v>
      </c>
      <c r="I91" s="50">
        <f>C5*($E5*$P5+($Q5))/453.59</f>
        <v>2.1803910814818476E-3</v>
      </c>
      <c r="J91" s="50">
        <f>C5*(($E5*($R5+$T5+$U5))+($S5))/453.59</f>
        <v>2.5572271365623688E-2</v>
      </c>
      <c r="K91" s="50">
        <f>$C5*(($E5*($V5+$X5+$Y5))+($W5))/453.59</f>
        <v>1.1136015972759426E-2</v>
      </c>
      <c r="L91" s="50">
        <f>$B$23*C5*(E5+6)</f>
        <v>2.5315747758215698E-2</v>
      </c>
      <c r="M91" s="50">
        <f t="shared" ref="M91" si="56">0.41*L91</f>
        <v>1.0379456580868435E-2</v>
      </c>
      <c r="N91" s="50">
        <f>C5*($E5*$Z5+($AA5))/453.59</f>
        <v>166.27073017811671</v>
      </c>
      <c r="O91" s="50">
        <f>C5*($E5*$AB5+($AC5))/453.59</f>
        <v>9.5114261670907474E-3</v>
      </c>
      <c r="P91" s="50">
        <f>C5*($E5*$AD5+($AE5))/453.59</f>
        <v>1.7313359741530081E-2</v>
      </c>
      <c r="AN91" s="38"/>
      <c r="AZ91" s="36"/>
    </row>
    <row r="92" spans="1:52" ht="25.5">
      <c r="A92" s="44" t="str">
        <f t="shared" si="54"/>
        <v>Public Improvements and Access Road Paving</v>
      </c>
      <c r="B92" s="45" t="str">
        <f t="shared" si="54"/>
        <v>Light-Duty Truck, catalyst</v>
      </c>
      <c r="C92" s="46">
        <f t="shared" si="54"/>
        <v>9</v>
      </c>
      <c r="D92" s="46">
        <v>35</v>
      </c>
      <c r="E92" s="46">
        <v>80</v>
      </c>
      <c r="F92" s="50">
        <f>C6*($E6*$F6+($G6))/453.59</f>
        <v>4.3714744729282806</v>
      </c>
      <c r="G92" s="50">
        <f>C6*($E6*$H6+($I6))/453.59</f>
        <v>0.3930359156494021</v>
      </c>
      <c r="H92" s="50">
        <f>C6*(($E6*$J6)+($K6)+($L6)+($E6*$N6)+(($M6+$O6)))/453.59</f>
        <v>0.45449982291557994</v>
      </c>
      <c r="I92" s="50">
        <f>C6*($E6*$P6+($Q6))/453.59</f>
        <v>6.5411732444455436E-3</v>
      </c>
      <c r="J92" s="50">
        <f>C6*(($E6*($R6+$T6+$U6))+($S6))/453.59</f>
        <v>7.6716814096871075E-2</v>
      </c>
      <c r="K92" s="50">
        <f>$C6*(($E6*($V6+$X6+$Y6))+($W6))/453.59</f>
        <v>3.3408047918278276E-2</v>
      </c>
      <c r="L92" s="50">
        <f>$B$23*C6*(E6+6)</f>
        <v>7.594724327464708E-2</v>
      </c>
      <c r="M92" s="50">
        <f t="shared" si="55"/>
        <v>3.1138369742605303E-2</v>
      </c>
      <c r="N92" s="50">
        <f>C6*($E6*$Z6+($AA6))/453.59</f>
        <v>498.81219053435007</v>
      </c>
      <c r="O92" s="50">
        <f>C6*($E6*$AB6+($AC6))/453.59</f>
        <v>2.8534278501272246E-2</v>
      </c>
      <c r="P92" s="50">
        <f>C6*($E6*$AD6+($AE6))/453.59</f>
        <v>5.1940079224590235E-2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 t="shared" ref="F93:P93" si="57">SUM(F90:F92)</f>
        <v>7.2857907882138004</v>
      </c>
      <c r="G93" s="81">
        <f t="shared" si="57"/>
        <v>0.65505985941567013</v>
      </c>
      <c r="H93" s="81">
        <f t="shared" si="57"/>
        <v>0.75749970485929996</v>
      </c>
      <c r="I93" s="81">
        <f t="shared" si="57"/>
        <v>1.090195540740924E-2</v>
      </c>
      <c r="J93" s="81">
        <f t="shared" si="57"/>
        <v>0.12786135682811844</v>
      </c>
      <c r="K93" s="81">
        <f t="shared" si="57"/>
        <v>5.5680079863797124E-2</v>
      </c>
      <c r="L93" s="81">
        <f t="shared" si="57"/>
        <v>0.12657873879107848</v>
      </c>
      <c r="M93" s="81">
        <f t="shared" si="57"/>
        <v>5.1897282904342174E-2</v>
      </c>
      <c r="N93" s="81">
        <f t="shared" si="57"/>
        <v>831.35365089058348</v>
      </c>
      <c r="O93" s="81">
        <f t="shared" si="57"/>
        <v>4.7557130835453737E-2</v>
      </c>
      <c r="P93" s="81">
        <f t="shared" si="57"/>
        <v>8.6566798707650397E-2</v>
      </c>
      <c r="AN93" s="38"/>
      <c r="AZ93" s="36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5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576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314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8</v>
      </c>
      <c r="P8" s="88">
        <v>125</v>
      </c>
      <c r="Q8" s="34">
        <f t="shared" ref="Q8:Y10" si="2">(E8*$N8*$O8)</f>
        <v>0.49946184642775621</v>
      </c>
      <c r="R8" s="26">
        <f t="shared" si="2"/>
        <v>2.4431746031746027</v>
      </c>
      <c r="S8" s="26">
        <f t="shared" si="2"/>
        <v>3.1176888888888881</v>
      </c>
      <c r="T8" s="26">
        <f t="shared" si="2"/>
        <v>4.4060015200662857E-3</v>
      </c>
      <c r="U8" s="26">
        <f t="shared" si="2"/>
        <v>0.19809523809523807</v>
      </c>
      <c r="V8" s="26">
        <f t="shared" si="2"/>
        <v>0.17630476190476188</v>
      </c>
      <c r="W8" s="26">
        <f t="shared" si="2"/>
        <v>375.60183859341714</v>
      </c>
      <c r="X8" s="26">
        <f t="shared" si="2"/>
        <v>5.4697471816927752E-2</v>
      </c>
      <c r="Y8" s="26">
        <f t="shared" si="2"/>
        <v>0.29618044444444436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9</v>
      </c>
      <c r="P9" s="363">
        <v>125</v>
      </c>
      <c r="Q9" s="34">
        <f t="shared" si="2"/>
        <v>1.0612998664693185</v>
      </c>
      <c r="R9" s="26">
        <f t="shared" si="2"/>
        <v>3.2860974016937274</v>
      </c>
      <c r="S9" s="26">
        <f t="shared" si="2"/>
        <v>7.8103317854039886</v>
      </c>
      <c r="T9" s="26">
        <f t="shared" si="2"/>
        <v>1.6865295748293957E-2</v>
      </c>
      <c r="U9" s="26">
        <f t="shared" si="2"/>
        <v>0.26137541066030878</v>
      </c>
      <c r="V9" s="26">
        <f t="shared" si="2"/>
        <v>0.23262411548767484</v>
      </c>
      <c r="W9" s="26">
        <f t="shared" si="2"/>
        <v>1498.908740620727</v>
      </c>
      <c r="X9" s="26">
        <f t="shared" si="2"/>
        <v>9.5759396799267066E-2</v>
      </c>
      <c r="Y9" s="26">
        <f t="shared" si="2"/>
        <v>0.74198151961337888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3</v>
      </c>
      <c r="P10" s="363">
        <v>125</v>
      </c>
      <c r="Q10" s="34">
        <f t="shared" si="2"/>
        <v>3.9051121312432671E-2</v>
      </c>
      <c r="R10" s="26">
        <f t="shared" si="2"/>
        <v>0.1468253968253968</v>
      </c>
      <c r="S10" s="26">
        <f t="shared" si="2"/>
        <v>0.13018518518518515</v>
      </c>
      <c r="T10" s="26">
        <f t="shared" si="2"/>
        <v>4.7652059865273245E-4</v>
      </c>
      <c r="U10" s="26">
        <f t="shared" si="2"/>
        <v>1.4682539682539681E-2</v>
      </c>
      <c r="V10" s="26">
        <f t="shared" si="2"/>
        <v>1.3067460317460314E-2</v>
      </c>
      <c r="W10" s="26">
        <f t="shared" si="2"/>
        <v>30.622980859093083</v>
      </c>
      <c r="X10" s="26">
        <f t="shared" si="2"/>
        <v>3.8388136396804665E-3</v>
      </c>
      <c r="Y10" s="26">
        <f t="shared" si="2"/>
        <v>1.236759259259259E-2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1.5998128342095075</v>
      </c>
      <c r="R11" s="101">
        <f t="shared" ref="R11:Y11" si="3">SUM(R8:R10)</f>
        <v>5.8760974016937269</v>
      </c>
      <c r="S11" s="101">
        <f t="shared" si="3"/>
        <v>11.058205859478063</v>
      </c>
      <c r="T11" s="101">
        <f t="shared" si="3"/>
        <v>2.1747817867012974E-2</v>
      </c>
      <c r="U11" s="101">
        <f t="shared" si="3"/>
        <v>0.47415318843808657</v>
      </c>
      <c r="V11" s="101">
        <f t="shared" si="3"/>
        <v>0.42199633770989703</v>
      </c>
      <c r="W11" s="101">
        <f t="shared" si="3"/>
        <v>1905.1335600732373</v>
      </c>
      <c r="X11" s="101">
        <f t="shared" si="3"/>
        <v>0.15429568225587528</v>
      </c>
      <c r="Y11" s="101">
        <f t="shared" si="3"/>
        <v>1.0505295566504158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87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7" t="s">
        <v>315</v>
      </c>
      <c r="B13" s="579"/>
      <c r="C13" s="18"/>
      <c r="D13" s="18"/>
      <c r="E13" s="19"/>
      <c r="F13" s="19"/>
      <c r="G13" s="19"/>
      <c r="H13" s="19"/>
      <c r="I13" s="19"/>
      <c r="J13" s="19"/>
      <c r="K13" s="19"/>
      <c r="L13" s="19"/>
      <c r="M13" s="19"/>
      <c r="N13" s="30"/>
      <c r="O13" s="30"/>
      <c r="P13" s="30"/>
      <c r="Q13" s="20"/>
      <c r="R13" s="20"/>
      <c r="S13" s="20"/>
      <c r="T13" s="20"/>
      <c r="U13" s="20"/>
      <c r="V13" s="20"/>
      <c r="W13" s="21"/>
      <c r="X13" s="20"/>
      <c r="Y13" s="20"/>
    </row>
    <row r="14" spans="1:25" s="3" customFormat="1">
      <c r="A14" s="24" t="s">
        <v>119</v>
      </c>
      <c r="B14" s="90" t="s">
        <v>27</v>
      </c>
      <c r="C14" s="22">
        <v>78</v>
      </c>
      <c r="D14" s="22">
        <f>VLOOKUP(A14,'Offroad Tiers LF'!$B$6:$C$40,2,FALSE)</f>
        <v>0.48</v>
      </c>
      <c r="E14" s="102">
        <v>6.2432730803469526E-2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0.30539682539682533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0.38971111111111101</v>
      </c>
      <c r="H14" s="102">
        <v>5.5075019000828571E-4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2.4761904761904759E-2</v>
      </c>
      <c r="J14" s="100">
        <f t="shared" ref="J14:J16" si="4">0.89*I14</f>
        <v>2.2038095238095235E-2</v>
      </c>
      <c r="K14" s="103">
        <v>46.950229824177143</v>
      </c>
      <c r="L14" s="102">
        <v>6.837183977115969E-3</v>
      </c>
      <c r="M14" s="104">
        <f t="shared" ref="M14:M16" si="5">0.095*G14</f>
        <v>3.7022555555555545E-2</v>
      </c>
      <c r="N14" s="98">
        <v>1</v>
      </c>
      <c r="O14" s="98">
        <v>6</v>
      </c>
      <c r="P14" s="88">
        <v>125</v>
      </c>
      <c r="Q14" s="34">
        <f t="shared" ref="Q14:Y16" si="6">(E14*$N14*$O14)</f>
        <v>0.37459638482081714</v>
      </c>
      <c r="R14" s="26">
        <f t="shared" si="6"/>
        <v>1.832380952380952</v>
      </c>
      <c r="S14" s="26">
        <f t="shared" si="6"/>
        <v>2.3382666666666658</v>
      </c>
      <c r="T14" s="26">
        <f t="shared" si="6"/>
        <v>3.3045011400497145E-3</v>
      </c>
      <c r="U14" s="26">
        <f t="shared" si="6"/>
        <v>0.14857142857142855</v>
      </c>
      <c r="V14" s="26">
        <f t="shared" si="6"/>
        <v>0.13222857142857142</v>
      </c>
      <c r="W14" s="26">
        <f t="shared" si="6"/>
        <v>281.70137894506286</v>
      </c>
      <c r="X14" s="26">
        <f t="shared" si="6"/>
        <v>4.1023103862695816E-2</v>
      </c>
      <c r="Y14" s="26">
        <f t="shared" si="6"/>
        <v>0.22213533333333327</v>
      </c>
    </row>
    <row r="15" spans="1:25" s="3" customFormat="1">
      <c r="A15" s="24" t="s">
        <v>305</v>
      </c>
      <c r="B15" s="29" t="s">
        <v>27</v>
      </c>
      <c r="C15" s="22">
        <v>175</v>
      </c>
      <c r="D15" s="22"/>
      <c r="E15" s="102">
        <v>0.11792220738547983</v>
      </c>
      <c r="F15" s="102">
        <v>0.36512193352152528</v>
      </c>
      <c r="G15" s="102">
        <v>0.86781464282266541</v>
      </c>
      <c r="H15" s="102">
        <v>1.8739217498104396E-3</v>
      </c>
      <c r="I15" s="102">
        <v>2.9041712295589866E-2</v>
      </c>
      <c r="J15" s="100">
        <f t="shared" si="4"/>
        <v>2.5847123943074982E-2</v>
      </c>
      <c r="K15" s="103">
        <v>166.54541562452522</v>
      </c>
      <c r="L15" s="102">
        <v>1.063993297769634E-2</v>
      </c>
      <c r="M15" s="104">
        <f t="shared" si="5"/>
        <v>8.2442391068153209E-2</v>
      </c>
      <c r="N15" s="98">
        <v>1</v>
      </c>
      <c r="O15" s="87">
        <v>2</v>
      </c>
      <c r="P15" s="363">
        <v>125</v>
      </c>
      <c r="Q15" s="34">
        <f t="shared" si="6"/>
        <v>0.23584441477095966</v>
      </c>
      <c r="R15" s="26">
        <f t="shared" si="6"/>
        <v>0.73024386704305055</v>
      </c>
      <c r="S15" s="26">
        <f t="shared" si="6"/>
        <v>1.7356292856453308</v>
      </c>
      <c r="T15" s="26">
        <f t="shared" si="6"/>
        <v>3.7478434996208792E-3</v>
      </c>
      <c r="U15" s="26">
        <f t="shared" si="6"/>
        <v>5.8083424591179732E-2</v>
      </c>
      <c r="V15" s="26">
        <f t="shared" si="6"/>
        <v>5.1694247886149965E-2</v>
      </c>
      <c r="W15" s="26">
        <f t="shared" si="6"/>
        <v>333.09083124905044</v>
      </c>
      <c r="X15" s="26">
        <f t="shared" si="6"/>
        <v>2.127986595539268E-2</v>
      </c>
      <c r="Y15" s="26">
        <f t="shared" si="6"/>
        <v>0.16488478213630642</v>
      </c>
    </row>
    <row r="16" spans="1:25" s="3" customFormat="1">
      <c r="A16" s="24" t="s">
        <v>368</v>
      </c>
      <c r="B16" s="29" t="s">
        <v>27</v>
      </c>
      <c r="C16" s="22">
        <v>5</v>
      </c>
      <c r="D16" s="22">
        <v>0.74</v>
      </c>
      <c r="E16" s="102">
        <v>1.3017040437477556E-2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4.8941798941798939E-2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4.3395061728395051E-2</v>
      </c>
      <c r="H16" s="102">
        <v>1.5884019955091081E-4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4.8941798941798936E-3</v>
      </c>
      <c r="J16" s="100">
        <f t="shared" si="4"/>
        <v>4.3558201058201051E-3</v>
      </c>
      <c r="K16" s="103">
        <v>10.20766028636436</v>
      </c>
      <c r="L16" s="102">
        <v>1.2796045465601556E-3</v>
      </c>
      <c r="M16" s="104">
        <f t="shared" si="5"/>
        <v>4.1225308641975296E-3</v>
      </c>
      <c r="N16" s="98">
        <v>1</v>
      </c>
      <c r="O16" s="87">
        <v>8</v>
      </c>
      <c r="P16" s="363">
        <v>125</v>
      </c>
      <c r="Q16" s="34">
        <f t="shared" si="6"/>
        <v>0.10413632349982045</v>
      </c>
      <c r="R16" s="26">
        <f t="shared" si="6"/>
        <v>0.39153439153439151</v>
      </c>
      <c r="S16" s="26">
        <f t="shared" si="6"/>
        <v>0.34716049382716041</v>
      </c>
      <c r="T16" s="26">
        <f t="shared" si="6"/>
        <v>1.2707215964072865E-3</v>
      </c>
      <c r="U16" s="26">
        <f t="shared" si="6"/>
        <v>3.9153439153439148E-2</v>
      </c>
      <c r="V16" s="26">
        <f t="shared" si="6"/>
        <v>3.4846560846560841E-2</v>
      </c>
      <c r="W16" s="26">
        <f t="shared" si="6"/>
        <v>81.661282290914883</v>
      </c>
      <c r="X16" s="26">
        <f t="shared" si="6"/>
        <v>1.0236836372481245E-2</v>
      </c>
      <c r="Y16" s="26">
        <f t="shared" si="6"/>
        <v>3.2980246913580237E-2</v>
      </c>
    </row>
    <row r="17" spans="1:25" s="3" customFormat="1">
      <c r="A17" s="17" t="s">
        <v>28</v>
      </c>
      <c r="B17" s="29"/>
      <c r="C17" s="22"/>
      <c r="D17" s="22"/>
      <c r="E17" s="108"/>
      <c r="F17" s="108"/>
      <c r="G17" s="108"/>
      <c r="H17" s="108"/>
      <c r="I17" s="108"/>
      <c r="J17" s="100"/>
      <c r="K17" s="365"/>
      <c r="L17" s="110"/>
      <c r="M17" s="102"/>
      <c r="N17" s="98"/>
      <c r="O17" s="87"/>
      <c r="P17" s="363"/>
      <c r="Q17" s="101">
        <f>SUM(Q14:Q16)</f>
        <v>0.71457712309159727</v>
      </c>
      <c r="R17" s="101">
        <f t="shared" ref="R17:Y17" si="7">SUM(R14:R16)</f>
        <v>2.9541592109583941</v>
      </c>
      <c r="S17" s="101">
        <f t="shared" si="7"/>
        <v>4.4210564461391568</v>
      </c>
      <c r="T17" s="101">
        <f t="shared" si="7"/>
        <v>8.32306623607788E-3</v>
      </c>
      <c r="U17" s="101">
        <f t="shared" si="7"/>
        <v>0.24580829231604745</v>
      </c>
      <c r="V17" s="101">
        <f t="shared" si="7"/>
        <v>0.21876938016128222</v>
      </c>
      <c r="W17" s="101">
        <f t="shared" si="7"/>
        <v>696.45349248502816</v>
      </c>
      <c r="X17" s="101">
        <f t="shared" si="7"/>
        <v>7.2539806190569739E-2</v>
      </c>
      <c r="Y17" s="101">
        <f t="shared" si="7"/>
        <v>0.42000036238321992</v>
      </c>
    </row>
    <row r="18" spans="1:25" s="3" customFormat="1">
      <c r="A18" s="24"/>
      <c r="B18" s="29"/>
      <c r="C18" s="22"/>
      <c r="D18" s="22"/>
      <c r="E18" s="108"/>
      <c r="F18" s="108"/>
      <c r="G18" s="108"/>
      <c r="H18" s="108"/>
      <c r="I18" s="108"/>
      <c r="J18" s="100"/>
      <c r="K18" s="365"/>
      <c r="L18" s="110"/>
      <c r="M18" s="102"/>
      <c r="N18" s="98"/>
      <c r="O18" s="98"/>
      <c r="P18" s="363"/>
      <c r="Q18" s="34"/>
      <c r="R18" s="26"/>
      <c r="S18" s="26"/>
      <c r="T18" s="26"/>
      <c r="U18" s="26"/>
      <c r="V18" s="26"/>
      <c r="W18" s="26"/>
      <c r="X18" s="26"/>
      <c r="Y18" s="26"/>
    </row>
    <row r="19" spans="1:25" s="3" customFormat="1">
      <c r="A19" s="11" t="s">
        <v>286</v>
      </c>
      <c r="B19" s="22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11"/>
      <c r="O19" s="11"/>
      <c r="P19" s="11"/>
      <c r="Q19" s="27"/>
      <c r="R19" s="27"/>
      <c r="S19" s="27"/>
      <c r="T19" s="27"/>
      <c r="U19" s="27"/>
      <c r="V19" s="27"/>
      <c r="W19" s="28"/>
      <c r="X19" s="27"/>
      <c r="Y19" s="27"/>
    </row>
    <row r="20" spans="1:25" s="3" customFormat="1">
      <c r="A20" s="100" t="s">
        <v>287</v>
      </c>
      <c r="B20" s="97" t="s">
        <v>27</v>
      </c>
      <c r="C20" s="97">
        <v>37</v>
      </c>
      <c r="D20" s="22">
        <v>0.37</v>
      </c>
      <c r="E20" s="102">
        <v>3.2313389441625637E-2</v>
      </c>
      <c r="F20" s="397">
        <f>IF($C20&lt;11,'Offroad Tiers EF (2)'!$AN$4*$C20*$D20,IF($C20&lt;25,'Offroad Tiers EF (2)'!$AN$5*$C20*$D20,IF($C20&lt;50,'Offroad Tiers EF (2)'!$AN$6*$C20*$D20,IF($C20&lt;75,'Offroad Tiers EF (2)'!$AN$7*$C20*$D20,IF($C20&lt;100,'Offroad Tiers EF (2)'!$AN$8*$C20*$D20,IF($C20&lt;175,'Offroad Tiers EF (2)'!$AN$9*$C20*$D20,IF($C20&lt;300,'Offroad Tiers EF (2)'!$AN$10*$C20*$D20,IF($C20&lt;600,'Offroad Tiers EF (2)'!$AN$11*$C20*$D20,"!"))))))))</f>
        <v>0.12374118165784832</v>
      </c>
      <c r="G20" s="397">
        <f>IF($C20&lt;11,'Offroad Tiers EF (2)'!$AM$4*$C20*$D20,IF($C20&lt;25,'Offroad Tiers EF (2)'!$AM$5*$C20*$D20,IF($C20&lt;50,'Offroad Tiers EF (2)'!$AM$6*$C20*$D20,IF($C20&lt;75,'Offroad Tiers EF (2)'!$AM$7*$C20*$D20,IF($C20&lt;100,'Offroad Tiers EF (2)'!$AM$8*$C20*$D20,IF($C20&lt;175,'Offroad Tiers EF (2)'!$AM$9*$C20*$D20,IF($C20&lt;300,'Offroad Tiers EF (2)'!$AM$10*$C20*$D20,IF($C20&lt;600,'Offroad Tiers EF (2)'!$AM$11*$C20*$D20,"!"))))))))</f>
        <v>0.16056172839506169</v>
      </c>
      <c r="H20" s="102">
        <v>3.2989906092678058E-4</v>
      </c>
      <c r="I20" s="397">
        <f>IF($C20&lt;11,'Offroad Tiers EF (2)'!$AO$4*$C20*$D20,IF($C20&lt;25,'Offroad Tiers EF (2)'!$AO$5*$C20*$D20,IF($C20&lt;50,'Offroad Tiers EF (2)'!$AO$6*$C20*$D20,IF($C20&lt;75,'Offroad Tiers EF (2)'!$AO$7*$C20*$D20,IF($C20&lt;100,'Offroad Tiers EF (2)'!$AO$8*$C20*$D20,IF($C20&lt;175,'Offroad Tiers EF (2)'!$AO$9*$C20*$D20,IF($C20&lt;300,'Offroad Tiers EF (2)'!$AO$10*$C20*$D20,IF($C20&lt;600,'Offroad Tiers EF (2)'!$AO$11*$C20*$D20,"!"))))))))</f>
        <v>1.3581349206349205E-2</v>
      </c>
      <c r="J20" s="100">
        <f t="shared" ref="J20:J22" si="8">0.89*I20</f>
        <v>1.2087400793650793E-2</v>
      </c>
      <c r="K20" s="103">
        <v>25.519156990664225</v>
      </c>
      <c r="L20" s="102">
        <v>3.413848047070189E-3</v>
      </c>
      <c r="M20" s="104">
        <f t="shared" ref="M20:M22" si="9">0.095*G20</f>
        <v>1.5253364197530862E-2</v>
      </c>
      <c r="N20" s="88">
        <v>1</v>
      </c>
      <c r="O20" s="88">
        <v>1</v>
      </c>
      <c r="P20" s="367">
        <v>75</v>
      </c>
      <c r="Q20" s="26">
        <f t="shared" ref="Q20:Y22" si="10">(E20*$N20*$O20)</f>
        <v>3.2313389441625637E-2</v>
      </c>
      <c r="R20" s="26">
        <f t="shared" si="10"/>
        <v>0.12374118165784832</v>
      </c>
      <c r="S20" s="26">
        <f t="shared" si="10"/>
        <v>0.16056172839506169</v>
      </c>
      <c r="T20" s="26">
        <f t="shared" si="10"/>
        <v>3.2989906092678058E-4</v>
      </c>
      <c r="U20" s="26">
        <f t="shared" si="10"/>
        <v>1.3581349206349205E-2</v>
      </c>
      <c r="V20" s="26">
        <f t="shared" si="10"/>
        <v>1.2087400793650793E-2</v>
      </c>
      <c r="W20" s="26">
        <f t="shared" si="10"/>
        <v>25.519156990664225</v>
      </c>
      <c r="X20" s="26">
        <f t="shared" si="10"/>
        <v>3.413848047070189E-3</v>
      </c>
      <c r="Y20" s="26">
        <f t="shared" si="10"/>
        <v>1.5253364197530862E-2</v>
      </c>
    </row>
    <row r="21" spans="1:25" s="3" customFormat="1">
      <c r="A21" s="100" t="s">
        <v>124</v>
      </c>
      <c r="B21" s="29" t="s">
        <v>27</v>
      </c>
      <c r="C21" s="97">
        <v>87</v>
      </c>
      <c r="D21" s="22">
        <v>0.37</v>
      </c>
      <c r="E21" s="102">
        <v>7.7253202863558038E-2</v>
      </c>
      <c r="F21" s="397">
        <f>IF($C21&lt;11,'Offroad Tiers EF (2)'!$AN$4*$C21*$D21,IF($C21&lt;25,'Offroad Tiers EF (2)'!$AN$5*$C21*$D21,IF($C21&lt;50,'Offroad Tiers EF (2)'!$AN$6*$C21*$D21,IF($C21&lt;75,'Offroad Tiers EF (2)'!$AN$7*$C21*$D21,IF($C21&lt;100,'Offroad Tiers EF (2)'!$AN$8*$C21*$D21,IF($C21&lt;175,'Offroad Tiers EF (2)'!$AN$9*$C21*$D21,IF($C21&lt;300,'Offroad Tiers EF (2)'!$AN$10*$C21*$D21,IF($C21&lt;600,'Offroad Tiers EF (2)'!$AN$11*$C21*$D21,"!"))))))))</f>
        <v>0.26257275132275132</v>
      </c>
      <c r="G21" s="397">
        <f>IF($C21&lt;11,'Offroad Tiers EF (2)'!$AM$4*$C21*$D21,IF($C21&lt;25,'Offroad Tiers EF (2)'!$AM$5*$C21*$D21,IF($C21&lt;50,'Offroad Tiers EF (2)'!$AM$6*$C21*$D21,IF($C21&lt;75,'Offroad Tiers EF (2)'!$AM$7*$C21*$D21,IF($C21&lt;100,'Offroad Tiers EF (2)'!$AM$8*$C21*$D21,IF($C21&lt;175,'Offroad Tiers EF (2)'!$AM$9*$C21*$D21,IF($C21&lt;300,'Offroad Tiers EF (2)'!$AM$10*$C21*$D21,IF($C21&lt;600,'Offroad Tiers EF (2)'!$AM$11*$C21*$D21,"!"))))))))</f>
        <v>0.33506412037037031</v>
      </c>
      <c r="H21" s="102">
        <v>6.910856115004858E-4</v>
      </c>
      <c r="I21" s="397">
        <f>IF($C21&lt;11,'Offroad Tiers EF (2)'!$AO$4*$C21*$D21,IF($C21&lt;25,'Offroad Tiers EF (2)'!$AO$5*$C21*$D21,IF($C21&lt;50,'Offroad Tiers EF (2)'!$AO$6*$C21*$D21,IF($C21&lt;75,'Offroad Tiers EF (2)'!$AO$7*$C21*$D21,IF($C21&lt;100,'Offroad Tiers EF (2)'!$AO$8*$C21*$D21,IF($C21&lt;175,'Offroad Tiers EF (2)'!$AO$9*$C21*$D21,IF($C21&lt;300,'Offroad Tiers EF (2)'!$AO$10*$C21*$D21,IF($C21&lt;600,'Offroad Tiers EF (2)'!$AO$11*$C21*$D21,"!"))))))))</f>
        <v>2.1289682539682539E-2</v>
      </c>
      <c r="J21" s="100">
        <f t="shared" si="8"/>
        <v>1.894781746031746E-2</v>
      </c>
      <c r="K21" s="103">
        <v>58.913505111712794</v>
      </c>
      <c r="L21" s="102">
        <v>7.5344751889799754E-3</v>
      </c>
      <c r="M21" s="102">
        <f t="shared" si="9"/>
        <v>3.1831091435185178E-2</v>
      </c>
      <c r="N21" s="98">
        <v>1</v>
      </c>
      <c r="O21" s="87">
        <v>8</v>
      </c>
      <c r="P21" s="363">
        <v>15</v>
      </c>
      <c r="Q21" s="34">
        <f t="shared" si="10"/>
        <v>0.6180256229084643</v>
      </c>
      <c r="R21" s="26">
        <f t="shared" si="10"/>
        <v>2.1005820105820106</v>
      </c>
      <c r="S21" s="26">
        <f t="shared" si="10"/>
        <v>2.6805129629629625</v>
      </c>
      <c r="T21" s="26">
        <f t="shared" si="10"/>
        <v>5.5286848920038864E-3</v>
      </c>
      <c r="U21" s="26">
        <f t="shared" si="10"/>
        <v>0.17031746031746031</v>
      </c>
      <c r="V21" s="26">
        <f t="shared" si="10"/>
        <v>0.15158253968253968</v>
      </c>
      <c r="W21" s="26">
        <f t="shared" si="10"/>
        <v>471.30804089370235</v>
      </c>
      <c r="X21" s="26">
        <f t="shared" si="10"/>
        <v>6.0275801511839804E-2</v>
      </c>
      <c r="Y21" s="26">
        <f t="shared" si="10"/>
        <v>0.25464873148148143</v>
      </c>
    </row>
    <row r="22" spans="1:25" s="3" customFormat="1">
      <c r="A22" s="100" t="s">
        <v>126</v>
      </c>
      <c r="B22" s="22" t="s">
        <v>27</v>
      </c>
      <c r="C22" s="22">
        <v>175</v>
      </c>
      <c r="D22" s="22"/>
      <c r="E22" s="102">
        <v>0.11792220738547983</v>
      </c>
      <c r="F22" s="102">
        <v>0.36512193352152528</v>
      </c>
      <c r="G22" s="102">
        <v>0.86781464282266541</v>
      </c>
      <c r="H22" s="102">
        <v>1.8739217498104396E-3</v>
      </c>
      <c r="I22" s="102">
        <v>2.9041712295589866E-2</v>
      </c>
      <c r="J22" s="100">
        <f t="shared" si="8"/>
        <v>2.5847123943074982E-2</v>
      </c>
      <c r="K22" s="103">
        <v>166.54541562452522</v>
      </c>
      <c r="L22" s="102">
        <v>1.063993297769634E-2</v>
      </c>
      <c r="M22" s="104">
        <f t="shared" si="9"/>
        <v>8.2442391068153209E-2</v>
      </c>
      <c r="N22" s="88">
        <v>1</v>
      </c>
      <c r="O22" s="88">
        <v>3</v>
      </c>
      <c r="P22" s="367">
        <v>40</v>
      </c>
      <c r="Q22" s="26">
        <f t="shared" si="10"/>
        <v>0.3537666221564395</v>
      </c>
      <c r="R22" s="26">
        <f t="shared" si="10"/>
        <v>1.0953658005645759</v>
      </c>
      <c r="S22" s="26">
        <f t="shared" si="10"/>
        <v>2.6034439284679962</v>
      </c>
      <c r="T22" s="26">
        <f t="shared" si="10"/>
        <v>5.6217652494313184E-3</v>
      </c>
      <c r="U22" s="26">
        <f t="shared" si="10"/>
        <v>8.7125136886769594E-2</v>
      </c>
      <c r="V22" s="26">
        <f t="shared" si="10"/>
        <v>7.754137182922495E-2</v>
      </c>
      <c r="W22" s="26">
        <f t="shared" si="10"/>
        <v>499.63624687357566</v>
      </c>
      <c r="X22" s="26">
        <f t="shared" si="10"/>
        <v>3.1919798933089022E-2</v>
      </c>
      <c r="Y22" s="26">
        <f t="shared" si="10"/>
        <v>0.24732717320445963</v>
      </c>
    </row>
    <row r="23" spans="1:25">
      <c r="A23" s="17" t="s">
        <v>28</v>
      </c>
      <c r="B23" s="97"/>
      <c r="C23" s="22"/>
      <c r="D23" s="22"/>
      <c r="E23" s="23"/>
      <c r="F23" s="23"/>
      <c r="G23" s="23"/>
      <c r="H23" s="23"/>
      <c r="I23" s="23"/>
      <c r="J23" s="24"/>
      <c r="K23" s="25"/>
      <c r="L23" s="23"/>
      <c r="M23" s="23"/>
      <c r="N23" s="88"/>
      <c r="O23" s="88"/>
      <c r="P23" s="88"/>
      <c r="Q23" s="27">
        <f t="shared" ref="Q23:Y23" si="11">SUM(Q20:Q22)</f>
        <v>1.0041056345065296</v>
      </c>
      <c r="R23" s="27">
        <f t="shared" si="11"/>
        <v>3.3196889928044344</v>
      </c>
      <c r="S23" s="27">
        <f t="shared" si="11"/>
        <v>5.4445186198260203</v>
      </c>
      <c r="T23" s="27">
        <f t="shared" si="11"/>
        <v>1.1480349202361986E-2</v>
      </c>
      <c r="U23" s="27">
        <f t="shared" si="11"/>
        <v>0.27102394641057914</v>
      </c>
      <c r="V23" s="27">
        <f t="shared" si="11"/>
        <v>0.24121131230541543</v>
      </c>
      <c r="W23" s="27">
        <f t="shared" si="11"/>
        <v>996.46344475794217</v>
      </c>
      <c r="X23" s="27">
        <f t="shared" si="11"/>
        <v>9.5609448491999011E-2</v>
      </c>
      <c r="Y23" s="27">
        <f t="shared" si="11"/>
        <v>0.51722926888347187</v>
      </c>
    </row>
    <row r="24" spans="1:25">
      <c r="A24" s="11"/>
      <c r="B24" s="579"/>
      <c r="C24" s="18"/>
      <c r="D24" s="22"/>
      <c r="E24" s="19"/>
      <c r="F24" s="19"/>
      <c r="G24" s="19"/>
      <c r="H24" s="19"/>
      <c r="I24" s="19"/>
      <c r="J24" s="19"/>
      <c r="K24" s="19"/>
      <c r="L24" s="19"/>
      <c r="M24" s="19"/>
      <c r="N24" s="30"/>
      <c r="O24" s="375"/>
      <c r="P24" s="364"/>
      <c r="Q24" s="20"/>
      <c r="R24" s="20"/>
      <c r="S24" s="27"/>
      <c r="T24" s="20"/>
      <c r="U24" s="20"/>
      <c r="V24" s="20"/>
      <c r="W24" s="21"/>
      <c r="X24" s="20"/>
      <c r="Y24" s="20"/>
    </row>
    <row r="25" spans="1:25">
      <c r="A25" s="17" t="s">
        <v>387</v>
      </c>
      <c r="B25" s="549"/>
      <c r="C25" s="18"/>
      <c r="D25" s="22"/>
      <c r="E25" s="19"/>
      <c r="F25" s="19"/>
      <c r="G25" s="19"/>
      <c r="H25" s="19"/>
      <c r="I25" s="19"/>
      <c r="J25" s="19"/>
      <c r="K25" s="19"/>
      <c r="L25" s="19"/>
      <c r="M25" s="19"/>
      <c r="N25" s="30"/>
      <c r="O25" s="30"/>
      <c r="P25" s="364"/>
      <c r="Q25" s="20">
        <f>Q11+Q17+Q23</f>
        <v>3.3184955918076344</v>
      </c>
      <c r="R25" s="20">
        <f t="shared" ref="R25:Y25" si="12">R11+R17+R23</f>
        <v>12.149945605456555</v>
      </c>
      <c r="S25" s="20">
        <f t="shared" si="12"/>
        <v>20.923780925443239</v>
      </c>
      <c r="T25" s="20">
        <f t="shared" si="12"/>
        <v>4.1551233305452837E-2</v>
      </c>
      <c r="U25" s="20">
        <f t="shared" si="12"/>
        <v>0.99098542716471316</v>
      </c>
      <c r="V25" s="20">
        <f t="shared" si="12"/>
        <v>0.88197703017659457</v>
      </c>
      <c r="W25" s="20">
        <f t="shared" si="12"/>
        <v>3598.0504973162078</v>
      </c>
      <c r="X25" s="20">
        <f t="shared" si="12"/>
        <v>0.322444936938444</v>
      </c>
      <c r="Y25" s="20">
        <f t="shared" si="12"/>
        <v>1.9877591879171077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5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577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C9*(F9)*$B$272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C10*(F10)*$B$272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 ht="25.5">
      <c r="A13" s="114" t="s">
        <v>315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326</v>
      </c>
      <c r="B14" s="76" t="s">
        <v>95</v>
      </c>
      <c r="C14" s="79">
        <v>3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9.9891275533645019E-2</v>
      </c>
      <c r="U14" s="50">
        <f>C14*($F14*$H14)/453.59</f>
        <v>0.18440937782971867</v>
      </c>
      <c r="V14" s="50">
        <f>C14*(($F14*$I14))/453.59</f>
        <v>2.253067276294635E-2</v>
      </c>
      <c r="W14" s="50">
        <f>C14*($F14*$J14)/453.59</f>
        <v>1.3898613406074772E-3</v>
      </c>
      <c r="X14" s="50">
        <f>C14*(($F14*($K14+$L14+$M14)))/453.59</f>
        <v>3.6369464870151122E-2</v>
      </c>
      <c r="Y14" s="50">
        <f>C14*(($F14*($N14+$O14+$P14)))/453.59</f>
        <v>2.4166098982977401E-2</v>
      </c>
      <c r="Z14" s="50">
        <f>C14*(F14)*$B$272</f>
        <v>0</v>
      </c>
      <c r="AA14" s="50">
        <f>Z14*0.21</f>
        <v>0</v>
      </c>
      <c r="AB14" s="50">
        <f>C14*(($F14*($Q14)))/453.59</f>
        <v>96.814105590256631</v>
      </c>
      <c r="AC14" s="50">
        <f>C14*(($F14*($R14)))/453.59</f>
        <v>5.5322484357440338E-3</v>
      </c>
      <c r="AD14" s="50">
        <f>C14*(($F14*($S14)))/453.59</f>
        <v>2.4799901288000137E-3</v>
      </c>
    </row>
    <row r="15" spans="1:30">
      <c r="A15" s="78" t="s">
        <v>327</v>
      </c>
      <c r="B15" s="76" t="s">
        <v>105</v>
      </c>
      <c r="C15" s="374">
        <v>1</v>
      </c>
      <c r="D15" s="77"/>
      <c r="E15" s="77">
        <v>35</v>
      </c>
      <c r="F15" s="77">
        <v>80</v>
      </c>
      <c r="G15" s="106">
        <v>1.08263976628415</v>
      </c>
      <c r="H15" s="106">
        <v>4.9712718909585103</v>
      </c>
      <c r="I15" s="106">
        <v>0.26248012575016899</v>
      </c>
      <c r="J15" s="106">
        <v>1.0711818E-2</v>
      </c>
      <c r="K15" s="106">
        <v>7.1679901072141505E-2</v>
      </c>
      <c r="L15" s="576">
        <v>3.59998119015979E-2</v>
      </c>
      <c r="M15" s="576">
        <v>6.1739677411240299E-2</v>
      </c>
      <c r="N15" s="106">
        <v>6.5945508986370194E-2</v>
      </c>
      <c r="O15" s="576">
        <v>2.9999843251331498E-3</v>
      </c>
      <c r="P15" s="576">
        <v>5.5859708133979398E-2</v>
      </c>
      <c r="Q15" s="106">
        <v>1710.7260798814</v>
      </c>
      <c r="R15" s="47">
        <v>1.5235246282551899E-2</v>
      </c>
      <c r="S15" s="80">
        <f>0.000025616*Q15</f>
        <v>4.3821959262241944E-2</v>
      </c>
      <c r="T15" s="50">
        <f>C15*($F15*$G15)/453.59</f>
        <v>0.19094596728925242</v>
      </c>
      <c r="U15" s="50">
        <f>C15*($F15*$H15)/453.59</f>
        <v>0.87678685878586582</v>
      </c>
      <c r="V15" s="50">
        <f>C15*(($F15*$I15))/453.59</f>
        <v>4.6293811724274173E-2</v>
      </c>
      <c r="W15" s="50">
        <f>C15*($F15*$J15)/453.59</f>
        <v>1.8892511739676801E-3</v>
      </c>
      <c r="X15" s="50">
        <f>C15*(($F15*($K15+$L15+$M15)))/453.59</f>
        <v>2.9880621774726907E-2</v>
      </c>
      <c r="Y15" s="50">
        <f>C15*(($F15*($N15+$O15+$P15)))/453.59</f>
        <v>2.2011984646131133E-2</v>
      </c>
      <c r="Z15" s="50">
        <f>C15*(F15)*$B$272</f>
        <v>0</v>
      </c>
      <c r="AA15" s="50">
        <f>Z15*0.21</f>
        <v>0</v>
      </c>
      <c r="AB15" s="50">
        <f>C15*(($F15*($Q15)))/453.59</f>
        <v>301.72200972356535</v>
      </c>
      <c r="AC15" s="50">
        <f>C15*(($F15*($R15)))/453.59</f>
        <v>2.6870515280410772E-3</v>
      </c>
      <c r="AD15" s="50">
        <f>C15*(($F15*($S15)))/453.59</f>
        <v>7.7289110010788503E-3</v>
      </c>
    </row>
    <row r="16" spans="1:30">
      <c r="A16" s="75" t="s">
        <v>28</v>
      </c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>
        <f t="shared" ref="T16:AD16" si="1">SUM(T14:T15)</f>
        <v>0.29083724282289747</v>
      </c>
      <c r="U16" s="81">
        <f t="shared" si="1"/>
        <v>1.0611962366155845</v>
      </c>
      <c r="V16" s="81">
        <f t="shared" si="1"/>
        <v>6.8824484487220519E-2</v>
      </c>
      <c r="W16" s="81">
        <f t="shared" si="1"/>
        <v>3.2791125145751575E-3</v>
      </c>
      <c r="X16" s="81">
        <f t="shared" si="1"/>
        <v>6.6250086644878026E-2</v>
      </c>
      <c r="Y16" s="81">
        <f t="shared" si="1"/>
        <v>4.6178083629108538E-2</v>
      </c>
      <c r="Z16" s="81">
        <f t="shared" si="1"/>
        <v>0</v>
      </c>
      <c r="AA16" s="81">
        <f t="shared" si="1"/>
        <v>0</v>
      </c>
      <c r="AB16" s="81">
        <f t="shared" si="1"/>
        <v>398.53611531382199</v>
      </c>
      <c r="AC16" s="81">
        <f t="shared" si="1"/>
        <v>8.2192999637851101E-3</v>
      </c>
      <c r="AD16" s="81">
        <f t="shared" si="1"/>
        <v>1.0208901129878864E-2</v>
      </c>
    </row>
    <row r="17" spans="1:30">
      <c r="A17" s="75"/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</row>
    <row r="18" spans="1:30" ht="25.5">
      <c r="A18" s="114" t="s">
        <v>332</v>
      </c>
      <c r="B18" s="74"/>
      <c r="C18" s="112"/>
      <c r="D18" s="112"/>
      <c r="E18" s="74"/>
      <c r="F18" s="74"/>
      <c r="G18" s="577"/>
      <c r="H18" s="41"/>
      <c r="I18" s="41"/>
      <c r="J18" s="41"/>
      <c r="K18" s="574"/>
      <c r="L18" s="574"/>
      <c r="M18" s="574"/>
      <c r="N18" s="574"/>
      <c r="O18" s="574"/>
      <c r="P18" s="574"/>
      <c r="Q18" s="41"/>
      <c r="R18" s="574"/>
      <c r="S18" s="574"/>
      <c r="T18" s="61"/>
      <c r="U18" s="61"/>
      <c r="V18" s="61"/>
      <c r="W18" s="61"/>
      <c r="X18" s="61"/>
      <c r="Y18" s="61"/>
      <c r="Z18" s="62"/>
      <c r="AA18" s="62"/>
      <c r="AB18" s="62"/>
      <c r="AC18" s="62"/>
      <c r="AD18" s="62"/>
    </row>
    <row r="19" spans="1:30">
      <c r="A19" s="78" t="s">
        <v>320</v>
      </c>
      <c r="B19" s="76" t="s">
        <v>95</v>
      </c>
      <c r="C19" s="79">
        <v>6</v>
      </c>
      <c r="D19" s="77"/>
      <c r="E19" s="77">
        <v>35</v>
      </c>
      <c r="F19" s="77">
        <v>60</v>
      </c>
      <c r="G19" s="106">
        <v>0.25172046482947802</v>
      </c>
      <c r="H19" s="106">
        <v>0.464701387165456</v>
      </c>
      <c r="I19" s="106">
        <v>5.6776043658582402E-2</v>
      </c>
      <c r="J19" s="106">
        <v>3.5023733638119199E-3</v>
      </c>
      <c r="K19" s="106">
        <v>4.6899256897933901E-2</v>
      </c>
      <c r="L19" s="47">
        <v>7.99995847163921E-3</v>
      </c>
      <c r="M19" s="47">
        <v>3.6749815577381599E-2</v>
      </c>
      <c r="N19" s="106">
        <v>4.3147317248333997E-2</v>
      </c>
      <c r="O19" s="47">
        <v>1.9999896145790402E-3</v>
      </c>
      <c r="P19" s="47">
        <v>1.57499200131354E-2</v>
      </c>
      <c r="Q19" s="106">
        <v>243.966167526025</v>
      </c>
      <c r="R19" s="47">
        <f>0.000057143*Q19</f>
        <v>1.3940958710939646E-2</v>
      </c>
      <c r="S19" s="80">
        <f>0.000025616*Q19</f>
        <v>6.2494373473466567E-3</v>
      </c>
      <c r="T19" s="50">
        <f>C19*($F19*$G19)/453.59</f>
        <v>0.19978255106729004</v>
      </c>
      <c r="U19" s="50">
        <f>C19*($F19*$H19)/453.59</f>
        <v>0.36881875565943734</v>
      </c>
      <c r="V19" s="50">
        <f>C19*(($F19*$I19))/453.59</f>
        <v>4.50613455258927E-2</v>
      </c>
      <c r="W19" s="50">
        <f>C19*($F19*$J19)/453.59</f>
        <v>2.7797226812149543E-3</v>
      </c>
      <c r="X19" s="50">
        <f>C19*(($F19*($K19+$L19+$M19)))/453.59</f>
        <v>7.2738929740302244E-2</v>
      </c>
      <c r="Y19" s="50">
        <f>C19*(($F19*($N19+$O19+$P19)))/453.59</f>
        <v>4.8332197965954803E-2</v>
      </c>
      <c r="Z19" s="50">
        <f>C19*(F19)*$B$301</f>
        <v>0</v>
      </c>
      <c r="AA19" s="50">
        <f>Z19*0.21</f>
        <v>0</v>
      </c>
      <c r="AB19" s="50">
        <f>C19*(($F19*($Q19)))/453.59</f>
        <v>193.62821118051326</v>
      </c>
      <c r="AC19" s="50">
        <f>C19*(($F19*($R19)))/453.59</f>
        <v>1.1064496871488068E-2</v>
      </c>
      <c r="AD19" s="50">
        <f>C19*(($F19*($S19)))/453.59</f>
        <v>4.9599802576000274E-3</v>
      </c>
    </row>
    <row r="20" spans="1:30">
      <c r="A20" s="75" t="s">
        <v>28</v>
      </c>
      <c r="B20" s="74"/>
      <c r="C20" s="112"/>
      <c r="D20" s="112"/>
      <c r="E20" s="74"/>
      <c r="F20" s="74"/>
      <c r="G20" s="577"/>
      <c r="H20" s="41"/>
      <c r="I20" s="41"/>
      <c r="J20" s="41"/>
      <c r="K20" s="574"/>
      <c r="L20" s="574"/>
      <c r="M20" s="574"/>
      <c r="N20" s="574"/>
      <c r="O20" s="574"/>
      <c r="P20" s="574"/>
      <c r="Q20" s="41"/>
      <c r="R20" s="574"/>
      <c r="S20" s="574"/>
      <c r="T20" s="81">
        <f t="shared" ref="T20:AD20" si="2">SUM(T19:T19)</f>
        <v>0.19978255106729004</v>
      </c>
      <c r="U20" s="81">
        <f t="shared" si="2"/>
        <v>0.36881875565943734</v>
      </c>
      <c r="V20" s="81">
        <f t="shared" si="2"/>
        <v>4.50613455258927E-2</v>
      </c>
      <c r="W20" s="81">
        <f t="shared" si="2"/>
        <v>2.7797226812149543E-3</v>
      </c>
      <c r="X20" s="81">
        <f t="shared" si="2"/>
        <v>7.2738929740302244E-2</v>
      </c>
      <c r="Y20" s="81">
        <f t="shared" si="2"/>
        <v>4.8332197965954803E-2</v>
      </c>
      <c r="Z20" s="81">
        <f t="shared" si="2"/>
        <v>0</v>
      </c>
      <c r="AA20" s="81">
        <f t="shared" si="2"/>
        <v>0</v>
      </c>
      <c r="AB20" s="81">
        <f t="shared" si="2"/>
        <v>193.62821118051326</v>
      </c>
      <c r="AC20" s="81">
        <f t="shared" si="2"/>
        <v>1.1064496871488068E-2</v>
      </c>
      <c r="AD20" s="81">
        <f t="shared" si="2"/>
        <v>4.9599802576000274E-3</v>
      </c>
    </row>
    <row r="21" spans="1:30">
      <c r="A21" s="75" t="s">
        <v>388</v>
      </c>
      <c r="B21" s="74"/>
      <c r="C21" s="112"/>
      <c r="D21" s="112"/>
      <c r="E21" s="74"/>
      <c r="F21" s="74"/>
      <c r="G21" s="547"/>
      <c r="H21" s="41"/>
      <c r="I21" s="41"/>
      <c r="J21" s="41"/>
      <c r="K21" s="544"/>
      <c r="L21" s="544"/>
      <c r="M21" s="544"/>
      <c r="N21" s="544"/>
      <c r="O21" s="544"/>
      <c r="P21" s="544"/>
      <c r="Q21" s="41"/>
      <c r="R21" s="544"/>
      <c r="S21" s="544"/>
      <c r="T21" s="81">
        <f>T11+T16+T20</f>
        <v>0.78145703671308497</v>
      </c>
      <c r="U21" s="81">
        <f t="shared" ref="U21:AD21" si="3">U11+U16+U20</f>
        <v>2.4912112288906063</v>
      </c>
      <c r="V21" s="81">
        <f t="shared" si="3"/>
        <v>0.18271031450033373</v>
      </c>
      <c r="W21" s="81">
        <f t="shared" si="3"/>
        <v>9.3379477103652693E-3</v>
      </c>
      <c r="X21" s="81">
        <f t="shared" si="3"/>
        <v>0.2052391030300583</v>
      </c>
      <c r="Y21" s="81">
        <f t="shared" si="3"/>
        <v>0.14068836522417189</v>
      </c>
      <c r="Z21" s="81">
        <f t="shared" si="3"/>
        <v>0</v>
      </c>
      <c r="AA21" s="81">
        <f t="shared" si="3"/>
        <v>0</v>
      </c>
      <c r="AB21" s="81">
        <f t="shared" si="3"/>
        <v>990.70044180815728</v>
      </c>
      <c r="AC21" s="81">
        <f t="shared" si="3"/>
        <v>2.7503096799058289E-2</v>
      </c>
      <c r="AD21" s="81">
        <f t="shared" si="3"/>
        <v>2.5377782517357755E-2</v>
      </c>
    </row>
    <row r="22" spans="1:30">
      <c r="A22" s="370"/>
      <c r="B22" s="371"/>
      <c r="C22" s="372"/>
      <c r="D22" s="372"/>
      <c r="E22" s="371"/>
      <c r="F22" s="371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25" spans="1:30">
      <c r="A25" s="370"/>
      <c r="B25" s="371"/>
      <c r="C25" s="372"/>
      <c r="D25" s="372"/>
      <c r="E25" s="371"/>
      <c r="F25" s="371"/>
      <c r="G25" s="373"/>
      <c r="H25" s="373"/>
      <c r="I25" s="373"/>
      <c r="J25" s="373"/>
      <c r="K25" s="373"/>
      <c r="L25" s="373"/>
      <c r="M25" s="373"/>
      <c r="N25" s="373"/>
      <c r="O25" s="373"/>
      <c r="P25" s="373"/>
      <c r="Q25" s="373"/>
      <c r="R25" s="373"/>
      <c r="S25" s="373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</row>
    <row r="373" spans="1:2" ht="25.5">
      <c r="A373" s="82" t="s">
        <v>109</v>
      </c>
    </row>
    <row r="375" spans="1:2">
      <c r="A375" s="36" t="s">
        <v>81</v>
      </c>
    </row>
    <row r="376" spans="1:2">
      <c r="A376" s="36" t="s">
        <v>82</v>
      </c>
    </row>
    <row r="377" spans="1:2">
      <c r="A377" s="36" t="s">
        <v>83</v>
      </c>
    </row>
    <row r="378" spans="1:2">
      <c r="A378" s="37" t="s">
        <v>96</v>
      </c>
    </row>
    <row r="379" spans="1:2">
      <c r="A379" s="36" t="s">
        <v>85</v>
      </c>
    </row>
    <row r="380" spans="1:2">
      <c r="A380" s="36" t="s">
        <v>86</v>
      </c>
    </row>
    <row r="381" spans="1:2">
      <c r="A381" s="36" t="s">
        <v>87</v>
      </c>
    </row>
    <row r="382" spans="1:2">
      <c r="A382" s="36" t="s">
        <v>0</v>
      </c>
    </row>
    <row r="383" spans="1:2">
      <c r="A383" s="37" t="s">
        <v>97</v>
      </c>
      <c r="B383" s="36">
        <f>(0.016*(0.03/2)^0.65*(2/3)^1.5)-0.00047</f>
        <v>9.8123053326417428E-5</v>
      </c>
    </row>
    <row r="384" spans="1:2">
      <c r="A384" s="37" t="s">
        <v>98</v>
      </c>
      <c r="B384" s="36">
        <f>(0.016*(0.03/2)^0.65*(13/3)^1.5)-0.00047</f>
        <v>8.9448292388582783E-3</v>
      </c>
    </row>
    <row r="385" spans="1:2">
      <c r="A385" s="37" t="s">
        <v>99</v>
      </c>
      <c r="B385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5"/>
  <sheetViews>
    <sheetView zoomScale="85" zoomScaleNormal="85" workbookViewId="0">
      <selection activeCell="D100" sqref="D100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524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69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66" t="s">
        <v>69</v>
      </c>
      <c r="S3" s="42" t="s">
        <v>118</v>
      </c>
      <c r="T3" s="566" t="s">
        <v>71</v>
      </c>
      <c r="U3" s="566" t="s">
        <v>72</v>
      </c>
      <c r="V3" s="566" t="s">
        <v>69</v>
      </c>
      <c r="W3" s="42" t="s">
        <v>118</v>
      </c>
      <c r="X3" s="566" t="s">
        <v>71</v>
      </c>
      <c r="Y3" s="566" t="s">
        <v>72</v>
      </c>
      <c r="Z3" s="41" t="s">
        <v>69</v>
      </c>
      <c r="AA3" s="42" t="s">
        <v>118</v>
      </c>
      <c r="AB3" s="566" t="s">
        <v>69</v>
      </c>
      <c r="AC3" s="42" t="s">
        <v>118</v>
      </c>
      <c r="AD3" s="566" t="s">
        <v>69</v>
      </c>
      <c r="AE3" s="42" t="s">
        <v>118</v>
      </c>
    </row>
    <row r="4" spans="1:67" ht="25.5">
      <c r="A4" s="44" t="s">
        <v>346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7" si="0">0.000049261*AA4</f>
        <v>2.2095931710230707E-2</v>
      </c>
      <c r="AD4" s="49">
        <v>3.2599999999999997E-2</v>
      </c>
      <c r="AE4" s="47">
        <f t="shared" ref="AE4:AE7" si="1">0.000021675*AA4</f>
        <v>9.7222817202097123E-3</v>
      </c>
    </row>
    <row r="5" spans="1:67" ht="25.5">
      <c r="A5" s="44" t="s">
        <v>329</v>
      </c>
      <c r="B5" s="45" t="s">
        <v>102</v>
      </c>
      <c r="C5" s="46">
        <v>20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330</v>
      </c>
      <c r="B6" s="45" t="s">
        <v>102</v>
      </c>
      <c r="C6" s="46">
        <v>19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 ht="25.5">
      <c r="A7" s="44" t="s">
        <v>337</v>
      </c>
      <c r="B7" s="45" t="s">
        <v>102</v>
      </c>
      <c r="C7" s="46">
        <v>8</v>
      </c>
      <c r="D7" s="46">
        <v>35</v>
      </c>
      <c r="E7" s="46">
        <v>80</v>
      </c>
      <c r="F7" s="47">
        <v>2.3611622044318601</v>
      </c>
      <c r="G7" s="48">
        <v>31.4244798871777</v>
      </c>
      <c r="H7" s="48">
        <v>0.22493614397154399</v>
      </c>
      <c r="I7" s="48">
        <v>1.8136819244333999</v>
      </c>
      <c r="J7" s="47">
        <v>5.7965153248686403E-2</v>
      </c>
      <c r="K7" s="48">
        <v>2.3946366793705498</v>
      </c>
      <c r="L7" s="48">
        <v>1.62197187247403</v>
      </c>
      <c r="M7" s="48">
        <v>0.70709499821369304</v>
      </c>
      <c r="N7" s="48">
        <v>0.16038404042738499</v>
      </c>
      <c r="O7" s="48">
        <v>0.71464703099800198</v>
      </c>
      <c r="P7" s="48">
        <v>4.0478385316323803E-3</v>
      </c>
      <c r="Q7" s="48">
        <v>5.8407810191933099E-3</v>
      </c>
      <c r="R7" s="47">
        <v>3.2157701660956101E-3</v>
      </c>
      <c r="S7" s="48">
        <v>2.9198634356063399E-2</v>
      </c>
      <c r="T7" s="48">
        <v>7.9999583995993707E-3</v>
      </c>
      <c r="U7" s="48">
        <v>3.6749815874576097E-2</v>
      </c>
      <c r="V7" s="48">
        <v>2.9606446234606999E-3</v>
      </c>
      <c r="W7" s="48">
        <v>2.6884174180557701E-2</v>
      </c>
      <c r="X7" s="48">
        <v>1.9999896010969099E-3</v>
      </c>
      <c r="Y7" s="48">
        <v>1.57499197860352E-2</v>
      </c>
      <c r="Z7" s="48">
        <v>308.63789988642998</v>
      </c>
      <c r="AA7" s="48">
        <v>448.54817624958298</v>
      </c>
      <c r="AB7" s="47">
        <v>1.77E-2</v>
      </c>
      <c r="AC7" s="47">
        <f t="shared" si="0"/>
        <v>2.2095931710230707E-2</v>
      </c>
      <c r="AD7" s="49">
        <v>3.2599999999999997E-2</v>
      </c>
      <c r="AE7" s="47">
        <f t="shared" si="1"/>
        <v>9.7222817202097123E-3</v>
      </c>
    </row>
    <row r="8" spans="1:67">
      <c r="A8" s="52"/>
      <c r="B8" s="52"/>
      <c r="C8" s="53"/>
      <c r="D8" s="54"/>
      <c r="E8" s="54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</row>
    <row r="9" spans="1:67" ht="25.5">
      <c r="A9" s="55" t="s">
        <v>504</v>
      </c>
      <c r="B9" s="37"/>
      <c r="C9" s="37"/>
    </row>
    <row r="10" spans="1:67">
      <c r="A10" s="55" t="s">
        <v>77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84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</row>
    <row r="11" spans="1:67">
      <c r="A11" s="55" t="s">
        <v>78</v>
      </c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t="38.25" hidden="1">
      <c r="A12" s="55" t="s">
        <v>79</v>
      </c>
      <c r="B12" s="37"/>
      <c r="C12" s="37"/>
      <c r="AA12" s="57"/>
      <c r="AB12" s="58" t="s">
        <v>80</v>
      </c>
      <c r="AC12" s="57"/>
      <c r="AD12" s="57"/>
      <c r="AE12" s="57"/>
      <c r="AF12" s="57" t="e">
        <f>#REF!/60</f>
        <v>#REF!</v>
      </c>
      <c r="AG12" s="57" t="e">
        <f>#REF!/60</f>
        <v>#REF!</v>
      </c>
      <c r="AH12" s="57" t="e">
        <f>#REF!/60</f>
        <v>#REF!</v>
      </c>
      <c r="AI12" s="57" t="e">
        <f>#REF!/60</f>
        <v>#REF!</v>
      </c>
      <c r="AJ12" s="57" t="e">
        <f>#REF!/60</f>
        <v>#REF!</v>
      </c>
      <c r="AK12" s="57" t="e">
        <f>#REF!/60</f>
        <v>#REF!</v>
      </c>
      <c r="AL12" s="57" t="e">
        <f>#REF!/60</f>
        <v>#REF!</v>
      </c>
      <c r="AM12" s="57" t="e">
        <f>#REF!/60</f>
        <v>#REF!</v>
      </c>
      <c r="AN12" s="57" t="e">
        <f>#REF!/60</f>
        <v>#REF!</v>
      </c>
      <c r="AO12" s="57" t="e">
        <f>#REF!/60</f>
        <v>#REF!</v>
      </c>
      <c r="AP12" s="57"/>
      <c r="AQ12" s="57"/>
      <c r="AR12" s="57" t="e">
        <f>#REF!/60</f>
        <v>#REF!</v>
      </c>
      <c r="AS12" s="57" t="e">
        <f>#REF!/60</f>
        <v>#REF!</v>
      </c>
      <c r="AT12" s="57" t="e">
        <f>#REF!/60</f>
        <v>#REF!</v>
      </c>
      <c r="AU12" s="57" t="e">
        <f>#REF!/60</f>
        <v>#REF!</v>
      </c>
      <c r="AV12" s="57" t="e">
        <f>#REF!/60</f>
        <v>#REF!</v>
      </c>
      <c r="AW12" s="57" t="e">
        <f>#REF!/60</f>
        <v>#REF!</v>
      </c>
      <c r="AX12" s="57" t="e">
        <f>#REF!/60</f>
        <v>#REF!</v>
      </c>
      <c r="AY12" s="57" t="e">
        <f>#REF!/60</f>
        <v>#REF!</v>
      </c>
      <c r="AZ12" s="57" t="e">
        <f>#REF!/60</f>
        <v>#REF!</v>
      </c>
      <c r="BA12" s="57" t="e">
        <f>#REF!/60</f>
        <v>#REF!</v>
      </c>
    </row>
    <row r="13" spans="1:67" hidden="1">
      <c r="A13" s="55"/>
      <c r="B13" s="37"/>
      <c r="C13" s="3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9"/>
      <c r="AS13" s="59"/>
      <c r="AT13" s="59"/>
      <c r="AU13" s="59"/>
      <c r="AV13" s="59"/>
      <c r="AW13" s="59"/>
      <c r="AX13" s="59"/>
      <c r="AY13" s="59"/>
      <c r="AZ13" s="60"/>
      <c r="BA13" s="59"/>
    </row>
    <row r="14" spans="1:67" hidden="1">
      <c r="A14" s="37"/>
      <c r="B14" s="37"/>
      <c r="C14" s="37"/>
      <c r="AF14" s="596" t="s">
        <v>64</v>
      </c>
      <c r="AG14" s="596"/>
      <c r="AH14" s="596"/>
      <c r="AI14" s="596"/>
      <c r="AJ14" s="596"/>
      <c r="AK14" s="597"/>
      <c r="AL14" s="597"/>
      <c r="AM14" s="597"/>
      <c r="AN14" s="597"/>
      <c r="AO14" s="597"/>
      <c r="AP14" s="568"/>
      <c r="AQ14" s="56"/>
      <c r="AR14" s="596" t="s">
        <v>65</v>
      </c>
      <c r="AS14" s="596"/>
      <c r="AT14" s="596"/>
      <c r="AU14" s="596"/>
      <c r="AV14" s="596"/>
      <c r="AW14" s="597"/>
      <c r="AX14" s="597"/>
      <c r="AY14" s="597"/>
      <c r="AZ14" s="597"/>
      <c r="BA14" s="597"/>
    </row>
    <row r="15" spans="1:67" ht="63.75" hidden="1">
      <c r="A15" s="37"/>
      <c r="B15" s="37"/>
      <c r="C15" s="37"/>
      <c r="AF15" s="61" t="s">
        <v>55</v>
      </c>
      <c r="AG15" s="61" t="s">
        <v>73</v>
      </c>
      <c r="AH15" s="61" t="s">
        <v>74</v>
      </c>
      <c r="AI15" s="61" t="s">
        <v>58</v>
      </c>
      <c r="AJ15" s="61" t="s">
        <v>59</v>
      </c>
      <c r="AK15" s="61" t="s">
        <v>60</v>
      </c>
      <c r="AL15" s="62" t="s">
        <v>75</v>
      </c>
      <c r="AM15" s="62" t="s">
        <v>76</v>
      </c>
      <c r="AN15" s="62" t="s">
        <v>61</v>
      </c>
      <c r="AO15" s="62" t="s">
        <v>62</v>
      </c>
      <c r="AP15" s="62"/>
      <c r="AQ15" s="43"/>
      <c r="AR15" s="61" t="s">
        <v>55</v>
      </c>
      <c r="AS15" s="61" t="s">
        <v>73</v>
      </c>
      <c r="AT15" s="61" t="s">
        <v>74</v>
      </c>
      <c r="AU15" s="61" t="s">
        <v>58</v>
      </c>
      <c r="AV15" s="61" t="s">
        <v>59</v>
      </c>
      <c r="AW15" s="61" t="s">
        <v>60</v>
      </c>
      <c r="AX15" s="62" t="s">
        <v>75</v>
      </c>
      <c r="AY15" s="62" t="s">
        <v>76</v>
      </c>
      <c r="AZ15" s="63" t="s">
        <v>61</v>
      </c>
      <c r="BA15" s="61" t="s">
        <v>62</v>
      </c>
    </row>
    <row r="16" spans="1:67" hidden="1">
      <c r="A16" s="37" t="s">
        <v>81</v>
      </c>
      <c r="B16" s="37"/>
      <c r="C16" s="37"/>
      <c r="AA16" s="64" t="s">
        <v>29</v>
      </c>
      <c r="AB16" s="65" t="s">
        <v>30</v>
      </c>
      <c r="AC16" s="65" t="s">
        <v>31</v>
      </c>
      <c r="AD16" s="65"/>
      <c r="AE16" s="65"/>
      <c r="AQ16" s="38"/>
    </row>
    <row r="17" spans="1:53" hidden="1">
      <c r="A17" s="37" t="s">
        <v>82</v>
      </c>
      <c r="B17" s="37"/>
      <c r="C17" s="37"/>
      <c r="AA17" s="64"/>
      <c r="AB17" s="65" t="s">
        <v>32</v>
      </c>
      <c r="AC17" s="65">
        <v>13.25</v>
      </c>
      <c r="AD17" s="65"/>
      <c r="AE17" s="65"/>
      <c r="AF17" s="36" t="e">
        <f>AF$12*$AC17</f>
        <v>#REF!</v>
      </c>
      <c r="AG17" s="36" t="e">
        <f t="shared" ref="AG17:AO25" si="2">AG$12*$AC17</f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>AR$12*$AC17</f>
        <v>#REF!</v>
      </c>
      <c r="AS17" s="36" t="e">
        <f t="shared" ref="AS17:BA25" si="3">AS$12*$AC17</f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83</v>
      </c>
      <c r="B18" s="37"/>
      <c r="C18" s="37"/>
      <c r="AA18" s="64"/>
      <c r="AB18" s="65" t="s">
        <v>33</v>
      </c>
      <c r="AC18" s="65">
        <v>20.298999999999999</v>
      </c>
      <c r="AD18" s="65"/>
      <c r="AE18" s="65"/>
      <c r="AF18" s="36" t="e">
        <f t="shared" ref="AF18:AF25" si="4">AF$12*$AC18</f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ref="AR18:AR25" si="5">AR$12*$AC18</f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84</v>
      </c>
      <c r="B19" s="37"/>
      <c r="C19" s="37"/>
      <c r="AA19" s="64"/>
      <c r="AB19" s="65" t="s">
        <v>34</v>
      </c>
      <c r="AC19" s="65">
        <v>21.68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85</v>
      </c>
      <c r="B20" s="37"/>
      <c r="C20" s="37"/>
      <c r="AA20" s="64"/>
      <c r="AB20" s="65" t="s">
        <v>35</v>
      </c>
      <c r="AC20" s="65">
        <v>9.3046500000000005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86</v>
      </c>
      <c r="B21" s="37"/>
      <c r="C21" s="37"/>
      <c r="AA21" s="64"/>
      <c r="AB21" s="65" t="s">
        <v>36</v>
      </c>
      <c r="AC21" s="65">
        <v>5.0347999999999997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87</v>
      </c>
      <c r="B22" s="37"/>
      <c r="C22" s="37"/>
      <c r="AA22" s="64"/>
      <c r="AB22" s="65" t="s">
        <v>37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0</v>
      </c>
      <c r="B23" s="37"/>
      <c r="C23" s="37"/>
      <c r="AA23" s="64"/>
      <c r="AB23" s="65" t="s">
        <v>38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 t="s">
        <v>59</v>
      </c>
      <c r="B24" s="37">
        <f>(0.016*(0.03/2)^0.65*(2/3)^1.5)-0.00047</f>
        <v>9.8123053326417428E-5</v>
      </c>
      <c r="C24" s="37"/>
      <c r="AA24" s="64"/>
      <c r="AB24" s="65" t="s">
        <v>39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 t="s">
        <v>40</v>
      </c>
      <c r="AC25" s="65">
        <v>0</v>
      </c>
      <c r="AD25" s="65"/>
      <c r="AE25" s="65"/>
      <c r="AF25" s="36" t="e">
        <f t="shared" si="4"/>
        <v>#REF!</v>
      </c>
      <c r="AG25" s="36" t="e">
        <f t="shared" si="2"/>
        <v>#REF!</v>
      </c>
      <c r="AH25" s="36" t="e">
        <f t="shared" si="2"/>
        <v>#REF!</v>
      </c>
      <c r="AI25" s="36" t="e">
        <f t="shared" si="2"/>
        <v>#REF!</v>
      </c>
      <c r="AJ25" s="36" t="e">
        <f t="shared" si="2"/>
        <v>#REF!</v>
      </c>
      <c r="AK25" s="36" t="e">
        <f t="shared" si="2"/>
        <v>#REF!</v>
      </c>
      <c r="AL25" s="36" t="e">
        <f t="shared" si="2"/>
        <v>#REF!</v>
      </c>
      <c r="AM25" s="36" t="e">
        <f t="shared" si="2"/>
        <v>#REF!</v>
      </c>
      <c r="AN25" s="36" t="e">
        <f t="shared" si="2"/>
        <v>#REF!</v>
      </c>
      <c r="AO25" s="36" t="e">
        <f t="shared" si="2"/>
        <v>#REF!</v>
      </c>
      <c r="AQ25" s="38"/>
      <c r="AR25" s="36" t="e">
        <f t="shared" si="5"/>
        <v>#REF!</v>
      </c>
      <c r="AS25" s="36" t="e">
        <f t="shared" si="3"/>
        <v>#REF!</v>
      </c>
      <c r="AT25" s="36" t="e">
        <f t="shared" si="3"/>
        <v>#REF!</v>
      </c>
      <c r="AU25" s="36" t="e">
        <f t="shared" si="3"/>
        <v>#REF!</v>
      </c>
      <c r="AV25" s="36" t="e">
        <f t="shared" si="3"/>
        <v>#REF!</v>
      </c>
      <c r="AW25" s="36" t="e">
        <f t="shared" si="3"/>
        <v>#REF!</v>
      </c>
      <c r="AX25" s="36" t="e">
        <f t="shared" si="3"/>
        <v>#REF!</v>
      </c>
      <c r="AY25" s="36" t="e">
        <f t="shared" si="3"/>
        <v>#REF!</v>
      </c>
      <c r="AZ25" s="36" t="e">
        <f t="shared" si="3"/>
        <v>#REF!</v>
      </c>
      <c r="BA25" s="36" t="e">
        <f t="shared" si="3"/>
        <v>#REF!</v>
      </c>
    </row>
    <row r="26" spans="1:53" hidden="1">
      <c r="A26" s="37"/>
      <c r="B26" s="37"/>
      <c r="C26" s="37"/>
      <c r="AA26" s="64"/>
      <c r="AB26" s="65"/>
      <c r="AC26" s="65"/>
      <c r="AD26" s="65"/>
      <c r="AE26" s="65"/>
      <c r="AQ26" s="38"/>
    </row>
    <row r="27" spans="1:53" hidden="1">
      <c r="A27" s="37"/>
      <c r="B27" s="37"/>
      <c r="C27" s="37"/>
      <c r="AA27" s="64" t="s">
        <v>41</v>
      </c>
      <c r="AB27" s="65" t="s">
        <v>30</v>
      </c>
      <c r="AC27" s="65" t="s">
        <v>31</v>
      </c>
      <c r="AD27" s="65"/>
      <c r="AE27" s="65"/>
      <c r="AQ27" s="38"/>
    </row>
    <row r="28" spans="1:53" hidden="1">
      <c r="A28" s="37" t="s">
        <v>88</v>
      </c>
      <c r="B28" s="37"/>
      <c r="C28" s="37"/>
      <c r="AA28" s="64"/>
      <c r="AB28" s="65" t="s">
        <v>32</v>
      </c>
      <c r="AC28" s="65">
        <v>0</v>
      </c>
      <c r="AD28" s="65"/>
      <c r="AE28" s="65"/>
      <c r="AF28" s="36" t="e">
        <f t="shared" ref="AF28:AO36" si="6">AF$12*$AC28</f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ref="AR28:BA36" si="7">AR$12*$AC28</f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89</v>
      </c>
      <c r="B29" s="37"/>
      <c r="C29" s="37"/>
      <c r="AA29" s="64"/>
      <c r="AB29" s="65" t="s">
        <v>33</v>
      </c>
      <c r="AC29" s="65">
        <v>6.2010000000000005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90</v>
      </c>
      <c r="B30" s="37"/>
      <c r="C30" s="37"/>
      <c r="AA30" s="64"/>
      <c r="AB30" s="65" t="s">
        <v>34</v>
      </c>
      <c r="AC30" s="65">
        <v>0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91</v>
      </c>
      <c r="B31" s="37"/>
      <c r="C31" s="37"/>
      <c r="AA31" s="64"/>
      <c r="AB31" s="65" t="s">
        <v>35</v>
      </c>
      <c r="AC31" s="65">
        <v>9.8037500000000009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92</v>
      </c>
      <c r="B32" s="37"/>
      <c r="C32" s="37"/>
      <c r="AA32" s="64"/>
      <c r="AB32" s="65" t="s">
        <v>36</v>
      </c>
      <c r="AC32" s="65">
        <v>7.2451999999999996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84</v>
      </c>
      <c r="B33" s="37"/>
      <c r="C33" s="37"/>
      <c r="AA33" s="64"/>
      <c r="AB33" s="65" t="s">
        <v>37</v>
      </c>
      <c r="AC33" s="65">
        <v>3.6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93</v>
      </c>
      <c r="B34" s="37"/>
      <c r="C34" s="37"/>
      <c r="AA34" s="64"/>
      <c r="AB34" s="65" t="s">
        <v>38</v>
      </c>
      <c r="AC34" s="65">
        <v>6.1984000000000004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94</v>
      </c>
      <c r="B35" s="37"/>
      <c r="C35" s="37"/>
      <c r="AA35" s="64"/>
      <c r="AB35" s="65" t="s">
        <v>39</v>
      </c>
      <c r="AC35" s="65">
        <v>5.1995100000000001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0</v>
      </c>
      <c r="B36" s="37"/>
      <c r="C36" s="37"/>
      <c r="AA36" s="64"/>
      <c r="AB36" s="65" t="s">
        <v>40</v>
      </c>
      <c r="AC36" s="65">
        <v>17.71416</v>
      </c>
      <c r="AD36" s="65"/>
      <c r="AE36" s="65"/>
      <c r="AF36" s="36" t="e">
        <f t="shared" si="6"/>
        <v>#REF!</v>
      </c>
      <c r="AG36" s="36" t="e">
        <f t="shared" si="6"/>
        <v>#REF!</v>
      </c>
      <c r="AH36" s="36" t="e">
        <f t="shared" si="6"/>
        <v>#REF!</v>
      </c>
      <c r="AI36" s="36" t="e">
        <f t="shared" si="6"/>
        <v>#REF!</v>
      </c>
      <c r="AJ36" s="36" t="e">
        <f t="shared" si="6"/>
        <v>#REF!</v>
      </c>
      <c r="AK36" s="36" t="e">
        <f t="shared" si="6"/>
        <v>#REF!</v>
      </c>
      <c r="AL36" s="36" t="e">
        <f t="shared" si="6"/>
        <v>#REF!</v>
      </c>
      <c r="AM36" s="36" t="e">
        <f t="shared" si="6"/>
        <v>#REF!</v>
      </c>
      <c r="AN36" s="36" t="e">
        <f t="shared" si="6"/>
        <v>#REF!</v>
      </c>
      <c r="AO36" s="36" t="e">
        <f t="shared" si="6"/>
        <v>#REF!</v>
      </c>
      <c r="AQ36" s="38"/>
      <c r="AR36" s="36" t="e">
        <f t="shared" si="7"/>
        <v>#REF!</v>
      </c>
      <c r="AS36" s="36" t="e">
        <f t="shared" si="7"/>
        <v>#REF!</v>
      </c>
      <c r="AT36" s="36" t="e">
        <f t="shared" si="7"/>
        <v>#REF!</v>
      </c>
      <c r="AU36" s="36" t="e">
        <f t="shared" si="7"/>
        <v>#REF!</v>
      </c>
      <c r="AV36" s="36" t="e">
        <f t="shared" si="7"/>
        <v>#REF!</v>
      </c>
      <c r="AW36" s="36" t="e">
        <f t="shared" si="7"/>
        <v>#REF!</v>
      </c>
      <c r="AX36" s="36" t="e">
        <f t="shared" si="7"/>
        <v>#REF!</v>
      </c>
      <c r="AY36" s="36" t="e">
        <f t="shared" si="7"/>
        <v>#REF!</v>
      </c>
      <c r="AZ36" s="36" t="e">
        <f t="shared" si="7"/>
        <v>#REF!</v>
      </c>
      <c r="BA36" s="36" t="e">
        <f t="shared" si="7"/>
        <v>#REF!</v>
      </c>
    </row>
    <row r="37" spans="1:53" hidden="1">
      <c r="A37" s="37" t="s">
        <v>59</v>
      </c>
      <c r="B37" s="37">
        <f>0.39*1.5*(8.5/12)^0.9*(2/3)^0.45</f>
        <v>0.35737873826145539</v>
      </c>
      <c r="C37" s="37"/>
      <c r="AA37" s="64"/>
      <c r="AB37" s="65"/>
      <c r="AC37" s="65"/>
      <c r="AD37" s="65"/>
      <c r="AE37" s="65"/>
      <c r="AQ37" s="38"/>
    </row>
    <row r="38" spans="1:53" hidden="1">
      <c r="A38" s="37" t="s">
        <v>60</v>
      </c>
      <c r="B38" s="37">
        <f>0.39*0.15*(8.5/12)^0.9*(2/3)^0.45</f>
        <v>3.5737873826145544E-2</v>
      </c>
      <c r="C38" s="37"/>
      <c r="AA38" s="64" t="s">
        <v>42</v>
      </c>
      <c r="AB38" s="65" t="s">
        <v>30</v>
      </c>
      <c r="AC38" s="65" t="s">
        <v>31</v>
      </c>
      <c r="AD38" s="65"/>
      <c r="AE38" s="65"/>
      <c r="AQ38" s="38"/>
    </row>
    <row r="39" spans="1:53" hidden="1">
      <c r="AA39" s="64"/>
      <c r="AB39" s="65" t="s">
        <v>32</v>
      </c>
      <c r="AC39" s="65">
        <v>0</v>
      </c>
      <c r="AD39" s="65"/>
      <c r="AE39" s="65"/>
      <c r="AF39" s="36" t="e">
        <f t="shared" ref="AF39:AO47" si="8">AF$12*$AC39</f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ref="AR39:BA47" si="9">AR$12*$AC39</f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33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34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35</v>
      </c>
      <c r="AC42" s="65">
        <v>16.541599999999999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36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37</v>
      </c>
      <c r="AC44" s="65">
        <v>0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38</v>
      </c>
      <c r="AC45" s="65">
        <v>14.601599999999999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39</v>
      </c>
      <c r="AC46" s="65">
        <v>14.570489999999999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A47" s="64"/>
      <c r="AB47" s="65" t="s">
        <v>40</v>
      </c>
      <c r="AC47" s="65">
        <v>14.14584</v>
      </c>
      <c r="AD47" s="65"/>
      <c r="AE47" s="65"/>
      <c r="AF47" s="36" t="e">
        <f t="shared" si="8"/>
        <v>#REF!</v>
      </c>
      <c r="AG47" s="36" t="e">
        <f t="shared" si="8"/>
        <v>#REF!</v>
      </c>
      <c r="AH47" s="36" t="e">
        <f t="shared" si="8"/>
        <v>#REF!</v>
      </c>
      <c r="AI47" s="36" t="e">
        <f t="shared" si="8"/>
        <v>#REF!</v>
      </c>
      <c r="AJ47" s="36" t="e">
        <f t="shared" si="8"/>
        <v>#REF!</v>
      </c>
      <c r="AK47" s="36" t="e">
        <f t="shared" si="8"/>
        <v>#REF!</v>
      </c>
      <c r="AL47" s="36" t="e">
        <f t="shared" si="8"/>
        <v>#REF!</v>
      </c>
      <c r="AM47" s="36" t="e">
        <f t="shared" si="8"/>
        <v>#REF!</v>
      </c>
      <c r="AN47" s="36" t="e">
        <f t="shared" si="8"/>
        <v>#REF!</v>
      </c>
      <c r="AO47" s="36" t="e">
        <f t="shared" si="8"/>
        <v>#REF!</v>
      </c>
      <c r="AQ47" s="38"/>
      <c r="AR47" s="36" t="e">
        <f t="shared" si="9"/>
        <v>#REF!</v>
      </c>
      <c r="AS47" s="36" t="e">
        <f t="shared" si="9"/>
        <v>#REF!</v>
      </c>
      <c r="AT47" s="36" t="e">
        <f t="shared" si="9"/>
        <v>#REF!</v>
      </c>
      <c r="AU47" s="36" t="e">
        <f t="shared" si="9"/>
        <v>#REF!</v>
      </c>
      <c r="AV47" s="36" t="e">
        <f t="shared" si="9"/>
        <v>#REF!</v>
      </c>
      <c r="AW47" s="36" t="e">
        <f t="shared" si="9"/>
        <v>#REF!</v>
      </c>
      <c r="AX47" s="36" t="e">
        <f t="shared" si="9"/>
        <v>#REF!</v>
      </c>
      <c r="AY47" s="36" t="e">
        <f t="shared" si="9"/>
        <v>#REF!</v>
      </c>
      <c r="AZ47" s="36" t="e">
        <f t="shared" si="9"/>
        <v>#REF!</v>
      </c>
      <c r="BA47" s="36" t="e">
        <f t="shared" si="9"/>
        <v>#REF!</v>
      </c>
    </row>
    <row r="48" spans="1:53" hidden="1">
      <c r="AQ48" s="38"/>
    </row>
    <row r="49" spans="27:53" hidden="1">
      <c r="AQ49" s="38"/>
    </row>
    <row r="50" spans="27:53" ht="63.75" hidden="1">
      <c r="AA50" s="66" t="s">
        <v>43</v>
      </c>
      <c r="AB50" s="67"/>
      <c r="AC50" s="68"/>
      <c r="AD50" s="68"/>
      <c r="AE50" s="68"/>
      <c r="AF50" s="61" t="s">
        <v>55</v>
      </c>
      <c r="AG50" s="61" t="s">
        <v>73</v>
      </c>
      <c r="AH50" s="61" t="s">
        <v>57</v>
      </c>
      <c r="AI50" s="61" t="s">
        <v>58</v>
      </c>
      <c r="AJ50" s="61" t="s">
        <v>59</v>
      </c>
      <c r="AK50" s="61" t="s">
        <v>60</v>
      </c>
      <c r="AL50" s="62" t="s">
        <v>75</v>
      </c>
      <c r="AM50" s="62" t="s">
        <v>76</v>
      </c>
      <c r="AN50" s="62" t="s">
        <v>61</v>
      </c>
      <c r="AO50" s="62" t="s">
        <v>62</v>
      </c>
      <c r="AP50" s="62"/>
      <c r="AQ50" s="43"/>
      <c r="AR50" s="61" t="s">
        <v>55</v>
      </c>
      <c r="AS50" s="61" t="s">
        <v>73</v>
      </c>
      <c r="AT50" s="61" t="s">
        <v>74</v>
      </c>
      <c r="AU50" s="61" t="s">
        <v>58</v>
      </c>
      <c r="AV50" s="61" t="s">
        <v>59</v>
      </c>
      <c r="AW50" s="61" t="s">
        <v>60</v>
      </c>
      <c r="AX50" s="62" t="s">
        <v>75</v>
      </c>
      <c r="AY50" s="62" t="s">
        <v>76</v>
      </c>
      <c r="AZ50" s="63" t="s">
        <v>61</v>
      </c>
      <c r="BA50" s="61" t="s">
        <v>62</v>
      </c>
    </row>
    <row r="51" spans="27:53" hidden="1">
      <c r="AA51" s="69" t="s">
        <v>44</v>
      </c>
      <c r="AB51" s="35"/>
      <c r="AG51" s="70"/>
      <c r="AQ51" s="38"/>
    </row>
    <row r="52" spans="27:53" hidden="1">
      <c r="AA52" s="71" t="s">
        <v>29</v>
      </c>
      <c r="AB52" s="35"/>
      <c r="AF52" s="70" t="e">
        <f t="shared" ref="AF52:AO52" si="10">AF17+AF19+AF20</f>
        <v>#REF!</v>
      </c>
      <c r="AG52" s="70" t="e">
        <f t="shared" si="10"/>
        <v>#REF!</v>
      </c>
      <c r="AH52" s="70" t="e">
        <f t="shared" si="10"/>
        <v>#REF!</v>
      </c>
      <c r="AI52" s="70" t="e">
        <f t="shared" si="10"/>
        <v>#REF!</v>
      </c>
      <c r="AJ52" s="70" t="e">
        <f t="shared" si="10"/>
        <v>#REF!</v>
      </c>
      <c r="AK52" s="70" t="e">
        <f t="shared" si="10"/>
        <v>#REF!</v>
      </c>
      <c r="AL52" s="70" t="e">
        <f t="shared" si="10"/>
        <v>#REF!</v>
      </c>
      <c r="AM52" s="70" t="e">
        <f t="shared" si="10"/>
        <v>#REF!</v>
      </c>
      <c r="AN52" s="70" t="e">
        <f t="shared" si="10"/>
        <v>#REF!</v>
      </c>
      <c r="AO52" s="70" t="e">
        <f t="shared" si="10"/>
        <v>#REF!</v>
      </c>
      <c r="AP52" s="70"/>
      <c r="AQ52" s="70"/>
      <c r="AR52" s="70" t="e">
        <f t="shared" ref="AR52:BA52" si="11">AR17+AR19+AR20</f>
        <v>#REF!</v>
      </c>
      <c r="AS52" s="70" t="e">
        <f t="shared" si="11"/>
        <v>#REF!</v>
      </c>
      <c r="AT52" s="70" t="e">
        <f t="shared" si="11"/>
        <v>#REF!</v>
      </c>
      <c r="AU52" s="70" t="e">
        <f t="shared" si="11"/>
        <v>#REF!</v>
      </c>
      <c r="AV52" s="70" t="e">
        <f t="shared" si="11"/>
        <v>#REF!</v>
      </c>
      <c r="AW52" s="70" t="e">
        <f t="shared" si="11"/>
        <v>#REF!</v>
      </c>
      <c r="AX52" s="70" t="e">
        <f t="shared" si="11"/>
        <v>#REF!</v>
      </c>
      <c r="AY52" s="70" t="e">
        <f t="shared" si="11"/>
        <v>#REF!</v>
      </c>
      <c r="AZ52" s="70" t="e">
        <f t="shared" si="11"/>
        <v>#REF!</v>
      </c>
      <c r="BA52" s="70" t="e">
        <f t="shared" si="11"/>
        <v>#REF!</v>
      </c>
    </row>
    <row r="53" spans="27:53" hidden="1">
      <c r="AA53" s="71" t="s">
        <v>41</v>
      </c>
      <c r="AB53" s="35"/>
      <c r="AF53" s="70" t="e">
        <f t="shared" ref="AF53:AO53" si="12">AF28+AF30+AF31</f>
        <v>#REF!</v>
      </c>
      <c r="AG53" s="70" t="e">
        <f t="shared" si="12"/>
        <v>#REF!</v>
      </c>
      <c r="AH53" s="70" t="e">
        <f t="shared" si="12"/>
        <v>#REF!</v>
      </c>
      <c r="AI53" s="70" t="e">
        <f t="shared" si="12"/>
        <v>#REF!</v>
      </c>
      <c r="AJ53" s="70" t="e">
        <f t="shared" si="12"/>
        <v>#REF!</v>
      </c>
      <c r="AK53" s="70" t="e">
        <f t="shared" si="12"/>
        <v>#REF!</v>
      </c>
      <c r="AL53" s="70" t="e">
        <f t="shared" si="12"/>
        <v>#REF!</v>
      </c>
      <c r="AM53" s="70" t="e">
        <f t="shared" si="12"/>
        <v>#REF!</v>
      </c>
      <c r="AN53" s="70" t="e">
        <f t="shared" si="12"/>
        <v>#REF!</v>
      </c>
      <c r="AO53" s="70" t="e">
        <f t="shared" si="12"/>
        <v>#REF!</v>
      </c>
      <c r="AP53" s="70"/>
      <c r="AQ53" s="70"/>
      <c r="AR53" s="70" t="e">
        <f t="shared" ref="AR53:BA53" si="13">AR28+AR30+AR31</f>
        <v>#REF!</v>
      </c>
      <c r="AS53" s="70" t="e">
        <f t="shared" si="13"/>
        <v>#REF!</v>
      </c>
      <c r="AT53" s="70" t="e">
        <f t="shared" si="13"/>
        <v>#REF!</v>
      </c>
      <c r="AU53" s="70" t="e">
        <f t="shared" si="13"/>
        <v>#REF!</v>
      </c>
      <c r="AV53" s="70" t="e">
        <f t="shared" si="13"/>
        <v>#REF!</v>
      </c>
      <c r="AW53" s="70" t="e">
        <f t="shared" si="13"/>
        <v>#REF!</v>
      </c>
      <c r="AX53" s="70" t="e">
        <f t="shared" si="13"/>
        <v>#REF!</v>
      </c>
      <c r="AY53" s="70" t="e">
        <f t="shared" si="13"/>
        <v>#REF!</v>
      </c>
      <c r="AZ53" s="70" t="e">
        <f t="shared" si="13"/>
        <v>#REF!</v>
      </c>
      <c r="BA53" s="70" t="e">
        <f t="shared" si="13"/>
        <v>#REF!</v>
      </c>
    </row>
    <row r="54" spans="27:53" hidden="1">
      <c r="AA54" s="71" t="s">
        <v>42</v>
      </c>
      <c r="AB54" s="35"/>
      <c r="AF54" s="70" t="e">
        <f t="shared" ref="AF54:AO54" si="14">AF39+AF41+AF42</f>
        <v>#REF!</v>
      </c>
      <c r="AG54" s="70" t="e">
        <f t="shared" si="14"/>
        <v>#REF!</v>
      </c>
      <c r="AH54" s="70" t="e">
        <f t="shared" si="14"/>
        <v>#REF!</v>
      </c>
      <c r="AI54" s="70" t="e">
        <f t="shared" si="14"/>
        <v>#REF!</v>
      </c>
      <c r="AJ54" s="70" t="e">
        <f t="shared" si="14"/>
        <v>#REF!</v>
      </c>
      <c r="AK54" s="70" t="e">
        <f t="shared" si="14"/>
        <v>#REF!</v>
      </c>
      <c r="AL54" s="70" t="e">
        <f t="shared" si="14"/>
        <v>#REF!</v>
      </c>
      <c r="AM54" s="70" t="e">
        <f t="shared" si="14"/>
        <v>#REF!</v>
      </c>
      <c r="AN54" s="70" t="e">
        <f t="shared" si="14"/>
        <v>#REF!</v>
      </c>
      <c r="AO54" s="70" t="e">
        <f t="shared" si="14"/>
        <v>#REF!</v>
      </c>
      <c r="AP54" s="70"/>
      <c r="AQ54" s="70"/>
      <c r="AR54" s="70" t="e">
        <f t="shared" ref="AR54:BA54" si="15">AR39+AR41+AR42</f>
        <v>#REF!</v>
      </c>
      <c r="AS54" s="70" t="e">
        <f t="shared" si="15"/>
        <v>#REF!</v>
      </c>
      <c r="AT54" s="70" t="e">
        <f t="shared" si="15"/>
        <v>#REF!</v>
      </c>
      <c r="AU54" s="70" t="e">
        <f t="shared" si="15"/>
        <v>#REF!</v>
      </c>
      <c r="AV54" s="70" t="e">
        <f t="shared" si="15"/>
        <v>#REF!</v>
      </c>
      <c r="AW54" s="70" t="e">
        <f t="shared" si="15"/>
        <v>#REF!</v>
      </c>
      <c r="AX54" s="70" t="e">
        <f t="shared" si="15"/>
        <v>#REF!</v>
      </c>
      <c r="AY54" s="70" t="e">
        <f t="shared" si="15"/>
        <v>#REF!</v>
      </c>
      <c r="AZ54" s="70" t="e">
        <f t="shared" si="15"/>
        <v>#REF!</v>
      </c>
      <c r="BA54" s="70" t="e">
        <f t="shared" si="15"/>
        <v>#REF!</v>
      </c>
    </row>
    <row r="55" spans="27:53" hidden="1">
      <c r="AA55" s="69" t="s">
        <v>45</v>
      </c>
      <c r="AB55" s="35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</row>
    <row r="56" spans="27:53" hidden="1">
      <c r="AA56" s="71" t="s">
        <v>29</v>
      </c>
      <c r="AB56" s="35"/>
      <c r="AF56" s="70" t="e">
        <f t="shared" ref="AF56:AO56" si="16">AF17+AF19+AF21+AF23</f>
        <v>#REF!</v>
      </c>
      <c r="AG56" s="70" t="e">
        <f t="shared" si="16"/>
        <v>#REF!</v>
      </c>
      <c r="AH56" s="70" t="e">
        <f t="shared" si="16"/>
        <v>#REF!</v>
      </c>
      <c r="AI56" s="70" t="e">
        <f t="shared" si="16"/>
        <v>#REF!</v>
      </c>
      <c r="AJ56" s="70" t="e">
        <f t="shared" si="16"/>
        <v>#REF!</v>
      </c>
      <c r="AK56" s="70" t="e">
        <f t="shared" si="16"/>
        <v>#REF!</v>
      </c>
      <c r="AL56" s="70" t="e">
        <f t="shared" si="16"/>
        <v>#REF!</v>
      </c>
      <c r="AM56" s="70" t="e">
        <f t="shared" si="16"/>
        <v>#REF!</v>
      </c>
      <c r="AN56" s="70" t="e">
        <f t="shared" si="16"/>
        <v>#REF!</v>
      </c>
      <c r="AO56" s="70" t="e">
        <f t="shared" si="16"/>
        <v>#REF!</v>
      </c>
      <c r="AP56" s="70"/>
      <c r="AQ56" s="70"/>
      <c r="AR56" s="70" t="e">
        <f t="shared" ref="AR56:BA56" si="17">AR17+AR19+AR21+AR23</f>
        <v>#REF!</v>
      </c>
      <c r="AS56" s="70" t="e">
        <f t="shared" si="17"/>
        <v>#REF!</v>
      </c>
      <c r="AT56" s="70" t="e">
        <f t="shared" si="17"/>
        <v>#REF!</v>
      </c>
      <c r="AU56" s="70" t="e">
        <f t="shared" si="17"/>
        <v>#REF!</v>
      </c>
      <c r="AV56" s="70" t="e">
        <f t="shared" si="17"/>
        <v>#REF!</v>
      </c>
      <c r="AW56" s="70" t="e">
        <f t="shared" si="17"/>
        <v>#REF!</v>
      </c>
      <c r="AX56" s="70" t="e">
        <f t="shared" si="17"/>
        <v>#REF!</v>
      </c>
      <c r="AY56" s="70" t="e">
        <f t="shared" si="17"/>
        <v>#REF!</v>
      </c>
      <c r="AZ56" s="70" t="e">
        <f t="shared" si="17"/>
        <v>#REF!</v>
      </c>
      <c r="BA56" s="70" t="e">
        <f t="shared" si="17"/>
        <v>#REF!</v>
      </c>
    </row>
    <row r="57" spans="27:53" hidden="1">
      <c r="AA57" s="71" t="s">
        <v>41</v>
      </c>
      <c r="AB57" s="35"/>
      <c r="AF57" s="70" t="e">
        <f t="shared" ref="AF57:AO57" si="18">AF28+AF30+AF32+AF34</f>
        <v>#REF!</v>
      </c>
      <c r="AG57" s="70" t="e">
        <f t="shared" si="18"/>
        <v>#REF!</v>
      </c>
      <c r="AH57" s="70" t="e">
        <f t="shared" si="18"/>
        <v>#REF!</v>
      </c>
      <c r="AI57" s="70" t="e">
        <f t="shared" si="18"/>
        <v>#REF!</v>
      </c>
      <c r="AJ57" s="70" t="e">
        <f t="shared" si="18"/>
        <v>#REF!</v>
      </c>
      <c r="AK57" s="70" t="e">
        <f t="shared" si="18"/>
        <v>#REF!</v>
      </c>
      <c r="AL57" s="70" t="e">
        <f t="shared" si="18"/>
        <v>#REF!</v>
      </c>
      <c r="AM57" s="70" t="e">
        <f t="shared" si="18"/>
        <v>#REF!</v>
      </c>
      <c r="AN57" s="70" t="e">
        <f t="shared" si="18"/>
        <v>#REF!</v>
      </c>
      <c r="AO57" s="70" t="e">
        <f t="shared" si="18"/>
        <v>#REF!</v>
      </c>
      <c r="AP57" s="70"/>
      <c r="AQ57" s="70"/>
      <c r="AR57" s="70" t="e">
        <f t="shared" ref="AR57:BA57" si="19">AR28+AR30+AR32+AR34</f>
        <v>#REF!</v>
      </c>
      <c r="AS57" s="70" t="e">
        <f t="shared" si="19"/>
        <v>#REF!</v>
      </c>
      <c r="AT57" s="70" t="e">
        <f t="shared" si="19"/>
        <v>#REF!</v>
      </c>
      <c r="AU57" s="70" t="e">
        <f t="shared" si="19"/>
        <v>#REF!</v>
      </c>
      <c r="AV57" s="70" t="e">
        <f t="shared" si="19"/>
        <v>#REF!</v>
      </c>
      <c r="AW57" s="70" t="e">
        <f t="shared" si="19"/>
        <v>#REF!</v>
      </c>
      <c r="AX57" s="70" t="e">
        <f t="shared" si="19"/>
        <v>#REF!</v>
      </c>
      <c r="AY57" s="70" t="e">
        <f t="shared" si="19"/>
        <v>#REF!</v>
      </c>
      <c r="AZ57" s="70" t="e">
        <f t="shared" si="19"/>
        <v>#REF!</v>
      </c>
      <c r="BA57" s="70" t="e">
        <f t="shared" si="19"/>
        <v>#REF!</v>
      </c>
    </row>
    <row r="58" spans="27:53" hidden="1">
      <c r="AA58" s="71" t="s">
        <v>42</v>
      </c>
      <c r="AB58" s="35"/>
      <c r="AF58" s="70" t="e">
        <f t="shared" ref="AF58:AO58" si="20">AF39+AF41+AF43+AF45</f>
        <v>#REF!</v>
      </c>
      <c r="AG58" s="70" t="e">
        <f t="shared" si="20"/>
        <v>#REF!</v>
      </c>
      <c r="AH58" s="70" t="e">
        <f t="shared" si="20"/>
        <v>#REF!</v>
      </c>
      <c r="AI58" s="70" t="e">
        <f t="shared" si="20"/>
        <v>#REF!</v>
      </c>
      <c r="AJ58" s="70" t="e">
        <f t="shared" si="20"/>
        <v>#REF!</v>
      </c>
      <c r="AK58" s="70" t="e">
        <f t="shared" si="20"/>
        <v>#REF!</v>
      </c>
      <c r="AL58" s="70" t="e">
        <f t="shared" si="20"/>
        <v>#REF!</v>
      </c>
      <c r="AM58" s="70" t="e">
        <f t="shared" si="20"/>
        <v>#REF!</v>
      </c>
      <c r="AN58" s="70" t="e">
        <f t="shared" si="20"/>
        <v>#REF!</v>
      </c>
      <c r="AO58" s="70" t="e">
        <f t="shared" si="20"/>
        <v>#REF!</v>
      </c>
      <c r="AP58" s="70"/>
      <c r="AQ58" s="70"/>
      <c r="AR58" s="70" t="e">
        <f t="shared" ref="AR58:BA58" si="21">AR39+AR41+AR43+AR45</f>
        <v>#REF!</v>
      </c>
      <c r="AS58" s="70" t="e">
        <f t="shared" si="21"/>
        <v>#REF!</v>
      </c>
      <c r="AT58" s="70" t="e">
        <f t="shared" si="21"/>
        <v>#REF!</v>
      </c>
      <c r="AU58" s="70" t="e">
        <f t="shared" si="21"/>
        <v>#REF!</v>
      </c>
      <c r="AV58" s="70" t="e">
        <f t="shared" si="21"/>
        <v>#REF!</v>
      </c>
      <c r="AW58" s="70" t="e">
        <f t="shared" si="21"/>
        <v>#REF!</v>
      </c>
      <c r="AX58" s="70" t="e">
        <f t="shared" si="21"/>
        <v>#REF!</v>
      </c>
      <c r="AY58" s="70" t="e">
        <f t="shared" si="21"/>
        <v>#REF!</v>
      </c>
      <c r="AZ58" s="70" t="e">
        <f t="shared" si="21"/>
        <v>#REF!</v>
      </c>
      <c r="BA58" s="70" t="e">
        <f t="shared" si="21"/>
        <v>#REF!</v>
      </c>
    </row>
    <row r="59" spans="27:53" hidden="1">
      <c r="AA59" s="69" t="s">
        <v>46</v>
      </c>
      <c r="AB59" s="35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</row>
    <row r="60" spans="27:53" hidden="1">
      <c r="AA60" s="71" t="s">
        <v>29</v>
      </c>
      <c r="AB60" s="35"/>
      <c r="AF60" s="70" t="e">
        <f t="shared" ref="AF60:AO60" si="22">AF17+AF19+AF21+AF22+AF24</f>
        <v>#REF!</v>
      </c>
      <c r="AG60" s="70" t="e">
        <f t="shared" si="22"/>
        <v>#REF!</v>
      </c>
      <c r="AH60" s="70" t="e">
        <f t="shared" si="22"/>
        <v>#REF!</v>
      </c>
      <c r="AI60" s="70" t="e">
        <f t="shared" si="22"/>
        <v>#REF!</v>
      </c>
      <c r="AJ60" s="70" t="e">
        <f t="shared" si="22"/>
        <v>#REF!</v>
      </c>
      <c r="AK60" s="70" t="e">
        <f t="shared" si="22"/>
        <v>#REF!</v>
      </c>
      <c r="AL60" s="70" t="e">
        <f t="shared" si="22"/>
        <v>#REF!</v>
      </c>
      <c r="AM60" s="70" t="e">
        <f t="shared" si="22"/>
        <v>#REF!</v>
      </c>
      <c r="AN60" s="70" t="e">
        <f t="shared" si="22"/>
        <v>#REF!</v>
      </c>
      <c r="AO60" s="70" t="e">
        <f t="shared" si="22"/>
        <v>#REF!</v>
      </c>
      <c r="AP60" s="70"/>
      <c r="AQ60" s="70"/>
      <c r="AR60" s="70" t="e">
        <f t="shared" ref="AR60:BA60" si="23">AR17+AR19+AR21+AR22+AR24</f>
        <v>#REF!</v>
      </c>
      <c r="AS60" s="70" t="e">
        <f t="shared" si="23"/>
        <v>#REF!</v>
      </c>
      <c r="AT60" s="70" t="e">
        <f t="shared" si="23"/>
        <v>#REF!</v>
      </c>
      <c r="AU60" s="70" t="e">
        <f t="shared" si="23"/>
        <v>#REF!</v>
      </c>
      <c r="AV60" s="70" t="e">
        <f t="shared" si="23"/>
        <v>#REF!</v>
      </c>
      <c r="AW60" s="70" t="e">
        <f t="shared" si="23"/>
        <v>#REF!</v>
      </c>
      <c r="AX60" s="70" t="e">
        <f t="shared" si="23"/>
        <v>#REF!</v>
      </c>
      <c r="AY60" s="70" t="e">
        <f t="shared" si="23"/>
        <v>#REF!</v>
      </c>
      <c r="AZ60" s="70" t="e">
        <f t="shared" si="23"/>
        <v>#REF!</v>
      </c>
      <c r="BA60" s="70" t="e">
        <f t="shared" si="23"/>
        <v>#REF!</v>
      </c>
    </row>
    <row r="61" spans="27:53" hidden="1">
      <c r="AA61" s="71" t="s">
        <v>41</v>
      </c>
      <c r="AB61" s="35"/>
      <c r="AF61" s="70" t="e">
        <f t="shared" ref="AF61:AO61" si="24">AF28+AF30+AF32+AF33+AF35</f>
        <v>#REF!</v>
      </c>
      <c r="AG61" s="70" t="e">
        <f t="shared" si="24"/>
        <v>#REF!</v>
      </c>
      <c r="AH61" s="70" t="e">
        <f t="shared" si="24"/>
        <v>#REF!</v>
      </c>
      <c r="AI61" s="70" t="e">
        <f t="shared" si="24"/>
        <v>#REF!</v>
      </c>
      <c r="AJ61" s="70" t="e">
        <f t="shared" si="24"/>
        <v>#REF!</v>
      </c>
      <c r="AK61" s="70" t="e">
        <f t="shared" si="24"/>
        <v>#REF!</v>
      </c>
      <c r="AL61" s="70" t="e">
        <f t="shared" si="24"/>
        <v>#REF!</v>
      </c>
      <c r="AM61" s="70" t="e">
        <f t="shared" si="24"/>
        <v>#REF!</v>
      </c>
      <c r="AN61" s="70" t="e">
        <f t="shared" si="24"/>
        <v>#REF!</v>
      </c>
      <c r="AO61" s="70" t="e">
        <f t="shared" si="24"/>
        <v>#REF!</v>
      </c>
      <c r="AP61" s="70"/>
      <c r="AQ61" s="70"/>
      <c r="AR61" s="70" t="e">
        <f t="shared" ref="AR61:BA61" si="25">AR28+AR30+AR32+AR33+AR35</f>
        <v>#REF!</v>
      </c>
      <c r="AS61" s="70" t="e">
        <f t="shared" si="25"/>
        <v>#REF!</v>
      </c>
      <c r="AT61" s="70" t="e">
        <f t="shared" si="25"/>
        <v>#REF!</v>
      </c>
      <c r="AU61" s="70" t="e">
        <f t="shared" si="25"/>
        <v>#REF!</v>
      </c>
      <c r="AV61" s="70" t="e">
        <f t="shared" si="25"/>
        <v>#REF!</v>
      </c>
      <c r="AW61" s="70" t="e">
        <f t="shared" si="25"/>
        <v>#REF!</v>
      </c>
      <c r="AX61" s="70" t="e">
        <f t="shared" si="25"/>
        <v>#REF!</v>
      </c>
      <c r="AY61" s="70" t="e">
        <f t="shared" si="25"/>
        <v>#REF!</v>
      </c>
      <c r="AZ61" s="70" t="e">
        <f t="shared" si="25"/>
        <v>#REF!</v>
      </c>
      <c r="BA61" s="70" t="e">
        <f t="shared" si="25"/>
        <v>#REF!</v>
      </c>
    </row>
    <row r="62" spans="27:53" hidden="1">
      <c r="AA62" s="71" t="s">
        <v>42</v>
      </c>
      <c r="AB62" s="35"/>
      <c r="AF62" s="70" t="e">
        <f t="shared" ref="AF62:AO62" si="26">AF39+AF41+AF43+AF44+AF46</f>
        <v>#REF!</v>
      </c>
      <c r="AG62" s="70" t="e">
        <f t="shared" si="26"/>
        <v>#REF!</v>
      </c>
      <c r="AH62" s="70" t="e">
        <f t="shared" si="26"/>
        <v>#REF!</v>
      </c>
      <c r="AI62" s="70" t="e">
        <f t="shared" si="26"/>
        <v>#REF!</v>
      </c>
      <c r="AJ62" s="70" t="e">
        <f t="shared" si="26"/>
        <v>#REF!</v>
      </c>
      <c r="AK62" s="70" t="e">
        <f t="shared" si="26"/>
        <v>#REF!</v>
      </c>
      <c r="AL62" s="70" t="e">
        <f t="shared" si="26"/>
        <v>#REF!</v>
      </c>
      <c r="AM62" s="70" t="e">
        <f t="shared" si="26"/>
        <v>#REF!</v>
      </c>
      <c r="AN62" s="70" t="e">
        <f t="shared" si="26"/>
        <v>#REF!</v>
      </c>
      <c r="AO62" s="70" t="e">
        <f t="shared" si="26"/>
        <v>#REF!</v>
      </c>
      <c r="AP62" s="70"/>
      <c r="AQ62" s="70"/>
      <c r="AR62" s="70" t="e">
        <f t="shared" ref="AR62:BA62" si="27">AR39+AR41+AR43+AR44+AR46</f>
        <v>#REF!</v>
      </c>
      <c r="AS62" s="70" t="e">
        <f t="shared" si="27"/>
        <v>#REF!</v>
      </c>
      <c r="AT62" s="70" t="e">
        <f t="shared" si="27"/>
        <v>#REF!</v>
      </c>
      <c r="AU62" s="70" t="e">
        <f t="shared" si="27"/>
        <v>#REF!</v>
      </c>
      <c r="AV62" s="70" t="e">
        <f t="shared" si="27"/>
        <v>#REF!</v>
      </c>
      <c r="AW62" s="70" t="e">
        <f t="shared" si="27"/>
        <v>#REF!</v>
      </c>
      <c r="AX62" s="70" t="e">
        <f t="shared" si="27"/>
        <v>#REF!</v>
      </c>
      <c r="AY62" s="70" t="e">
        <f t="shared" si="27"/>
        <v>#REF!</v>
      </c>
      <c r="AZ62" s="70" t="e">
        <f t="shared" si="27"/>
        <v>#REF!</v>
      </c>
      <c r="BA62" s="70" t="e">
        <f t="shared" si="27"/>
        <v>#REF!</v>
      </c>
    </row>
    <row r="63" spans="27:53" hidden="1">
      <c r="AA63" s="69" t="s">
        <v>47</v>
      </c>
      <c r="AB63" s="35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</row>
    <row r="64" spans="27:53" hidden="1">
      <c r="AA64" s="71" t="s">
        <v>29</v>
      </c>
      <c r="AB64" s="35"/>
      <c r="AF64" s="70" t="e">
        <f t="shared" ref="AF64:AO64" si="28">AF17+AF19+AF21+AF22+AF25</f>
        <v>#REF!</v>
      </c>
      <c r="AG64" s="70" t="e">
        <f t="shared" si="28"/>
        <v>#REF!</v>
      </c>
      <c r="AH64" s="70" t="e">
        <f t="shared" si="28"/>
        <v>#REF!</v>
      </c>
      <c r="AI64" s="70" t="e">
        <f t="shared" si="28"/>
        <v>#REF!</v>
      </c>
      <c r="AJ64" s="70" t="e">
        <f t="shared" si="28"/>
        <v>#REF!</v>
      </c>
      <c r="AK64" s="70" t="e">
        <f t="shared" si="28"/>
        <v>#REF!</v>
      </c>
      <c r="AL64" s="70" t="e">
        <f t="shared" si="28"/>
        <v>#REF!</v>
      </c>
      <c r="AM64" s="70" t="e">
        <f t="shared" si="28"/>
        <v>#REF!</v>
      </c>
      <c r="AN64" s="70" t="e">
        <f t="shared" si="28"/>
        <v>#REF!</v>
      </c>
      <c r="AO64" s="70" t="e">
        <f t="shared" si="28"/>
        <v>#REF!</v>
      </c>
      <c r="AP64" s="70"/>
      <c r="AQ64" s="70"/>
      <c r="AR64" s="70" t="e">
        <f t="shared" ref="AR64:BA64" si="29">AR17+AR19+AR21+AR22+AR25</f>
        <v>#REF!</v>
      </c>
      <c r="AS64" s="70" t="e">
        <f t="shared" si="29"/>
        <v>#REF!</v>
      </c>
      <c r="AT64" s="70" t="e">
        <f t="shared" si="29"/>
        <v>#REF!</v>
      </c>
      <c r="AU64" s="70" t="e">
        <f t="shared" si="29"/>
        <v>#REF!</v>
      </c>
      <c r="AV64" s="70" t="e">
        <f t="shared" si="29"/>
        <v>#REF!</v>
      </c>
      <c r="AW64" s="70" t="e">
        <f t="shared" si="29"/>
        <v>#REF!</v>
      </c>
      <c r="AX64" s="70" t="e">
        <f t="shared" si="29"/>
        <v>#REF!</v>
      </c>
      <c r="AY64" s="70" t="e">
        <f t="shared" si="29"/>
        <v>#REF!</v>
      </c>
      <c r="AZ64" s="70" t="e">
        <f t="shared" si="29"/>
        <v>#REF!</v>
      </c>
      <c r="BA64" s="70" t="e">
        <f t="shared" si="29"/>
        <v>#REF!</v>
      </c>
    </row>
    <row r="65" spans="27:53" hidden="1">
      <c r="AA65" s="71" t="s">
        <v>41</v>
      </c>
      <c r="AB65" s="35"/>
      <c r="AF65" s="70" t="e">
        <f t="shared" ref="AF65:AO65" si="30">AF28+AF30+AF32+AF33+AF36</f>
        <v>#REF!</v>
      </c>
      <c r="AG65" s="70" t="e">
        <f t="shared" si="30"/>
        <v>#REF!</v>
      </c>
      <c r="AH65" s="70" t="e">
        <f t="shared" si="30"/>
        <v>#REF!</v>
      </c>
      <c r="AI65" s="70" t="e">
        <f t="shared" si="30"/>
        <v>#REF!</v>
      </c>
      <c r="AJ65" s="70" t="e">
        <f t="shared" si="30"/>
        <v>#REF!</v>
      </c>
      <c r="AK65" s="70" t="e">
        <f t="shared" si="30"/>
        <v>#REF!</v>
      </c>
      <c r="AL65" s="70" t="e">
        <f t="shared" si="30"/>
        <v>#REF!</v>
      </c>
      <c r="AM65" s="70" t="e">
        <f t="shared" si="30"/>
        <v>#REF!</v>
      </c>
      <c r="AN65" s="70" t="e">
        <f t="shared" si="30"/>
        <v>#REF!</v>
      </c>
      <c r="AO65" s="70" t="e">
        <f t="shared" si="30"/>
        <v>#REF!</v>
      </c>
      <c r="AP65" s="70"/>
      <c r="AQ65" s="70"/>
      <c r="AR65" s="70" t="e">
        <f t="shared" ref="AR65:BA65" si="31">AR28+AR30+AR32+AR33+AR36</f>
        <v>#REF!</v>
      </c>
      <c r="AS65" s="70" t="e">
        <f t="shared" si="31"/>
        <v>#REF!</v>
      </c>
      <c r="AT65" s="70" t="e">
        <f t="shared" si="31"/>
        <v>#REF!</v>
      </c>
      <c r="AU65" s="70" t="e">
        <f t="shared" si="31"/>
        <v>#REF!</v>
      </c>
      <c r="AV65" s="70" t="e">
        <f t="shared" si="31"/>
        <v>#REF!</v>
      </c>
      <c r="AW65" s="70" t="e">
        <f t="shared" si="31"/>
        <v>#REF!</v>
      </c>
      <c r="AX65" s="70" t="e">
        <f t="shared" si="31"/>
        <v>#REF!</v>
      </c>
      <c r="AY65" s="70" t="e">
        <f t="shared" si="31"/>
        <v>#REF!</v>
      </c>
      <c r="AZ65" s="70" t="e">
        <f t="shared" si="31"/>
        <v>#REF!</v>
      </c>
      <c r="BA65" s="70" t="e">
        <f t="shared" si="31"/>
        <v>#REF!</v>
      </c>
    </row>
    <row r="66" spans="27:53" hidden="1">
      <c r="AA66" s="71" t="s">
        <v>42</v>
      </c>
      <c r="AB66" s="35"/>
      <c r="AF66" s="70" t="e">
        <f t="shared" ref="AF66:AO66" si="32">AF39+AF41+AF43+AF44+AF47</f>
        <v>#REF!</v>
      </c>
      <c r="AG66" s="70" t="e">
        <f t="shared" si="32"/>
        <v>#REF!</v>
      </c>
      <c r="AH66" s="70" t="e">
        <f t="shared" si="32"/>
        <v>#REF!</v>
      </c>
      <c r="AI66" s="70" t="e">
        <f t="shared" si="32"/>
        <v>#REF!</v>
      </c>
      <c r="AJ66" s="70" t="e">
        <f t="shared" si="32"/>
        <v>#REF!</v>
      </c>
      <c r="AK66" s="70" t="e">
        <f t="shared" si="32"/>
        <v>#REF!</v>
      </c>
      <c r="AL66" s="70" t="e">
        <f t="shared" si="32"/>
        <v>#REF!</v>
      </c>
      <c r="AM66" s="70" t="e">
        <f t="shared" si="32"/>
        <v>#REF!</v>
      </c>
      <c r="AN66" s="70" t="e">
        <f t="shared" si="32"/>
        <v>#REF!</v>
      </c>
      <c r="AO66" s="70" t="e">
        <f t="shared" si="32"/>
        <v>#REF!</v>
      </c>
      <c r="AP66" s="70"/>
      <c r="AQ66" s="70"/>
      <c r="AR66" s="70" t="e">
        <f t="shared" ref="AR66:BA66" si="33">AR39+AR41+AR43+AR44+AR47</f>
        <v>#REF!</v>
      </c>
      <c r="AS66" s="70" t="e">
        <f t="shared" si="33"/>
        <v>#REF!</v>
      </c>
      <c r="AT66" s="70" t="e">
        <f t="shared" si="33"/>
        <v>#REF!</v>
      </c>
      <c r="AU66" s="70" t="e">
        <f t="shared" si="33"/>
        <v>#REF!</v>
      </c>
      <c r="AV66" s="70" t="e">
        <f t="shared" si="33"/>
        <v>#REF!</v>
      </c>
      <c r="AW66" s="70" t="e">
        <f t="shared" si="33"/>
        <v>#REF!</v>
      </c>
      <c r="AX66" s="70" t="e">
        <f t="shared" si="33"/>
        <v>#REF!</v>
      </c>
      <c r="AY66" s="70" t="e">
        <f t="shared" si="33"/>
        <v>#REF!</v>
      </c>
      <c r="AZ66" s="70" t="e">
        <f t="shared" si="33"/>
        <v>#REF!</v>
      </c>
      <c r="BA66" s="70" t="e">
        <f t="shared" si="33"/>
        <v>#REF!</v>
      </c>
    </row>
    <row r="67" spans="27:53" hidden="1">
      <c r="AA67" s="69" t="s">
        <v>48</v>
      </c>
      <c r="AB67" s="35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</row>
    <row r="68" spans="27:53" hidden="1">
      <c r="AA68" s="71" t="s">
        <v>29</v>
      </c>
      <c r="AB68" s="35"/>
      <c r="AF68" s="70" t="e">
        <f t="shared" ref="AF68:AO68" si="34">AF17+AF18+AF23</f>
        <v>#REF!</v>
      </c>
      <c r="AG68" s="70" t="e">
        <f t="shared" si="34"/>
        <v>#REF!</v>
      </c>
      <c r="AH68" s="70" t="e">
        <f t="shared" si="34"/>
        <v>#REF!</v>
      </c>
      <c r="AI68" s="70" t="e">
        <f t="shared" si="34"/>
        <v>#REF!</v>
      </c>
      <c r="AJ68" s="70" t="e">
        <f t="shared" si="34"/>
        <v>#REF!</v>
      </c>
      <c r="AK68" s="70" t="e">
        <f t="shared" si="34"/>
        <v>#REF!</v>
      </c>
      <c r="AL68" s="70" t="e">
        <f t="shared" si="34"/>
        <v>#REF!</v>
      </c>
      <c r="AM68" s="70" t="e">
        <f t="shared" si="34"/>
        <v>#REF!</v>
      </c>
      <c r="AN68" s="70" t="e">
        <f t="shared" si="34"/>
        <v>#REF!</v>
      </c>
      <c r="AO68" s="70" t="e">
        <f t="shared" si="34"/>
        <v>#REF!</v>
      </c>
      <c r="AP68" s="70"/>
      <c r="AQ68" s="70"/>
      <c r="AR68" s="70" t="e">
        <f t="shared" ref="AR68:BA68" si="35">AR17+AR18+AR23</f>
        <v>#REF!</v>
      </c>
      <c r="AS68" s="70" t="e">
        <f t="shared" si="35"/>
        <v>#REF!</v>
      </c>
      <c r="AT68" s="70" t="e">
        <f t="shared" si="35"/>
        <v>#REF!</v>
      </c>
      <c r="AU68" s="70" t="e">
        <f t="shared" si="35"/>
        <v>#REF!</v>
      </c>
      <c r="AV68" s="70" t="e">
        <f t="shared" si="35"/>
        <v>#REF!</v>
      </c>
      <c r="AW68" s="70" t="e">
        <f t="shared" si="35"/>
        <v>#REF!</v>
      </c>
      <c r="AX68" s="70" t="e">
        <f t="shared" si="35"/>
        <v>#REF!</v>
      </c>
      <c r="AY68" s="70" t="e">
        <f t="shared" si="35"/>
        <v>#REF!</v>
      </c>
      <c r="AZ68" s="70" t="e">
        <f t="shared" si="35"/>
        <v>#REF!</v>
      </c>
      <c r="BA68" s="70" t="e">
        <f t="shared" si="35"/>
        <v>#REF!</v>
      </c>
    </row>
    <row r="69" spans="27:53" hidden="1">
      <c r="AA69" s="71" t="s">
        <v>41</v>
      </c>
      <c r="AB69" s="35"/>
      <c r="AF69" s="70" t="e">
        <f t="shared" ref="AF69:AO69" si="36">AF28+AF29+AF34</f>
        <v>#REF!</v>
      </c>
      <c r="AG69" s="70" t="e">
        <f t="shared" si="36"/>
        <v>#REF!</v>
      </c>
      <c r="AH69" s="70" t="e">
        <f t="shared" si="36"/>
        <v>#REF!</v>
      </c>
      <c r="AI69" s="70" t="e">
        <f t="shared" si="36"/>
        <v>#REF!</v>
      </c>
      <c r="AJ69" s="70" t="e">
        <f t="shared" si="36"/>
        <v>#REF!</v>
      </c>
      <c r="AK69" s="70" t="e">
        <f t="shared" si="36"/>
        <v>#REF!</v>
      </c>
      <c r="AL69" s="70" t="e">
        <f t="shared" si="36"/>
        <v>#REF!</v>
      </c>
      <c r="AM69" s="70" t="e">
        <f t="shared" si="36"/>
        <v>#REF!</v>
      </c>
      <c r="AN69" s="70" t="e">
        <f t="shared" si="36"/>
        <v>#REF!</v>
      </c>
      <c r="AO69" s="70" t="e">
        <f t="shared" si="36"/>
        <v>#REF!</v>
      </c>
      <c r="AP69" s="70"/>
      <c r="AQ69" s="70"/>
      <c r="AR69" s="70" t="e">
        <f t="shared" ref="AR69:BA69" si="37">AR28+AR29+AR34</f>
        <v>#REF!</v>
      </c>
      <c r="AS69" s="70" t="e">
        <f t="shared" si="37"/>
        <v>#REF!</v>
      </c>
      <c r="AT69" s="70" t="e">
        <f t="shared" si="37"/>
        <v>#REF!</v>
      </c>
      <c r="AU69" s="70" t="e">
        <f t="shared" si="37"/>
        <v>#REF!</v>
      </c>
      <c r="AV69" s="70" t="e">
        <f t="shared" si="37"/>
        <v>#REF!</v>
      </c>
      <c r="AW69" s="70" t="e">
        <f t="shared" si="37"/>
        <v>#REF!</v>
      </c>
      <c r="AX69" s="70" t="e">
        <f t="shared" si="37"/>
        <v>#REF!</v>
      </c>
      <c r="AY69" s="70" t="e">
        <f t="shared" si="37"/>
        <v>#REF!</v>
      </c>
      <c r="AZ69" s="70" t="e">
        <f t="shared" si="37"/>
        <v>#REF!</v>
      </c>
      <c r="BA69" s="70" t="e">
        <f t="shared" si="37"/>
        <v>#REF!</v>
      </c>
    </row>
    <row r="70" spans="27:53" hidden="1">
      <c r="AA70" s="71" t="s">
        <v>42</v>
      </c>
      <c r="AB70" s="35"/>
      <c r="AF70" s="70" t="e">
        <f t="shared" ref="AF70:AO70" si="38">AF39+AF40+AF45</f>
        <v>#REF!</v>
      </c>
      <c r="AG70" s="70" t="e">
        <f t="shared" si="38"/>
        <v>#REF!</v>
      </c>
      <c r="AH70" s="70" t="e">
        <f t="shared" si="38"/>
        <v>#REF!</v>
      </c>
      <c r="AI70" s="70" t="e">
        <f t="shared" si="38"/>
        <v>#REF!</v>
      </c>
      <c r="AJ70" s="70" t="e">
        <f t="shared" si="38"/>
        <v>#REF!</v>
      </c>
      <c r="AK70" s="70" t="e">
        <f t="shared" si="38"/>
        <v>#REF!</v>
      </c>
      <c r="AL70" s="70" t="e">
        <f t="shared" si="38"/>
        <v>#REF!</v>
      </c>
      <c r="AM70" s="70" t="e">
        <f t="shared" si="38"/>
        <v>#REF!</v>
      </c>
      <c r="AN70" s="70" t="e">
        <f t="shared" si="38"/>
        <v>#REF!</v>
      </c>
      <c r="AO70" s="70" t="e">
        <f t="shared" si="38"/>
        <v>#REF!</v>
      </c>
      <c r="AP70" s="70"/>
      <c r="AQ70" s="70"/>
      <c r="AR70" s="70" t="e">
        <f t="shared" ref="AR70:BA70" si="39">AR39+AR40+AR45</f>
        <v>#REF!</v>
      </c>
      <c r="AS70" s="70" t="e">
        <f t="shared" si="39"/>
        <v>#REF!</v>
      </c>
      <c r="AT70" s="70" t="e">
        <f t="shared" si="39"/>
        <v>#REF!</v>
      </c>
      <c r="AU70" s="70" t="e">
        <f t="shared" si="39"/>
        <v>#REF!</v>
      </c>
      <c r="AV70" s="70" t="e">
        <f t="shared" si="39"/>
        <v>#REF!</v>
      </c>
      <c r="AW70" s="70" t="e">
        <f t="shared" si="39"/>
        <v>#REF!</v>
      </c>
      <c r="AX70" s="70" t="e">
        <f t="shared" si="39"/>
        <v>#REF!</v>
      </c>
      <c r="AY70" s="70" t="e">
        <f t="shared" si="39"/>
        <v>#REF!</v>
      </c>
      <c r="AZ70" s="70" t="e">
        <f t="shared" si="39"/>
        <v>#REF!</v>
      </c>
      <c r="BA70" s="70" t="e">
        <f t="shared" si="39"/>
        <v>#REF!</v>
      </c>
    </row>
    <row r="71" spans="27:53" hidden="1">
      <c r="AA71" s="72" t="s">
        <v>49</v>
      </c>
      <c r="AB71" s="35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</row>
    <row r="72" spans="27:53" hidden="1">
      <c r="AA72" s="71" t="s">
        <v>29</v>
      </c>
      <c r="AB72" s="35"/>
      <c r="AF72" s="70" t="e">
        <f t="shared" ref="AF72:AO72" si="40">AF17+AF18+AF22+AF24</f>
        <v>#REF!</v>
      </c>
      <c r="AG72" s="70" t="e">
        <f t="shared" si="40"/>
        <v>#REF!</v>
      </c>
      <c r="AH72" s="70" t="e">
        <f t="shared" si="40"/>
        <v>#REF!</v>
      </c>
      <c r="AI72" s="70" t="e">
        <f t="shared" si="40"/>
        <v>#REF!</v>
      </c>
      <c r="AJ72" s="70" t="e">
        <f t="shared" si="40"/>
        <v>#REF!</v>
      </c>
      <c r="AK72" s="70" t="e">
        <f t="shared" si="40"/>
        <v>#REF!</v>
      </c>
      <c r="AL72" s="70" t="e">
        <f t="shared" si="40"/>
        <v>#REF!</v>
      </c>
      <c r="AM72" s="70" t="e">
        <f t="shared" si="40"/>
        <v>#REF!</v>
      </c>
      <c r="AN72" s="70" t="e">
        <f t="shared" si="40"/>
        <v>#REF!</v>
      </c>
      <c r="AO72" s="70" t="e">
        <f t="shared" si="40"/>
        <v>#REF!</v>
      </c>
      <c r="AP72" s="70"/>
      <c r="AQ72" s="70"/>
      <c r="AR72" s="70" t="e">
        <f t="shared" ref="AR72:BA72" si="41">AR17+AR18+AR22+AR24</f>
        <v>#REF!</v>
      </c>
      <c r="AS72" s="70" t="e">
        <f t="shared" si="41"/>
        <v>#REF!</v>
      </c>
      <c r="AT72" s="70" t="e">
        <f t="shared" si="41"/>
        <v>#REF!</v>
      </c>
      <c r="AU72" s="70" t="e">
        <f t="shared" si="41"/>
        <v>#REF!</v>
      </c>
      <c r="AV72" s="70" t="e">
        <f t="shared" si="41"/>
        <v>#REF!</v>
      </c>
      <c r="AW72" s="70" t="e">
        <f t="shared" si="41"/>
        <v>#REF!</v>
      </c>
      <c r="AX72" s="70" t="e">
        <f t="shared" si="41"/>
        <v>#REF!</v>
      </c>
      <c r="AY72" s="70" t="e">
        <f t="shared" si="41"/>
        <v>#REF!</v>
      </c>
      <c r="AZ72" s="70" t="e">
        <f t="shared" si="41"/>
        <v>#REF!</v>
      </c>
      <c r="BA72" s="70" t="e">
        <f t="shared" si="41"/>
        <v>#REF!</v>
      </c>
    </row>
    <row r="73" spans="27:53" hidden="1">
      <c r="AA73" s="71" t="s">
        <v>41</v>
      </c>
      <c r="AB73" s="35"/>
      <c r="AF73" s="70" t="e">
        <f t="shared" ref="AF73:AO73" si="42">AF28+AF29+AF33+AF35</f>
        <v>#REF!</v>
      </c>
      <c r="AG73" s="70" t="e">
        <f t="shared" si="42"/>
        <v>#REF!</v>
      </c>
      <c r="AH73" s="70" t="e">
        <f t="shared" si="42"/>
        <v>#REF!</v>
      </c>
      <c r="AI73" s="70" t="e">
        <f t="shared" si="42"/>
        <v>#REF!</v>
      </c>
      <c r="AJ73" s="70" t="e">
        <f t="shared" si="42"/>
        <v>#REF!</v>
      </c>
      <c r="AK73" s="70" t="e">
        <f t="shared" si="42"/>
        <v>#REF!</v>
      </c>
      <c r="AL73" s="70" t="e">
        <f t="shared" si="42"/>
        <v>#REF!</v>
      </c>
      <c r="AM73" s="70" t="e">
        <f t="shared" si="42"/>
        <v>#REF!</v>
      </c>
      <c r="AN73" s="70" t="e">
        <f t="shared" si="42"/>
        <v>#REF!</v>
      </c>
      <c r="AO73" s="70" t="e">
        <f t="shared" si="42"/>
        <v>#REF!</v>
      </c>
      <c r="AP73" s="70"/>
      <c r="AQ73" s="70"/>
      <c r="AR73" s="70" t="e">
        <f t="shared" ref="AR73:BA73" si="43">AR28+AR29+AR33+AR35</f>
        <v>#REF!</v>
      </c>
      <c r="AS73" s="70" t="e">
        <f t="shared" si="43"/>
        <v>#REF!</v>
      </c>
      <c r="AT73" s="70" t="e">
        <f t="shared" si="43"/>
        <v>#REF!</v>
      </c>
      <c r="AU73" s="70" t="e">
        <f t="shared" si="43"/>
        <v>#REF!</v>
      </c>
      <c r="AV73" s="70" t="e">
        <f t="shared" si="43"/>
        <v>#REF!</v>
      </c>
      <c r="AW73" s="70" t="e">
        <f t="shared" si="43"/>
        <v>#REF!</v>
      </c>
      <c r="AX73" s="70" t="e">
        <f t="shared" si="43"/>
        <v>#REF!</v>
      </c>
      <c r="AY73" s="70" t="e">
        <f t="shared" si="43"/>
        <v>#REF!</v>
      </c>
      <c r="AZ73" s="70" t="e">
        <f t="shared" si="43"/>
        <v>#REF!</v>
      </c>
      <c r="BA73" s="70" t="e">
        <f t="shared" si="43"/>
        <v>#REF!</v>
      </c>
    </row>
    <row r="74" spans="27:53" hidden="1">
      <c r="AA74" s="71" t="s">
        <v>42</v>
      </c>
      <c r="AB74" s="35"/>
      <c r="AF74" s="70" t="e">
        <f t="shared" ref="AF74:AO74" si="44">AF39+AF40+AF44+AF46</f>
        <v>#REF!</v>
      </c>
      <c r="AG74" s="70" t="e">
        <f t="shared" si="44"/>
        <v>#REF!</v>
      </c>
      <c r="AH74" s="70" t="e">
        <f t="shared" si="44"/>
        <v>#REF!</v>
      </c>
      <c r="AI74" s="70" t="e">
        <f t="shared" si="44"/>
        <v>#REF!</v>
      </c>
      <c r="AJ74" s="70" t="e">
        <f t="shared" si="44"/>
        <v>#REF!</v>
      </c>
      <c r="AK74" s="70" t="e">
        <f t="shared" si="44"/>
        <v>#REF!</v>
      </c>
      <c r="AL74" s="70" t="e">
        <f t="shared" si="44"/>
        <v>#REF!</v>
      </c>
      <c r="AM74" s="70" t="e">
        <f t="shared" si="44"/>
        <v>#REF!</v>
      </c>
      <c r="AN74" s="70" t="e">
        <f t="shared" si="44"/>
        <v>#REF!</v>
      </c>
      <c r="AO74" s="70" t="e">
        <f t="shared" si="44"/>
        <v>#REF!</v>
      </c>
      <c r="AP74" s="70"/>
      <c r="AQ74" s="70"/>
      <c r="AR74" s="70" t="e">
        <f t="shared" ref="AR74:BA74" si="45">AR39+AR40+AR44+AR46</f>
        <v>#REF!</v>
      </c>
      <c r="AS74" s="70" t="e">
        <f t="shared" si="45"/>
        <v>#REF!</v>
      </c>
      <c r="AT74" s="70" t="e">
        <f t="shared" si="45"/>
        <v>#REF!</v>
      </c>
      <c r="AU74" s="70" t="e">
        <f t="shared" si="45"/>
        <v>#REF!</v>
      </c>
      <c r="AV74" s="70" t="e">
        <f t="shared" si="45"/>
        <v>#REF!</v>
      </c>
      <c r="AW74" s="70" t="e">
        <f t="shared" si="45"/>
        <v>#REF!</v>
      </c>
      <c r="AX74" s="70" t="e">
        <f t="shared" si="45"/>
        <v>#REF!</v>
      </c>
      <c r="AY74" s="70" t="e">
        <f t="shared" si="45"/>
        <v>#REF!</v>
      </c>
      <c r="AZ74" s="70" t="e">
        <f t="shared" si="45"/>
        <v>#REF!</v>
      </c>
      <c r="BA74" s="70" t="e">
        <f t="shared" si="45"/>
        <v>#REF!</v>
      </c>
    </row>
    <row r="75" spans="27:53" hidden="1">
      <c r="AA75" s="69" t="s">
        <v>50</v>
      </c>
      <c r="AB75" s="35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</row>
    <row r="76" spans="27:53" hidden="1">
      <c r="AA76" s="71" t="s">
        <v>29</v>
      </c>
      <c r="AB76" s="35"/>
      <c r="AF76" s="70" t="e">
        <f t="shared" ref="AF76:AO76" si="46">AF17+AF18+AF22+AF25</f>
        <v>#REF!</v>
      </c>
      <c r="AG76" s="70" t="e">
        <f t="shared" si="46"/>
        <v>#REF!</v>
      </c>
      <c r="AH76" s="70" t="e">
        <f t="shared" si="46"/>
        <v>#REF!</v>
      </c>
      <c r="AI76" s="70" t="e">
        <f t="shared" si="46"/>
        <v>#REF!</v>
      </c>
      <c r="AJ76" s="70" t="e">
        <f t="shared" si="46"/>
        <v>#REF!</v>
      </c>
      <c r="AK76" s="70" t="e">
        <f t="shared" si="46"/>
        <v>#REF!</v>
      </c>
      <c r="AL76" s="70" t="e">
        <f t="shared" si="46"/>
        <v>#REF!</v>
      </c>
      <c r="AM76" s="70" t="e">
        <f t="shared" si="46"/>
        <v>#REF!</v>
      </c>
      <c r="AN76" s="70" t="e">
        <f t="shared" si="46"/>
        <v>#REF!</v>
      </c>
      <c r="AO76" s="70" t="e">
        <f t="shared" si="46"/>
        <v>#REF!</v>
      </c>
      <c r="AP76" s="70"/>
      <c r="AQ76" s="70"/>
      <c r="AR76" s="70" t="e">
        <f t="shared" ref="AR76:BA76" si="47">AR17+AR18+AR22+AR25</f>
        <v>#REF!</v>
      </c>
      <c r="AS76" s="70" t="e">
        <f t="shared" si="47"/>
        <v>#REF!</v>
      </c>
      <c r="AT76" s="70" t="e">
        <f t="shared" si="47"/>
        <v>#REF!</v>
      </c>
      <c r="AU76" s="70" t="e">
        <f t="shared" si="47"/>
        <v>#REF!</v>
      </c>
      <c r="AV76" s="70" t="e">
        <f t="shared" si="47"/>
        <v>#REF!</v>
      </c>
      <c r="AW76" s="70" t="e">
        <f t="shared" si="47"/>
        <v>#REF!</v>
      </c>
      <c r="AX76" s="70" t="e">
        <f t="shared" si="47"/>
        <v>#REF!</v>
      </c>
      <c r="AY76" s="70" t="e">
        <f t="shared" si="47"/>
        <v>#REF!</v>
      </c>
      <c r="AZ76" s="70" t="e">
        <f t="shared" si="47"/>
        <v>#REF!</v>
      </c>
      <c r="BA76" s="70" t="e">
        <f t="shared" si="47"/>
        <v>#REF!</v>
      </c>
    </row>
    <row r="77" spans="27:53" hidden="1">
      <c r="AA77" s="71" t="s">
        <v>41</v>
      </c>
      <c r="AB77" s="35"/>
      <c r="AF77" s="70" t="e">
        <f t="shared" ref="AF77:AO77" si="48">AF28+AF29+AF33+AF36</f>
        <v>#REF!</v>
      </c>
      <c r="AG77" s="70" t="e">
        <f t="shared" si="48"/>
        <v>#REF!</v>
      </c>
      <c r="AH77" s="70" t="e">
        <f t="shared" si="48"/>
        <v>#REF!</v>
      </c>
      <c r="AI77" s="70" t="e">
        <f t="shared" si="48"/>
        <v>#REF!</v>
      </c>
      <c r="AJ77" s="70" t="e">
        <f t="shared" si="48"/>
        <v>#REF!</v>
      </c>
      <c r="AK77" s="70" t="e">
        <f t="shared" si="48"/>
        <v>#REF!</v>
      </c>
      <c r="AL77" s="70" t="e">
        <f t="shared" si="48"/>
        <v>#REF!</v>
      </c>
      <c r="AM77" s="70" t="e">
        <f t="shared" si="48"/>
        <v>#REF!</v>
      </c>
      <c r="AN77" s="70" t="e">
        <f t="shared" si="48"/>
        <v>#REF!</v>
      </c>
      <c r="AO77" s="70" t="e">
        <f t="shared" si="48"/>
        <v>#REF!</v>
      </c>
      <c r="AP77" s="70"/>
      <c r="AQ77" s="70"/>
      <c r="AR77" s="70" t="e">
        <f t="shared" ref="AR77:BA77" si="49">AR28+AR29+AR33+AR36</f>
        <v>#REF!</v>
      </c>
      <c r="AS77" s="70" t="e">
        <f t="shared" si="49"/>
        <v>#REF!</v>
      </c>
      <c r="AT77" s="70" t="e">
        <f t="shared" si="49"/>
        <v>#REF!</v>
      </c>
      <c r="AU77" s="70" t="e">
        <f t="shared" si="49"/>
        <v>#REF!</v>
      </c>
      <c r="AV77" s="70" t="e">
        <f t="shared" si="49"/>
        <v>#REF!</v>
      </c>
      <c r="AW77" s="70" t="e">
        <f t="shared" si="49"/>
        <v>#REF!</v>
      </c>
      <c r="AX77" s="70" t="e">
        <f t="shared" si="49"/>
        <v>#REF!</v>
      </c>
      <c r="AY77" s="70" t="e">
        <f t="shared" si="49"/>
        <v>#REF!</v>
      </c>
      <c r="AZ77" s="70" t="e">
        <f t="shared" si="49"/>
        <v>#REF!</v>
      </c>
      <c r="BA77" s="70" t="e">
        <f t="shared" si="49"/>
        <v>#REF!</v>
      </c>
    </row>
    <row r="78" spans="27:53" hidden="1">
      <c r="AA78" s="71" t="s">
        <v>42</v>
      </c>
      <c r="AB78" s="35"/>
      <c r="AF78" s="70" t="e">
        <f t="shared" ref="AF78:AO78" si="50">AF39+AF40+AF44+AF47</f>
        <v>#REF!</v>
      </c>
      <c r="AG78" s="70" t="e">
        <f t="shared" si="50"/>
        <v>#REF!</v>
      </c>
      <c r="AH78" s="70" t="e">
        <f t="shared" si="50"/>
        <v>#REF!</v>
      </c>
      <c r="AI78" s="70" t="e">
        <f t="shared" si="50"/>
        <v>#REF!</v>
      </c>
      <c r="AJ78" s="70" t="e">
        <f t="shared" si="50"/>
        <v>#REF!</v>
      </c>
      <c r="AK78" s="70" t="e">
        <f t="shared" si="50"/>
        <v>#REF!</v>
      </c>
      <c r="AL78" s="70" t="e">
        <f t="shared" si="50"/>
        <v>#REF!</v>
      </c>
      <c r="AM78" s="70" t="e">
        <f t="shared" si="50"/>
        <v>#REF!</v>
      </c>
      <c r="AN78" s="70" t="e">
        <f t="shared" si="50"/>
        <v>#REF!</v>
      </c>
      <c r="AO78" s="70" t="e">
        <f t="shared" si="50"/>
        <v>#REF!</v>
      </c>
      <c r="AP78" s="70"/>
      <c r="AQ78" s="70"/>
      <c r="AR78" s="70" t="e">
        <f t="shared" ref="AR78:BA78" si="51">AR39+AR40+AR44+AR47</f>
        <v>#REF!</v>
      </c>
      <c r="AS78" s="70" t="e">
        <f t="shared" si="51"/>
        <v>#REF!</v>
      </c>
      <c r="AT78" s="70" t="e">
        <f t="shared" si="51"/>
        <v>#REF!</v>
      </c>
      <c r="AU78" s="70" t="e">
        <f t="shared" si="51"/>
        <v>#REF!</v>
      </c>
      <c r="AV78" s="70" t="e">
        <f t="shared" si="51"/>
        <v>#REF!</v>
      </c>
      <c r="AW78" s="70" t="e">
        <f t="shared" si="51"/>
        <v>#REF!</v>
      </c>
      <c r="AX78" s="70" t="e">
        <f t="shared" si="51"/>
        <v>#REF!</v>
      </c>
      <c r="AY78" s="70" t="e">
        <f t="shared" si="51"/>
        <v>#REF!</v>
      </c>
      <c r="AZ78" s="70" t="e">
        <f t="shared" si="51"/>
        <v>#REF!</v>
      </c>
      <c r="BA78" s="70" t="e">
        <f t="shared" si="51"/>
        <v>#REF!</v>
      </c>
    </row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7" spans="1:52" hidden="1"/>
    <row r="89" spans="1:52">
      <c r="A89" s="598" t="s">
        <v>108</v>
      </c>
      <c r="B89" s="598" t="s">
        <v>52</v>
      </c>
      <c r="C89" s="39" t="s">
        <v>101</v>
      </c>
      <c r="D89" s="39" t="s">
        <v>53</v>
      </c>
      <c r="E89" s="39" t="s">
        <v>54</v>
      </c>
      <c r="F89" s="587" t="s">
        <v>64</v>
      </c>
      <c r="G89" s="600"/>
      <c r="H89" s="600"/>
      <c r="I89" s="600"/>
      <c r="J89" s="600"/>
      <c r="K89" s="600"/>
      <c r="L89" s="600"/>
      <c r="M89" s="600"/>
      <c r="N89" s="600"/>
      <c r="O89" s="600"/>
      <c r="P89" s="590"/>
      <c r="AN89" s="38"/>
      <c r="AZ89" s="36"/>
    </row>
    <row r="90" spans="1:52" ht="63.75">
      <c r="A90" s="599"/>
      <c r="B90" s="599"/>
      <c r="C90" s="41" t="s">
        <v>66</v>
      </c>
      <c r="D90" s="41" t="s">
        <v>67</v>
      </c>
      <c r="E90" s="41" t="s">
        <v>68</v>
      </c>
      <c r="F90" s="567" t="s">
        <v>55</v>
      </c>
      <c r="G90" s="567" t="s">
        <v>73</v>
      </c>
      <c r="H90" s="567" t="s">
        <v>74</v>
      </c>
      <c r="I90" s="567" t="s">
        <v>58</v>
      </c>
      <c r="J90" s="567" t="s">
        <v>59</v>
      </c>
      <c r="K90" s="567" t="s">
        <v>60</v>
      </c>
      <c r="L90" s="566" t="s">
        <v>75</v>
      </c>
      <c r="M90" s="566" t="s">
        <v>76</v>
      </c>
      <c r="N90" s="566" t="s">
        <v>61</v>
      </c>
      <c r="O90" s="566" t="s">
        <v>62</v>
      </c>
      <c r="P90" s="566" t="s">
        <v>63</v>
      </c>
      <c r="AN90" s="38"/>
      <c r="AZ90" s="36"/>
    </row>
    <row r="91" spans="1:52" ht="25.5">
      <c r="A91" s="44" t="str">
        <f t="shared" ref="A91:C94" si="52">A4</f>
        <v>General Construction</v>
      </c>
      <c r="B91" s="45" t="str">
        <f t="shared" si="52"/>
        <v>Light-Duty Truck, catalyst</v>
      </c>
      <c r="C91" s="46">
        <f t="shared" si="52"/>
        <v>3</v>
      </c>
      <c r="D91" s="46">
        <v>35</v>
      </c>
      <c r="E91" s="46">
        <v>80</v>
      </c>
      <c r="F91" s="50">
        <f>C4*($E4*$F4+($G4))/453.59</f>
        <v>1.4571581576427601</v>
      </c>
      <c r="G91" s="50">
        <f>C4*($E4*$H4+($I4))/453.59</f>
        <v>0.13101197188313402</v>
      </c>
      <c r="H91" s="50">
        <f>C4*(($E4*$J4)+($K4)+($L4)+($E4*$N4)+(($M4+$O4)))/453.59</f>
        <v>0.15149994097185998</v>
      </c>
      <c r="I91" s="50">
        <f>C4*($E4*$P4+($Q4))/453.59</f>
        <v>2.1803910814818476E-3</v>
      </c>
      <c r="J91" s="50">
        <f>C4*(($E4*($R4+$T4+$U4))+($S4))/453.59</f>
        <v>2.5572271365623688E-2</v>
      </c>
      <c r="K91" s="50">
        <f>$C4*(($E4*($V4+$X4+$Y4))+($W4))/453.59</f>
        <v>1.1136015972759426E-2</v>
      </c>
      <c r="L91" s="50">
        <f>$B$24*C4*(E4+6)</f>
        <v>2.5315747758215698E-2</v>
      </c>
      <c r="M91" s="50">
        <f t="shared" ref="M91:M94" si="53">0.41*L91</f>
        <v>1.0379456580868435E-2</v>
      </c>
      <c r="N91" s="50">
        <f>C4*($E4*$Z4+($AA4))/453.59</f>
        <v>166.27073017811671</v>
      </c>
      <c r="O91" s="50">
        <f>C4*($E4*$AB4+($AC4))/453.59</f>
        <v>9.5114261670907474E-3</v>
      </c>
      <c r="P91" s="50">
        <f>C4*($E4*$AD4+($AE4))/453.59</f>
        <v>1.7313359741530081E-2</v>
      </c>
      <c r="AN91" s="38"/>
      <c r="AZ91" s="36"/>
    </row>
    <row r="92" spans="1:52" ht="25.5">
      <c r="A92" s="44" t="str">
        <f t="shared" si="52"/>
        <v>Demolition</v>
      </c>
      <c r="B92" s="45" t="str">
        <f t="shared" si="52"/>
        <v>Light-Duty Truck, catalyst</v>
      </c>
      <c r="C92" s="46">
        <f t="shared" si="52"/>
        <v>20</v>
      </c>
      <c r="D92" s="46">
        <v>35</v>
      </c>
      <c r="E92" s="46">
        <v>80</v>
      </c>
      <c r="F92" s="50">
        <f>C5*($E5*$F5+($G5))/453.59</f>
        <v>9.7143877176184024</v>
      </c>
      <c r="G92" s="50">
        <f>C5*($E5*$H5+($I5))/453.59</f>
        <v>0.87341314588756025</v>
      </c>
      <c r="H92" s="50">
        <f>C5*(($E5*$J5)+($K5)+($L5)+($E5*$N5)+(($M5+$O5)))/453.59</f>
        <v>1.0099996064790666</v>
      </c>
      <c r="I92" s="50">
        <f>C5*($E5*$P5+($Q5))/453.59</f>
        <v>1.453594054321232E-2</v>
      </c>
      <c r="J92" s="50">
        <f>C5*(($E5*($R5+$T5+$U5))+($S5))/453.59</f>
        <v>0.17048180910415792</v>
      </c>
      <c r="K92" s="50">
        <f>$C5*(($E5*($V5+$X5+$Y5))+($W5))/453.59</f>
        <v>7.4240106485062823E-2</v>
      </c>
      <c r="L92" s="50">
        <f>$B$24*C5*(E5+6)</f>
        <v>0.16877165172143796</v>
      </c>
      <c r="M92" s="50">
        <f t="shared" si="53"/>
        <v>6.9196377205789555E-2</v>
      </c>
      <c r="N92" s="50">
        <f>C5*($E5*$Z5+($AA5))/453.59</f>
        <v>1108.4715345207778</v>
      </c>
      <c r="O92" s="50">
        <f>C5*($E5*$AB5+($AC5))/453.59</f>
        <v>6.3409507780604987E-2</v>
      </c>
      <c r="P92" s="50">
        <f>C5*($E5*$AD5+($AE5))/453.59</f>
        <v>0.11542239827686719</v>
      </c>
      <c r="AN92" s="38"/>
      <c r="AZ92" s="36"/>
    </row>
    <row r="93" spans="1:52" ht="25.5">
      <c r="A93" s="44" t="str">
        <f t="shared" si="52"/>
        <v>Site and Access Road Grading</v>
      </c>
      <c r="B93" s="45" t="str">
        <f t="shared" si="52"/>
        <v>Light-Duty Truck, catalyst</v>
      </c>
      <c r="C93" s="46">
        <f t="shared" si="52"/>
        <v>19</v>
      </c>
      <c r="D93" s="46">
        <v>35</v>
      </c>
      <c r="E93" s="46">
        <v>80</v>
      </c>
      <c r="F93" s="50">
        <f>C6*($E6*$F6+($G6))/453.59</f>
        <v>9.2286683317374809</v>
      </c>
      <c r="G93" s="50">
        <f>C6*($E6*$H6+($I6))/453.59</f>
        <v>0.82974248859318211</v>
      </c>
      <c r="H93" s="50">
        <f>C6*(($E6*$J6)+($K6)+($L6)+($E6*$N6)+(($M6+$O6)))/453.59</f>
        <v>0.95949962615511319</v>
      </c>
      <c r="I93" s="50">
        <f>C6*($E6*$P6+($Q6))/453.59</f>
        <v>1.3809143516051703E-2</v>
      </c>
      <c r="J93" s="50">
        <f>C6*(($E6*($R6+$T6+$U6))+($S6))/453.59</f>
        <v>0.16195771864895006</v>
      </c>
      <c r="K93" s="50">
        <f>$C6*(($E6*($V6+$X6+$Y6))+($W6))/453.59</f>
        <v>7.0528101160809695E-2</v>
      </c>
      <c r="L93" s="50">
        <f>$B$24*C6*(E6+6)</f>
        <v>0.16033306913536607</v>
      </c>
      <c r="M93" s="50">
        <f t="shared" si="53"/>
        <v>6.5736558345500087E-2</v>
      </c>
      <c r="N93" s="50">
        <f>C6*($E6*$Z6+($AA6))/453.59</f>
        <v>1053.047957794739</v>
      </c>
      <c r="O93" s="50">
        <f>C6*($E6*$AB6+($AC6))/453.59</f>
        <v>6.0239032391574736E-2</v>
      </c>
      <c r="P93" s="50">
        <f>C6*($E6*$AD6+($AE6))/453.59</f>
        <v>0.10965127836302384</v>
      </c>
      <c r="AN93" s="38"/>
      <c r="AZ93" s="36"/>
    </row>
    <row r="94" spans="1:52" ht="25.5">
      <c r="A94" s="44" t="str">
        <f t="shared" si="52"/>
        <v>Retaining Walls</v>
      </c>
      <c r="B94" s="45" t="str">
        <f t="shared" si="52"/>
        <v>Light-Duty Truck, catalyst</v>
      </c>
      <c r="C94" s="46">
        <f t="shared" si="52"/>
        <v>8</v>
      </c>
      <c r="D94" s="46">
        <v>35</v>
      </c>
      <c r="E94" s="46">
        <v>80</v>
      </c>
      <c r="F94" s="50">
        <f>C7*($E7*$F7+($G7))/453.59</f>
        <v>3.8857550870473605</v>
      </c>
      <c r="G94" s="50">
        <f>C7*($E7*$H7+($I7))/453.59</f>
        <v>0.34936525835502408</v>
      </c>
      <c r="H94" s="50">
        <f>C7*(($E7*$J7)+($K7)+($L7)+($E7*$N7)+(($M7+$O7)))/453.59</f>
        <v>0.40399984259162663</v>
      </c>
      <c r="I94" s="50">
        <f>C7*($E7*$P7+($Q7))/453.59</f>
        <v>5.8143762172849275E-3</v>
      </c>
      <c r="J94" s="50">
        <f>C7*(($E7*($R7+$T7+$U7))+($S7))/453.59</f>
        <v>6.8192723641663178E-2</v>
      </c>
      <c r="K94" s="50">
        <f>$C7*(($E7*($V7+$X7+$Y7))+($W7))/453.59</f>
        <v>2.9696042594025134E-2</v>
      </c>
      <c r="L94" s="50">
        <f>$B$24*C7*(E7+6)</f>
        <v>6.7508660688575195E-2</v>
      </c>
      <c r="M94" s="50">
        <f t="shared" si="53"/>
        <v>2.7678550882315828E-2</v>
      </c>
      <c r="N94" s="50">
        <f>C7*($E7*$Z7+($AA7))/453.59</f>
        <v>443.38861380831116</v>
      </c>
      <c r="O94" s="50">
        <f>C7*($E7*$AB7+($AC7))/453.59</f>
        <v>2.5363803112241994E-2</v>
      </c>
      <c r="P94" s="50">
        <f>C7*($E7*$AD7+($AE7))/453.59</f>
        <v>4.6168959310746882E-2</v>
      </c>
      <c r="AN94" s="38"/>
      <c r="AZ94" s="36"/>
    </row>
    <row r="95" spans="1:52">
      <c r="A95" s="61" t="s">
        <v>389</v>
      </c>
      <c r="B95" s="40"/>
      <c r="C95" s="40"/>
      <c r="D95" s="40"/>
      <c r="E95" s="40"/>
      <c r="F95" s="81">
        <f t="shared" ref="F95:P95" si="54">SUM(F91:F94)</f>
        <v>24.285969294046005</v>
      </c>
      <c r="G95" s="81">
        <f t="shared" si="54"/>
        <v>2.1835328647189005</v>
      </c>
      <c r="H95" s="81">
        <f t="shared" si="54"/>
        <v>2.5249990161976665</v>
      </c>
      <c r="I95" s="81">
        <f t="shared" si="54"/>
        <v>3.6339851358030799E-2</v>
      </c>
      <c r="J95" s="81">
        <f t="shared" si="54"/>
        <v>0.42620452276039483</v>
      </c>
      <c r="K95" s="81">
        <f t="shared" si="54"/>
        <v>0.18560026621265707</v>
      </c>
      <c r="L95" s="81">
        <f t="shared" si="54"/>
        <v>0.42192912930359494</v>
      </c>
      <c r="M95" s="81">
        <f t="shared" si="54"/>
        <v>0.1729909430144739</v>
      </c>
      <c r="N95" s="81">
        <f t="shared" si="54"/>
        <v>2771.1788363019446</v>
      </c>
      <c r="O95" s="81">
        <f t="shared" si="54"/>
        <v>0.15852376945151245</v>
      </c>
      <c r="P95" s="81">
        <f t="shared" si="54"/>
        <v>0.288555995692168</v>
      </c>
      <c r="AN95" s="38"/>
      <c r="AZ95" s="36"/>
    </row>
  </sheetData>
  <mergeCells count="16">
    <mergeCell ref="AR14:BA14"/>
    <mergeCell ref="A89:A90"/>
    <mergeCell ref="B89:B90"/>
    <mergeCell ref="F89:P89"/>
    <mergeCell ref="R2:U2"/>
    <mergeCell ref="V2:Y2"/>
    <mergeCell ref="Z2:AA2"/>
    <mergeCell ref="AB2:AC2"/>
    <mergeCell ref="AD2:AE2"/>
    <mergeCell ref="AF14:AO14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578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346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6" si="0">0.000049261*AA4</f>
        <v>2.2095931710230707E-2</v>
      </c>
      <c r="AD4" s="49">
        <v>3.2599999999999997E-2</v>
      </c>
      <c r="AE4" s="47">
        <f t="shared" ref="AE4:AE6" si="1">0.000021675*AA4</f>
        <v>9.7222817202097123E-3</v>
      </c>
    </row>
    <row r="5" spans="1:67" ht="25.5">
      <c r="A5" s="44" t="s">
        <v>328</v>
      </c>
      <c r="B5" s="45" t="s">
        <v>102</v>
      </c>
      <c r="C5" s="46">
        <v>3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ref="AC5" si="2">0.000049261*AA5</f>
        <v>2.2095931710230707E-2</v>
      </c>
      <c r="AD5" s="49">
        <v>3.2599999999999997E-2</v>
      </c>
      <c r="AE5" s="47">
        <f t="shared" ref="AE5" si="3">0.000021675*AA5</f>
        <v>9.7222817202097123E-3</v>
      </c>
    </row>
    <row r="6" spans="1:67" ht="25.5">
      <c r="A6" s="44" t="s">
        <v>332</v>
      </c>
      <c r="B6" s="45" t="s">
        <v>102</v>
      </c>
      <c r="C6" s="46">
        <v>9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546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4">AG$11*$AC16</f>
        <v>#REF!</v>
      </c>
      <c r="AH16" s="36" t="e">
        <f t="shared" si="4"/>
        <v>#REF!</v>
      </c>
      <c r="AI16" s="36" t="e">
        <f t="shared" si="4"/>
        <v>#REF!</v>
      </c>
      <c r="AJ16" s="36" t="e">
        <f t="shared" si="4"/>
        <v>#REF!</v>
      </c>
      <c r="AK16" s="36" t="e">
        <f t="shared" si="4"/>
        <v>#REF!</v>
      </c>
      <c r="AL16" s="36" t="e">
        <f t="shared" si="4"/>
        <v>#REF!</v>
      </c>
      <c r="AM16" s="36" t="e">
        <f t="shared" si="4"/>
        <v>#REF!</v>
      </c>
      <c r="AN16" s="36" t="e">
        <f t="shared" si="4"/>
        <v>#REF!</v>
      </c>
      <c r="AO16" s="36" t="e">
        <f t="shared" si="4"/>
        <v>#REF!</v>
      </c>
      <c r="AQ16" s="38"/>
      <c r="AR16" s="36" t="e">
        <f>AR$11*$AC16</f>
        <v>#REF!</v>
      </c>
      <c r="AS16" s="36" t="e">
        <f t="shared" ref="AS16:BA24" si="5">AS$11*$AC16</f>
        <v>#REF!</v>
      </c>
      <c r="AT16" s="36" t="e">
        <f t="shared" si="5"/>
        <v>#REF!</v>
      </c>
      <c r="AU16" s="36" t="e">
        <f t="shared" si="5"/>
        <v>#REF!</v>
      </c>
      <c r="AV16" s="36" t="e">
        <f t="shared" si="5"/>
        <v>#REF!</v>
      </c>
      <c r="AW16" s="36" t="e">
        <f t="shared" si="5"/>
        <v>#REF!</v>
      </c>
      <c r="AX16" s="36" t="e">
        <f t="shared" si="5"/>
        <v>#REF!</v>
      </c>
      <c r="AY16" s="36" t="e">
        <f t="shared" si="5"/>
        <v>#REF!</v>
      </c>
      <c r="AZ16" s="36" t="e">
        <f t="shared" si="5"/>
        <v>#REF!</v>
      </c>
      <c r="BA16" s="36" t="e">
        <f t="shared" si="5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6">AF$11*$AC17</f>
        <v>#REF!</v>
      </c>
      <c r="AG17" s="36" t="e">
        <f t="shared" si="4"/>
        <v>#REF!</v>
      </c>
      <c r="AH17" s="36" t="e">
        <f t="shared" si="4"/>
        <v>#REF!</v>
      </c>
      <c r="AI17" s="36" t="e">
        <f t="shared" si="4"/>
        <v>#REF!</v>
      </c>
      <c r="AJ17" s="36" t="e">
        <f t="shared" si="4"/>
        <v>#REF!</v>
      </c>
      <c r="AK17" s="36" t="e">
        <f t="shared" si="4"/>
        <v>#REF!</v>
      </c>
      <c r="AL17" s="36" t="e">
        <f t="shared" si="4"/>
        <v>#REF!</v>
      </c>
      <c r="AM17" s="36" t="e">
        <f t="shared" si="4"/>
        <v>#REF!</v>
      </c>
      <c r="AN17" s="36" t="e">
        <f t="shared" si="4"/>
        <v>#REF!</v>
      </c>
      <c r="AO17" s="36" t="e">
        <f t="shared" si="4"/>
        <v>#REF!</v>
      </c>
      <c r="AQ17" s="38"/>
      <c r="AR17" s="36" t="e">
        <f t="shared" ref="AR17:AR24" si="7">AR$11*$AC17</f>
        <v>#REF!</v>
      </c>
      <c r="AS17" s="36" t="e">
        <f t="shared" si="5"/>
        <v>#REF!</v>
      </c>
      <c r="AT17" s="36" t="e">
        <f t="shared" si="5"/>
        <v>#REF!</v>
      </c>
      <c r="AU17" s="36" t="e">
        <f t="shared" si="5"/>
        <v>#REF!</v>
      </c>
      <c r="AV17" s="36" t="e">
        <f t="shared" si="5"/>
        <v>#REF!</v>
      </c>
      <c r="AW17" s="36" t="e">
        <f t="shared" si="5"/>
        <v>#REF!</v>
      </c>
      <c r="AX17" s="36" t="e">
        <f t="shared" si="5"/>
        <v>#REF!</v>
      </c>
      <c r="AY17" s="36" t="e">
        <f t="shared" si="5"/>
        <v>#REF!</v>
      </c>
      <c r="AZ17" s="36" t="e">
        <f t="shared" si="5"/>
        <v>#REF!</v>
      </c>
      <c r="BA17" s="36" t="e">
        <f t="shared" si="5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6"/>
        <v>#REF!</v>
      </c>
      <c r="AG18" s="36" t="e">
        <f t="shared" si="4"/>
        <v>#REF!</v>
      </c>
      <c r="AH18" s="36" t="e">
        <f t="shared" si="4"/>
        <v>#REF!</v>
      </c>
      <c r="AI18" s="36" t="e">
        <f t="shared" si="4"/>
        <v>#REF!</v>
      </c>
      <c r="AJ18" s="36" t="e">
        <f t="shared" si="4"/>
        <v>#REF!</v>
      </c>
      <c r="AK18" s="36" t="e">
        <f t="shared" si="4"/>
        <v>#REF!</v>
      </c>
      <c r="AL18" s="36" t="e">
        <f t="shared" si="4"/>
        <v>#REF!</v>
      </c>
      <c r="AM18" s="36" t="e">
        <f t="shared" si="4"/>
        <v>#REF!</v>
      </c>
      <c r="AN18" s="36" t="e">
        <f t="shared" si="4"/>
        <v>#REF!</v>
      </c>
      <c r="AO18" s="36" t="e">
        <f t="shared" si="4"/>
        <v>#REF!</v>
      </c>
      <c r="AQ18" s="38"/>
      <c r="AR18" s="36" t="e">
        <f t="shared" si="7"/>
        <v>#REF!</v>
      </c>
      <c r="AS18" s="36" t="e">
        <f t="shared" si="5"/>
        <v>#REF!</v>
      </c>
      <c r="AT18" s="36" t="e">
        <f t="shared" si="5"/>
        <v>#REF!</v>
      </c>
      <c r="AU18" s="36" t="e">
        <f t="shared" si="5"/>
        <v>#REF!</v>
      </c>
      <c r="AV18" s="36" t="e">
        <f t="shared" si="5"/>
        <v>#REF!</v>
      </c>
      <c r="AW18" s="36" t="e">
        <f t="shared" si="5"/>
        <v>#REF!</v>
      </c>
      <c r="AX18" s="36" t="e">
        <f t="shared" si="5"/>
        <v>#REF!</v>
      </c>
      <c r="AY18" s="36" t="e">
        <f t="shared" si="5"/>
        <v>#REF!</v>
      </c>
      <c r="AZ18" s="36" t="e">
        <f t="shared" si="5"/>
        <v>#REF!</v>
      </c>
      <c r="BA18" s="36" t="e">
        <f t="shared" si="5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6"/>
        <v>#REF!</v>
      </c>
      <c r="AG19" s="36" t="e">
        <f t="shared" si="4"/>
        <v>#REF!</v>
      </c>
      <c r="AH19" s="36" t="e">
        <f t="shared" si="4"/>
        <v>#REF!</v>
      </c>
      <c r="AI19" s="36" t="e">
        <f t="shared" si="4"/>
        <v>#REF!</v>
      </c>
      <c r="AJ19" s="36" t="e">
        <f t="shared" si="4"/>
        <v>#REF!</v>
      </c>
      <c r="AK19" s="36" t="e">
        <f t="shared" si="4"/>
        <v>#REF!</v>
      </c>
      <c r="AL19" s="36" t="e">
        <f t="shared" si="4"/>
        <v>#REF!</v>
      </c>
      <c r="AM19" s="36" t="e">
        <f t="shared" si="4"/>
        <v>#REF!</v>
      </c>
      <c r="AN19" s="36" t="e">
        <f t="shared" si="4"/>
        <v>#REF!</v>
      </c>
      <c r="AO19" s="36" t="e">
        <f t="shared" si="4"/>
        <v>#REF!</v>
      </c>
      <c r="AQ19" s="38"/>
      <c r="AR19" s="36" t="e">
        <f t="shared" si="7"/>
        <v>#REF!</v>
      </c>
      <c r="AS19" s="36" t="e">
        <f t="shared" si="5"/>
        <v>#REF!</v>
      </c>
      <c r="AT19" s="36" t="e">
        <f t="shared" si="5"/>
        <v>#REF!</v>
      </c>
      <c r="AU19" s="36" t="e">
        <f t="shared" si="5"/>
        <v>#REF!</v>
      </c>
      <c r="AV19" s="36" t="e">
        <f t="shared" si="5"/>
        <v>#REF!</v>
      </c>
      <c r="AW19" s="36" t="e">
        <f t="shared" si="5"/>
        <v>#REF!</v>
      </c>
      <c r="AX19" s="36" t="e">
        <f t="shared" si="5"/>
        <v>#REF!</v>
      </c>
      <c r="AY19" s="36" t="e">
        <f t="shared" si="5"/>
        <v>#REF!</v>
      </c>
      <c r="AZ19" s="36" t="e">
        <f t="shared" si="5"/>
        <v>#REF!</v>
      </c>
      <c r="BA19" s="36" t="e">
        <f t="shared" si="5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6"/>
        <v>#REF!</v>
      </c>
      <c r="AG20" s="36" t="e">
        <f t="shared" si="4"/>
        <v>#REF!</v>
      </c>
      <c r="AH20" s="36" t="e">
        <f t="shared" si="4"/>
        <v>#REF!</v>
      </c>
      <c r="AI20" s="36" t="e">
        <f t="shared" si="4"/>
        <v>#REF!</v>
      </c>
      <c r="AJ20" s="36" t="e">
        <f t="shared" si="4"/>
        <v>#REF!</v>
      </c>
      <c r="AK20" s="36" t="e">
        <f t="shared" si="4"/>
        <v>#REF!</v>
      </c>
      <c r="AL20" s="36" t="e">
        <f t="shared" si="4"/>
        <v>#REF!</v>
      </c>
      <c r="AM20" s="36" t="e">
        <f t="shared" si="4"/>
        <v>#REF!</v>
      </c>
      <c r="AN20" s="36" t="e">
        <f t="shared" si="4"/>
        <v>#REF!</v>
      </c>
      <c r="AO20" s="36" t="e">
        <f t="shared" si="4"/>
        <v>#REF!</v>
      </c>
      <c r="AQ20" s="38"/>
      <c r="AR20" s="36" t="e">
        <f t="shared" si="7"/>
        <v>#REF!</v>
      </c>
      <c r="AS20" s="36" t="e">
        <f t="shared" si="5"/>
        <v>#REF!</v>
      </c>
      <c r="AT20" s="36" t="e">
        <f t="shared" si="5"/>
        <v>#REF!</v>
      </c>
      <c r="AU20" s="36" t="e">
        <f t="shared" si="5"/>
        <v>#REF!</v>
      </c>
      <c r="AV20" s="36" t="e">
        <f t="shared" si="5"/>
        <v>#REF!</v>
      </c>
      <c r="AW20" s="36" t="e">
        <f t="shared" si="5"/>
        <v>#REF!</v>
      </c>
      <c r="AX20" s="36" t="e">
        <f t="shared" si="5"/>
        <v>#REF!</v>
      </c>
      <c r="AY20" s="36" t="e">
        <f t="shared" si="5"/>
        <v>#REF!</v>
      </c>
      <c r="AZ20" s="36" t="e">
        <f t="shared" si="5"/>
        <v>#REF!</v>
      </c>
      <c r="BA20" s="36" t="e">
        <f t="shared" si="5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6"/>
        <v>#REF!</v>
      </c>
      <c r="AG21" s="36" t="e">
        <f t="shared" si="4"/>
        <v>#REF!</v>
      </c>
      <c r="AH21" s="36" t="e">
        <f t="shared" si="4"/>
        <v>#REF!</v>
      </c>
      <c r="AI21" s="36" t="e">
        <f t="shared" si="4"/>
        <v>#REF!</v>
      </c>
      <c r="AJ21" s="36" t="e">
        <f t="shared" si="4"/>
        <v>#REF!</v>
      </c>
      <c r="AK21" s="36" t="e">
        <f t="shared" si="4"/>
        <v>#REF!</v>
      </c>
      <c r="AL21" s="36" t="e">
        <f t="shared" si="4"/>
        <v>#REF!</v>
      </c>
      <c r="AM21" s="36" t="e">
        <f t="shared" si="4"/>
        <v>#REF!</v>
      </c>
      <c r="AN21" s="36" t="e">
        <f t="shared" si="4"/>
        <v>#REF!</v>
      </c>
      <c r="AO21" s="36" t="e">
        <f t="shared" si="4"/>
        <v>#REF!</v>
      </c>
      <c r="AQ21" s="38"/>
      <c r="AR21" s="36" t="e">
        <f t="shared" si="7"/>
        <v>#REF!</v>
      </c>
      <c r="AS21" s="36" t="e">
        <f t="shared" si="5"/>
        <v>#REF!</v>
      </c>
      <c r="AT21" s="36" t="e">
        <f t="shared" si="5"/>
        <v>#REF!</v>
      </c>
      <c r="AU21" s="36" t="e">
        <f t="shared" si="5"/>
        <v>#REF!</v>
      </c>
      <c r="AV21" s="36" t="e">
        <f t="shared" si="5"/>
        <v>#REF!</v>
      </c>
      <c r="AW21" s="36" t="e">
        <f t="shared" si="5"/>
        <v>#REF!</v>
      </c>
      <c r="AX21" s="36" t="e">
        <f t="shared" si="5"/>
        <v>#REF!</v>
      </c>
      <c r="AY21" s="36" t="e">
        <f t="shared" si="5"/>
        <v>#REF!</v>
      </c>
      <c r="AZ21" s="36" t="e">
        <f t="shared" si="5"/>
        <v>#REF!</v>
      </c>
      <c r="BA21" s="36" t="e">
        <f t="shared" si="5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6"/>
        <v>#REF!</v>
      </c>
      <c r="AG22" s="36" t="e">
        <f t="shared" si="4"/>
        <v>#REF!</v>
      </c>
      <c r="AH22" s="36" t="e">
        <f t="shared" si="4"/>
        <v>#REF!</v>
      </c>
      <c r="AI22" s="36" t="e">
        <f t="shared" si="4"/>
        <v>#REF!</v>
      </c>
      <c r="AJ22" s="36" t="e">
        <f t="shared" si="4"/>
        <v>#REF!</v>
      </c>
      <c r="AK22" s="36" t="e">
        <f t="shared" si="4"/>
        <v>#REF!</v>
      </c>
      <c r="AL22" s="36" t="e">
        <f t="shared" si="4"/>
        <v>#REF!</v>
      </c>
      <c r="AM22" s="36" t="e">
        <f t="shared" si="4"/>
        <v>#REF!</v>
      </c>
      <c r="AN22" s="36" t="e">
        <f t="shared" si="4"/>
        <v>#REF!</v>
      </c>
      <c r="AO22" s="36" t="e">
        <f t="shared" si="4"/>
        <v>#REF!</v>
      </c>
      <c r="AQ22" s="38"/>
      <c r="AR22" s="36" t="e">
        <f t="shared" si="7"/>
        <v>#REF!</v>
      </c>
      <c r="AS22" s="36" t="e">
        <f t="shared" si="5"/>
        <v>#REF!</v>
      </c>
      <c r="AT22" s="36" t="e">
        <f t="shared" si="5"/>
        <v>#REF!</v>
      </c>
      <c r="AU22" s="36" t="e">
        <f t="shared" si="5"/>
        <v>#REF!</v>
      </c>
      <c r="AV22" s="36" t="e">
        <f t="shared" si="5"/>
        <v>#REF!</v>
      </c>
      <c r="AW22" s="36" t="e">
        <f t="shared" si="5"/>
        <v>#REF!</v>
      </c>
      <c r="AX22" s="36" t="e">
        <f t="shared" si="5"/>
        <v>#REF!</v>
      </c>
      <c r="AY22" s="36" t="e">
        <f t="shared" si="5"/>
        <v>#REF!</v>
      </c>
      <c r="AZ22" s="36" t="e">
        <f t="shared" si="5"/>
        <v>#REF!</v>
      </c>
      <c r="BA22" s="36" t="e">
        <f t="shared" si="5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6"/>
        <v>#REF!</v>
      </c>
      <c r="AG23" s="36" t="e">
        <f t="shared" si="4"/>
        <v>#REF!</v>
      </c>
      <c r="AH23" s="36" t="e">
        <f t="shared" si="4"/>
        <v>#REF!</v>
      </c>
      <c r="AI23" s="36" t="e">
        <f t="shared" si="4"/>
        <v>#REF!</v>
      </c>
      <c r="AJ23" s="36" t="e">
        <f t="shared" si="4"/>
        <v>#REF!</v>
      </c>
      <c r="AK23" s="36" t="e">
        <f t="shared" si="4"/>
        <v>#REF!</v>
      </c>
      <c r="AL23" s="36" t="e">
        <f t="shared" si="4"/>
        <v>#REF!</v>
      </c>
      <c r="AM23" s="36" t="e">
        <f t="shared" si="4"/>
        <v>#REF!</v>
      </c>
      <c r="AN23" s="36" t="e">
        <f t="shared" si="4"/>
        <v>#REF!</v>
      </c>
      <c r="AO23" s="36" t="e">
        <f t="shared" si="4"/>
        <v>#REF!</v>
      </c>
      <c r="AQ23" s="38"/>
      <c r="AR23" s="36" t="e">
        <f t="shared" si="7"/>
        <v>#REF!</v>
      </c>
      <c r="AS23" s="36" t="e">
        <f t="shared" si="5"/>
        <v>#REF!</v>
      </c>
      <c r="AT23" s="36" t="e">
        <f t="shared" si="5"/>
        <v>#REF!</v>
      </c>
      <c r="AU23" s="36" t="e">
        <f t="shared" si="5"/>
        <v>#REF!</v>
      </c>
      <c r="AV23" s="36" t="e">
        <f t="shared" si="5"/>
        <v>#REF!</v>
      </c>
      <c r="AW23" s="36" t="e">
        <f t="shared" si="5"/>
        <v>#REF!</v>
      </c>
      <c r="AX23" s="36" t="e">
        <f t="shared" si="5"/>
        <v>#REF!</v>
      </c>
      <c r="AY23" s="36" t="e">
        <f t="shared" si="5"/>
        <v>#REF!</v>
      </c>
      <c r="AZ23" s="36" t="e">
        <f t="shared" si="5"/>
        <v>#REF!</v>
      </c>
      <c r="BA23" s="36" t="e">
        <f t="shared" si="5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6"/>
        <v>#REF!</v>
      </c>
      <c r="AG24" s="36" t="e">
        <f t="shared" si="4"/>
        <v>#REF!</v>
      </c>
      <c r="AH24" s="36" t="e">
        <f t="shared" si="4"/>
        <v>#REF!</v>
      </c>
      <c r="AI24" s="36" t="e">
        <f t="shared" si="4"/>
        <v>#REF!</v>
      </c>
      <c r="AJ24" s="36" t="e">
        <f t="shared" si="4"/>
        <v>#REF!</v>
      </c>
      <c r="AK24" s="36" t="e">
        <f t="shared" si="4"/>
        <v>#REF!</v>
      </c>
      <c r="AL24" s="36" t="e">
        <f t="shared" si="4"/>
        <v>#REF!</v>
      </c>
      <c r="AM24" s="36" t="e">
        <f t="shared" si="4"/>
        <v>#REF!</v>
      </c>
      <c r="AN24" s="36" t="e">
        <f t="shared" si="4"/>
        <v>#REF!</v>
      </c>
      <c r="AO24" s="36" t="e">
        <f t="shared" si="4"/>
        <v>#REF!</v>
      </c>
      <c r="AQ24" s="38"/>
      <c r="AR24" s="36" t="e">
        <f t="shared" si="7"/>
        <v>#REF!</v>
      </c>
      <c r="AS24" s="36" t="e">
        <f t="shared" si="5"/>
        <v>#REF!</v>
      </c>
      <c r="AT24" s="36" t="e">
        <f t="shared" si="5"/>
        <v>#REF!</v>
      </c>
      <c r="AU24" s="36" t="e">
        <f t="shared" si="5"/>
        <v>#REF!</v>
      </c>
      <c r="AV24" s="36" t="e">
        <f t="shared" si="5"/>
        <v>#REF!</v>
      </c>
      <c r="AW24" s="36" t="e">
        <f t="shared" si="5"/>
        <v>#REF!</v>
      </c>
      <c r="AX24" s="36" t="e">
        <f t="shared" si="5"/>
        <v>#REF!</v>
      </c>
      <c r="AY24" s="36" t="e">
        <f t="shared" si="5"/>
        <v>#REF!</v>
      </c>
      <c r="AZ24" s="36" t="e">
        <f t="shared" si="5"/>
        <v>#REF!</v>
      </c>
      <c r="BA24" s="36" t="e">
        <f t="shared" si="5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8">AF$11*$AC27</f>
        <v>#REF!</v>
      </c>
      <c r="AG27" s="36" t="e">
        <f t="shared" si="8"/>
        <v>#REF!</v>
      </c>
      <c r="AH27" s="36" t="e">
        <f t="shared" si="8"/>
        <v>#REF!</v>
      </c>
      <c r="AI27" s="36" t="e">
        <f t="shared" si="8"/>
        <v>#REF!</v>
      </c>
      <c r="AJ27" s="36" t="e">
        <f t="shared" si="8"/>
        <v>#REF!</v>
      </c>
      <c r="AK27" s="36" t="e">
        <f t="shared" si="8"/>
        <v>#REF!</v>
      </c>
      <c r="AL27" s="36" t="e">
        <f t="shared" si="8"/>
        <v>#REF!</v>
      </c>
      <c r="AM27" s="36" t="e">
        <f t="shared" si="8"/>
        <v>#REF!</v>
      </c>
      <c r="AN27" s="36" t="e">
        <f t="shared" si="8"/>
        <v>#REF!</v>
      </c>
      <c r="AO27" s="36" t="e">
        <f t="shared" si="8"/>
        <v>#REF!</v>
      </c>
      <c r="AQ27" s="38"/>
      <c r="AR27" s="36" t="e">
        <f t="shared" ref="AR27:BA35" si="9">AR$11*$AC27</f>
        <v>#REF!</v>
      </c>
      <c r="AS27" s="36" t="e">
        <f t="shared" si="9"/>
        <v>#REF!</v>
      </c>
      <c r="AT27" s="36" t="e">
        <f t="shared" si="9"/>
        <v>#REF!</v>
      </c>
      <c r="AU27" s="36" t="e">
        <f t="shared" si="9"/>
        <v>#REF!</v>
      </c>
      <c r="AV27" s="36" t="e">
        <f t="shared" si="9"/>
        <v>#REF!</v>
      </c>
      <c r="AW27" s="36" t="e">
        <f t="shared" si="9"/>
        <v>#REF!</v>
      </c>
      <c r="AX27" s="36" t="e">
        <f t="shared" si="9"/>
        <v>#REF!</v>
      </c>
      <c r="AY27" s="36" t="e">
        <f t="shared" si="9"/>
        <v>#REF!</v>
      </c>
      <c r="AZ27" s="36" t="e">
        <f t="shared" si="9"/>
        <v>#REF!</v>
      </c>
      <c r="BA27" s="36" t="e">
        <f t="shared" si="9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8"/>
        <v>#REF!</v>
      </c>
      <c r="AG28" s="36" t="e">
        <f t="shared" si="8"/>
        <v>#REF!</v>
      </c>
      <c r="AH28" s="36" t="e">
        <f t="shared" si="8"/>
        <v>#REF!</v>
      </c>
      <c r="AI28" s="36" t="e">
        <f t="shared" si="8"/>
        <v>#REF!</v>
      </c>
      <c r="AJ28" s="36" t="e">
        <f t="shared" si="8"/>
        <v>#REF!</v>
      </c>
      <c r="AK28" s="36" t="e">
        <f t="shared" si="8"/>
        <v>#REF!</v>
      </c>
      <c r="AL28" s="36" t="e">
        <f t="shared" si="8"/>
        <v>#REF!</v>
      </c>
      <c r="AM28" s="36" t="e">
        <f t="shared" si="8"/>
        <v>#REF!</v>
      </c>
      <c r="AN28" s="36" t="e">
        <f t="shared" si="8"/>
        <v>#REF!</v>
      </c>
      <c r="AO28" s="36" t="e">
        <f t="shared" si="8"/>
        <v>#REF!</v>
      </c>
      <c r="AQ28" s="38"/>
      <c r="AR28" s="36" t="e">
        <f t="shared" si="9"/>
        <v>#REF!</v>
      </c>
      <c r="AS28" s="36" t="e">
        <f t="shared" si="9"/>
        <v>#REF!</v>
      </c>
      <c r="AT28" s="36" t="e">
        <f t="shared" si="9"/>
        <v>#REF!</v>
      </c>
      <c r="AU28" s="36" t="e">
        <f t="shared" si="9"/>
        <v>#REF!</v>
      </c>
      <c r="AV28" s="36" t="e">
        <f t="shared" si="9"/>
        <v>#REF!</v>
      </c>
      <c r="AW28" s="36" t="e">
        <f t="shared" si="9"/>
        <v>#REF!</v>
      </c>
      <c r="AX28" s="36" t="e">
        <f t="shared" si="9"/>
        <v>#REF!</v>
      </c>
      <c r="AY28" s="36" t="e">
        <f t="shared" si="9"/>
        <v>#REF!</v>
      </c>
      <c r="AZ28" s="36" t="e">
        <f t="shared" si="9"/>
        <v>#REF!</v>
      </c>
      <c r="BA28" s="36" t="e">
        <f t="shared" si="9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8"/>
        <v>#REF!</v>
      </c>
      <c r="AG29" s="36" t="e">
        <f t="shared" si="8"/>
        <v>#REF!</v>
      </c>
      <c r="AH29" s="36" t="e">
        <f t="shared" si="8"/>
        <v>#REF!</v>
      </c>
      <c r="AI29" s="36" t="e">
        <f t="shared" si="8"/>
        <v>#REF!</v>
      </c>
      <c r="AJ29" s="36" t="e">
        <f t="shared" si="8"/>
        <v>#REF!</v>
      </c>
      <c r="AK29" s="36" t="e">
        <f t="shared" si="8"/>
        <v>#REF!</v>
      </c>
      <c r="AL29" s="36" t="e">
        <f t="shared" si="8"/>
        <v>#REF!</v>
      </c>
      <c r="AM29" s="36" t="e">
        <f t="shared" si="8"/>
        <v>#REF!</v>
      </c>
      <c r="AN29" s="36" t="e">
        <f t="shared" si="8"/>
        <v>#REF!</v>
      </c>
      <c r="AO29" s="36" t="e">
        <f t="shared" si="8"/>
        <v>#REF!</v>
      </c>
      <c r="AQ29" s="38"/>
      <c r="AR29" s="36" t="e">
        <f t="shared" si="9"/>
        <v>#REF!</v>
      </c>
      <c r="AS29" s="36" t="e">
        <f t="shared" si="9"/>
        <v>#REF!</v>
      </c>
      <c r="AT29" s="36" t="e">
        <f t="shared" si="9"/>
        <v>#REF!</v>
      </c>
      <c r="AU29" s="36" t="e">
        <f t="shared" si="9"/>
        <v>#REF!</v>
      </c>
      <c r="AV29" s="36" t="e">
        <f t="shared" si="9"/>
        <v>#REF!</v>
      </c>
      <c r="AW29" s="36" t="e">
        <f t="shared" si="9"/>
        <v>#REF!</v>
      </c>
      <c r="AX29" s="36" t="e">
        <f t="shared" si="9"/>
        <v>#REF!</v>
      </c>
      <c r="AY29" s="36" t="e">
        <f t="shared" si="9"/>
        <v>#REF!</v>
      </c>
      <c r="AZ29" s="36" t="e">
        <f t="shared" si="9"/>
        <v>#REF!</v>
      </c>
      <c r="BA29" s="36" t="e">
        <f t="shared" si="9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8"/>
        <v>#REF!</v>
      </c>
      <c r="AG30" s="36" t="e">
        <f t="shared" si="8"/>
        <v>#REF!</v>
      </c>
      <c r="AH30" s="36" t="e">
        <f t="shared" si="8"/>
        <v>#REF!</v>
      </c>
      <c r="AI30" s="36" t="e">
        <f t="shared" si="8"/>
        <v>#REF!</v>
      </c>
      <c r="AJ30" s="36" t="e">
        <f t="shared" si="8"/>
        <v>#REF!</v>
      </c>
      <c r="AK30" s="36" t="e">
        <f t="shared" si="8"/>
        <v>#REF!</v>
      </c>
      <c r="AL30" s="36" t="e">
        <f t="shared" si="8"/>
        <v>#REF!</v>
      </c>
      <c r="AM30" s="36" t="e">
        <f t="shared" si="8"/>
        <v>#REF!</v>
      </c>
      <c r="AN30" s="36" t="e">
        <f t="shared" si="8"/>
        <v>#REF!</v>
      </c>
      <c r="AO30" s="36" t="e">
        <f t="shared" si="8"/>
        <v>#REF!</v>
      </c>
      <c r="AQ30" s="38"/>
      <c r="AR30" s="36" t="e">
        <f t="shared" si="9"/>
        <v>#REF!</v>
      </c>
      <c r="AS30" s="36" t="e">
        <f t="shared" si="9"/>
        <v>#REF!</v>
      </c>
      <c r="AT30" s="36" t="e">
        <f t="shared" si="9"/>
        <v>#REF!</v>
      </c>
      <c r="AU30" s="36" t="e">
        <f t="shared" si="9"/>
        <v>#REF!</v>
      </c>
      <c r="AV30" s="36" t="e">
        <f t="shared" si="9"/>
        <v>#REF!</v>
      </c>
      <c r="AW30" s="36" t="e">
        <f t="shared" si="9"/>
        <v>#REF!</v>
      </c>
      <c r="AX30" s="36" t="e">
        <f t="shared" si="9"/>
        <v>#REF!</v>
      </c>
      <c r="AY30" s="36" t="e">
        <f t="shared" si="9"/>
        <v>#REF!</v>
      </c>
      <c r="AZ30" s="36" t="e">
        <f t="shared" si="9"/>
        <v>#REF!</v>
      </c>
      <c r="BA30" s="36" t="e">
        <f t="shared" si="9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8"/>
        <v>#REF!</v>
      </c>
      <c r="AG31" s="36" t="e">
        <f t="shared" si="8"/>
        <v>#REF!</v>
      </c>
      <c r="AH31" s="36" t="e">
        <f t="shared" si="8"/>
        <v>#REF!</v>
      </c>
      <c r="AI31" s="36" t="e">
        <f t="shared" si="8"/>
        <v>#REF!</v>
      </c>
      <c r="AJ31" s="36" t="e">
        <f t="shared" si="8"/>
        <v>#REF!</v>
      </c>
      <c r="AK31" s="36" t="e">
        <f t="shared" si="8"/>
        <v>#REF!</v>
      </c>
      <c r="AL31" s="36" t="e">
        <f t="shared" si="8"/>
        <v>#REF!</v>
      </c>
      <c r="AM31" s="36" t="e">
        <f t="shared" si="8"/>
        <v>#REF!</v>
      </c>
      <c r="AN31" s="36" t="e">
        <f t="shared" si="8"/>
        <v>#REF!</v>
      </c>
      <c r="AO31" s="36" t="e">
        <f t="shared" si="8"/>
        <v>#REF!</v>
      </c>
      <c r="AQ31" s="38"/>
      <c r="AR31" s="36" t="e">
        <f t="shared" si="9"/>
        <v>#REF!</v>
      </c>
      <c r="AS31" s="36" t="e">
        <f t="shared" si="9"/>
        <v>#REF!</v>
      </c>
      <c r="AT31" s="36" t="e">
        <f t="shared" si="9"/>
        <v>#REF!</v>
      </c>
      <c r="AU31" s="36" t="e">
        <f t="shared" si="9"/>
        <v>#REF!</v>
      </c>
      <c r="AV31" s="36" t="e">
        <f t="shared" si="9"/>
        <v>#REF!</v>
      </c>
      <c r="AW31" s="36" t="e">
        <f t="shared" si="9"/>
        <v>#REF!</v>
      </c>
      <c r="AX31" s="36" t="e">
        <f t="shared" si="9"/>
        <v>#REF!</v>
      </c>
      <c r="AY31" s="36" t="e">
        <f t="shared" si="9"/>
        <v>#REF!</v>
      </c>
      <c r="AZ31" s="36" t="e">
        <f t="shared" si="9"/>
        <v>#REF!</v>
      </c>
      <c r="BA31" s="36" t="e">
        <f t="shared" si="9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8"/>
        <v>#REF!</v>
      </c>
      <c r="AG32" s="36" t="e">
        <f t="shared" si="8"/>
        <v>#REF!</v>
      </c>
      <c r="AH32" s="36" t="e">
        <f t="shared" si="8"/>
        <v>#REF!</v>
      </c>
      <c r="AI32" s="36" t="e">
        <f t="shared" si="8"/>
        <v>#REF!</v>
      </c>
      <c r="AJ32" s="36" t="e">
        <f t="shared" si="8"/>
        <v>#REF!</v>
      </c>
      <c r="AK32" s="36" t="e">
        <f t="shared" si="8"/>
        <v>#REF!</v>
      </c>
      <c r="AL32" s="36" t="e">
        <f t="shared" si="8"/>
        <v>#REF!</v>
      </c>
      <c r="AM32" s="36" t="e">
        <f t="shared" si="8"/>
        <v>#REF!</v>
      </c>
      <c r="AN32" s="36" t="e">
        <f t="shared" si="8"/>
        <v>#REF!</v>
      </c>
      <c r="AO32" s="36" t="e">
        <f t="shared" si="8"/>
        <v>#REF!</v>
      </c>
      <c r="AQ32" s="38"/>
      <c r="AR32" s="36" t="e">
        <f t="shared" si="9"/>
        <v>#REF!</v>
      </c>
      <c r="AS32" s="36" t="e">
        <f t="shared" si="9"/>
        <v>#REF!</v>
      </c>
      <c r="AT32" s="36" t="e">
        <f t="shared" si="9"/>
        <v>#REF!</v>
      </c>
      <c r="AU32" s="36" t="e">
        <f t="shared" si="9"/>
        <v>#REF!</v>
      </c>
      <c r="AV32" s="36" t="e">
        <f t="shared" si="9"/>
        <v>#REF!</v>
      </c>
      <c r="AW32" s="36" t="e">
        <f t="shared" si="9"/>
        <v>#REF!</v>
      </c>
      <c r="AX32" s="36" t="e">
        <f t="shared" si="9"/>
        <v>#REF!</v>
      </c>
      <c r="AY32" s="36" t="e">
        <f t="shared" si="9"/>
        <v>#REF!</v>
      </c>
      <c r="AZ32" s="36" t="e">
        <f t="shared" si="9"/>
        <v>#REF!</v>
      </c>
      <c r="BA32" s="36" t="e">
        <f t="shared" si="9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8"/>
        <v>#REF!</v>
      </c>
      <c r="AG33" s="36" t="e">
        <f t="shared" si="8"/>
        <v>#REF!</v>
      </c>
      <c r="AH33" s="36" t="e">
        <f t="shared" si="8"/>
        <v>#REF!</v>
      </c>
      <c r="AI33" s="36" t="e">
        <f t="shared" si="8"/>
        <v>#REF!</v>
      </c>
      <c r="AJ33" s="36" t="e">
        <f t="shared" si="8"/>
        <v>#REF!</v>
      </c>
      <c r="AK33" s="36" t="e">
        <f t="shared" si="8"/>
        <v>#REF!</v>
      </c>
      <c r="AL33" s="36" t="e">
        <f t="shared" si="8"/>
        <v>#REF!</v>
      </c>
      <c r="AM33" s="36" t="e">
        <f t="shared" si="8"/>
        <v>#REF!</v>
      </c>
      <c r="AN33" s="36" t="e">
        <f t="shared" si="8"/>
        <v>#REF!</v>
      </c>
      <c r="AO33" s="36" t="e">
        <f t="shared" si="8"/>
        <v>#REF!</v>
      </c>
      <c r="AQ33" s="38"/>
      <c r="AR33" s="36" t="e">
        <f t="shared" si="9"/>
        <v>#REF!</v>
      </c>
      <c r="AS33" s="36" t="e">
        <f t="shared" si="9"/>
        <v>#REF!</v>
      </c>
      <c r="AT33" s="36" t="e">
        <f t="shared" si="9"/>
        <v>#REF!</v>
      </c>
      <c r="AU33" s="36" t="e">
        <f t="shared" si="9"/>
        <v>#REF!</v>
      </c>
      <c r="AV33" s="36" t="e">
        <f t="shared" si="9"/>
        <v>#REF!</v>
      </c>
      <c r="AW33" s="36" t="e">
        <f t="shared" si="9"/>
        <v>#REF!</v>
      </c>
      <c r="AX33" s="36" t="e">
        <f t="shared" si="9"/>
        <v>#REF!</v>
      </c>
      <c r="AY33" s="36" t="e">
        <f t="shared" si="9"/>
        <v>#REF!</v>
      </c>
      <c r="AZ33" s="36" t="e">
        <f t="shared" si="9"/>
        <v>#REF!</v>
      </c>
      <c r="BA33" s="36" t="e">
        <f t="shared" si="9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8"/>
        <v>#REF!</v>
      </c>
      <c r="AG34" s="36" t="e">
        <f t="shared" si="8"/>
        <v>#REF!</v>
      </c>
      <c r="AH34" s="36" t="e">
        <f t="shared" si="8"/>
        <v>#REF!</v>
      </c>
      <c r="AI34" s="36" t="e">
        <f t="shared" si="8"/>
        <v>#REF!</v>
      </c>
      <c r="AJ34" s="36" t="e">
        <f t="shared" si="8"/>
        <v>#REF!</v>
      </c>
      <c r="AK34" s="36" t="e">
        <f t="shared" si="8"/>
        <v>#REF!</v>
      </c>
      <c r="AL34" s="36" t="e">
        <f t="shared" si="8"/>
        <v>#REF!</v>
      </c>
      <c r="AM34" s="36" t="e">
        <f t="shared" si="8"/>
        <v>#REF!</v>
      </c>
      <c r="AN34" s="36" t="e">
        <f t="shared" si="8"/>
        <v>#REF!</v>
      </c>
      <c r="AO34" s="36" t="e">
        <f t="shared" si="8"/>
        <v>#REF!</v>
      </c>
      <c r="AQ34" s="38"/>
      <c r="AR34" s="36" t="e">
        <f t="shared" si="9"/>
        <v>#REF!</v>
      </c>
      <c r="AS34" s="36" t="e">
        <f t="shared" si="9"/>
        <v>#REF!</v>
      </c>
      <c r="AT34" s="36" t="e">
        <f t="shared" si="9"/>
        <v>#REF!</v>
      </c>
      <c r="AU34" s="36" t="e">
        <f t="shared" si="9"/>
        <v>#REF!</v>
      </c>
      <c r="AV34" s="36" t="e">
        <f t="shared" si="9"/>
        <v>#REF!</v>
      </c>
      <c r="AW34" s="36" t="e">
        <f t="shared" si="9"/>
        <v>#REF!</v>
      </c>
      <c r="AX34" s="36" t="e">
        <f t="shared" si="9"/>
        <v>#REF!</v>
      </c>
      <c r="AY34" s="36" t="e">
        <f t="shared" si="9"/>
        <v>#REF!</v>
      </c>
      <c r="AZ34" s="36" t="e">
        <f t="shared" si="9"/>
        <v>#REF!</v>
      </c>
      <c r="BA34" s="36" t="e">
        <f t="shared" si="9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8"/>
        <v>#REF!</v>
      </c>
      <c r="AG35" s="36" t="e">
        <f t="shared" si="8"/>
        <v>#REF!</v>
      </c>
      <c r="AH35" s="36" t="e">
        <f t="shared" si="8"/>
        <v>#REF!</v>
      </c>
      <c r="AI35" s="36" t="e">
        <f t="shared" si="8"/>
        <v>#REF!</v>
      </c>
      <c r="AJ35" s="36" t="e">
        <f t="shared" si="8"/>
        <v>#REF!</v>
      </c>
      <c r="AK35" s="36" t="e">
        <f t="shared" si="8"/>
        <v>#REF!</v>
      </c>
      <c r="AL35" s="36" t="e">
        <f t="shared" si="8"/>
        <v>#REF!</v>
      </c>
      <c r="AM35" s="36" t="e">
        <f t="shared" si="8"/>
        <v>#REF!</v>
      </c>
      <c r="AN35" s="36" t="e">
        <f t="shared" si="8"/>
        <v>#REF!</v>
      </c>
      <c r="AO35" s="36" t="e">
        <f t="shared" si="8"/>
        <v>#REF!</v>
      </c>
      <c r="AQ35" s="38"/>
      <c r="AR35" s="36" t="e">
        <f t="shared" si="9"/>
        <v>#REF!</v>
      </c>
      <c r="AS35" s="36" t="e">
        <f t="shared" si="9"/>
        <v>#REF!</v>
      </c>
      <c r="AT35" s="36" t="e">
        <f t="shared" si="9"/>
        <v>#REF!</v>
      </c>
      <c r="AU35" s="36" t="e">
        <f t="shared" si="9"/>
        <v>#REF!</v>
      </c>
      <c r="AV35" s="36" t="e">
        <f t="shared" si="9"/>
        <v>#REF!</v>
      </c>
      <c r="AW35" s="36" t="e">
        <f t="shared" si="9"/>
        <v>#REF!</v>
      </c>
      <c r="AX35" s="36" t="e">
        <f t="shared" si="9"/>
        <v>#REF!</v>
      </c>
      <c r="AY35" s="36" t="e">
        <f t="shared" si="9"/>
        <v>#REF!</v>
      </c>
      <c r="AZ35" s="36" t="e">
        <f t="shared" si="9"/>
        <v>#REF!</v>
      </c>
      <c r="BA35" s="36" t="e">
        <f t="shared" si="9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10">AF$11*$AC38</f>
        <v>#REF!</v>
      </c>
      <c r="AG38" s="36" t="e">
        <f t="shared" si="10"/>
        <v>#REF!</v>
      </c>
      <c r="AH38" s="36" t="e">
        <f t="shared" si="10"/>
        <v>#REF!</v>
      </c>
      <c r="AI38" s="36" t="e">
        <f t="shared" si="10"/>
        <v>#REF!</v>
      </c>
      <c r="AJ38" s="36" t="e">
        <f t="shared" si="10"/>
        <v>#REF!</v>
      </c>
      <c r="AK38" s="36" t="e">
        <f t="shared" si="10"/>
        <v>#REF!</v>
      </c>
      <c r="AL38" s="36" t="e">
        <f t="shared" si="10"/>
        <v>#REF!</v>
      </c>
      <c r="AM38" s="36" t="e">
        <f t="shared" si="10"/>
        <v>#REF!</v>
      </c>
      <c r="AN38" s="36" t="e">
        <f t="shared" si="10"/>
        <v>#REF!</v>
      </c>
      <c r="AO38" s="36" t="e">
        <f t="shared" si="10"/>
        <v>#REF!</v>
      </c>
      <c r="AQ38" s="38"/>
      <c r="AR38" s="36" t="e">
        <f t="shared" ref="AR38:BA46" si="11">AR$11*$AC38</f>
        <v>#REF!</v>
      </c>
      <c r="AS38" s="36" t="e">
        <f t="shared" si="11"/>
        <v>#REF!</v>
      </c>
      <c r="AT38" s="36" t="e">
        <f t="shared" si="11"/>
        <v>#REF!</v>
      </c>
      <c r="AU38" s="36" t="e">
        <f t="shared" si="11"/>
        <v>#REF!</v>
      </c>
      <c r="AV38" s="36" t="e">
        <f t="shared" si="11"/>
        <v>#REF!</v>
      </c>
      <c r="AW38" s="36" t="e">
        <f t="shared" si="11"/>
        <v>#REF!</v>
      </c>
      <c r="AX38" s="36" t="e">
        <f t="shared" si="11"/>
        <v>#REF!</v>
      </c>
      <c r="AY38" s="36" t="e">
        <f t="shared" si="11"/>
        <v>#REF!</v>
      </c>
      <c r="AZ38" s="36" t="e">
        <f t="shared" si="11"/>
        <v>#REF!</v>
      </c>
      <c r="BA38" s="36" t="e">
        <f t="shared" si="11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10"/>
        <v>#REF!</v>
      </c>
      <c r="AG39" s="36" t="e">
        <f t="shared" si="10"/>
        <v>#REF!</v>
      </c>
      <c r="AH39" s="36" t="e">
        <f t="shared" si="10"/>
        <v>#REF!</v>
      </c>
      <c r="AI39" s="36" t="e">
        <f t="shared" si="10"/>
        <v>#REF!</v>
      </c>
      <c r="AJ39" s="36" t="e">
        <f t="shared" si="10"/>
        <v>#REF!</v>
      </c>
      <c r="AK39" s="36" t="e">
        <f t="shared" si="10"/>
        <v>#REF!</v>
      </c>
      <c r="AL39" s="36" t="e">
        <f t="shared" si="10"/>
        <v>#REF!</v>
      </c>
      <c r="AM39" s="36" t="e">
        <f t="shared" si="10"/>
        <v>#REF!</v>
      </c>
      <c r="AN39" s="36" t="e">
        <f t="shared" si="10"/>
        <v>#REF!</v>
      </c>
      <c r="AO39" s="36" t="e">
        <f t="shared" si="10"/>
        <v>#REF!</v>
      </c>
      <c r="AQ39" s="38"/>
      <c r="AR39" s="36" t="e">
        <f t="shared" si="11"/>
        <v>#REF!</v>
      </c>
      <c r="AS39" s="36" t="e">
        <f t="shared" si="11"/>
        <v>#REF!</v>
      </c>
      <c r="AT39" s="36" t="e">
        <f t="shared" si="11"/>
        <v>#REF!</v>
      </c>
      <c r="AU39" s="36" t="e">
        <f t="shared" si="11"/>
        <v>#REF!</v>
      </c>
      <c r="AV39" s="36" t="e">
        <f t="shared" si="11"/>
        <v>#REF!</v>
      </c>
      <c r="AW39" s="36" t="e">
        <f t="shared" si="11"/>
        <v>#REF!</v>
      </c>
      <c r="AX39" s="36" t="e">
        <f t="shared" si="11"/>
        <v>#REF!</v>
      </c>
      <c r="AY39" s="36" t="e">
        <f t="shared" si="11"/>
        <v>#REF!</v>
      </c>
      <c r="AZ39" s="36" t="e">
        <f t="shared" si="11"/>
        <v>#REF!</v>
      </c>
      <c r="BA39" s="36" t="e">
        <f t="shared" si="11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10"/>
        <v>#REF!</v>
      </c>
      <c r="AG40" s="36" t="e">
        <f t="shared" si="10"/>
        <v>#REF!</v>
      </c>
      <c r="AH40" s="36" t="e">
        <f t="shared" si="10"/>
        <v>#REF!</v>
      </c>
      <c r="AI40" s="36" t="e">
        <f t="shared" si="10"/>
        <v>#REF!</v>
      </c>
      <c r="AJ40" s="36" t="e">
        <f t="shared" si="10"/>
        <v>#REF!</v>
      </c>
      <c r="AK40" s="36" t="e">
        <f t="shared" si="10"/>
        <v>#REF!</v>
      </c>
      <c r="AL40" s="36" t="e">
        <f t="shared" si="10"/>
        <v>#REF!</v>
      </c>
      <c r="AM40" s="36" t="e">
        <f t="shared" si="10"/>
        <v>#REF!</v>
      </c>
      <c r="AN40" s="36" t="e">
        <f t="shared" si="10"/>
        <v>#REF!</v>
      </c>
      <c r="AO40" s="36" t="e">
        <f t="shared" si="10"/>
        <v>#REF!</v>
      </c>
      <c r="AQ40" s="38"/>
      <c r="AR40" s="36" t="e">
        <f t="shared" si="11"/>
        <v>#REF!</v>
      </c>
      <c r="AS40" s="36" t="e">
        <f t="shared" si="11"/>
        <v>#REF!</v>
      </c>
      <c r="AT40" s="36" t="e">
        <f t="shared" si="11"/>
        <v>#REF!</v>
      </c>
      <c r="AU40" s="36" t="e">
        <f t="shared" si="11"/>
        <v>#REF!</v>
      </c>
      <c r="AV40" s="36" t="e">
        <f t="shared" si="11"/>
        <v>#REF!</v>
      </c>
      <c r="AW40" s="36" t="e">
        <f t="shared" si="11"/>
        <v>#REF!</v>
      </c>
      <c r="AX40" s="36" t="e">
        <f t="shared" si="11"/>
        <v>#REF!</v>
      </c>
      <c r="AY40" s="36" t="e">
        <f t="shared" si="11"/>
        <v>#REF!</v>
      </c>
      <c r="AZ40" s="36" t="e">
        <f t="shared" si="11"/>
        <v>#REF!</v>
      </c>
      <c r="BA40" s="36" t="e">
        <f t="shared" si="11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10"/>
        <v>#REF!</v>
      </c>
      <c r="AG41" s="36" t="e">
        <f t="shared" si="10"/>
        <v>#REF!</v>
      </c>
      <c r="AH41" s="36" t="e">
        <f t="shared" si="10"/>
        <v>#REF!</v>
      </c>
      <c r="AI41" s="36" t="e">
        <f t="shared" si="10"/>
        <v>#REF!</v>
      </c>
      <c r="AJ41" s="36" t="e">
        <f t="shared" si="10"/>
        <v>#REF!</v>
      </c>
      <c r="AK41" s="36" t="e">
        <f t="shared" si="10"/>
        <v>#REF!</v>
      </c>
      <c r="AL41" s="36" t="e">
        <f t="shared" si="10"/>
        <v>#REF!</v>
      </c>
      <c r="AM41" s="36" t="e">
        <f t="shared" si="10"/>
        <v>#REF!</v>
      </c>
      <c r="AN41" s="36" t="e">
        <f t="shared" si="10"/>
        <v>#REF!</v>
      </c>
      <c r="AO41" s="36" t="e">
        <f t="shared" si="10"/>
        <v>#REF!</v>
      </c>
      <c r="AQ41" s="38"/>
      <c r="AR41" s="36" t="e">
        <f t="shared" si="11"/>
        <v>#REF!</v>
      </c>
      <c r="AS41" s="36" t="e">
        <f t="shared" si="11"/>
        <v>#REF!</v>
      </c>
      <c r="AT41" s="36" t="e">
        <f t="shared" si="11"/>
        <v>#REF!</v>
      </c>
      <c r="AU41" s="36" t="e">
        <f t="shared" si="11"/>
        <v>#REF!</v>
      </c>
      <c r="AV41" s="36" t="e">
        <f t="shared" si="11"/>
        <v>#REF!</v>
      </c>
      <c r="AW41" s="36" t="e">
        <f t="shared" si="11"/>
        <v>#REF!</v>
      </c>
      <c r="AX41" s="36" t="e">
        <f t="shared" si="11"/>
        <v>#REF!</v>
      </c>
      <c r="AY41" s="36" t="e">
        <f t="shared" si="11"/>
        <v>#REF!</v>
      </c>
      <c r="AZ41" s="36" t="e">
        <f t="shared" si="11"/>
        <v>#REF!</v>
      </c>
      <c r="BA41" s="36" t="e">
        <f t="shared" si="11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10"/>
        <v>#REF!</v>
      </c>
      <c r="AG42" s="36" t="e">
        <f t="shared" si="10"/>
        <v>#REF!</v>
      </c>
      <c r="AH42" s="36" t="e">
        <f t="shared" si="10"/>
        <v>#REF!</v>
      </c>
      <c r="AI42" s="36" t="e">
        <f t="shared" si="10"/>
        <v>#REF!</v>
      </c>
      <c r="AJ42" s="36" t="e">
        <f t="shared" si="10"/>
        <v>#REF!</v>
      </c>
      <c r="AK42" s="36" t="e">
        <f t="shared" si="10"/>
        <v>#REF!</v>
      </c>
      <c r="AL42" s="36" t="e">
        <f t="shared" si="10"/>
        <v>#REF!</v>
      </c>
      <c r="AM42" s="36" t="e">
        <f t="shared" si="10"/>
        <v>#REF!</v>
      </c>
      <c r="AN42" s="36" t="e">
        <f t="shared" si="10"/>
        <v>#REF!</v>
      </c>
      <c r="AO42" s="36" t="e">
        <f t="shared" si="10"/>
        <v>#REF!</v>
      </c>
      <c r="AQ42" s="38"/>
      <c r="AR42" s="36" t="e">
        <f t="shared" si="11"/>
        <v>#REF!</v>
      </c>
      <c r="AS42" s="36" t="e">
        <f t="shared" si="11"/>
        <v>#REF!</v>
      </c>
      <c r="AT42" s="36" t="e">
        <f t="shared" si="11"/>
        <v>#REF!</v>
      </c>
      <c r="AU42" s="36" t="e">
        <f t="shared" si="11"/>
        <v>#REF!</v>
      </c>
      <c r="AV42" s="36" t="e">
        <f t="shared" si="11"/>
        <v>#REF!</v>
      </c>
      <c r="AW42" s="36" t="e">
        <f t="shared" si="11"/>
        <v>#REF!</v>
      </c>
      <c r="AX42" s="36" t="e">
        <f t="shared" si="11"/>
        <v>#REF!</v>
      </c>
      <c r="AY42" s="36" t="e">
        <f t="shared" si="11"/>
        <v>#REF!</v>
      </c>
      <c r="AZ42" s="36" t="e">
        <f t="shared" si="11"/>
        <v>#REF!</v>
      </c>
      <c r="BA42" s="36" t="e">
        <f t="shared" si="11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10"/>
        <v>#REF!</v>
      </c>
      <c r="AG43" s="36" t="e">
        <f t="shared" si="10"/>
        <v>#REF!</v>
      </c>
      <c r="AH43" s="36" t="e">
        <f t="shared" si="10"/>
        <v>#REF!</v>
      </c>
      <c r="AI43" s="36" t="e">
        <f t="shared" si="10"/>
        <v>#REF!</v>
      </c>
      <c r="AJ43" s="36" t="e">
        <f t="shared" si="10"/>
        <v>#REF!</v>
      </c>
      <c r="AK43" s="36" t="e">
        <f t="shared" si="10"/>
        <v>#REF!</v>
      </c>
      <c r="AL43" s="36" t="e">
        <f t="shared" si="10"/>
        <v>#REF!</v>
      </c>
      <c r="AM43" s="36" t="e">
        <f t="shared" si="10"/>
        <v>#REF!</v>
      </c>
      <c r="AN43" s="36" t="e">
        <f t="shared" si="10"/>
        <v>#REF!</v>
      </c>
      <c r="AO43" s="36" t="e">
        <f t="shared" si="10"/>
        <v>#REF!</v>
      </c>
      <c r="AQ43" s="38"/>
      <c r="AR43" s="36" t="e">
        <f t="shared" si="11"/>
        <v>#REF!</v>
      </c>
      <c r="AS43" s="36" t="e">
        <f t="shared" si="11"/>
        <v>#REF!</v>
      </c>
      <c r="AT43" s="36" t="e">
        <f t="shared" si="11"/>
        <v>#REF!</v>
      </c>
      <c r="AU43" s="36" t="e">
        <f t="shared" si="11"/>
        <v>#REF!</v>
      </c>
      <c r="AV43" s="36" t="e">
        <f t="shared" si="11"/>
        <v>#REF!</v>
      </c>
      <c r="AW43" s="36" t="e">
        <f t="shared" si="11"/>
        <v>#REF!</v>
      </c>
      <c r="AX43" s="36" t="e">
        <f t="shared" si="11"/>
        <v>#REF!</v>
      </c>
      <c r="AY43" s="36" t="e">
        <f t="shared" si="11"/>
        <v>#REF!</v>
      </c>
      <c r="AZ43" s="36" t="e">
        <f t="shared" si="11"/>
        <v>#REF!</v>
      </c>
      <c r="BA43" s="36" t="e">
        <f t="shared" si="11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10"/>
        <v>#REF!</v>
      </c>
      <c r="AG44" s="36" t="e">
        <f t="shared" si="10"/>
        <v>#REF!</v>
      </c>
      <c r="AH44" s="36" t="e">
        <f t="shared" si="10"/>
        <v>#REF!</v>
      </c>
      <c r="AI44" s="36" t="e">
        <f t="shared" si="10"/>
        <v>#REF!</v>
      </c>
      <c r="AJ44" s="36" t="e">
        <f t="shared" si="10"/>
        <v>#REF!</v>
      </c>
      <c r="AK44" s="36" t="e">
        <f t="shared" si="10"/>
        <v>#REF!</v>
      </c>
      <c r="AL44" s="36" t="e">
        <f t="shared" si="10"/>
        <v>#REF!</v>
      </c>
      <c r="AM44" s="36" t="e">
        <f t="shared" si="10"/>
        <v>#REF!</v>
      </c>
      <c r="AN44" s="36" t="e">
        <f t="shared" si="10"/>
        <v>#REF!</v>
      </c>
      <c r="AO44" s="36" t="e">
        <f t="shared" si="10"/>
        <v>#REF!</v>
      </c>
      <c r="AQ44" s="38"/>
      <c r="AR44" s="36" t="e">
        <f t="shared" si="11"/>
        <v>#REF!</v>
      </c>
      <c r="AS44" s="36" t="e">
        <f t="shared" si="11"/>
        <v>#REF!</v>
      </c>
      <c r="AT44" s="36" t="e">
        <f t="shared" si="11"/>
        <v>#REF!</v>
      </c>
      <c r="AU44" s="36" t="e">
        <f t="shared" si="11"/>
        <v>#REF!</v>
      </c>
      <c r="AV44" s="36" t="e">
        <f t="shared" si="11"/>
        <v>#REF!</v>
      </c>
      <c r="AW44" s="36" t="e">
        <f t="shared" si="11"/>
        <v>#REF!</v>
      </c>
      <c r="AX44" s="36" t="e">
        <f t="shared" si="11"/>
        <v>#REF!</v>
      </c>
      <c r="AY44" s="36" t="e">
        <f t="shared" si="11"/>
        <v>#REF!</v>
      </c>
      <c r="AZ44" s="36" t="e">
        <f t="shared" si="11"/>
        <v>#REF!</v>
      </c>
      <c r="BA44" s="36" t="e">
        <f t="shared" si="11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10"/>
        <v>#REF!</v>
      </c>
      <c r="AG45" s="36" t="e">
        <f t="shared" si="10"/>
        <v>#REF!</v>
      </c>
      <c r="AH45" s="36" t="e">
        <f t="shared" si="10"/>
        <v>#REF!</v>
      </c>
      <c r="AI45" s="36" t="e">
        <f t="shared" si="10"/>
        <v>#REF!</v>
      </c>
      <c r="AJ45" s="36" t="e">
        <f t="shared" si="10"/>
        <v>#REF!</v>
      </c>
      <c r="AK45" s="36" t="e">
        <f t="shared" si="10"/>
        <v>#REF!</v>
      </c>
      <c r="AL45" s="36" t="e">
        <f t="shared" si="10"/>
        <v>#REF!</v>
      </c>
      <c r="AM45" s="36" t="e">
        <f t="shared" si="10"/>
        <v>#REF!</v>
      </c>
      <c r="AN45" s="36" t="e">
        <f t="shared" si="10"/>
        <v>#REF!</v>
      </c>
      <c r="AO45" s="36" t="e">
        <f t="shared" si="10"/>
        <v>#REF!</v>
      </c>
      <c r="AQ45" s="38"/>
      <c r="AR45" s="36" t="e">
        <f t="shared" si="11"/>
        <v>#REF!</v>
      </c>
      <c r="AS45" s="36" t="e">
        <f t="shared" si="11"/>
        <v>#REF!</v>
      </c>
      <c r="AT45" s="36" t="e">
        <f t="shared" si="11"/>
        <v>#REF!</v>
      </c>
      <c r="AU45" s="36" t="e">
        <f t="shared" si="11"/>
        <v>#REF!</v>
      </c>
      <c r="AV45" s="36" t="e">
        <f t="shared" si="11"/>
        <v>#REF!</v>
      </c>
      <c r="AW45" s="36" t="e">
        <f t="shared" si="11"/>
        <v>#REF!</v>
      </c>
      <c r="AX45" s="36" t="e">
        <f t="shared" si="11"/>
        <v>#REF!</v>
      </c>
      <c r="AY45" s="36" t="e">
        <f t="shared" si="11"/>
        <v>#REF!</v>
      </c>
      <c r="AZ45" s="36" t="e">
        <f t="shared" si="11"/>
        <v>#REF!</v>
      </c>
      <c r="BA45" s="36" t="e">
        <f t="shared" si="11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10"/>
        <v>#REF!</v>
      </c>
      <c r="AG46" s="36" t="e">
        <f t="shared" si="10"/>
        <v>#REF!</v>
      </c>
      <c r="AH46" s="36" t="e">
        <f t="shared" si="10"/>
        <v>#REF!</v>
      </c>
      <c r="AI46" s="36" t="e">
        <f t="shared" si="10"/>
        <v>#REF!</v>
      </c>
      <c r="AJ46" s="36" t="e">
        <f t="shared" si="10"/>
        <v>#REF!</v>
      </c>
      <c r="AK46" s="36" t="e">
        <f t="shared" si="10"/>
        <v>#REF!</v>
      </c>
      <c r="AL46" s="36" t="e">
        <f t="shared" si="10"/>
        <v>#REF!</v>
      </c>
      <c r="AM46" s="36" t="e">
        <f t="shared" si="10"/>
        <v>#REF!</v>
      </c>
      <c r="AN46" s="36" t="e">
        <f t="shared" si="10"/>
        <v>#REF!</v>
      </c>
      <c r="AO46" s="36" t="e">
        <f t="shared" si="10"/>
        <v>#REF!</v>
      </c>
      <c r="AQ46" s="38"/>
      <c r="AR46" s="36" t="e">
        <f t="shared" si="11"/>
        <v>#REF!</v>
      </c>
      <c r="AS46" s="36" t="e">
        <f t="shared" si="11"/>
        <v>#REF!</v>
      </c>
      <c r="AT46" s="36" t="e">
        <f t="shared" si="11"/>
        <v>#REF!</v>
      </c>
      <c r="AU46" s="36" t="e">
        <f t="shared" si="11"/>
        <v>#REF!</v>
      </c>
      <c r="AV46" s="36" t="e">
        <f t="shared" si="11"/>
        <v>#REF!</v>
      </c>
      <c r="AW46" s="36" t="e">
        <f t="shared" si="11"/>
        <v>#REF!</v>
      </c>
      <c r="AX46" s="36" t="e">
        <f t="shared" si="11"/>
        <v>#REF!</v>
      </c>
      <c r="AY46" s="36" t="e">
        <f t="shared" si="11"/>
        <v>#REF!</v>
      </c>
      <c r="AZ46" s="36" t="e">
        <f t="shared" si="11"/>
        <v>#REF!</v>
      </c>
      <c r="BA46" s="36" t="e">
        <f t="shared" si="11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2">AF16+AF18+AF19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AR16+AR18+AR19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41</v>
      </c>
      <c r="AB52" s="35"/>
      <c r="AF52" s="70" t="e">
        <f t="shared" ref="AF52:AO52" si="14">AF27+AF29+AF30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AR27+AR29+AR30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71" t="s">
        <v>42</v>
      </c>
      <c r="AB53" s="35"/>
      <c r="AF53" s="70" t="e">
        <f t="shared" ref="AF53:AO53" si="16">AF38+AF40+AF41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AR38+AR40+AR41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8">AF16+AF18+AF20+AF22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AR16+AR18+AR20+AR22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41</v>
      </c>
      <c r="AB56" s="35"/>
      <c r="AF56" s="70" t="e">
        <f t="shared" ref="AF56:AO56" si="20">AF27+AF29+AF31+AF33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AR27+AR29+AR31+AR33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71" t="s">
        <v>42</v>
      </c>
      <c r="AB57" s="35"/>
      <c r="AF57" s="70" t="e">
        <f t="shared" ref="AF57:AO57" si="22">AF38+AF40+AF42+AF44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AR38+AR40+AR42+AR44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4">AF16+AF18+AF20+AF21+AF23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AR16+AR18+AR20+AR21+AR23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41</v>
      </c>
      <c r="AB60" s="35"/>
      <c r="AF60" s="70" t="e">
        <f t="shared" ref="AF60:AO60" si="26">AF27+AF29+AF31+AF32+AF34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AR27+AR29+AR31+AR32+AR34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71" t="s">
        <v>42</v>
      </c>
      <c r="AB61" s="35"/>
      <c r="AF61" s="70" t="e">
        <f t="shared" ref="AF61:AO61" si="28">AF38+AF40+AF42+AF43+AF45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AR38+AR40+AR42+AR43+AR45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30">AF16+AF18+AF20+AF21+AF24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AR16+AR18+AR20+AR21+AR24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41</v>
      </c>
      <c r="AB64" s="35"/>
      <c r="AF64" s="70" t="e">
        <f t="shared" ref="AF64:AO64" si="32">AF27+AF29+AF31+AF32+AF35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AR27+AR29+AR31+AR32+AR35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71" t="s">
        <v>42</v>
      </c>
      <c r="AB65" s="35"/>
      <c r="AF65" s="70" t="e">
        <f t="shared" ref="AF65:AO65" si="34">AF38+AF40+AF42+AF43+AF46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AR38+AR40+AR42+AR43+AR46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6">AF16+AF17+AF22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AR16+AR17+AR22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41</v>
      </c>
      <c r="AB68" s="35"/>
      <c r="AF68" s="70" t="e">
        <f t="shared" ref="AF68:AO68" si="38">AF27+AF28+AF33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AR27+AR28+AR33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1" t="s">
        <v>42</v>
      </c>
      <c r="AB69" s="35"/>
      <c r="AF69" s="70" t="e">
        <f t="shared" ref="AF69:AO69" si="40">AF38+AF39+AF44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AR38+AR39+AR44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2">AF16+AF17+AF21+AF23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AR16+AR17+AR21+AR23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41</v>
      </c>
      <c r="AB72" s="35"/>
      <c r="AF72" s="70" t="e">
        <f t="shared" ref="AF72:AO72" si="44">AF27+AF28+AF32+AF34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AR27+AR28+AR32+AR34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71" t="s">
        <v>42</v>
      </c>
      <c r="AB73" s="35"/>
      <c r="AF73" s="70" t="e">
        <f t="shared" ref="AF73:AO73" si="46">AF38+AF39+AF43+AF45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AR38+AR39+AR43+AR45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8">AF16+AF17+AF21+AF24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AR16+AR17+AR21+AR24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41</v>
      </c>
      <c r="AB76" s="35"/>
      <c r="AF76" s="70" t="e">
        <f t="shared" ref="AF76:AO76" si="50">AF27+AF28+AF32+AF35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AR27+AR28+AR32+AR35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>
      <c r="AA77" s="71" t="s">
        <v>42</v>
      </c>
      <c r="AB77" s="35"/>
      <c r="AF77" s="70" t="e">
        <f t="shared" ref="AF77:AO77" si="52">AF38+AF39+AF43+AF46</f>
        <v>#REF!</v>
      </c>
      <c r="AG77" s="70" t="e">
        <f t="shared" si="52"/>
        <v>#REF!</v>
      </c>
      <c r="AH77" s="70" t="e">
        <f t="shared" si="52"/>
        <v>#REF!</v>
      </c>
      <c r="AI77" s="70" t="e">
        <f t="shared" si="52"/>
        <v>#REF!</v>
      </c>
      <c r="AJ77" s="70" t="e">
        <f t="shared" si="52"/>
        <v>#REF!</v>
      </c>
      <c r="AK77" s="70" t="e">
        <f t="shared" si="52"/>
        <v>#REF!</v>
      </c>
      <c r="AL77" s="70" t="e">
        <f t="shared" si="52"/>
        <v>#REF!</v>
      </c>
      <c r="AM77" s="70" t="e">
        <f t="shared" si="52"/>
        <v>#REF!</v>
      </c>
      <c r="AN77" s="70" t="e">
        <f t="shared" si="52"/>
        <v>#REF!</v>
      </c>
      <c r="AO77" s="70" t="e">
        <f t="shared" si="52"/>
        <v>#REF!</v>
      </c>
      <c r="AP77" s="70"/>
      <c r="AQ77" s="70"/>
      <c r="AR77" s="70" t="e">
        <f t="shared" ref="AR77:BA77" si="53">AR38+AR39+AR43+AR46</f>
        <v>#REF!</v>
      </c>
      <c r="AS77" s="70" t="e">
        <f t="shared" si="53"/>
        <v>#REF!</v>
      </c>
      <c r="AT77" s="70" t="e">
        <f t="shared" si="53"/>
        <v>#REF!</v>
      </c>
      <c r="AU77" s="70" t="e">
        <f t="shared" si="53"/>
        <v>#REF!</v>
      </c>
      <c r="AV77" s="70" t="e">
        <f t="shared" si="53"/>
        <v>#REF!</v>
      </c>
      <c r="AW77" s="70" t="e">
        <f t="shared" si="53"/>
        <v>#REF!</v>
      </c>
      <c r="AX77" s="70" t="e">
        <f t="shared" si="53"/>
        <v>#REF!</v>
      </c>
      <c r="AY77" s="70" t="e">
        <f t="shared" si="53"/>
        <v>#REF!</v>
      </c>
      <c r="AZ77" s="70" t="e">
        <f t="shared" si="53"/>
        <v>#REF!</v>
      </c>
      <c r="BA77" s="70" t="e">
        <f t="shared" si="53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45" t="s">
        <v>55</v>
      </c>
      <c r="G89" s="545" t="s">
        <v>73</v>
      </c>
      <c r="H89" s="545" t="s">
        <v>74</v>
      </c>
      <c r="I89" s="545" t="s">
        <v>58</v>
      </c>
      <c r="J89" s="545" t="s">
        <v>59</v>
      </c>
      <c r="K89" s="545" t="s">
        <v>60</v>
      </c>
      <c r="L89" s="544" t="s">
        <v>75</v>
      </c>
      <c r="M89" s="544" t="s">
        <v>76</v>
      </c>
      <c r="N89" s="544" t="s">
        <v>61</v>
      </c>
      <c r="O89" s="544" t="s">
        <v>62</v>
      </c>
      <c r="P89" s="544" t="s">
        <v>63</v>
      </c>
      <c r="AN89" s="38"/>
      <c r="AZ89" s="36"/>
    </row>
    <row r="90" spans="1:52" ht="25.5">
      <c r="A90" s="44" t="str">
        <f>A4</f>
        <v>General Construction</v>
      </c>
      <c r="B90" s="45" t="str">
        <f>B4</f>
        <v>Light-Duty Truck, catalyst</v>
      </c>
      <c r="C90" s="46">
        <f>C4</f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2" si="54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ref="A91:C92" si="55">A5</f>
        <v>Substation General Construction</v>
      </c>
      <c r="B91" s="45" t="str">
        <f t="shared" si="55"/>
        <v>Light-Duty Truck, catalyst</v>
      </c>
      <c r="C91" s="46">
        <f t="shared" si="55"/>
        <v>3</v>
      </c>
      <c r="D91" s="46">
        <v>35</v>
      </c>
      <c r="E91" s="46">
        <v>80</v>
      </c>
      <c r="F91" s="50">
        <f>C5*($E5*$F5+($G5))/453.59</f>
        <v>1.4571581576427601</v>
      </c>
      <c r="G91" s="50">
        <f>C5*($E5*$H5+($I5))/453.59</f>
        <v>0.13101197188313402</v>
      </c>
      <c r="H91" s="50">
        <f>C5*(($E5*$J5)+($K5)+($L5)+($E5*$N5)+(($M5+$O5)))/453.59</f>
        <v>0.15149994097185998</v>
      </c>
      <c r="I91" s="50">
        <f>C5*($E5*$P5+($Q5))/453.59</f>
        <v>2.1803910814818476E-3</v>
      </c>
      <c r="J91" s="50">
        <f>C5*(($E5*($R5+$T5+$U5))+($S5))/453.59</f>
        <v>2.5572271365623688E-2</v>
      </c>
      <c r="K91" s="50">
        <f>$C5*(($E5*($V5+$X5+$Y5))+($W5))/453.59</f>
        <v>1.1136015972759426E-2</v>
      </c>
      <c r="L91" s="50">
        <f>$B$23*C5*(E5+6)</f>
        <v>2.5315747758215698E-2</v>
      </c>
      <c r="M91" s="50">
        <f t="shared" ref="M91" si="56">0.41*L91</f>
        <v>1.0379456580868435E-2</v>
      </c>
      <c r="N91" s="50">
        <f>C5*($E5*$Z5+($AA5))/453.59</f>
        <v>166.27073017811671</v>
      </c>
      <c r="O91" s="50">
        <f>C5*($E5*$AB5+($AC5))/453.59</f>
        <v>9.5114261670907474E-3</v>
      </c>
      <c r="P91" s="50">
        <f>C5*($E5*$AD5+($AE5))/453.59</f>
        <v>1.7313359741530081E-2</v>
      </c>
      <c r="AN91" s="38"/>
      <c r="AZ91" s="36"/>
    </row>
    <row r="92" spans="1:52" ht="25.5">
      <c r="A92" s="44" t="str">
        <f t="shared" si="55"/>
        <v>Public Improvements and Access Road Paving</v>
      </c>
      <c r="B92" s="45" t="str">
        <f t="shared" si="55"/>
        <v>Light-Duty Truck, catalyst</v>
      </c>
      <c r="C92" s="46">
        <f t="shared" si="55"/>
        <v>9</v>
      </c>
      <c r="D92" s="46">
        <v>35</v>
      </c>
      <c r="E92" s="46">
        <v>80</v>
      </c>
      <c r="F92" s="50">
        <f>C6*($E6*$F6+($G6))/453.59</f>
        <v>4.3714744729282806</v>
      </c>
      <c r="G92" s="50">
        <f>C6*($E6*$H6+($I6))/453.59</f>
        <v>0.3930359156494021</v>
      </c>
      <c r="H92" s="50">
        <f>C6*(($E6*$J6)+($K6)+($L6)+($E6*$N6)+(($M6+$O6)))/453.59</f>
        <v>0.45449982291557994</v>
      </c>
      <c r="I92" s="50">
        <f>C6*($E6*$P6+($Q6))/453.59</f>
        <v>6.5411732444455436E-3</v>
      </c>
      <c r="J92" s="50">
        <f>C6*(($E6*($R6+$T6+$U6))+($S6))/453.59</f>
        <v>7.6716814096871075E-2</v>
      </c>
      <c r="K92" s="50">
        <f>$C6*(($E6*($V6+$X6+$Y6))+($W6))/453.59</f>
        <v>3.3408047918278276E-2</v>
      </c>
      <c r="L92" s="50">
        <f>$B$23*C6*(E6+6)</f>
        <v>7.594724327464708E-2</v>
      </c>
      <c r="M92" s="50">
        <f t="shared" si="54"/>
        <v>3.1138369742605303E-2</v>
      </c>
      <c r="N92" s="50">
        <f>C6*($E6*$Z6+($AA6))/453.59</f>
        <v>498.81219053435007</v>
      </c>
      <c r="O92" s="50">
        <f>C6*($E6*$AB6+($AC6))/453.59</f>
        <v>2.8534278501272246E-2</v>
      </c>
      <c r="P92" s="50">
        <f>C6*($E6*$AD6+($AE6))/453.59</f>
        <v>5.1940079224590235E-2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 t="shared" ref="F93:P93" si="57">SUM(F90:F92)</f>
        <v>7.2857907882138004</v>
      </c>
      <c r="G93" s="81">
        <f t="shared" si="57"/>
        <v>0.65505985941567013</v>
      </c>
      <c r="H93" s="81">
        <f t="shared" si="57"/>
        <v>0.75749970485929996</v>
      </c>
      <c r="I93" s="81">
        <f t="shared" si="57"/>
        <v>1.090195540740924E-2</v>
      </c>
      <c r="J93" s="81">
        <f t="shared" si="57"/>
        <v>0.12786135682811844</v>
      </c>
      <c r="K93" s="81">
        <f t="shared" si="57"/>
        <v>5.5680079863797124E-2</v>
      </c>
      <c r="L93" s="81">
        <f t="shared" si="57"/>
        <v>0.12657873879107848</v>
      </c>
      <c r="M93" s="81">
        <f t="shared" si="57"/>
        <v>5.1897282904342174E-2</v>
      </c>
      <c r="N93" s="81">
        <f t="shared" si="57"/>
        <v>831.35365089058348</v>
      </c>
      <c r="O93" s="81">
        <f t="shared" si="57"/>
        <v>4.7557130835453737E-2</v>
      </c>
      <c r="P93" s="81">
        <f t="shared" si="57"/>
        <v>8.6566798707650397E-2</v>
      </c>
      <c r="AN93" s="38"/>
      <c r="AZ93" s="36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6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579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314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8</v>
      </c>
      <c r="P8" s="88">
        <v>125</v>
      </c>
      <c r="Q8" s="34">
        <f t="shared" ref="Q8:Y10" si="2">(E8*$N8*$O8)</f>
        <v>0.49946184642775621</v>
      </c>
      <c r="R8" s="26">
        <f t="shared" si="2"/>
        <v>2.4431746031746027</v>
      </c>
      <c r="S8" s="26">
        <f t="shared" si="2"/>
        <v>3.1176888888888881</v>
      </c>
      <c r="T8" s="26">
        <f t="shared" si="2"/>
        <v>4.4060015200662857E-3</v>
      </c>
      <c r="U8" s="26">
        <f t="shared" si="2"/>
        <v>0.19809523809523807</v>
      </c>
      <c r="V8" s="26">
        <f t="shared" si="2"/>
        <v>0.17630476190476188</v>
      </c>
      <c r="W8" s="26">
        <f t="shared" si="2"/>
        <v>375.60183859341714</v>
      </c>
      <c r="X8" s="26">
        <f t="shared" si="2"/>
        <v>5.4697471816927752E-2</v>
      </c>
      <c r="Y8" s="26">
        <f t="shared" si="2"/>
        <v>0.29618044444444436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9</v>
      </c>
      <c r="P9" s="363">
        <v>125</v>
      </c>
      <c r="Q9" s="34">
        <f t="shared" si="2"/>
        <v>1.0612998664693185</v>
      </c>
      <c r="R9" s="26">
        <f t="shared" si="2"/>
        <v>3.2860974016937274</v>
      </c>
      <c r="S9" s="26">
        <f t="shared" si="2"/>
        <v>7.8103317854039886</v>
      </c>
      <c r="T9" s="26">
        <f t="shared" si="2"/>
        <v>1.6865295748293957E-2</v>
      </c>
      <c r="U9" s="26">
        <f t="shared" si="2"/>
        <v>0.26137541066030878</v>
      </c>
      <c r="V9" s="26">
        <f t="shared" si="2"/>
        <v>0.23262411548767484</v>
      </c>
      <c r="W9" s="26">
        <f t="shared" si="2"/>
        <v>1498.908740620727</v>
      </c>
      <c r="X9" s="26">
        <f t="shared" si="2"/>
        <v>9.5759396799267066E-2</v>
      </c>
      <c r="Y9" s="26">
        <f t="shared" si="2"/>
        <v>0.74198151961337888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3</v>
      </c>
      <c r="P10" s="363">
        <v>125</v>
      </c>
      <c r="Q10" s="34">
        <f t="shared" si="2"/>
        <v>3.9051121312432671E-2</v>
      </c>
      <c r="R10" s="26">
        <f t="shared" si="2"/>
        <v>0.1468253968253968</v>
      </c>
      <c r="S10" s="26">
        <f t="shared" si="2"/>
        <v>0.13018518518518515</v>
      </c>
      <c r="T10" s="26">
        <f t="shared" si="2"/>
        <v>4.7652059865273245E-4</v>
      </c>
      <c r="U10" s="26">
        <f t="shared" si="2"/>
        <v>1.4682539682539681E-2</v>
      </c>
      <c r="V10" s="26">
        <f t="shared" si="2"/>
        <v>1.3067460317460314E-2</v>
      </c>
      <c r="W10" s="26">
        <f t="shared" si="2"/>
        <v>30.622980859093083</v>
      </c>
      <c r="X10" s="26">
        <f t="shared" si="2"/>
        <v>3.8388136396804665E-3</v>
      </c>
      <c r="Y10" s="26">
        <f t="shared" si="2"/>
        <v>1.236759259259259E-2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1.5998128342095075</v>
      </c>
      <c r="R11" s="101">
        <f t="shared" ref="R11:Y11" si="3">SUM(R8:R10)</f>
        <v>5.8760974016937269</v>
      </c>
      <c r="S11" s="101">
        <f t="shared" si="3"/>
        <v>11.058205859478063</v>
      </c>
      <c r="T11" s="101">
        <f t="shared" si="3"/>
        <v>2.1747817867012974E-2</v>
      </c>
      <c r="U11" s="101">
        <f t="shared" si="3"/>
        <v>0.47415318843808657</v>
      </c>
      <c r="V11" s="101">
        <f t="shared" si="3"/>
        <v>0.42199633770989703</v>
      </c>
      <c r="W11" s="101">
        <f t="shared" si="3"/>
        <v>1905.1335600732373</v>
      </c>
      <c r="X11" s="101">
        <f t="shared" si="3"/>
        <v>0.15429568225587528</v>
      </c>
      <c r="Y11" s="101">
        <f t="shared" si="3"/>
        <v>1.0505295566504158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87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7" t="s">
        <v>315</v>
      </c>
      <c r="B13" s="579"/>
      <c r="C13" s="18"/>
      <c r="D13" s="18"/>
      <c r="E13" s="19"/>
      <c r="F13" s="19"/>
      <c r="G13" s="19"/>
      <c r="H13" s="19"/>
      <c r="I13" s="19"/>
      <c r="J13" s="19"/>
      <c r="K13" s="19"/>
      <c r="L13" s="19"/>
      <c r="M13" s="19"/>
      <c r="N13" s="30"/>
      <c r="O13" s="30"/>
      <c r="P13" s="30"/>
      <c r="Q13" s="20"/>
      <c r="R13" s="20"/>
      <c r="S13" s="20"/>
      <c r="T13" s="20"/>
      <c r="U13" s="20"/>
      <c r="V13" s="20"/>
      <c r="W13" s="21"/>
      <c r="X13" s="20"/>
      <c r="Y13" s="20"/>
    </row>
    <row r="14" spans="1:25" s="3" customFormat="1">
      <c r="A14" s="24" t="s">
        <v>119</v>
      </c>
      <c r="B14" s="90" t="s">
        <v>27</v>
      </c>
      <c r="C14" s="22">
        <v>78</v>
      </c>
      <c r="D14" s="22">
        <f>VLOOKUP(A14,'Offroad Tiers LF'!$B$6:$C$40,2,FALSE)</f>
        <v>0.48</v>
      </c>
      <c r="E14" s="102">
        <v>6.2432730803469526E-2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0.30539682539682533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0.38971111111111101</v>
      </c>
      <c r="H14" s="102">
        <v>5.5075019000828571E-4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2.4761904761904759E-2</v>
      </c>
      <c r="J14" s="100">
        <f t="shared" ref="J14:J16" si="4">0.89*I14</f>
        <v>2.2038095238095235E-2</v>
      </c>
      <c r="K14" s="103">
        <v>46.950229824177143</v>
      </c>
      <c r="L14" s="102">
        <v>6.837183977115969E-3</v>
      </c>
      <c r="M14" s="104">
        <f t="shared" ref="M14:M16" si="5">0.095*G14</f>
        <v>3.7022555555555545E-2</v>
      </c>
      <c r="N14" s="98">
        <v>1</v>
      </c>
      <c r="O14" s="98">
        <v>6</v>
      </c>
      <c r="P14" s="88">
        <v>125</v>
      </c>
      <c r="Q14" s="34">
        <f t="shared" ref="Q14:Y16" si="6">(E14*$N14*$O14)</f>
        <v>0.37459638482081714</v>
      </c>
      <c r="R14" s="26">
        <f t="shared" si="6"/>
        <v>1.832380952380952</v>
      </c>
      <c r="S14" s="26">
        <f t="shared" si="6"/>
        <v>2.3382666666666658</v>
      </c>
      <c r="T14" s="26">
        <f t="shared" si="6"/>
        <v>3.3045011400497145E-3</v>
      </c>
      <c r="U14" s="26">
        <f t="shared" si="6"/>
        <v>0.14857142857142855</v>
      </c>
      <c r="V14" s="26">
        <f t="shared" si="6"/>
        <v>0.13222857142857142</v>
      </c>
      <c r="W14" s="26">
        <f t="shared" si="6"/>
        <v>281.70137894506286</v>
      </c>
      <c r="X14" s="26">
        <f t="shared" si="6"/>
        <v>4.1023103862695816E-2</v>
      </c>
      <c r="Y14" s="26">
        <f t="shared" si="6"/>
        <v>0.22213533333333327</v>
      </c>
    </row>
    <row r="15" spans="1:25" s="3" customFormat="1">
      <c r="A15" s="24" t="s">
        <v>305</v>
      </c>
      <c r="B15" s="29" t="s">
        <v>27</v>
      </c>
      <c r="C15" s="22">
        <v>175</v>
      </c>
      <c r="D15" s="22"/>
      <c r="E15" s="102">
        <v>0.11792220738547983</v>
      </c>
      <c r="F15" s="102">
        <v>0.36512193352152528</v>
      </c>
      <c r="G15" s="102">
        <v>0.86781464282266541</v>
      </c>
      <c r="H15" s="102">
        <v>1.8739217498104396E-3</v>
      </c>
      <c r="I15" s="102">
        <v>2.9041712295589866E-2</v>
      </c>
      <c r="J15" s="100">
        <f t="shared" si="4"/>
        <v>2.5847123943074982E-2</v>
      </c>
      <c r="K15" s="103">
        <v>166.54541562452522</v>
      </c>
      <c r="L15" s="102">
        <v>1.063993297769634E-2</v>
      </c>
      <c r="M15" s="104">
        <f t="shared" si="5"/>
        <v>8.2442391068153209E-2</v>
      </c>
      <c r="N15" s="98">
        <v>1</v>
      </c>
      <c r="O15" s="87">
        <v>2</v>
      </c>
      <c r="P15" s="363">
        <v>125</v>
      </c>
      <c r="Q15" s="34">
        <f t="shared" si="6"/>
        <v>0.23584441477095966</v>
      </c>
      <c r="R15" s="26">
        <f t="shared" si="6"/>
        <v>0.73024386704305055</v>
      </c>
      <c r="S15" s="26">
        <f t="shared" si="6"/>
        <v>1.7356292856453308</v>
      </c>
      <c r="T15" s="26">
        <f t="shared" si="6"/>
        <v>3.7478434996208792E-3</v>
      </c>
      <c r="U15" s="26">
        <f t="shared" si="6"/>
        <v>5.8083424591179732E-2</v>
      </c>
      <c r="V15" s="26">
        <f t="shared" si="6"/>
        <v>5.1694247886149965E-2</v>
      </c>
      <c r="W15" s="26">
        <f t="shared" si="6"/>
        <v>333.09083124905044</v>
      </c>
      <c r="X15" s="26">
        <f t="shared" si="6"/>
        <v>2.127986595539268E-2</v>
      </c>
      <c r="Y15" s="26">
        <f t="shared" si="6"/>
        <v>0.16488478213630642</v>
      </c>
    </row>
    <row r="16" spans="1:25" s="3" customFormat="1">
      <c r="A16" s="24" t="s">
        <v>368</v>
      </c>
      <c r="B16" s="29" t="s">
        <v>27</v>
      </c>
      <c r="C16" s="22">
        <v>5</v>
      </c>
      <c r="D16" s="22">
        <v>0.74</v>
      </c>
      <c r="E16" s="102">
        <v>1.3017040437477556E-2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4.8941798941798939E-2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4.3395061728395051E-2</v>
      </c>
      <c r="H16" s="102">
        <v>1.5884019955091081E-4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4.8941798941798936E-3</v>
      </c>
      <c r="J16" s="100">
        <f t="shared" si="4"/>
        <v>4.3558201058201051E-3</v>
      </c>
      <c r="K16" s="103">
        <v>10.20766028636436</v>
      </c>
      <c r="L16" s="102">
        <v>1.2796045465601556E-3</v>
      </c>
      <c r="M16" s="104">
        <f t="shared" si="5"/>
        <v>4.1225308641975296E-3</v>
      </c>
      <c r="N16" s="98">
        <v>1</v>
      </c>
      <c r="O16" s="87">
        <v>8</v>
      </c>
      <c r="P16" s="363">
        <v>125</v>
      </c>
      <c r="Q16" s="34">
        <f t="shared" si="6"/>
        <v>0.10413632349982045</v>
      </c>
      <c r="R16" s="26">
        <f t="shared" si="6"/>
        <v>0.39153439153439151</v>
      </c>
      <c r="S16" s="26">
        <f t="shared" si="6"/>
        <v>0.34716049382716041</v>
      </c>
      <c r="T16" s="26">
        <f t="shared" si="6"/>
        <v>1.2707215964072865E-3</v>
      </c>
      <c r="U16" s="26">
        <f t="shared" si="6"/>
        <v>3.9153439153439148E-2</v>
      </c>
      <c r="V16" s="26">
        <f t="shared" si="6"/>
        <v>3.4846560846560841E-2</v>
      </c>
      <c r="W16" s="26">
        <f t="shared" si="6"/>
        <v>81.661282290914883</v>
      </c>
      <c r="X16" s="26">
        <f t="shared" si="6"/>
        <v>1.0236836372481245E-2</v>
      </c>
      <c r="Y16" s="26">
        <f t="shared" si="6"/>
        <v>3.2980246913580237E-2</v>
      </c>
    </row>
    <row r="17" spans="1:25" s="3" customFormat="1">
      <c r="A17" s="17" t="s">
        <v>28</v>
      </c>
      <c r="B17" s="29"/>
      <c r="C17" s="22"/>
      <c r="D17" s="22"/>
      <c r="E17" s="108"/>
      <c r="F17" s="108"/>
      <c r="G17" s="108"/>
      <c r="H17" s="108"/>
      <c r="I17" s="108"/>
      <c r="J17" s="100"/>
      <c r="K17" s="365"/>
      <c r="L17" s="110"/>
      <c r="M17" s="102"/>
      <c r="N17" s="98"/>
      <c r="O17" s="87"/>
      <c r="P17" s="363"/>
      <c r="Q17" s="101">
        <f>SUM(Q14:Q16)</f>
        <v>0.71457712309159727</v>
      </c>
      <c r="R17" s="101">
        <f t="shared" ref="R17:Y17" si="7">SUM(R14:R16)</f>
        <v>2.9541592109583941</v>
      </c>
      <c r="S17" s="101">
        <f t="shared" si="7"/>
        <v>4.4210564461391568</v>
      </c>
      <c r="T17" s="101">
        <f t="shared" si="7"/>
        <v>8.32306623607788E-3</v>
      </c>
      <c r="U17" s="101">
        <f t="shared" si="7"/>
        <v>0.24580829231604745</v>
      </c>
      <c r="V17" s="101">
        <f t="shared" si="7"/>
        <v>0.21876938016128222</v>
      </c>
      <c r="W17" s="101">
        <f t="shared" si="7"/>
        <v>696.45349248502816</v>
      </c>
      <c r="X17" s="101">
        <f t="shared" si="7"/>
        <v>7.2539806190569739E-2</v>
      </c>
      <c r="Y17" s="101">
        <f t="shared" si="7"/>
        <v>0.42000036238321992</v>
      </c>
    </row>
    <row r="18" spans="1:25" s="3" customFormat="1">
      <c r="A18" s="24"/>
      <c r="B18" s="29"/>
      <c r="C18" s="22"/>
      <c r="D18" s="22"/>
      <c r="E18" s="108"/>
      <c r="F18" s="108"/>
      <c r="G18" s="108"/>
      <c r="H18" s="108"/>
      <c r="I18" s="108"/>
      <c r="J18" s="100"/>
      <c r="K18" s="365"/>
      <c r="L18" s="110"/>
      <c r="M18" s="102"/>
      <c r="N18" s="98"/>
      <c r="O18" s="98"/>
      <c r="P18" s="363"/>
      <c r="Q18" s="34"/>
      <c r="R18" s="26"/>
      <c r="S18" s="26"/>
      <c r="T18" s="26"/>
      <c r="U18" s="26"/>
      <c r="V18" s="26"/>
      <c r="W18" s="26"/>
      <c r="X18" s="26"/>
      <c r="Y18" s="26"/>
    </row>
    <row r="19" spans="1:25">
      <c r="A19" s="17" t="s">
        <v>289</v>
      </c>
      <c r="B19" s="22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11"/>
      <c r="O19" s="11"/>
      <c r="P19" s="11"/>
      <c r="Q19" s="27"/>
      <c r="R19" s="27"/>
      <c r="S19" s="27"/>
      <c r="T19" s="27"/>
      <c r="U19" s="27"/>
      <c r="V19" s="27"/>
      <c r="W19" s="28"/>
      <c r="X19" s="27"/>
      <c r="Y19" s="27"/>
    </row>
    <row r="20" spans="1:25">
      <c r="A20" s="100" t="s">
        <v>290</v>
      </c>
      <c r="B20" s="97" t="s">
        <v>27</v>
      </c>
      <c r="C20" s="22">
        <v>83</v>
      </c>
      <c r="D20" s="22">
        <v>0.4</v>
      </c>
      <c r="E20" s="102">
        <v>7.2866722082413127E-2</v>
      </c>
      <c r="F20" s="397">
        <f>IF($C20&lt;11,'Offroad Tiers EF (2)'!$AN$4*$C20*$D20,IF($C20&lt;25,'Offroad Tiers EF (2)'!$AN$5*$C20*$D20,IF($C20&lt;50,'Offroad Tiers EF (2)'!$AN$6*$C20*$D20,IF($C20&lt;75,'Offroad Tiers EF (2)'!$AN$7*$C20*$D20,IF($C20&lt;100,'Offroad Tiers EF (2)'!$AN$8*$C20*$D20,IF($C20&lt;175,'Offroad Tiers EF (2)'!$AN$9*$C20*$D20,IF($C20&lt;300,'Offroad Tiers EF (2)'!$AN$10*$C20*$D20,IF($C20&lt;600,'Offroad Tiers EF (2)'!$AN$11*$C20*$D20,"!"))))))))</f>
        <v>0.27081128747795413</v>
      </c>
      <c r="G20" s="397">
        <f>IF($C20&lt;11,'Offroad Tiers EF (2)'!$AM$4*$C20*$D20,IF($C20&lt;25,'Offroad Tiers EF (2)'!$AM$5*$C20*$D20,IF($C20&lt;50,'Offroad Tiers EF (2)'!$AM$6*$C20*$D20,IF($C20&lt;75,'Offroad Tiers EF (2)'!$AM$7*$C20*$D20,IF($C20&lt;100,'Offroad Tiers EF (2)'!$AM$8*$C20*$D20,IF($C20&lt;175,'Offroad Tiers EF (2)'!$AM$9*$C20*$D20,IF($C20&lt;300,'Offroad Tiers EF (2)'!$AM$10*$C20*$D20,IF($C20&lt;600,'Offroad Tiers EF (2)'!$AM$11*$C20*$D20,"!"))))))))</f>
        <v>0.34557716049382714</v>
      </c>
      <c r="H20" s="102">
        <v>7.3256850739065386E-4</v>
      </c>
      <c r="I20" s="397">
        <f>IF($C20&lt;11,'Offroad Tiers EF (2)'!$AO$4*$C20*$D20,IF($C20&lt;25,'Offroad Tiers EF (2)'!$AO$5*$C20*$D20,IF($C20&lt;50,'Offroad Tiers EF (2)'!$AO$6*$C20*$D20,IF($C20&lt;75,'Offroad Tiers EF (2)'!$AO$7*$C20*$D20,IF($C20&lt;100,'Offroad Tiers EF (2)'!$AO$8*$C20*$D20,IF($C20&lt;175,'Offroad Tiers EF (2)'!$AO$9*$C20*$D20,IF($C20&lt;300,'Offroad Tiers EF (2)'!$AO$10*$C20*$D20,IF($C20&lt;600,'Offroad Tiers EF (2)'!$AO$11*$C20*$D20,"!"))))))))</f>
        <v>2.1957671957671957E-2</v>
      </c>
      <c r="J20" s="100">
        <f t="shared" ref="J20" si="8">0.89*I20</f>
        <v>1.9542328042328042E-2</v>
      </c>
      <c r="K20" s="103">
        <v>62.449820864610082</v>
      </c>
      <c r="L20" s="102">
        <v>7.2252559786614269E-3</v>
      </c>
      <c r="M20" s="104">
        <f t="shared" ref="M20" si="9">0.095*G20</f>
        <v>3.2829830246913577E-2</v>
      </c>
      <c r="N20" s="87">
        <v>2</v>
      </c>
      <c r="O20" s="88">
        <v>2</v>
      </c>
      <c r="P20" s="88">
        <f>12*22</f>
        <v>264</v>
      </c>
      <c r="Q20" s="26">
        <f t="shared" ref="Q20:Y20" si="10">(E20*$N20*$O20)</f>
        <v>0.29146688832965251</v>
      </c>
      <c r="R20" s="26">
        <f t="shared" si="10"/>
        <v>1.0832451499118165</v>
      </c>
      <c r="S20" s="26">
        <f t="shared" si="10"/>
        <v>1.3823086419753086</v>
      </c>
      <c r="T20" s="26">
        <f t="shared" si="10"/>
        <v>2.9302740295626154E-3</v>
      </c>
      <c r="U20" s="26">
        <f t="shared" si="10"/>
        <v>8.7830687830687829E-2</v>
      </c>
      <c r="V20" s="26">
        <f t="shared" si="10"/>
        <v>7.8169312169312166E-2</v>
      </c>
      <c r="W20" s="26">
        <f t="shared" si="10"/>
        <v>249.79928345844033</v>
      </c>
      <c r="X20" s="26">
        <f t="shared" si="10"/>
        <v>2.8901023914645708E-2</v>
      </c>
      <c r="Y20" s="26">
        <f t="shared" si="10"/>
        <v>0.13131932098765431</v>
      </c>
    </row>
    <row r="21" spans="1:25">
      <c r="A21" s="100" t="s">
        <v>292</v>
      </c>
      <c r="B21" s="22" t="s">
        <v>27</v>
      </c>
      <c r="C21" s="97">
        <v>69</v>
      </c>
      <c r="D21" s="22">
        <v>0.5</v>
      </c>
      <c r="E21" s="102">
        <v>0.10796897189848784</v>
      </c>
      <c r="F21" s="397">
        <f>IF($C21&lt;11,'Offroad Tiers EF (2)'!$AN$4*$C21*$D21,IF($C21&lt;25,'Offroad Tiers EF (2)'!$AN$5*$C21*$D21,IF($C21&lt;50,'Offroad Tiers EF (2)'!$AN$6*$C21*$D21,IF($C21&lt;75,'Offroad Tiers EF (2)'!$AN$7*$C21*$D21,IF($C21&lt;100,'Offroad Tiers EF (2)'!$AN$8*$C21*$D21,IF($C21&lt;175,'Offroad Tiers EF (2)'!$AN$9*$C21*$D21,IF($C21&lt;300,'Offroad Tiers EF (2)'!$AN$10*$C21*$D21,IF($C21&lt;600,'Offroad Tiers EF (2)'!$AN$11*$C21*$D21,"!"))))))))</f>
        <v>0.2814153439153439</v>
      </c>
      <c r="G21" s="397">
        <f>IF($C21&lt;11,'Offroad Tiers EF (2)'!$AM$4*$C21*$D21,IF($C21&lt;25,'Offroad Tiers EF (2)'!$AM$5*$C21*$D21,IF($C21&lt;50,'Offroad Tiers EF (2)'!$AM$6*$C21*$D21,IF($C21&lt;75,'Offroad Tiers EF (2)'!$AM$7*$C21*$D21,IF($C21&lt;100,'Offroad Tiers EF (2)'!$AM$8*$C21*$D21,IF($C21&lt;175,'Offroad Tiers EF (2)'!$AM$9*$C21*$D21,IF($C21&lt;300,'Offroad Tiers EF (2)'!$AM$10*$C21*$D21,IF($C21&lt;600,'Offroad Tiers EF (2)'!$AM$11*$C21*$D21,"!"))))))))</f>
        <v>0.40462962962962956</v>
      </c>
      <c r="H21" s="102">
        <v>7.6125329247041284E-4</v>
      </c>
      <c r="I21" s="397">
        <f>IF($C21&lt;11,'Offroad Tiers EF (2)'!$AO$4*$C21*$D21,IF($C21&lt;25,'Offroad Tiers EF (2)'!$AO$5*$C21*$D21,IF($C21&lt;50,'Offroad Tiers EF (2)'!$AO$6*$C21*$D21,IF($C21&lt;75,'Offroad Tiers EF (2)'!$AO$7*$C21*$D21,IF($C21&lt;100,'Offroad Tiers EF (2)'!$AO$8*$C21*$D21,IF($C21&lt;175,'Offroad Tiers EF (2)'!$AO$9*$C21*$D21,IF($C21&lt;300,'Offroad Tiers EF (2)'!$AO$10*$C21*$D21,IF($C21&lt;600,'Offroad Tiers EF (2)'!$AO$11*$C21*$D21,"!"))))))))</f>
        <v>2.2817460317460316E-2</v>
      </c>
      <c r="J21" s="100">
        <f t="shared" ref="J21:J23" si="11">0.89*I21</f>
        <v>2.030753968253968E-2</v>
      </c>
      <c r="K21" s="103">
        <v>64.895144949977833</v>
      </c>
      <c r="L21" s="102">
        <v>1.0324742188913067E-2</v>
      </c>
      <c r="M21" s="104">
        <f t="shared" ref="M21:M23" si="12">0.095*G21</f>
        <v>3.8439814814814809E-2</v>
      </c>
      <c r="N21" s="87">
        <v>1</v>
      </c>
      <c r="O21" s="88">
        <v>6</v>
      </c>
      <c r="P21" s="88">
        <f>8*22</f>
        <v>176</v>
      </c>
      <c r="Q21" s="26">
        <f t="shared" ref="Q21:Y23" si="13">(E21*$N21*$O21)</f>
        <v>0.64781383139092696</v>
      </c>
      <c r="R21" s="26">
        <f t="shared" si="13"/>
        <v>1.6884920634920633</v>
      </c>
      <c r="S21" s="26">
        <f t="shared" si="13"/>
        <v>2.4277777777777771</v>
      </c>
      <c r="T21" s="26">
        <f t="shared" si="13"/>
        <v>4.567519754822477E-3</v>
      </c>
      <c r="U21" s="26">
        <f t="shared" si="13"/>
        <v>0.13690476190476189</v>
      </c>
      <c r="V21" s="26">
        <f t="shared" si="13"/>
        <v>0.12184523809523809</v>
      </c>
      <c r="W21" s="26">
        <f t="shared" si="13"/>
        <v>389.370869699867</v>
      </c>
      <c r="X21" s="26">
        <f t="shared" si="13"/>
        <v>6.1948453133478402E-2</v>
      </c>
      <c r="Y21" s="26">
        <f t="shared" si="13"/>
        <v>0.23063888888888884</v>
      </c>
    </row>
    <row r="22" spans="1:25">
      <c r="A22" s="100" t="s">
        <v>126</v>
      </c>
      <c r="B22" s="22" t="s">
        <v>27</v>
      </c>
      <c r="C22" s="22">
        <v>175</v>
      </c>
      <c r="D22" s="22"/>
      <c r="E22" s="102">
        <v>0.11792220738547983</v>
      </c>
      <c r="F22" s="102">
        <v>0.36512193352152528</v>
      </c>
      <c r="G22" s="102">
        <v>0.86781464282266541</v>
      </c>
      <c r="H22" s="102">
        <v>1.8739217498104396E-3</v>
      </c>
      <c r="I22" s="102">
        <v>2.9041712295589866E-2</v>
      </c>
      <c r="J22" s="100">
        <f t="shared" si="11"/>
        <v>2.5847123943074982E-2</v>
      </c>
      <c r="K22" s="103">
        <v>166.54541562452522</v>
      </c>
      <c r="L22" s="102">
        <v>1.063993297769634E-2</v>
      </c>
      <c r="M22" s="104">
        <f t="shared" si="12"/>
        <v>8.2442391068153209E-2</v>
      </c>
      <c r="N22" s="88">
        <v>1</v>
      </c>
      <c r="O22" s="88">
        <v>3</v>
      </c>
      <c r="P22" s="367">
        <v>40</v>
      </c>
      <c r="Q22" s="26">
        <f t="shared" si="13"/>
        <v>0.3537666221564395</v>
      </c>
      <c r="R22" s="26">
        <f t="shared" si="13"/>
        <v>1.0953658005645759</v>
      </c>
      <c r="S22" s="26">
        <f t="shared" si="13"/>
        <v>2.6034439284679962</v>
      </c>
      <c r="T22" s="26">
        <f t="shared" si="13"/>
        <v>5.6217652494313184E-3</v>
      </c>
      <c r="U22" s="26">
        <f t="shared" si="13"/>
        <v>8.7125136886769594E-2</v>
      </c>
      <c r="V22" s="26">
        <f t="shared" si="13"/>
        <v>7.754137182922495E-2</v>
      </c>
      <c r="W22" s="26">
        <f t="shared" si="13"/>
        <v>499.63624687357566</v>
      </c>
      <c r="X22" s="26">
        <f t="shared" si="13"/>
        <v>3.1919798933089022E-2</v>
      </c>
      <c r="Y22" s="26">
        <f t="shared" si="13"/>
        <v>0.24732717320445963</v>
      </c>
    </row>
    <row r="23" spans="1:25">
      <c r="A23" s="100" t="s">
        <v>293</v>
      </c>
      <c r="B23" s="22" t="s">
        <v>27</v>
      </c>
      <c r="C23" s="22">
        <v>157</v>
      </c>
      <c r="D23" s="22">
        <v>0.38</v>
      </c>
      <c r="E23" s="550">
        <v>9.7211873502789536E-2</v>
      </c>
      <c r="F23" s="397">
        <f>IF($C23&lt;11,'Offroad Tiers EF (2)'!$AN$4*$C23*$D23,IF($C23&lt;25,'Offroad Tiers EF (2)'!$AN$5*$C23*$D23,IF($C23&lt;50,'Offroad Tiers EF (2)'!$AN$6*$C23*$D23,IF($C23&lt;75,'Offroad Tiers EF (2)'!$AN$7*$C23*$D23,IF($C23&lt;100,'Offroad Tiers EF (2)'!$AN$8*$C23*$D23,IF($C23&lt;175,'Offroad Tiers EF (2)'!$AN$9*$C23*$D23,IF($C23&lt;300,'Offroad Tiers EF (2)'!$AN$10*$C23*$D23,IF($C23&lt;600,'Offroad Tiers EF (2)'!$AN$11*$C23*$D23,"!"))))))))</f>
        <v>0.48664462081128745</v>
      </c>
      <c r="G23" s="397">
        <f>IF($C23&lt;11,'Offroad Tiers EF (2)'!$AM$4*$C23*$D23,IF($C23&lt;25,'Offroad Tiers EF (2)'!$AM$5*$C23*$D23,IF($C23&lt;50,'Offroad Tiers EF (2)'!$AM$6*$C23*$D23,IF($C23&lt;75,'Offroad Tiers EF (2)'!$AM$7*$C23*$D23,IF($C23&lt;100,'Offroad Tiers EF (2)'!$AM$8*$C23*$D23,IF($C23&lt;175,'Offroad Tiers EF (2)'!$AM$9*$C23*$D23,IF($C23&lt;300,'Offroad Tiers EF (2)'!$AM$10*$C23*$D23,IF($C23&lt;600,'Offroad Tiers EF (2)'!$AM$11*$C23*$D23,"!"))))))))</f>
        <v>0.54103044532627864</v>
      </c>
      <c r="H23" s="550">
        <v>1.2626852382997586E-3</v>
      </c>
      <c r="I23" s="397">
        <f>IF($C23&lt;11,'Offroad Tiers EF (2)'!$AO$4*$C23*$D23,IF($C23&lt;25,'Offroad Tiers EF (2)'!$AO$5*$C23*$D23,IF($C23&lt;50,'Offroad Tiers EF (2)'!$AO$6*$C23*$D23,IF($C23&lt;75,'Offroad Tiers EF (2)'!$AO$7*$C23*$D23,IF($C23&lt;100,'Offroad Tiers EF (2)'!$AO$8*$C23*$D23,IF($C23&lt;175,'Offroad Tiers EF (2)'!$AO$9*$C23*$D23,IF($C23&lt;300,'Offroad Tiers EF (2)'!$AO$10*$C23*$D23,IF($C23&lt;600,'Offroad Tiers EF (2)'!$AO$11*$C23*$D23,"!"))))))))</f>
        <v>2.8935626102292767E-2</v>
      </c>
      <c r="J23" s="551">
        <f t="shared" si="11"/>
        <v>2.5752707231040561E-2</v>
      </c>
      <c r="K23" s="552">
        <v>112.22156581723891</v>
      </c>
      <c r="L23" s="111">
        <v>9.4890670020510905E-3</v>
      </c>
      <c r="M23" s="553">
        <f t="shared" si="12"/>
        <v>5.1397892305996472E-2</v>
      </c>
      <c r="N23" s="98">
        <v>1</v>
      </c>
      <c r="O23" s="88">
        <v>6</v>
      </c>
      <c r="P23" s="367">
        <v>15</v>
      </c>
      <c r="Q23" s="26">
        <f t="shared" si="13"/>
        <v>0.58327124101673722</v>
      </c>
      <c r="R23" s="26">
        <f t="shared" si="13"/>
        <v>2.9198677248677249</v>
      </c>
      <c r="S23" s="26">
        <f t="shared" si="13"/>
        <v>3.2461826719576719</v>
      </c>
      <c r="T23" s="26">
        <f t="shared" si="13"/>
        <v>7.5761114297985509E-3</v>
      </c>
      <c r="U23" s="26">
        <f t="shared" si="13"/>
        <v>0.17361375661375661</v>
      </c>
      <c r="V23" s="26">
        <f t="shared" si="13"/>
        <v>0.15451624338624337</v>
      </c>
      <c r="W23" s="26">
        <f t="shared" si="13"/>
        <v>673.32939490343347</v>
      </c>
      <c r="X23" s="26">
        <f t="shared" si="13"/>
        <v>5.693440201230654E-2</v>
      </c>
      <c r="Y23" s="26">
        <f t="shared" si="13"/>
        <v>0.30838735383597882</v>
      </c>
    </row>
    <row r="24" spans="1:25">
      <c r="A24" s="17" t="s">
        <v>28</v>
      </c>
      <c r="B24" s="97"/>
      <c r="C24" s="22"/>
      <c r="D24" s="22"/>
      <c r="E24" s="23"/>
      <c r="F24" s="23"/>
      <c r="G24" s="23"/>
      <c r="H24" s="23"/>
      <c r="I24" s="23"/>
      <c r="J24" s="24"/>
      <c r="K24" s="25"/>
      <c r="L24" s="23"/>
      <c r="M24" s="23"/>
      <c r="N24" s="88"/>
      <c r="O24" s="88"/>
      <c r="P24" s="88"/>
      <c r="Q24" s="27">
        <f>SUM(Q20:Q23)</f>
        <v>1.8763185828937563</v>
      </c>
      <c r="R24" s="27">
        <f t="shared" ref="R24:Y24" si="14">SUM(R20:R23)</f>
        <v>6.7869707388361808</v>
      </c>
      <c r="S24" s="27">
        <f t="shared" si="14"/>
        <v>9.6597130201787529</v>
      </c>
      <c r="T24" s="27">
        <f t="shared" si="14"/>
        <v>2.0695670463614962E-2</v>
      </c>
      <c r="U24" s="27">
        <f t="shared" si="14"/>
        <v>0.48547434323597594</v>
      </c>
      <c r="V24" s="27">
        <f t="shared" si="14"/>
        <v>0.43207216548001859</v>
      </c>
      <c r="W24" s="27">
        <f t="shared" si="14"/>
        <v>1812.1357949353164</v>
      </c>
      <c r="X24" s="27">
        <f t="shared" si="14"/>
        <v>0.17970367799351966</v>
      </c>
      <c r="Y24" s="27">
        <f t="shared" si="14"/>
        <v>0.91767273691698159</v>
      </c>
    </row>
    <row r="25" spans="1:25">
      <c r="A25" s="11"/>
      <c r="B25" s="579"/>
      <c r="C25" s="18"/>
      <c r="D25" s="22"/>
      <c r="E25" s="19"/>
      <c r="F25" s="19"/>
      <c r="G25" s="19"/>
      <c r="H25" s="19"/>
      <c r="I25" s="19"/>
      <c r="J25" s="19"/>
      <c r="K25" s="19"/>
      <c r="L25" s="19"/>
      <c r="M25" s="19"/>
      <c r="N25" s="30"/>
      <c r="O25" s="30"/>
      <c r="P25" s="364"/>
      <c r="Q25" s="20"/>
      <c r="R25" s="20"/>
      <c r="S25" s="27"/>
      <c r="T25" s="20"/>
      <c r="U25" s="20"/>
      <c r="V25" s="20"/>
      <c r="W25" s="20"/>
      <c r="X25" s="20"/>
      <c r="Y25" s="20"/>
    </row>
    <row r="26" spans="1:25">
      <c r="A26" s="17" t="s">
        <v>387</v>
      </c>
      <c r="B26" s="549"/>
      <c r="C26" s="18"/>
      <c r="D26" s="22"/>
      <c r="E26" s="19"/>
      <c r="F26" s="19"/>
      <c r="G26" s="19"/>
      <c r="H26" s="19"/>
      <c r="I26" s="19"/>
      <c r="J26" s="19"/>
      <c r="K26" s="19"/>
      <c r="L26" s="19"/>
      <c r="M26" s="19"/>
      <c r="N26" s="30"/>
      <c r="O26" s="30"/>
      <c r="P26" s="364"/>
      <c r="Q26" s="20">
        <f>Q11+Q17+Q24</f>
        <v>4.1907085401948612</v>
      </c>
      <c r="R26" s="20">
        <f t="shared" ref="R26:Y26" si="15">R11+R17+R24</f>
        <v>15.617227351488303</v>
      </c>
      <c r="S26" s="20">
        <f t="shared" si="15"/>
        <v>25.138975325795972</v>
      </c>
      <c r="T26" s="20">
        <f t="shared" si="15"/>
        <v>5.0766554566705813E-2</v>
      </c>
      <c r="U26" s="20">
        <f t="shared" si="15"/>
        <v>1.20543582399011</v>
      </c>
      <c r="V26" s="20">
        <f t="shared" si="15"/>
        <v>1.0728378833511978</v>
      </c>
      <c r="W26" s="20">
        <f t="shared" si="15"/>
        <v>4413.7228474935819</v>
      </c>
      <c r="X26" s="20">
        <f t="shared" si="15"/>
        <v>0.40653916643996468</v>
      </c>
      <c r="Y26" s="20">
        <f t="shared" si="15"/>
        <v>2.3882026559506175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6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580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C9*(F9)*$B$263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C10*(F10)*$B$263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 ht="25.5">
      <c r="A13" s="114" t="s">
        <v>315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326</v>
      </c>
      <c r="B14" s="76" t="s">
        <v>95</v>
      </c>
      <c r="C14" s="79">
        <v>3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9.9891275533645019E-2</v>
      </c>
      <c r="U14" s="50">
        <f>C14*($F14*$H14)/453.59</f>
        <v>0.18440937782971867</v>
      </c>
      <c r="V14" s="50">
        <f>C14*(($F14*$I14))/453.59</f>
        <v>2.253067276294635E-2</v>
      </c>
      <c r="W14" s="50">
        <f>C14*($F14*$J14)/453.59</f>
        <v>1.3898613406074772E-3</v>
      </c>
      <c r="X14" s="50">
        <f>C14*(($F14*($K14+$L14+$M14)))/453.59</f>
        <v>3.6369464870151122E-2</v>
      </c>
      <c r="Y14" s="50">
        <f>C14*(($F14*($N14+$O14+$P14)))/453.59</f>
        <v>2.4166098982977401E-2</v>
      </c>
      <c r="Z14" s="50">
        <f>C14*(F14)*$B$263</f>
        <v>0</v>
      </c>
      <c r="AA14" s="50">
        <f>Z14*0.21</f>
        <v>0</v>
      </c>
      <c r="AB14" s="50">
        <f>C14*(($F14*($Q14)))/453.59</f>
        <v>96.814105590256631</v>
      </c>
      <c r="AC14" s="50">
        <f>C14*(($F14*($R14)))/453.59</f>
        <v>5.5322484357440338E-3</v>
      </c>
      <c r="AD14" s="50">
        <f>C14*(($F14*($S14)))/453.59</f>
        <v>2.4799901288000137E-3</v>
      </c>
    </row>
    <row r="15" spans="1:30">
      <c r="A15" s="78" t="s">
        <v>327</v>
      </c>
      <c r="B15" s="76" t="s">
        <v>105</v>
      </c>
      <c r="C15" s="374">
        <v>1</v>
      </c>
      <c r="D15" s="77"/>
      <c r="E15" s="77">
        <v>35</v>
      </c>
      <c r="F15" s="77">
        <v>80</v>
      </c>
      <c r="G15" s="106">
        <v>1.08263976628415</v>
      </c>
      <c r="H15" s="106">
        <v>4.9712718909585103</v>
      </c>
      <c r="I15" s="106">
        <v>0.26248012575016899</v>
      </c>
      <c r="J15" s="106">
        <v>1.0711818E-2</v>
      </c>
      <c r="K15" s="106">
        <v>7.1679901072141505E-2</v>
      </c>
      <c r="L15" s="576">
        <v>3.59998119015979E-2</v>
      </c>
      <c r="M15" s="576">
        <v>6.1739677411240299E-2</v>
      </c>
      <c r="N15" s="106">
        <v>6.5945508986370194E-2</v>
      </c>
      <c r="O15" s="576">
        <v>2.9999843251331498E-3</v>
      </c>
      <c r="P15" s="576">
        <v>5.5859708133979398E-2</v>
      </c>
      <c r="Q15" s="106">
        <v>1710.7260798814</v>
      </c>
      <c r="R15" s="47">
        <v>1.5235246282551899E-2</v>
      </c>
      <c r="S15" s="80">
        <f>0.000025616*Q15</f>
        <v>4.3821959262241944E-2</v>
      </c>
      <c r="T15" s="50">
        <f>C15*($F15*$G15)/453.59</f>
        <v>0.19094596728925242</v>
      </c>
      <c r="U15" s="50">
        <f>C15*($F15*$H15)/453.59</f>
        <v>0.87678685878586582</v>
      </c>
      <c r="V15" s="50">
        <f>C15*(($F15*$I15))/453.59</f>
        <v>4.6293811724274173E-2</v>
      </c>
      <c r="W15" s="50">
        <f>C15*($F15*$J15)/453.59</f>
        <v>1.8892511739676801E-3</v>
      </c>
      <c r="X15" s="50">
        <f>C15*(($F15*($K15+$L15+$M15)))/453.59</f>
        <v>2.9880621774726907E-2</v>
      </c>
      <c r="Y15" s="50">
        <f>C15*(($F15*($N15+$O15+$P15)))/453.59</f>
        <v>2.2011984646131133E-2</v>
      </c>
      <c r="Z15" s="50">
        <f>C15*(F15)*$B$263</f>
        <v>0</v>
      </c>
      <c r="AA15" s="50">
        <f>Z15*0.21</f>
        <v>0</v>
      </c>
      <c r="AB15" s="50">
        <f>C15*(($F15*($Q15)))/453.59</f>
        <v>301.72200972356535</v>
      </c>
      <c r="AC15" s="50">
        <f>C15*(($F15*($R15)))/453.59</f>
        <v>2.6870515280410772E-3</v>
      </c>
      <c r="AD15" s="50">
        <f>C15*(($F15*($S15)))/453.59</f>
        <v>7.7289110010788503E-3</v>
      </c>
    </row>
    <row r="16" spans="1:30">
      <c r="A16" s="75" t="s">
        <v>28</v>
      </c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>
        <f t="shared" ref="T16:AD16" si="1">SUM(T14:T15)</f>
        <v>0.29083724282289747</v>
      </c>
      <c r="U16" s="81">
        <f t="shared" si="1"/>
        <v>1.0611962366155845</v>
      </c>
      <c r="V16" s="81">
        <f t="shared" si="1"/>
        <v>6.8824484487220519E-2</v>
      </c>
      <c r="W16" s="81">
        <f t="shared" si="1"/>
        <v>3.2791125145751575E-3</v>
      </c>
      <c r="X16" s="81">
        <f t="shared" si="1"/>
        <v>6.6250086644878026E-2</v>
      </c>
      <c r="Y16" s="81">
        <f t="shared" si="1"/>
        <v>4.6178083629108538E-2</v>
      </c>
      <c r="Z16" s="81">
        <f t="shared" si="1"/>
        <v>0</v>
      </c>
      <c r="AA16" s="81">
        <f t="shared" si="1"/>
        <v>0</v>
      </c>
      <c r="AB16" s="81">
        <f t="shared" si="1"/>
        <v>398.53611531382199</v>
      </c>
      <c r="AC16" s="81">
        <f t="shared" si="1"/>
        <v>8.2192999637851101E-3</v>
      </c>
      <c r="AD16" s="81">
        <f t="shared" si="1"/>
        <v>1.0208901129878864E-2</v>
      </c>
    </row>
    <row r="17" spans="1:30">
      <c r="A17" s="75"/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</row>
    <row r="18" spans="1:30">
      <c r="A18" s="114" t="s">
        <v>333</v>
      </c>
      <c r="B18" s="74"/>
      <c r="C18" s="112"/>
      <c r="D18" s="112"/>
      <c r="E18" s="74"/>
      <c r="F18" s="74"/>
      <c r="G18" s="577"/>
      <c r="H18" s="41"/>
      <c r="I18" s="41"/>
      <c r="J18" s="41"/>
      <c r="K18" s="574"/>
      <c r="L18" s="574"/>
      <c r="M18" s="574"/>
      <c r="N18" s="574"/>
      <c r="O18" s="574"/>
      <c r="P18" s="574"/>
      <c r="Q18" s="41"/>
      <c r="R18" s="574"/>
      <c r="S18" s="574"/>
      <c r="T18" s="61"/>
      <c r="U18" s="61"/>
      <c r="V18" s="61"/>
      <c r="W18" s="61"/>
      <c r="X18" s="61"/>
      <c r="Y18" s="61"/>
      <c r="Z18" s="62"/>
      <c r="AA18" s="62"/>
      <c r="AB18" s="62"/>
      <c r="AC18" s="62"/>
      <c r="AD18" s="62"/>
    </row>
    <row r="19" spans="1:30">
      <c r="A19" s="78" t="s">
        <v>320</v>
      </c>
      <c r="B19" s="76" t="s">
        <v>95</v>
      </c>
      <c r="C19" s="79">
        <v>6</v>
      </c>
      <c r="D19" s="77"/>
      <c r="E19" s="77">
        <v>35</v>
      </c>
      <c r="F19" s="77">
        <v>60</v>
      </c>
      <c r="G19" s="106">
        <v>0.25172046482947802</v>
      </c>
      <c r="H19" s="106">
        <v>0.464701387165456</v>
      </c>
      <c r="I19" s="106">
        <v>5.6776043658582402E-2</v>
      </c>
      <c r="J19" s="106">
        <v>3.5023733638119199E-3</v>
      </c>
      <c r="K19" s="106">
        <v>4.6899256897933901E-2</v>
      </c>
      <c r="L19" s="47">
        <v>7.99995847163921E-3</v>
      </c>
      <c r="M19" s="47">
        <v>3.6749815577381599E-2</v>
      </c>
      <c r="N19" s="106">
        <v>4.3147317248333997E-2</v>
      </c>
      <c r="O19" s="47">
        <v>1.9999896145790402E-3</v>
      </c>
      <c r="P19" s="47">
        <v>1.57499200131354E-2</v>
      </c>
      <c r="Q19" s="106">
        <v>243.966167526025</v>
      </c>
      <c r="R19" s="47">
        <f>0.000057143*Q19</f>
        <v>1.3940958710939646E-2</v>
      </c>
      <c r="S19" s="80">
        <f>0.000025616*Q19</f>
        <v>6.2494373473466567E-3</v>
      </c>
      <c r="T19" s="50">
        <f>C19*($F19*$G19)/453.59</f>
        <v>0.19978255106729004</v>
      </c>
      <c r="U19" s="50">
        <f>C19*($F19*$H19)/453.59</f>
        <v>0.36881875565943734</v>
      </c>
      <c r="V19" s="50">
        <f>C19*(($F19*$I19))/453.59</f>
        <v>4.50613455258927E-2</v>
      </c>
      <c r="W19" s="50">
        <f>C19*($F19*$J19)/453.59</f>
        <v>2.7797226812149543E-3</v>
      </c>
      <c r="X19" s="50">
        <f>C19*(($F19*($K19+$L19+$M19)))/453.59</f>
        <v>7.2738929740302244E-2</v>
      </c>
      <c r="Y19" s="50">
        <f>C19*(($F19*($N19+$O19+$P19)))/453.59</f>
        <v>4.8332197965954803E-2</v>
      </c>
      <c r="Z19" s="50">
        <f>C19*(F19)*$B$394</f>
        <v>0</v>
      </c>
      <c r="AA19" s="50">
        <f>Z19*0.21</f>
        <v>0</v>
      </c>
      <c r="AB19" s="50">
        <f>C19*(($F19*($Q19)))/453.59</f>
        <v>193.62821118051326</v>
      </c>
      <c r="AC19" s="50">
        <f>C19*(($F19*($R19)))/453.59</f>
        <v>1.1064496871488068E-2</v>
      </c>
      <c r="AD19" s="50">
        <f>C19*(($F19*($S19)))/453.59</f>
        <v>4.9599802576000274E-3</v>
      </c>
    </row>
    <row r="20" spans="1:30">
      <c r="A20" s="75" t="s">
        <v>28</v>
      </c>
      <c r="B20" s="74"/>
      <c r="C20" s="112"/>
      <c r="D20" s="112"/>
      <c r="E20" s="74"/>
      <c r="F20" s="74"/>
      <c r="G20" s="577"/>
      <c r="H20" s="41"/>
      <c r="I20" s="41"/>
      <c r="J20" s="41"/>
      <c r="K20" s="574"/>
      <c r="L20" s="574"/>
      <c r="M20" s="574"/>
      <c r="N20" s="574"/>
      <c r="O20" s="574"/>
      <c r="P20" s="574"/>
      <c r="Q20" s="41"/>
      <c r="R20" s="574"/>
      <c r="S20" s="574"/>
      <c r="T20" s="81">
        <f t="shared" ref="T20:AD20" si="2">SUM(T19:T19)</f>
        <v>0.19978255106729004</v>
      </c>
      <c r="U20" s="81">
        <f t="shared" si="2"/>
        <v>0.36881875565943734</v>
      </c>
      <c r="V20" s="81">
        <f t="shared" si="2"/>
        <v>4.50613455258927E-2</v>
      </c>
      <c r="W20" s="81">
        <f t="shared" si="2"/>
        <v>2.7797226812149543E-3</v>
      </c>
      <c r="X20" s="81">
        <f t="shared" si="2"/>
        <v>7.2738929740302244E-2</v>
      </c>
      <c r="Y20" s="81">
        <f t="shared" si="2"/>
        <v>4.8332197965954803E-2</v>
      </c>
      <c r="Z20" s="81">
        <f t="shared" si="2"/>
        <v>0</v>
      </c>
      <c r="AA20" s="81">
        <f t="shared" si="2"/>
        <v>0</v>
      </c>
      <c r="AB20" s="81">
        <f t="shared" si="2"/>
        <v>193.62821118051326</v>
      </c>
      <c r="AC20" s="81">
        <f t="shared" si="2"/>
        <v>1.1064496871488068E-2</v>
      </c>
      <c r="AD20" s="81">
        <f t="shared" si="2"/>
        <v>4.9599802576000274E-3</v>
      </c>
    </row>
    <row r="21" spans="1:30">
      <c r="A21" s="75"/>
      <c r="B21" s="74"/>
      <c r="C21" s="112"/>
      <c r="D21" s="112"/>
      <c r="E21" s="74"/>
      <c r="F21" s="74"/>
      <c r="G21" s="577"/>
      <c r="H21" s="41"/>
      <c r="I21" s="41"/>
      <c r="J21" s="41"/>
      <c r="K21" s="574"/>
      <c r="L21" s="574"/>
      <c r="M21" s="574"/>
      <c r="N21" s="574"/>
      <c r="O21" s="574"/>
      <c r="P21" s="574"/>
      <c r="Q21" s="41"/>
      <c r="R21" s="574"/>
      <c r="S21" s="574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</row>
    <row r="22" spans="1:30">
      <c r="A22" s="75" t="s">
        <v>388</v>
      </c>
      <c r="B22" s="74"/>
      <c r="C22" s="112"/>
      <c r="D22" s="112"/>
      <c r="E22" s="74"/>
      <c r="F22" s="74"/>
      <c r="G22" s="547"/>
      <c r="H22" s="41"/>
      <c r="I22" s="41"/>
      <c r="J22" s="41"/>
      <c r="K22" s="544"/>
      <c r="L22" s="544"/>
      <c r="M22" s="544"/>
      <c r="N22" s="544"/>
      <c r="O22" s="544"/>
      <c r="P22" s="544"/>
      <c r="Q22" s="41"/>
      <c r="R22" s="544"/>
      <c r="S22" s="544"/>
      <c r="T22" s="81">
        <f>T11+T16+T20</f>
        <v>0.78145703671308497</v>
      </c>
      <c r="U22" s="81">
        <f t="shared" ref="U22:AD22" si="3">U11+U16+U20</f>
        <v>2.4912112288906063</v>
      </c>
      <c r="V22" s="81">
        <f t="shared" si="3"/>
        <v>0.18271031450033373</v>
      </c>
      <c r="W22" s="81">
        <f t="shared" si="3"/>
        <v>9.3379477103652693E-3</v>
      </c>
      <c r="X22" s="81">
        <f t="shared" si="3"/>
        <v>0.2052391030300583</v>
      </c>
      <c r="Y22" s="81">
        <f t="shared" si="3"/>
        <v>0.14068836522417189</v>
      </c>
      <c r="Z22" s="81">
        <f t="shared" si="3"/>
        <v>0</v>
      </c>
      <c r="AA22" s="81">
        <f t="shared" si="3"/>
        <v>0</v>
      </c>
      <c r="AB22" s="81">
        <f t="shared" si="3"/>
        <v>990.70044180815728</v>
      </c>
      <c r="AC22" s="81">
        <f t="shared" si="3"/>
        <v>2.7503096799058289E-2</v>
      </c>
      <c r="AD22" s="81">
        <f t="shared" si="3"/>
        <v>2.5377782517357755E-2</v>
      </c>
    </row>
    <row r="23" spans="1:30">
      <c r="A23" s="370"/>
      <c r="B23" s="371"/>
      <c r="C23" s="372"/>
      <c r="D23" s="372"/>
      <c r="E23" s="371"/>
      <c r="F23" s="371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</row>
    <row r="24" spans="1:30">
      <c r="A24" s="370"/>
      <c r="B24" s="371"/>
      <c r="C24" s="372"/>
      <c r="D24" s="372"/>
      <c r="E24" s="371"/>
      <c r="F24" s="371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  <c r="R24" s="373"/>
      <c r="S24" s="373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</row>
    <row r="25" spans="1:30">
      <c r="A25" s="370"/>
      <c r="B25" s="371"/>
      <c r="C25" s="372"/>
      <c r="D25" s="372"/>
      <c r="E25" s="371"/>
      <c r="F25" s="371"/>
      <c r="G25" s="373"/>
      <c r="H25" s="373"/>
      <c r="I25" s="373"/>
      <c r="J25" s="373"/>
      <c r="K25" s="373"/>
      <c r="L25" s="373"/>
      <c r="M25" s="373"/>
      <c r="N25" s="373"/>
      <c r="O25" s="373"/>
      <c r="P25" s="373"/>
      <c r="Q25" s="373"/>
      <c r="R25" s="373"/>
      <c r="S25" s="373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</row>
    <row r="26" spans="1:30">
      <c r="A26" s="370"/>
      <c r="B26" s="371"/>
      <c r="C26" s="372"/>
      <c r="D26" s="372"/>
      <c r="E26" s="371"/>
      <c r="F26" s="371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</row>
    <row r="374" spans="1:2" ht="25.5">
      <c r="A374" s="82" t="s">
        <v>109</v>
      </c>
    </row>
    <row r="376" spans="1:2">
      <c r="A376" s="36" t="s">
        <v>81</v>
      </c>
    </row>
    <row r="377" spans="1:2">
      <c r="A377" s="36" t="s">
        <v>82</v>
      </c>
    </row>
    <row r="378" spans="1:2">
      <c r="A378" s="36" t="s">
        <v>83</v>
      </c>
    </row>
    <row r="379" spans="1:2">
      <c r="A379" s="37" t="s">
        <v>96</v>
      </c>
    </row>
    <row r="380" spans="1:2">
      <c r="A380" s="36" t="s">
        <v>85</v>
      </c>
    </row>
    <row r="381" spans="1:2">
      <c r="A381" s="36" t="s">
        <v>86</v>
      </c>
    </row>
    <row r="382" spans="1:2">
      <c r="A382" s="36" t="s">
        <v>87</v>
      </c>
    </row>
    <row r="383" spans="1:2">
      <c r="A383" s="36" t="s">
        <v>0</v>
      </c>
    </row>
    <row r="384" spans="1:2">
      <c r="A384" s="37" t="s">
        <v>97</v>
      </c>
      <c r="B384" s="36">
        <f>(0.016*(0.03/2)^0.65*(2/3)^1.5)-0.00047</f>
        <v>9.8123053326417428E-5</v>
      </c>
    </row>
    <row r="385" spans="1:2">
      <c r="A385" s="37" t="s">
        <v>98</v>
      </c>
      <c r="B385" s="36">
        <f>(0.016*(0.03/2)^0.65*(13/3)^1.5)-0.00047</f>
        <v>8.9448292388582783E-3</v>
      </c>
    </row>
    <row r="386" spans="1:2">
      <c r="A386" s="37" t="s">
        <v>99</v>
      </c>
      <c r="B386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3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581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346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328</v>
      </c>
      <c r="B5" s="45" t="s">
        <v>102</v>
      </c>
      <c r="C5" s="46">
        <v>3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333</v>
      </c>
      <c r="B6" s="45" t="s">
        <v>102</v>
      </c>
      <c r="C6" s="46">
        <v>10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ref="AC6" si="2">0.000049261*AA6</f>
        <v>2.2095931710230707E-2</v>
      </c>
      <c r="AD6" s="49">
        <v>3.2599999999999997E-2</v>
      </c>
      <c r="AE6" s="47">
        <f t="shared" ref="AE6" si="3">0.000021675*AA6</f>
        <v>9.7222817202097123E-3</v>
      </c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546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4">AG$11*$AC16</f>
        <v>#REF!</v>
      </c>
      <c r="AH16" s="36" t="e">
        <f t="shared" si="4"/>
        <v>#REF!</v>
      </c>
      <c r="AI16" s="36" t="e">
        <f t="shared" si="4"/>
        <v>#REF!</v>
      </c>
      <c r="AJ16" s="36" t="e">
        <f t="shared" si="4"/>
        <v>#REF!</v>
      </c>
      <c r="AK16" s="36" t="e">
        <f t="shared" si="4"/>
        <v>#REF!</v>
      </c>
      <c r="AL16" s="36" t="e">
        <f t="shared" si="4"/>
        <v>#REF!</v>
      </c>
      <c r="AM16" s="36" t="e">
        <f t="shared" si="4"/>
        <v>#REF!</v>
      </c>
      <c r="AN16" s="36" t="e">
        <f t="shared" si="4"/>
        <v>#REF!</v>
      </c>
      <c r="AO16" s="36" t="e">
        <f t="shared" si="4"/>
        <v>#REF!</v>
      </c>
      <c r="AQ16" s="38"/>
      <c r="AR16" s="36" t="e">
        <f>AR$11*$AC16</f>
        <v>#REF!</v>
      </c>
      <c r="AS16" s="36" t="e">
        <f t="shared" ref="AS16:BA24" si="5">AS$11*$AC16</f>
        <v>#REF!</v>
      </c>
      <c r="AT16" s="36" t="e">
        <f t="shared" si="5"/>
        <v>#REF!</v>
      </c>
      <c r="AU16" s="36" t="e">
        <f t="shared" si="5"/>
        <v>#REF!</v>
      </c>
      <c r="AV16" s="36" t="e">
        <f t="shared" si="5"/>
        <v>#REF!</v>
      </c>
      <c r="AW16" s="36" t="e">
        <f t="shared" si="5"/>
        <v>#REF!</v>
      </c>
      <c r="AX16" s="36" t="e">
        <f t="shared" si="5"/>
        <v>#REF!</v>
      </c>
      <c r="AY16" s="36" t="e">
        <f t="shared" si="5"/>
        <v>#REF!</v>
      </c>
      <c r="AZ16" s="36" t="e">
        <f t="shared" si="5"/>
        <v>#REF!</v>
      </c>
      <c r="BA16" s="36" t="e">
        <f t="shared" si="5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6">AF$11*$AC17</f>
        <v>#REF!</v>
      </c>
      <c r="AG17" s="36" t="e">
        <f t="shared" si="4"/>
        <v>#REF!</v>
      </c>
      <c r="AH17" s="36" t="e">
        <f t="shared" si="4"/>
        <v>#REF!</v>
      </c>
      <c r="AI17" s="36" t="e">
        <f t="shared" si="4"/>
        <v>#REF!</v>
      </c>
      <c r="AJ17" s="36" t="e">
        <f t="shared" si="4"/>
        <v>#REF!</v>
      </c>
      <c r="AK17" s="36" t="e">
        <f t="shared" si="4"/>
        <v>#REF!</v>
      </c>
      <c r="AL17" s="36" t="e">
        <f t="shared" si="4"/>
        <v>#REF!</v>
      </c>
      <c r="AM17" s="36" t="e">
        <f t="shared" si="4"/>
        <v>#REF!</v>
      </c>
      <c r="AN17" s="36" t="e">
        <f t="shared" si="4"/>
        <v>#REF!</v>
      </c>
      <c r="AO17" s="36" t="e">
        <f t="shared" si="4"/>
        <v>#REF!</v>
      </c>
      <c r="AQ17" s="38"/>
      <c r="AR17" s="36" t="e">
        <f t="shared" ref="AR17:AR24" si="7">AR$11*$AC17</f>
        <v>#REF!</v>
      </c>
      <c r="AS17" s="36" t="e">
        <f t="shared" si="5"/>
        <v>#REF!</v>
      </c>
      <c r="AT17" s="36" t="e">
        <f t="shared" si="5"/>
        <v>#REF!</v>
      </c>
      <c r="AU17" s="36" t="e">
        <f t="shared" si="5"/>
        <v>#REF!</v>
      </c>
      <c r="AV17" s="36" t="e">
        <f t="shared" si="5"/>
        <v>#REF!</v>
      </c>
      <c r="AW17" s="36" t="e">
        <f t="shared" si="5"/>
        <v>#REF!</v>
      </c>
      <c r="AX17" s="36" t="e">
        <f t="shared" si="5"/>
        <v>#REF!</v>
      </c>
      <c r="AY17" s="36" t="e">
        <f t="shared" si="5"/>
        <v>#REF!</v>
      </c>
      <c r="AZ17" s="36" t="e">
        <f t="shared" si="5"/>
        <v>#REF!</v>
      </c>
      <c r="BA17" s="36" t="e">
        <f t="shared" si="5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6"/>
        <v>#REF!</v>
      </c>
      <c r="AG18" s="36" t="e">
        <f t="shared" si="4"/>
        <v>#REF!</v>
      </c>
      <c r="AH18" s="36" t="e">
        <f t="shared" si="4"/>
        <v>#REF!</v>
      </c>
      <c r="AI18" s="36" t="e">
        <f t="shared" si="4"/>
        <v>#REF!</v>
      </c>
      <c r="AJ18" s="36" t="e">
        <f t="shared" si="4"/>
        <v>#REF!</v>
      </c>
      <c r="AK18" s="36" t="e">
        <f t="shared" si="4"/>
        <v>#REF!</v>
      </c>
      <c r="AL18" s="36" t="e">
        <f t="shared" si="4"/>
        <v>#REF!</v>
      </c>
      <c r="AM18" s="36" t="e">
        <f t="shared" si="4"/>
        <v>#REF!</v>
      </c>
      <c r="AN18" s="36" t="e">
        <f t="shared" si="4"/>
        <v>#REF!</v>
      </c>
      <c r="AO18" s="36" t="e">
        <f t="shared" si="4"/>
        <v>#REF!</v>
      </c>
      <c r="AQ18" s="38"/>
      <c r="AR18" s="36" t="e">
        <f t="shared" si="7"/>
        <v>#REF!</v>
      </c>
      <c r="AS18" s="36" t="e">
        <f t="shared" si="5"/>
        <v>#REF!</v>
      </c>
      <c r="AT18" s="36" t="e">
        <f t="shared" si="5"/>
        <v>#REF!</v>
      </c>
      <c r="AU18" s="36" t="e">
        <f t="shared" si="5"/>
        <v>#REF!</v>
      </c>
      <c r="AV18" s="36" t="e">
        <f t="shared" si="5"/>
        <v>#REF!</v>
      </c>
      <c r="AW18" s="36" t="e">
        <f t="shared" si="5"/>
        <v>#REF!</v>
      </c>
      <c r="AX18" s="36" t="e">
        <f t="shared" si="5"/>
        <v>#REF!</v>
      </c>
      <c r="AY18" s="36" t="e">
        <f t="shared" si="5"/>
        <v>#REF!</v>
      </c>
      <c r="AZ18" s="36" t="e">
        <f t="shared" si="5"/>
        <v>#REF!</v>
      </c>
      <c r="BA18" s="36" t="e">
        <f t="shared" si="5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6"/>
        <v>#REF!</v>
      </c>
      <c r="AG19" s="36" t="e">
        <f t="shared" si="4"/>
        <v>#REF!</v>
      </c>
      <c r="AH19" s="36" t="e">
        <f t="shared" si="4"/>
        <v>#REF!</v>
      </c>
      <c r="AI19" s="36" t="e">
        <f t="shared" si="4"/>
        <v>#REF!</v>
      </c>
      <c r="AJ19" s="36" t="e">
        <f t="shared" si="4"/>
        <v>#REF!</v>
      </c>
      <c r="AK19" s="36" t="e">
        <f t="shared" si="4"/>
        <v>#REF!</v>
      </c>
      <c r="AL19" s="36" t="e">
        <f t="shared" si="4"/>
        <v>#REF!</v>
      </c>
      <c r="AM19" s="36" t="e">
        <f t="shared" si="4"/>
        <v>#REF!</v>
      </c>
      <c r="AN19" s="36" t="e">
        <f t="shared" si="4"/>
        <v>#REF!</v>
      </c>
      <c r="AO19" s="36" t="e">
        <f t="shared" si="4"/>
        <v>#REF!</v>
      </c>
      <c r="AQ19" s="38"/>
      <c r="AR19" s="36" t="e">
        <f t="shared" si="7"/>
        <v>#REF!</v>
      </c>
      <c r="AS19" s="36" t="e">
        <f t="shared" si="5"/>
        <v>#REF!</v>
      </c>
      <c r="AT19" s="36" t="e">
        <f t="shared" si="5"/>
        <v>#REF!</v>
      </c>
      <c r="AU19" s="36" t="e">
        <f t="shared" si="5"/>
        <v>#REF!</v>
      </c>
      <c r="AV19" s="36" t="e">
        <f t="shared" si="5"/>
        <v>#REF!</v>
      </c>
      <c r="AW19" s="36" t="e">
        <f t="shared" si="5"/>
        <v>#REF!</v>
      </c>
      <c r="AX19" s="36" t="e">
        <f t="shared" si="5"/>
        <v>#REF!</v>
      </c>
      <c r="AY19" s="36" t="e">
        <f t="shared" si="5"/>
        <v>#REF!</v>
      </c>
      <c r="AZ19" s="36" t="e">
        <f t="shared" si="5"/>
        <v>#REF!</v>
      </c>
      <c r="BA19" s="36" t="e">
        <f t="shared" si="5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6"/>
        <v>#REF!</v>
      </c>
      <c r="AG20" s="36" t="e">
        <f t="shared" si="4"/>
        <v>#REF!</v>
      </c>
      <c r="AH20" s="36" t="e">
        <f t="shared" si="4"/>
        <v>#REF!</v>
      </c>
      <c r="AI20" s="36" t="e">
        <f t="shared" si="4"/>
        <v>#REF!</v>
      </c>
      <c r="AJ20" s="36" t="e">
        <f t="shared" si="4"/>
        <v>#REF!</v>
      </c>
      <c r="AK20" s="36" t="e">
        <f t="shared" si="4"/>
        <v>#REF!</v>
      </c>
      <c r="AL20" s="36" t="e">
        <f t="shared" si="4"/>
        <v>#REF!</v>
      </c>
      <c r="AM20" s="36" t="e">
        <f t="shared" si="4"/>
        <v>#REF!</v>
      </c>
      <c r="AN20" s="36" t="e">
        <f t="shared" si="4"/>
        <v>#REF!</v>
      </c>
      <c r="AO20" s="36" t="e">
        <f t="shared" si="4"/>
        <v>#REF!</v>
      </c>
      <c r="AQ20" s="38"/>
      <c r="AR20" s="36" t="e">
        <f t="shared" si="7"/>
        <v>#REF!</v>
      </c>
      <c r="AS20" s="36" t="e">
        <f t="shared" si="5"/>
        <v>#REF!</v>
      </c>
      <c r="AT20" s="36" t="e">
        <f t="shared" si="5"/>
        <v>#REF!</v>
      </c>
      <c r="AU20" s="36" t="e">
        <f t="shared" si="5"/>
        <v>#REF!</v>
      </c>
      <c r="AV20" s="36" t="e">
        <f t="shared" si="5"/>
        <v>#REF!</v>
      </c>
      <c r="AW20" s="36" t="e">
        <f t="shared" si="5"/>
        <v>#REF!</v>
      </c>
      <c r="AX20" s="36" t="e">
        <f t="shared" si="5"/>
        <v>#REF!</v>
      </c>
      <c r="AY20" s="36" t="e">
        <f t="shared" si="5"/>
        <v>#REF!</v>
      </c>
      <c r="AZ20" s="36" t="e">
        <f t="shared" si="5"/>
        <v>#REF!</v>
      </c>
      <c r="BA20" s="36" t="e">
        <f t="shared" si="5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6"/>
        <v>#REF!</v>
      </c>
      <c r="AG21" s="36" t="e">
        <f t="shared" si="4"/>
        <v>#REF!</v>
      </c>
      <c r="AH21" s="36" t="e">
        <f t="shared" si="4"/>
        <v>#REF!</v>
      </c>
      <c r="AI21" s="36" t="e">
        <f t="shared" si="4"/>
        <v>#REF!</v>
      </c>
      <c r="AJ21" s="36" t="e">
        <f t="shared" si="4"/>
        <v>#REF!</v>
      </c>
      <c r="AK21" s="36" t="e">
        <f t="shared" si="4"/>
        <v>#REF!</v>
      </c>
      <c r="AL21" s="36" t="e">
        <f t="shared" si="4"/>
        <v>#REF!</v>
      </c>
      <c r="AM21" s="36" t="e">
        <f t="shared" si="4"/>
        <v>#REF!</v>
      </c>
      <c r="AN21" s="36" t="e">
        <f t="shared" si="4"/>
        <v>#REF!</v>
      </c>
      <c r="AO21" s="36" t="e">
        <f t="shared" si="4"/>
        <v>#REF!</v>
      </c>
      <c r="AQ21" s="38"/>
      <c r="AR21" s="36" t="e">
        <f t="shared" si="7"/>
        <v>#REF!</v>
      </c>
      <c r="AS21" s="36" t="e">
        <f t="shared" si="5"/>
        <v>#REF!</v>
      </c>
      <c r="AT21" s="36" t="e">
        <f t="shared" si="5"/>
        <v>#REF!</v>
      </c>
      <c r="AU21" s="36" t="e">
        <f t="shared" si="5"/>
        <v>#REF!</v>
      </c>
      <c r="AV21" s="36" t="e">
        <f t="shared" si="5"/>
        <v>#REF!</v>
      </c>
      <c r="AW21" s="36" t="e">
        <f t="shared" si="5"/>
        <v>#REF!</v>
      </c>
      <c r="AX21" s="36" t="e">
        <f t="shared" si="5"/>
        <v>#REF!</v>
      </c>
      <c r="AY21" s="36" t="e">
        <f t="shared" si="5"/>
        <v>#REF!</v>
      </c>
      <c r="AZ21" s="36" t="e">
        <f t="shared" si="5"/>
        <v>#REF!</v>
      </c>
      <c r="BA21" s="36" t="e">
        <f t="shared" si="5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6"/>
        <v>#REF!</v>
      </c>
      <c r="AG22" s="36" t="e">
        <f t="shared" si="4"/>
        <v>#REF!</v>
      </c>
      <c r="AH22" s="36" t="e">
        <f t="shared" si="4"/>
        <v>#REF!</v>
      </c>
      <c r="AI22" s="36" t="e">
        <f t="shared" si="4"/>
        <v>#REF!</v>
      </c>
      <c r="AJ22" s="36" t="e">
        <f t="shared" si="4"/>
        <v>#REF!</v>
      </c>
      <c r="AK22" s="36" t="e">
        <f t="shared" si="4"/>
        <v>#REF!</v>
      </c>
      <c r="AL22" s="36" t="e">
        <f t="shared" si="4"/>
        <v>#REF!</v>
      </c>
      <c r="AM22" s="36" t="e">
        <f t="shared" si="4"/>
        <v>#REF!</v>
      </c>
      <c r="AN22" s="36" t="e">
        <f t="shared" si="4"/>
        <v>#REF!</v>
      </c>
      <c r="AO22" s="36" t="e">
        <f t="shared" si="4"/>
        <v>#REF!</v>
      </c>
      <c r="AQ22" s="38"/>
      <c r="AR22" s="36" t="e">
        <f t="shared" si="7"/>
        <v>#REF!</v>
      </c>
      <c r="AS22" s="36" t="e">
        <f t="shared" si="5"/>
        <v>#REF!</v>
      </c>
      <c r="AT22" s="36" t="e">
        <f t="shared" si="5"/>
        <v>#REF!</v>
      </c>
      <c r="AU22" s="36" t="e">
        <f t="shared" si="5"/>
        <v>#REF!</v>
      </c>
      <c r="AV22" s="36" t="e">
        <f t="shared" si="5"/>
        <v>#REF!</v>
      </c>
      <c r="AW22" s="36" t="e">
        <f t="shared" si="5"/>
        <v>#REF!</v>
      </c>
      <c r="AX22" s="36" t="e">
        <f t="shared" si="5"/>
        <v>#REF!</v>
      </c>
      <c r="AY22" s="36" t="e">
        <f t="shared" si="5"/>
        <v>#REF!</v>
      </c>
      <c r="AZ22" s="36" t="e">
        <f t="shared" si="5"/>
        <v>#REF!</v>
      </c>
      <c r="BA22" s="36" t="e">
        <f t="shared" si="5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6"/>
        <v>#REF!</v>
      </c>
      <c r="AG23" s="36" t="e">
        <f t="shared" si="4"/>
        <v>#REF!</v>
      </c>
      <c r="AH23" s="36" t="e">
        <f t="shared" si="4"/>
        <v>#REF!</v>
      </c>
      <c r="AI23" s="36" t="e">
        <f t="shared" si="4"/>
        <v>#REF!</v>
      </c>
      <c r="AJ23" s="36" t="e">
        <f t="shared" si="4"/>
        <v>#REF!</v>
      </c>
      <c r="AK23" s="36" t="e">
        <f t="shared" si="4"/>
        <v>#REF!</v>
      </c>
      <c r="AL23" s="36" t="e">
        <f t="shared" si="4"/>
        <v>#REF!</v>
      </c>
      <c r="AM23" s="36" t="e">
        <f t="shared" si="4"/>
        <v>#REF!</v>
      </c>
      <c r="AN23" s="36" t="e">
        <f t="shared" si="4"/>
        <v>#REF!</v>
      </c>
      <c r="AO23" s="36" t="e">
        <f t="shared" si="4"/>
        <v>#REF!</v>
      </c>
      <c r="AQ23" s="38"/>
      <c r="AR23" s="36" t="e">
        <f t="shared" si="7"/>
        <v>#REF!</v>
      </c>
      <c r="AS23" s="36" t="e">
        <f t="shared" si="5"/>
        <v>#REF!</v>
      </c>
      <c r="AT23" s="36" t="e">
        <f t="shared" si="5"/>
        <v>#REF!</v>
      </c>
      <c r="AU23" s="36" t="e">
        <f t="shared" si="5"/>
        <v>#REF!</v>
      </c>
      <c r="AV23" s="36" t="e">
        <f t="shared" si="5"/>
        <v>#REF!</v>
      </c>
      <c r="AW23" s="36" t="e">
        <f t="shared" si="5"/>
        <v>#REF!</v>
      </c>
      <c r="AX23" s="36" t="e">
        <f t="shared" si="5"/>
        <v>#REF!</v>
      </c>
      <c r="AY23" s="36" t="e">
        <f t="shared" si="5"/>
        <v>#REF!</v>
      </c>
      <c r="AZ23" s="36" t="e">
        <f t="shared" si="5"/>
        <v>#REF!</v>
      </c>
      <c r="BA23" s="36" t="e">
        <f t="shared" si="5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6"/>
        <v>#REF!</v>
      </c>
      <c r="AG24" s="36" t="e">
        <f t="shared" si="4"/>
        <v>#REF!</v>
      </c>
      <c r="AH24" s="36" t="e">
        <f t="shared" si="4"/>
        <v>#REF!</v>
      </c>
      <c r="AI24" s="36" t="e">
        <f t="shared" si="4"/>
        <v>#REF!</v>
      </c>
      <c r="AJ24" s="36" t="e">
        <f t="shared" si="4"/>
        <v>#REF!</v>
      </c>
      <c r="AK24" s="36" t="e">
        <f t="shared" si="4"/>
        <v>#REF!</v>
      </c>
      <c r="AL24" s="36" t="e">
        <f t="shared" si="4"/>
        <v>#REF!</v>
      </c>
      <c r="AM24" s="36" t="e">
        <f t="shared" si="4"/>
        <v>#REF!</v>
      </c>
      <c r="AN24" s="36" t="e">
        <f t="shared" si="4"/>
        <v>#REF!</v>
      </c>
      <c r="AO24" s="36" t="e">
        <f t="shared" si="4"/>
        <v>#REF!</v>
      </c>
      <c r="AQ24" s="38"/>
      <c r="AR24" s="36" t="e">
        <f t="shared" si="7"/>
        <v>#REF!</v>
      </c>
      <c r="AS24" s="36" t="e">
        <f t="shared" si="5"/>
        <v>#REF!</v>
      </c>
      <c r="AT24" s="36" t="e">
        <f t="shared" si="5"/>
        <v>#REF!</v>
      </c>
      <c r="AU24" s="36" t="e">
        <f t="shared" si="5"/>
        <v>#REF!</v>
      </c>
      <c r="AV24" s="36" t="e">
        <f t="shared" si="5"/>
        <v>#REF!</v>
      </c>
      <c r="AW24" s="36" t="e">
        <f t="shared" si="5"/>
        <v>#REF!</v>
      </c>
      <c r="AX24" s="36" t="e">
        <f t="shared" si="5"/>
        <v>#REF!</v>
      </c>
      <c r="AY24" s="36" t="e">
        <f t="shared" si="5"/>
        <v>#REF!</v>
      </c>
      <c r="AZ24" s="36" t="e">
        <f t="shared" si="5"/>
        <v>#REF!</v>
      </c>
      <c r="BA24" s="36" t="e">
        <f t="shared" si="5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8">AF$11*$AC27</f>
        <v>#REF!</v>
      </c>
      <c r="AG27" s="36" t="e">
        <f t="shared" si="8"/>
        <v>#REF!</v>
      </c>
      <c r="AH27" s="36" t="e">
        <f t="shared" si="8"/>
        <v>#REF!</v>
      </c>
      <c r="AI27" s="36" t="e">
        <f t="shared" si="8"/>
        <v>#REF!</v>
      </c>
      <c r="AJ27" s="36" t="e">
        <f t="shared" si="8"/>
        <v>#REF!</v>
      </c>
      <c r="AK27" s="36" t="e">
        <f t="shared" si="8"/>
        <v>#REF!</v>
      </c>
      <c r="AL27" s="36" t="e">
        <f t="shared" si="8"/>
        <v>#REF!</v>
      </c>
      <c r="AM27" s="36" t="e">
        <f t="shared" si="8"/>
        <v>#REF!</v>
      </c>
      <c r="AN27" s="36" t="e">
        <f t="shared" si="8"/>
        <v>#REF!</v>
      </c>
      <c r="AO27" s="36" t="e">
        <f t="shared" si="8"/>
        <v>#REF!</v>
      </c>
      <c r="AQ27" s="38"/>
      <c r="AR27" s="36" t="e">
        <f t="shared" ref="AR27:BA35" si="9">AR$11*$AC27</f>
        <v>#REF!</v>
      </c>
      <c r="AS27" s="36" t="e">
        <f t="shared" si="9"/>
        <v>#REF!</v>
      </c>
      <c r="AT27" s="36" t="e">
        <f t="shared" si="9"/>
        <v>#REF!</v>
      </c>
      <c r="AU27" s="36" t="e">
        <f t="shared" si="9"/>
        <v>#REF!</v>
      </c>
      <c r="AV27" s="36" t="e">
        <f t="shared" si="9"/>
        <v>#REF!</v>
      </c>
      <c r="AW27" s="36" t="e">
        <f t="shared" si="9"/>
        <v>#REF!</v>
      </c>
      <c r="AX27" s="36" t="e">
        <f t="shared" si="9"/>
        <v>#REF!</v>
      </c>
      <c r="AY27" s="36" t="e">
        <f t="shared" si="9"/>
        <v>#REF!</v>
      </c>
      <c r="AZ27" s="36" t="e">
        <f t="shared" si="9"/>
        <v>#REF!</v>
      </c>
      <c r="BA27" s="36" t="e">
        <f t="shared" si="9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8"/>
        <v>#REF!</v>
      </c>
      <c r="AG28" s="36" t="e">
        <f t="shared" si="8"/>
        <v>#REF!</v>
      </c>
      <c r="AH28" s="36" t="e">
        <f t="shared" si="8"/>
        <v>#REF!</v>
      </c>
      <c r="AI28" s="36" t="e">
        <f t="shared" si="8"/>
        <v>#REF!</v>
      </c>
      <c r="AJ28" s="36" t="e">
        <f t="shared" si="8"/>
        <v>#REF!</v>
      </c>
      <c r="AK28" s="36" t="e">
        <f t="shared" si="8"/>
        <v>#REF!</v>
      </c>
      <c r="AL28" s="36" t="e">
        <f t="shared" si="8"/>
        <v>#REF!</v>
      </c>
      <c r="AM28" s="36" t="e">
        <f t="shared" si="8"/>
        <v>#REF!</v>
      </c>
      <c r="AN28" s="36" t="e">
        <f t="shared" si="8"/>
        <v>#REF!</v>
      </c>
      <c r="AO28" s="36" t="e">
        <f t="shared" si="8"/>
        <v>#REF!</v>
      </c>
      <c r="AQ28" s="38"/>
      <c r="AR28" s="36" t="e">
        <f t="shared" si="9"/>
        <v>#REF!</v>
      </c>
      <c r="AS28" s="36" t="e">
        <f t="shared" si="9"/>
        <v>#REF!</v>
      </c>
      <c r="AT28" s="36" t="e">
        <f t="shared" si="9"/>
        <v>#REF!</v>
      </c>
      <c r="AU28" s="36" t="e">
        <f t="shared" si="9"/>
        <v>#REF!</v>
      </c>
      <c r="AV28" s="36" t="e">
        <f t="shared" si="9"/>
        <v>#REF!</v>
      </c>
      <c r="AW28" s="36" t="e">
        <f t="shared" si="9"/>
        <v>#REF!</v>
      </c>
      <c r="AX28" s="36" t="e">
        <f t="shared" si="9"/>
        <v>#REF!</v>
      </c>
      <c r="AY28" s="36" t="e">
        <f t="shared" si="9"/>
        <v>#REF!</v>
      </c>
      <c r="AZ28" s="36" t="e">
        <f t="shared" si="9"/>
        <v>#REF!</v>
      </c>
      <c r="BA28" s="36" t="e">
        <f t="shared" si="9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8"/>
        <v>#REF!</v>
      </c>
      <c r="AG29" s="36" t="e">
        <f t="shared" si="8"/>
        <v>#REF!</v>
      </c>
      <c r="AH29" s="36" t="e">
        <f t="shared" si="8"/>
        <v>#REF!</v>
      </c>
      <c r="AI29" s="36" t="e">
        <f t="shared" si="8"/>
        <v>#REF!</v>
      </c>
      <c r="AJ29" s="36" t="e">
        <f t="shared" si="8"/>
        <v>#REF!</v>
      </c>
      <c r="AK29" s="36" t="e">
        <f t="shared" si="8"/>
        <v>#REF!</v>
      </c>
      <c r="AL29" s="36" t="e">
        <f t="shared" si="8"/>
        <v>#REF!</v>
      </c>
      <c r="AM29" s="36" t="e">
        <f t="shared" si="8"/>
        <v>#REF!</v>
      </c>
      <c r="AN29" s="36" t="e">
        <f t="shared" si="8"/>
        <v>#REF!</v>
      </c>
      <c r="AO29" s="36" t="e">
        <f t="shared" si="8"/>
        <v>#REF!</v>
      </c>
      <c r="AQ29" s="38"/>
      <c r="AR29" s="36" t="e">
        <f t="shared" si="9"/>
        <v>#REF!</v>
      </c>
      <c r="AS29" s="36" t="e">
        <f t="shared" si="9"/>
        <v>#REF!</v>
      </c>
      <c r="AT29" s="36" t="e">
        <f t="shared" si="9"/>
        <v>#REF!</v>
      </c>
      <c r="AU29" s="36" t="e">
        <f t="shared" si="9"/>
        <v>#REF!</v>
      </c>
      <c r="AV29" s="36" t="e">
        <f t="shared" si="9"/>
        <v>#REF!</v>
      </c>
      <c r="AW29" s="36" t="e">
        <f t="shared" si="9"/>
        <v>#REF!</v>
      </c>
      <c r="AX29" s="36" t="e">
        <f t="shared" si="9"/>
        <v>#REF!</v>
      </c>
      <c r="AY29" s="36" t="e">
        <f t="shared" si="9"/>
        <v>#REF!</v>
      </c>
      <c r="AZ29" s="36" t="e">
        <f t="shared" si="9"/>
        <v>#REF!</v>
      </c>
      <c r="BA29" s="36" t="e">
        <f t="shared" si="9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8"/>
        <v>#REF!</v>
      </c>
      <c r="AG30" s="36" t="e">
        <f t="shared" si="8"/>
        <v>#REF!</v>
      </c>
      <c r="AH30" s="36" t="e">
        <f t="shared" si="8"/>
        <v>#REF!</v>
      </c>
      <c r="AI30" s="36" t="e">
        <f t="shared" si="8"/>
        <v>#REF!</v>
      </c>
      <c r="AJ30" s="36" t="e">
        <f t="shared" si="8"/>
        <v>#REF!</v>
      </c>
      <c r="AK30" s="36" t="e">
        <f t="shared" si="8"/>
        <v>#REF!</v>
      </c>
      <c r="AL30" s="36" t="e">
        <f t="shared" si="8"/>
        <v>#REF!</v>
      </c>
      <c r="AM30" s="36" t="e">
        <f t="shared" si="8"/>
        <v>#REF!</v>
      </c>
      <c r="AN30" s="36" t="e">
        <f t="shared" si="8"/>
        <v>#REF!</v>
      </c>
      <c r="AO30" s="36" t="e">
        <f t="shared" si="8"/>
        <v>#REF!</v>
      </c>
      <c r="AQ30" s="38"/>
      <c r="AR30" s="36" t="e">
        <f t="shared" si="9"/>
        <v>#REF!</v>
      </c>
      <c r="AS30" s="36" t="e">
        <f t="shared" si="9"/>
        <v>#REF!</v>
      </c>
      <c r="AT30" s="36" t="e">
        <f t="shared" si="9"/>
        <v>#REF!</v>
      </c>
      <c r="AU30" s="36" t="e">
        <f t="shared" si="9"/>
        <v>#REF!</v>
      </c>
      <c r="AV30" s="36" t="e">
        <f t="shared" si="9"/>
        <v>#REF!</v>
      </c>
      <c r="AW30" s="36" t="e">
        <f t="shared" si="9"/>
        <v>#REF!</v>
      </c>
      <c r="AX30" s="36" t="e">
        <f t="shared" si="9"/>
        <v>#REF!</v>
      </c>
      <c r="AY30" s="36" t="e">
        <f t="shared" si="9"/>
        <v>#REF!</v>
      </c>
      <c r="AZ30" s="36" t="e">
        <f t="shared" si="9"/>
        <v>#REF!</v>
      </c>
      <c r="BA30" s="36" t="e">
        <f t="shared" si="9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8"/>
        <v>#REF!</v>
      </c>
      <c r="AG31" s="36" t="e">
        <f t="shared" si="8"/>
        <v>#REF!</v>
      </c>
      <c r="AH31" s="36" t="e">
        <f t="shared" si="8"/>
        <v>#REF!</v>
      </c>
      <c r="AI31" s="36" t="e">
        <f t="shared" si="8"/>
        <v>#REF!</v>
      </c>
      <c r="AJ31" s="36" t="e">
        <f t="shared" si="8"/>
        <v>#REF!</v>
      </c>
      <c r="AK31" s="36" t="e">
        <f t="shared" si="8"/>
        <v>#REF!</v>
      </c>
      <c r="AL31" s="36" t="e">
        <f t="shared" si="8"/>
        <v>#REF!</v>
      </c>
      <c r="AM31" s="36" t="e">
        <f t="shared" si="8"/>
        <v>#REF!</v>
      </c>
      <c r="AN31" s="36" t="e">
        <f t="shared" si="8"/>
        <v>#REF!</v>
      </c>
      <c r="AO31" s="36" t="e">
        <f t="shared" si="8"/>
        <v>#REF!</v>
      </c>
      <c r="AQ31" s="38"/>
      <c r="AR31" s="36" t="e">
        <f t="shared" si="9"/>
        <v>#REF!</v>
      </c>
      <c r="AS31" s="36" t="e">
        <f t="shared" si="9"/>
        <v>#REF!</v>
      </c>
      <c r="AT31" s="36" t="e">
        <f t="shared" si="9"/>
        <v>#REF!</v>
      </c>
      <c r="AU31" s="36" t="e">
        <f t="shared" si="9"/>
        <v>#REF!</v>
      </c>
      <c r="AV31" s="36" t="e">
        <f t="shared" si="9"/>
        <v>#REF!</v>
      </c>
      <c r="AW31" s="36" t="e">
        <f t="shared" si="9"/>
        <v>#REF!</v>
      </c>
      <c r="AX31" s="36" t="e">
        <f t="shared" si="9"/>
        <v>#REF!</v>
      </c>
      <c r="AY31" s="36" t="e">
        <f t="shared" si="9"/>
        <v>#REF!</v>
      </c>
      <c r="AZ31" s="36" t="e">
        <f t="shared" si="9"/>
        <v>#REF!</v>
      </c>
      <c r="BA31" s="36" t="e">
        <f t="shared" si="9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8"/>
        <v>#REF!</v>
      </c>
      <c r="AG32" s="36" t="e">
        <f t="shared" si="8"/>
        <v>#REF!</v>
      </c>
      <c r="AH32" s="36" t="e">
        <f t="shared" si="8"/>
        <v>#REF!</v>
      </c>
      <c r="AI32" s="36" t="e">
        <f t="shared" si="8"/>
        <v>#REF!</v>
      </c>
      <c r="AJ32" s="36" t="e">
        <f t="shared" si="8"/>
        <v>#REF!</v>
      </c>
      <c r="AK32" s="36" t="e">
        <f t="shared" si="8"/>
        <v>#REF!</v>
      </c>
      <c r="AL32" s="36" t="e">
        <f t="shared" si="8"/>
        <v>#REF!</v>
      </c>
      <c r="AM32" s="36" t="e">
        <f t="shared" si="8"/>
        <v>#REF!</v>
      </c>
      <c r="AN32" s="36" t="e">
        <f t="shared" si="8"/>
        <v>#REF!</v>
      </c>
      <c r="AO32" s="36" t="e">
        <f t="shared" si="8"/>
        <v>#REF!</v>
      </c>
      <c r="AQ32" s="38"/>
      <c r="AR32" s="36" t="e">
        <f t="shared" si="9"/>
        <v>#REF!</v>
      </c>
      <c r="AS32" s="36" t="e">
        <f t="shared" si="9"/>
        <v>#REF!</v>
      </c>
      <c r="AT32" s="36" t="e">
        <f t="shared" si="9"/>
        <v>#REF!</v>
      </c>
      <c r="AU32" s="36" t="e">
        <f t="shared" si="9"/>
        <v>#REF!</v>
      </c>
      <c r="AV32" s="36" t="e">
        <f t="shared" si="9"/>
        <v>#REF!</v>
      </c>
      <c r="AW32" s="36" t="e">
        <f t="shared" si="9"/>
        <v>#REF!</v>
      </c>
      <c r="AX32" s="36" t="e">
        <f t="shared" si="9"/>
        <v>#REF!</v>
      </c>
      <c r="AY32" s="36" t="e">
        <f t="shared" si="9"/>
        <v>#REF!</v>
      </c>
      <c r="AZ32" s="36" t="e">
        <f t="shared" si="9"/>
        <v>#REF!</v>
      </c>
      <c r="BA32" s="36" t="e">
        <f t="shared" si="9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8"/>
        <v>#REF!</v>
      </c>
      <c r="AG33" s="36" t="e">
        <f t="shared" si="8"/>
        <v>#REF!</v>
      </c>
      <c r="AH33" s="36" t="e">
        <f t="shared" si="8"/>
        <v>#REF!</v>
      </c>
      <c r="AI33" s="36" t="e">
        <f t="shared" si="8"/>
        <v>#REF!</v>
      </c>
      <c r="AJ33" s="36" t="e">
        <f t="shared" si="8"/>
        <v>#REF!</v>
      </c>
      <c r="AK33" s="36" t="e">
        <f t="shared" si="8"/>
        <v>#REF!</v>
      </c>
      <c r="AL33" s="36" t="e">
        <f t="shared" si="8"/>
        <v>#REF!</v>
      </c>
      <c r="AM33" s="36" t="e">
        <f t="shared" si="8"/>
        <v>#REF!</v>
      </c>
      <c r="AN33" s="36" t="e">
        <f t="shared" si="8"/>
        <v>#REF!</v>
      </c>
      <c r="AO33" s="36" t="e">
        <f t="shared" si="8"/>
        <v>#REF!</v>
      </c>
      <c r="AQ33" s="38"/>
      <c r="AR33" s="36" t="e">
        <f t="shared" si="9"/>
        <v>#REF!</v>
      </c>
      <c r="AS33" s="36" t="e">
        <f t="shared" si="9"/>
        <v>#REF!</v>
      </c>
      <c r="AT33" s="36" t="e">
        <f t="shared" si="9"/>
        <v>#REF!</v>
      </c>
      <c r="AU33" s="36" t="e">
        <f t="shared" si="9"/>
        <v>#REF!</v>
      </c>
      <c r="AV33" s="36" t="e">
        <f t="shared" si="9"/>
        <v>#REF!</v>
      </c>
      <c r="AW33" s="36" t="e">
        <f t="shared" si="9"/>
        <v>#REF!</v>
      </c>
      <c r="AX33" s="36" t="e">
        <f t="shared" si="9"/>
        <v>#REF!</v>
      </c>
      <c r="AY33" s="36" t="e">
        <f t="shared" si="9"/>
        <v>#REF!</v>
      </c>
      <c r="AZ33" s="36" t="e">
        <f t="shared" si="9"/>
        <v>#REF!</v>
      </c>
      <c r="BA33" s="36" t="e">
        <f t="shared" si="9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8"/>
        <v>#REF!</v>
      </c>
      <c r="AG34" s="36" t="e">
        <f t="shared" si="8"/>
        <v>#REF!</v>
      </c>
      <c r="AH34" s="36" t="e">
        <f t="shared" si="8"/>
        <v>#REF!</v>
      </c>
      <c r="AI34" s="36" t="e">
        <f t="shared" si="8"/>
        <v>#REF!</v>
      </c>
      <c r="AJ34" s="36" t="e">
        <f t="shared" si="8"/>
        <v>#REF!</v>
      </c>
      <c r="AK34" s="36" t="e">
        <f t="shared" si="8"/>
        <v>#REF!</v>
      </c>
      <c r="AL34" s="36" t="e">
        <f t="shared" si="8"/>
        <v>#REF!</v>
      </c>
      <c r="AM34" s="36" t="e">
        <f t="shared" si="8"/>
        <v>#REF!</v>
      </c>
      <c r="AN34" s="36" t="e">
        <f t="shared" si="8"/>
        <v>#REF!</v>
      </c>
      <c r="AO34" s="36" t="e">
        <f t="shared" si="8"/>
        <v>#REF!</v>
      </c>
      <c r="AQ34" s="38"/>
      <c r="AR34" s="36" t="e">
        <f t="shared" si="9"/>
        <v>#REF!</v>
      </c>
      <c r="AS34" s="36" t="e">
        <f t="shared" si="9"/>
        <v>#REF!</v>
      </c>
      <c r="AT34" s="36" t="e">
        <f t="shared" si="9"/>
        <v>#REF!</v>
      </c>
      <c r="AU34" s="36" t="e">
        <f t="shared" si="9"/>
        <v>#REF!</v>
      </c>
      <c r="AV34" s="36" t="e">
        <f t="shared" si="9"/>
        <v>#REF!</v>
      </c>
      <c r="AW34" s="36" t="e">
        <f t="shared" si="9"/>
        <v>#REF!</v>
      </c>
      <c r="AX34" s="36" t="e">
        <f t="shared" si="9"/>
        <v>#REF!</v>
      </c>
      <c r="AY34" s="36" t="e">
        <f t="shared" si="9"/>
        <v>#REF!</v>
      </c>
      <c r="AZ34" s="36" t="e">
        <f t="shared" si="9"/>
        <v>#REF!</v>
      </c>
      <c r="BA34" s="36" t="e">
        <f t="shared" si="9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8"/>
        <v>#REF!</v>
      </c>
      <c r="AG35" s="36" t="e">
        <f t="shared" si="8"/>
        <v>#REF!</v>
      </c>
      <c r="AH35" s="36" t="e">
        <f t="shared" si="8"/>
        <v>#REF!</v>
      </c>
      <c r="AI35" s="36" t="e">
        <f t="shared" si="8"/>
        <v>#REF!</v>
      </c>
      <c r="AJ35" s="36" t="e">
        <f t="shared" si="8"/>
        <v>#REF!</v>
      </c>
      <c r="AK35" s="36" t="e">
        <f t="shared" si="8"/>
        <v>#REF!</v>
      </c>
      <c r="AL35" s="36" t="e">
        <f t="shared" si="8"/>
        <v>#REF!</v>
      </c>
      <c r="AM35" s="36" t="e">
        <f t="shared" si="8"/>
        <v>#REF!</v>
      </c>
      <c r="AN35" s="36" t="e">
        <f t="shared" si="8"/>
        <v>#REF!</v>
      </c>
      <c r="AO35" s="36" t="e">
        <f t="shared" si="8"/>
        <v>#REF!</v>
      </c>
      <c r="AQ35" s="38"/>
      <c r="AR35" s="36" t="e">
        <f t="shared" si="9"/>
        <v>#REF!</v>
      </c>
      <c r="AS35" s="36" t="e">
        <f t="shared" si="9"/>
        <v>#REF!</v>
      </c>
      <c r="AT35" s="36" t="e">
        <f t="shared" si="9"/>
        <v>#REF!</v>
      </c>
      <c r="AU35" s="36" t="e">
        <f t="shared" si="9"/>
        <v>#REF!</v>
      </c>
      <c r="AV35" s="36" t="e">
        <f t="shared" si="9"/>
        <v>#REF!</v>
      </c>
      <c r="AW35" s="36" t="e">
        <f t="shared" si="9"/>
        <v>#REF!</v>
      </c>
      <c r="AX35" s="36" t="e">
        <f t="shared" si="9"/>
        <v>#REF!</v>
      </c>
      <c r="AY35" s="36" t="e">
        <f t="shared" si="9"/>
        <v>#REF!</v>
      </c>
      <c r="AZ35" s="36" t="e">
        <f t="shared" si="9"/>
        <v>#REF!</v>
      </c>
      <c r="BA35" s="36" t="e">
        <f t="shared" si="9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10">AF$11*$AC38</f>
        <v>#REF!</v>
      </c>
      <c r="AG38" s="36" t="e">
        <f t="shared" si="10"/>
        <v>#REF!</v>
      </c>
      <c r="AH38" s="36" t="e">
        <f t="shared" si="10"/>
        <v>#REF!</v>
      </c>
      <c r="AI38" s="36" t="e">
        <f t="shared" si="10"/>
        <v>#REF!</v>
      </c>
      <c r="AJ38" s="36" t="e">
        <f t="shared" si="10"/>
        <v>#REF!</v>
      </c>
      <c r="AK38" s="36" t="e">
        <f t="shared" si="10"/>
        <v>#REF!</v>
      </c>
      <c r="AL38" s="36" t="e">
        <f t="shared" si="10"/>
        <v>#REF!</v>
      </c>
      <c r="AM38" s="36" t="e">
        <f t="shared" si="10"/>
        <v>#REF!</v>
      </c>
      <c r="AN38" s="36" t="e">
        <f t="shared" si="10"/>
        <v>#REF!</v>
      </c>
      <c r="AO38" s="36" t="e">
        <f t="shared" si="10"/>
        <v>#REF!</v>
      </c>
      <c r="AQ38" s="38"/>
      <c r="AR38" s="36" t="e">
        <f t="shared" ref="AR38:BA46" si="11">AR$11*$AC38</f>
        <v>#REF!</v>
      </c>
      <c r="AS38" s="36" t="e">
        <f t="shared" si="11"/>
        <v>#REF!</v>
      </c>
      <c r="AT38" s="36" t="e">
        <f t="shared" si="11"/>
        <v>#REF!</v>
      </c>
      <c r="AU38" s="36" t="e">
        <f t="shared" si="11"/>
        <v>#REF!</v>
      </c>
      <c r="AV38" s="36" t="e">
        <f t="shared" si="11"/>
        <v>#REF!</v>
      </c>
      <c r="AW38" s="36" t="e">
        <f t="shared" si="11"/>
        <v>#REF!</v>
      </c>
      <c r="AX38" s="36" t="e">
        <f t="shared" si="11"/>
        <v>#REF!</v>
      </c>
      <c r="AY38" s="36" t="e">
        <f t="shared" si="11"/>
        <v>#REF!</v>
      </c>
      <c r="AZ38" s="36" t="e">
        <f t="shared" si="11"/>
        <v>#REF!</v>
      </c>
      <c r="BA38" s="36" t="e">
        <f t="shared" si="11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10"/>
        <v>#REF!</v>
      </c>
      <c r="AG39" s="36" t="e">
        <f t="shared" si="10"/>
        <v>#REF!</v>
      </c>
      <c r="AH39" s="36" t="e">
        <f t="shared" si="10"/>
        <v>#REF!</v>
      </c>
      <c r="AI39" s="36" t="e">
        <f t="shared" si="10"/>
        <v>#REF!</v>
      </c>
      <c r="AJ39" s="36" t="e">
        <f t="shared" si="10"/>
        <v>#REF!</v>
      </c>
      <c r="AK39" s="36" t="e">
        <f t="shared" si="10"/>
        <v>#REF!</v>
      </c>
      <c r="AL39" s="36" t="e">
        <f t="shared" si="10"/>
        <v>#REF!</v>
      </c>
      <c r="AM39" s="36" t="e">
        <f t="shared" si="10"/>
        <v>#REF!</v>
      </c>
      <c r="AN39" s="36" t="e">
        <f t="shared" si="10"/>
        <v>#REF!</v>
      </c>
      <c r="AO39" s="36" t="e">
        <f t="shared" si="10"/>
        <v>#REF!</v>
      </c>
      <c r="AQ39" s="38"/>
      <c r="AR39" s="36" t="e">
        <f t="shared" si="11"/>
        <v>#REF!</v>
      </c>
      <c r="AS39" s="36" t="e">
        <f t="shared" si="11"/>
        <v>#REF!</v>
      </c>
      <c r="AT39" s="36" t="e">
        <f t="shared" si="11"/>
        <v>#REF!</v>
      </c>
      <c r="AU39" s="36" t="e">
        <f t="shared" si="11"/>
        <v>#REF!</v>
      </c>
      <c r="AV39" s="36" t="e">
        <f t="shared" si="11"/>
        <v>#REF!</v>
      </c>
      <c r="AW39" s="36" t="e">
        <f t="shared" si="11"/>
        <v>#REF!</v>
      </c>
      <c r="AX39" s="36" t="e">
        <f t="shared" si="11"/>
        <v>#REF!</v>
      </c>
      <c r="AY39" s="36" t="e">
        <f t="shared" si="11"/>
        <v>#REF!</v>
      </c>
      <c r="AZ39" s="36" t="e">
        <f t="shared" si="11"/>
        <v>#REF!</v>
      </c>
      <c r="BA39" s="36" t="e">
        <f t="shared" si="11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10"/>
        <v>#REF!</v>
      </c>
      <c r="AG40" s="36" t="e">
        <f t="shared" si="10"/>
        <v>#REF!</v>
      </c>
      <c r="AH40" s="36" t="e">
        <f t="shared" si="10"/>
        <v>#REF!</v>
      </c>
      <c r="AI40" s="36" t="e">
        <f t="shared" si="10"/>
        <v>#REF!</v>
      </c>
      <c r="AJ40" s="36" t="e">
        <f t="shared" si="10"/>
        <v>#REF!</v>
      </c>
      <c r="AK40" s="36" t="e">
        <f t="shared" si="10"/>
        <v>#REF!</v>
      </c>
      <c r="AL40" s="36" t="e">
        <f t="shared" si="10"/>
        <v>#REF!</v>
      </c>
      <c r="AM40" s="36" t="e">
        <f t="shared" si="10"/>
        <v>#REF!</v>
      </c>
      <c r="AN40" s="36" t="e">
        <f t="shared" si="10"/>
        <v>#REF!</v>
      </c>
      <c r="AO40" s="36" t="e">
        <f t="shared" si="10"/>
        <v>#REF!</v>
      </c>
      <c r="AQ40" s="38"/>
      <c r="AR40" s="36" t="e">
        <f t="shared" si="11"/>
        <v>#REF!</v>
      </c>
      <c r="AS40" s="36" t="e">
        <f t="shared" si="11"/>
        <v>#REF!</v>
      </c>
      <c r="AT40" s="36" t="e">
        <f t="shared" si="11"/>
        <v>#REF!</v>
      </c>
      <c r="AU40" s="36" t="e">
        <f t="shared" si="11"/>
        <v>#REF!</v>
      </c>
      <c r="AV40" s="36" t="e">
        <f t="shared" si="11"/>
        <v>#REF!</v>
      </c>
      <c r="AW40" s="36" t="e">
        <f t="shared" si="11"/>
        <v>#REF!</v>
      </c>
      <c r="AX40" s="36" t="e">
        <f t="shared" si="11"/>
        <v>#REF!</v>
      </c>
      <c r="AY40" s="36" t="e">
        <f t="shared" si="11"/>
        <v>#REF!</v>
      </c>
      <c r="AZ40" s="36" t="e">
        <f t="shared" si="11"/>
        <v>#REF!</v>
      </c>
      <c r="BA40" s="36" t="e">
        <f t="shared" si="11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10"/>
        <v>#REF!</v>
      </c>
      <c r="AG41" s="36" t="e">
        <f t="shared" si="10"/>
        <v>#REF!</v>
      </c>
      <c r="AH41" s="36" t="e">
        <f t="shared" si="10"/>
        <v>#REF!</v>
      </c>
      <c r="AI41" s="36" t="e">
        <f t="shared" si="10"/>
        <v>#REF!</v>
      </c>
      <c r="AJ41" s="36" t="e">
        <f t="shared" si="10"/>
        <v>#REF!</v>
      </c>
      <c r="AK41" s="36" t="e">
        <f t="shared" si="10"/>
        <v>#REF!</v>
      </c>
      <c r="AL41" s="36" t="e">
        <f t="shared" si="10"/>
        <v>#REF!</v>
      </c>
      <c r="AM41" s="36" t="e">
        <f t="shared" si="10"/>
        <v>#REF!</v>
      </c>
      <c r="AN41" s="36" t="e">
        <f t="shared" si="10"/>
        <v>#REF!</v>
      </c>
      <c r="AO41" s="36" t="e">
        <f t="shared" si="10"/>
        <v>#REF!</v>
      </c>
      <c r="AQ41" s="38"/>
      <c r="AR41" s="36" t="e">
        <f t="shared" si="11"/>
        <v>#REF!</v>
      </c>
      <c r="AS41" s="36" t="e">
        <f t="shared" si="11"/>
        <v>#REF!</v>
      </c>
      <c r="AT41" s="36" t="e">
        <f t="shared" si="11"/>
        <v>#REF!</v>
      </c>
      <c r="AU41" s="36" t="e">
        <f t="shared" si="11"/>
        <v>#REF!</v>
      </c>
      <c r="AV41" s="36" t="e">
        <f t="shared" si="11"/>
        <v>#REF!</v>
      </c>
      <c r="AW41" s="36" t="e">
        <f t="shared" si="11"/>
        <v>#REF!</v>
      </c>
      <c r="AX41" s="36" t="e">
        <f t="shared" si="11"/>
        <v>#REF!</v>
      </c>
      <c r="AY41" s="36" t="e">
        <f t="shared" si="11"/>
        <v>#REF!</v>
      </c>
      <c r="AZ41" s="36" t="e">
        <f t="shared" si="11"/>
        <v>#REF!</v>
      </c>
      <c r="BA41" s="36" t="e">
        <f t="shared" si="11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10"/>
        <v>#REF!</v>
      </c>
      <c r="AG42" s="36" t="e">
        <f t="shared" si="10"/>
        <v>#REF!</v>
      </c>
      <c r="AH42" s="36" t="e">
        <f t="shared" si="10"/>
        <v>#REF!</v>
      </c>
      <c r="AI42" s="36" t="e">
        <f t="shared" si="10"/>
        <v>#REF!</v>
      </c>
      <c r="AJ42" s="36" t="e">
        <f t="shared" si="10"/>
        <v>#REF!</v>
      </c>
      <c r="AK42" s="36" t="e">
        <f t="shared" si="10"/>
        <v>#REF!</v>
      </c>
      <c r="AL42" s="36" t="e">
        <f t="shared" si="10"/>
        <v>#REF!</v>
      </c>
      <c r="AM42" s="36" t="e">
        <f t="shared" si="10"/>
        <v>#REF!</v>
      </c>
      <c r="AN42" s="36" t="e">
        <f t="shared" si="10"/>
        <v>#REF!</v>
      </c>
      <c r="AO42" s="36" t="e">
        <f t="shared" si="10"/>
        <v>#REF!</v>
      </c>
      <c r="AQ42" s="38"/>
      <c r="AR42" s="36" t="e">
        <f t="shared" si="11"/>
        <v>#REF!</v>
      </c>
      <c r="AS42" s="36" t="e">
        <f t="shared" si="11"/>
        <v>#REF!</v>
      </c>
      <c r="AT42" s="36" t="e">
        <f t="shared" si="11"/>
        <v>#REF!</v>
      </c>
      <c r="AU42" s="36" t="e">
        <f t="shared" si="11"/>
        <v>#REF!</v>
      </c>
      <c r="AV42" s="36" t="e">
        <f t="shared" si="11"/>
        <v>#REF!</v>
      </c>
      <c r="AW42" s="36" t="e">
        <f t="shared" si="11"/>
        <v>#REF!</v>
      </c>
      <c r="AX42" s="36" t="e">
        <f t="shared" si="11"/>
        <v>#REF!</v>
      </c>
      <c r="AY42" s="36" t="e">
        <f t="shared" si="11"/>
        <v>#REF!</v>
      </c>
      <c r="AZ42" s="36" t="e">
        <f t="shared" si="11"/>
        <v>#REF!</v>
      </c>
      <c r="BA42" s="36" t="e">
        <f t="shared" si="11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10"/>
        <v>#REF!</v>
      </c>
      <c r="AG43" s="36" t="e">
        <f t="shared" si="10"/>
        <v>#REF!</v>
      </c>
      <c r="AH43" s="36" t="e">
        <f t="shared" si="10"/>
        <v>#REF!</v>
      </c>
      <c r="AI43" s="36" t="e">
        <f t="shared" si="10"/>
        <v>#REF!</v>
      </c>
      <c r="AJ43" s="36" t="e">
        <f t="shared" si="10"/>
        <v>#REF!</v>
      </c>
      <c r="AK43" s="36" t="e">
        <f t="shared" si="10"/>
        <v>#REF!</v>
      </c>
      <c r="AL43" s="36" t="e">
        <f t="shared" si="10"/>
        <v>#REF!</v>
      </c>
      <c r="AM43" s="36" t="e">
        <f t="shared" si="10"/>
        <v>#REF!</v>
      </c>
      <c r="AN43" s="36" t="e">
        <f t="shared" si="10"/>
        <v>#REF!</v>
      </c>
      <c r="AO43" s="36" t="e">
        <f t="shared" si="10"/>
        <v>#REF!</v>
      </c>
      <c r="AQ43" s="38"/>
      <c r="AR43" s="36" t="e">
        <f t="shared" si="11"/>
        <v>#REF!</v>
      </c>
      <c r="AS43" s="36" t="e">
        <f t="shared" si="11"/>
        <v>#REF!</v>
      </c>
      <c r="AT43" s="36" t="e">
        <f t="shared" si="11"/>
        <v>#REF!</v>
      </c>
      <c r="AU43" s="36" t="e">
        <f t="shared" si="11"/>
        <v>#REF!</v>
      </c>
      <c r="AV43" s="36" t="e">
        <f t="shared" si="11"/>
        <v>#REF!</v>
      </c>
      <c r="AW43" s="36" t="e">
        <f t="shared" si="11"/>
        <v>#REF!</v>
      </c>
      <c r="AX43" s="36" t="e">
        <f t="shared" si="11"/>
        <v>#REF!</v>
      </c>
      <c r="AY43" s="36" t="e">
        <f t="shared" si="11"/>
        <v>#REF!</v>
      </c>
      <c r="AZ43" s="36" t="e">
        <f t="shared" si="11"/>
        <v>#REF!</v>
      </c>
      <c r="BA43" s="36" t="e">
        <f t="shared" si="11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10"/>
        <v>#REF!</v>
      </c>
      <c r="AG44" s="36" t="e">
        <f t="shared" si="10"/>
        <v>#REF!</v>
      </c>
      <c r="AH44" s="36" t="e">
        <f t="shared" si="10"/>
        <v>#REF!</v>
      </c>
      <c r="AI44" s="36" t="e">
        <f t="shared" si="10"/>
        <v>#REF!</v>
      </c>
      <c r="AJ44" s="36" t="e">
        <f t="shared" si="10"/>
        <v>#REF!</v>
      </c>
      <c r="AK44" s="36" t="e">
        <f t="shared" si="10"/>
        <v>#REF!</v>
      </c>
      <c r="AL44" s="36" t="e">
        <f t="shared" si="10"/>
        <v>#REF!</v>
      </c>
      <c r="AM44" s="36" t="e">
        <f t="shared" si="10"/>
        <v>#REF!</v>
      </c>
      <c r="AN44" s="36" t="e">
        <f t="shared" si="10"/>
        <v>#REF!</v>
      </c>
      <c r="AO44" s="36" t="e">
        <f t="shared" si="10"/>
        <v>#REF!</v>
      </c>
      <c r="AQ44" s="38"/>
      <c r="AR44" s="36" t="e">
        <f t="shared" si="11"/>
        <v>#REF!</v>
      </c>
      <c r="AS44" s="36" t="e">
        <f t="shared" si="11"/>
        <v>#REF!</v>
      </c>
      <c r="AT44" s="36" t="e">
        <f t="shared" si="11"/>
        <v>#REF!</v>
      </c>
      <c r="AU44" s="36" t="e">
        <f t="shared" si="11"/>
        <v>#REF!</v>
      </c>
      <c r="AV44" s="36" t="e">
        <f t="shared" si="11"/>
        <v>#REF!</v>
      </c>
      <c r="AW44" s="36" t="e">
        <f t="shared" si="11"/>
        <v>#REF!</v>
      </c>
      <c r="AX44" s="36" t="e">
        <f t="shared" si="11"/>
        <v>#REF!</v>
      </c>
      <c r="AY44" s="36" t="e">
        <f t="shared" si="11"/>
        <v>#REF!</v>
      </c>
      <c r="AZ44" s="36" t="e">
        <f t="shared" si="11"/>
        <v>#REF!</v>
      </c>
      <c r="BA44" s="36" t="e">
        <f t="shared" si="11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10"/>
        <v>#REF!</v>
      </c>
      <c r="AG45" s="36" t="e">
        <f t="shared" si="10"/>
        <v>#REF!</v>
      </c>
      <c r="AH45" s="36" t="e">
        <f t="shared" si="10"/>
        <v>#REF!</v>
      </c>
      <c r="AI45" s="36" t="e">
        <f t="shared" si="10"/>
        <v>#REF!</v>
      </c>
      <c r="AJ45" s="36" t="e">
        <f t="shared" si="10"/>
        <v>#REF!</v>
      </c>
      <c r="AK45" s="36" t="e">
        <f t="shared" si="10"/>
        <v>#REF!</v>
      </c>
      <c r="AL45" s="36" t="e">
        <f t="shared" si="10"/>
        <v>#REF!</v>
      </c>
      <c r="AM45" s="36" t="e">
        <f t="shared" si="10"/>
        <v>#REF!</v>
      </c>
      <c r="AN45" s="36" t="e">
        <f t="shared" si="10"/>
        <v>#REF!</v>
      </c>
      <c r="AO45" s="36" t="e">
        <f t="shared" si="10"/>
        <v>#REF!</v>
      </c>
      <c r="AQ45" s="38"/>
      <c r="AR45" s="36" t="e">
        <f t="shared" si="11"/>
        <v>#REF!</v>
      </c>
      <c r="AS45" s="36" t="e">
        <f t="shared" si="11"/>
        <v>#REF!</v>
      </c>
      <c r="AT45" s="36" t="e">
        <f t="shared" si="11"/>
        <v>#REF!</v>
      </c>
      <c r="AU45" s="36" t="e">
        <f t="shared" si="11"/>
        <v>#REF!</v>
      </c>
      <c r="AV45" s="36" t="e">
        <f t="shared" si="11"/>
        <v>#REF!</v>
      </c>
      <c r="AW45" s="36" t="e">
        <f t="shared" si="11"/>
        <v>#REF!</v>
      </c>
      <c r="AX45" s="36" t="e">
        <f t="shared" si="11"/>
        <v>#REF!</v>
      </c>
      <c r="AY45" s="36" t="e">
        <f t="shared" si="11"/>
        <v>#REF!</v>
      </c>
      <c r="AZ45" s="36" t="e">
        <f t="shared" si="11"/>
        <v>#REF!</v>
      </c>
      <c r="BA45" s="36" t="e">
        <f t="shared" si="11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10"/>
        <v>#REF!</v>
      </c>
      <c r="AG46" s="36" t="e">
        <f t="shared" si="10"/>
        <v>#REF!</v>
      </c>
      <c r="AH46" s="36" t="e">
        <f t="shared" si="10"/>
        <v>#REF!</v>
      </c>
      <c r="AI46" s="36" t="e">
        <f t="shared" si="10"/>
        <v>#REF!</v>
      </c>
      <c r="AJ46" s="36" t="e">
        <f t="shared" si="10"/>
        <v>#REF!</v>
      </c>
      <c r="AK46" s="36" t="e">
        <f t="shared" si="10"/>
        <v>#REF!</v>
      </c>
      <c r="AL46" s="36" t="e">
        <f t="shared" si="10"/>
        <v>#REF!</v>
      </c>
      <c r="AM46" s="36" t="e">
        <f t="shared" si="10"/>
        <v>#REF!</v>
      </c>
      <c r="AN46" s="36" t="e">
        <f t="shared" si="10"/>
        <v>#REF!</v>
      </c>
      <c r="AO46" s="36" t="e">
        <f t="shared" si="10"/>
        <v>#REF!</v>
      </c>
      <c r="AQ46" s="38"/>
      <c r="AR46" s="36" t="e">
        <f t="shared" si="11"/>
        <v>#REF!</v>
      </c>
      <c r="AS46" s="36" t="e">
        <f t="shared" si="11"/>
        <v>#REF!</v>
      </c>
      <c r="AT46" s="36" t="e">
        <f t="shared" si="11"/>
        <v>#REF!</v>
      </c>
      <c r="AU46" s="36" t="e">
        <f t="shared" si="11"/>
        <v>#REF!</v>
      </c>
      <c r="AV46" s="36" t="e">
        <f t="shared" si="11"/>
        <v>#REF!</v>
      </c>
      <c r="AW46" s="36" t="e">
        <f t="shared" si="11"/>
        <v>#REF!</v>
      </c>
      <c r="AX46" s="36" t="e">
        <f t="shared" si="11"/>
        <v>#REF!</v>
      </c>
      <c r="AY46" s="36" t="e">
        <f t="shared" si="11"/>
        <v>#REF!</v>
      </c>
      <c r="AZ46" s="36" t="e">
        <f t="shared" si="11"/>
        <v>#REF!</v>
      </c>
      <c r="BA46" s="36" t="e">
        <f t="shared" si="11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2">AF16+AF18+AF19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AR16+AR18+AR19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41</v>
      </c>
      <c r="AB52" s="35"/>
      <c r="AF52" s="70" t="e">
        <f t="shared" ref="AF52:AO52" si="14">AF27+AF29+AF30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AR27+AR29+AR30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71" t="s">
        <v>42</v>
      </c>
      <c r="AB53" s="35"/>
      <c r="AF53" s="70" t="e">
        <f t="shared" ref="AF53:AO53" si="16">AF38+AF40+AF41</f>
        <v>#REF!</v>
      </c>
      <c r="AG53" s="70" t="e">
        <f t="shared" si="16"/>
        <v>#REF!</v>
      </c>
      <c r="AH53" s="70" t="e">
        <f t="shared" si="16"/>
        <v>#REF!</v>
      </c>
      <c r="AI53" s="70" t="e">
        <f t="shared" si="16"/>
        <v>#REF!</v>
      </c>
      <c r="AJ53" s="70" t="e">
        <f t="shared" si="16"/>
        <v>#REF!</v>
      </c>
      <c r="AK53" s="70" t="e">
        <f t="shared" si="16"/>
        <v>#REF!</v>
      </c>
      <c r="AL53" s="70" t="e">
        <f t="shared" si="16"/>
        <v>#REF!</v>
      </c>
      <c r="AM53" s="70" t="e">
        <f t="shared" si="16"/>
        <v>#REF!</v>
      </c>
      <c r="AN53" s="70" t="e">
        <f t="shared" si="16"/>
        <v>#REF!</v>
      </c>
      <c r="AO53" s="70" t="e">
        <f t="shared" si="16"/>
        <v>#REF!</v>
      </c>
      <c r="AP53" s="70"/>
      <c r="AQ53" s="70"/>
      <c r="AR53" s="70" t="e">
        <f t="shared" ref="AR53:BA53" si="17">AR38+AR40+AR41</f>
        <v>#REF!</v>
      </c>
      <c r="AS53" s="70" t="e">
        <f t="shared" si="17"/>
        <v>#REF!</v>
      </c>
      <c r="AT53" s="70" t="e">
        <f t="shared" si="17"/>
        <v>#REF!</v>
      </c>
      <c r="AU53" s="70" t="e">
        <f t="shared" si="17"/>
        <v>#REF!</v>
      </c>
      <c r="AV53" s="70" t="e">
        <f t="shared" si="17"/>
        <v>#REF!</v>
      </c>
      <c r="AW53" s="70" t="e">
        <f t="shared" si="17"/>
        <v>#REF!</v>
      </c>
      <c r="AX53" s="70" t="e">
        <f t="shared" si="17"/>
        <v>#REF!</v>
      </c>
      <c r="AY53" s="70" t="e">
        <f t="shared" si="17"/>
        <v>#REF!</v>
      </c>
      <c r="AZ53" s="70" t="e">
        <f t="shared" si="17"/>
        <v>#REF!</v>
      </c>
      <c r="BA53" s="70" t="e">
        <f t="shared" si="17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8">AF16+AF18+AF20+AF22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AR16+AR18+AR20+AR22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41</v>
      </c>
      <c r="AB56" s="35"/>
      <c r="AF56" s="70" t="e">
        <f t="shared" ref="AF56:AO56" si="20">AF27+AF29+AF31+AF33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AR27+AR29+AR31+AR33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71" t="s">
        <v>42</v>
      </c>
      <c r="AB57" s="35"/>
      <c r="AF57" s="70" t="e">
        <f t="shared" ref="AF57:AO57" si="22">AF38+AF40+AF42+AF44</f>
        <v>#REF!</v>
      </c>
      <c r="AG57" s="70" t="e">
        <f t="shared" si="22"/>
        <v>#REF!</v>
      </c>
      <c r="AH57" s="70" t="e">
        <f t="shared" si="22"/>
        <v>#REF!</v>
      </c>
      <c r="AI57" s="70" t="e">
        <f t="shared" si="22"/>
        <v>#REF!</v>
      </c>
      <c r="AJ57" s="70" t="e">
        <f t="shared" si="22"/>
        <v>#REF!</v>
      </c>
      <c r="AK57" s="70" t="e">
        <f t="shared" si="22"/>
        <v>#REF!</v>
      </c>
      <c r="AL57" s="70" t="e">
        <f t="shared" si="22"/>
        <v>#REF!</v>
      </c>
      <c r="AM57" s="70" t="e">
        <f t="shared" si="22"/>
        <v>#REF!</v>
      </c>
      <c r="AN57" s="70" t="e">
        <f t="shared" si="22"/>
        <v>#REF!</v>
      </c>
      <c r="AO57" s="70" t="e">
        <f t="shared" si="22"/>
        <v>#REF!</v>
      </c>
      <c r="AP57" s="70"/>
      <c r="AQ57" s="70"/>
      <c r="AR57" s="70" t="e">
        <f t="shared" ref="AR57:BA57" si="23">AR38+AR40+AR42+AR44</f>
        <v>#REF!</v>
      </c>
      <c r="AS57" s="70" t="e">
        <f t="shared" si="23"/>
        <v>#REF!</v>
      </c>
      <c r="AT57" s="70" t="e">
        <f t="shared" si="23"/>
        <v>#REF!</v>
      </c>
      <c r="AU57" s="70" t="e">
        <f t="shared" si="23"/>
        <v>#REF!</v>
      </c>
      <c r="AV57" s="70" t="e">
        <f t="shared" si="23"/>
        <v>#REF!</v>
      </c>
      <c r="AW57" s="70" t="e">
        <f t="shared" si="23"/>
        <v>#REF!</v>
      </c>
      <c r="AX57" s="70" t="e">
        <f t="shared" si="23"/>
        <v>#REF!</v>
      </c>
      <c r="AY57" s="70" t="e">
        <f t="shared" si="23"/>
        <v>#REF!</v>
      </c>
      <c r="AZ57" s="70" t="e">
        <f t="shared" si="23"/>
        <v>#REF!</v>
      </c>
      <c r="BA57" s="70" t="e">
        <f t="shared" si="23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4">AF16+AF18+AF20+AF21+AF23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AR16+AR18+AR20+AR21+AR23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41</v>
      </c>
      <c r="AB60" s="35"/>
      <c r="AF60" s="70" t="e">
        <f t="shared" ref="AF60:AO60" si="26">AF27+AF29+AF31+AF32+AF34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AR27+AR29+AR31+AR32+AR34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71" t="s">
        <v>42</v>
      </c>
      <c r="AB61" s="35"/>
      <c r="AF61" s="70" t="e">
        <f t="shared" ref="AF61:AO61" si="28">AF38+AF40+AF42+AF43+AF45</f>
        <v>#REF!</v>
      </c>
      <c r="AG61" s="70" t="e">
        <f t="shared" si="28"/>
        <v>#REF!</v>
      </c>
      <c r="AH61" s="70" t="e">
        <f t="shared" si="28"/>
        <v>#REF!</v>
      </c>
      <c r="AI61" s="70" t="e">
        <f t="shared" si="28"/>
        <v>#REF!</v>
      </c>
      <c r="AJ61" s="70" t="e">
        <f t="shared" si="28"/>
        <v>#REF!</v>
      </c>
      <c r="AK61" s="70" t="e">
        <f t="shared" si="28"/>
        <v>#REF!</v>
      </c>
      <c r="AL61" s="70" t="e">
        <f t="shared" si="28"/>
        <v>#REF!</v>
      </c>
      <c r="AM61" s="70" t="e">
        <f t="shared" si="28"/>
        <v>#REF!</v>
      </c>
      <c r="AN61" s="70" t="e">
        <f t="shared" si="28"/>
        <v>#REF!</v>
      </c>
      <c r="AO61" s="70" t="e">
        <f t="shared" si="28"/>
        <v>#REF!</v>
      </c>
      <c r="AP61" s="70"/>
      <c r="AQ61" s="70"/>
      <c r="AR61" s="70" t="e">
        <f t="shared" ref="AR61:BA61" si="29">AR38+AR40+AR42+AR43+AR45</f>
        <v>#REF!</v>
      </c>
      <c r="AS61" s="70" t="e">
        <f t="shared" si="29"/>
        <v>#REF!</v>
      </c>
      <c r="AT61" s="70" t="e">
        <f t="shared" si="29"/>
        <v>#REF!</v>
      </c>
      <c r="AU61" s="70" t="e">
        <f t="shared" si="29"/>
        <v>#REF!</v>
      </c>
      <c r="AV61" s="70" t="e">
        <f t="shared" si="29"/>
        <v>#REF!</v>
      </c>
      <c r="AW61" s="70" t="e">
        <f t="shared" si="29"/>
        <v>#REF!</v>
      </c>
      <c r="AX61" s="70" t="e">
        <f t="shared" si="29"/>
        <v>#REF!</v>
      </c>
      <c r="AY61" s="70" t="e">
        <f t="shared" si="29"/>
        <v>#REF!</v>
      </c>
      <c r="AZ61" s="70" t="e">
        <f t="shared" si="29"/>
        <v>#REF!</v>
      </c>
      <c r="BA61" s="70" t="e">
        <f t="shared" si="29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30">AF16+AF18+AF20+AF21+AF24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AR16+AR18+AR20+AR21+AR24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41</v>
      </c>
      <c r="AB64" s="35"/>
      <c r="AF64" s="70" t="e">
        <f t="shared" ref="AF64:AO64" si="32">AF27+AF29+AF31+AF32+AF35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AR27+AR29+AR31+AR32+AR35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71" t="s">
        <v>42</v>
      </c>
      <c r="AB65" s="35"/>
      <c r="AF65" s="70" t="e">
        <f t="shared" ref="AF65:AO65" si="34">AF38+AF40+AF42+AF43+AF46</f>
        <v>#REF!</v>
      </c>
      <c r="AG65" s="70" t="e">
        <f t="shared" si="34"/>
        <v>#REF!</v>
      </c>
      <c r="AH65" s="70" t="e">
        <f t="shared" si="34"/>
        <v>#REF!</v>
      </c>
      <c r="AI65" s="70" t="e">
        <f t="shared" si="34"/>
        <v>#REF!</v>
      </c>
      <c r="AJ65" s="70" t="e">
        <f t="shared" si="34"/>
        <v>#REF!</v>
      </c>
      <c r="AK65" s="70" t="e">
        <f t="shared" si="34"/>
        <v>#REF!</v>
      </c>
      <c r="AL65" s="70" t="e">
        <f t="shared" si="34"/>
        <v>#REF!</v>
      </c>
      <c r="AM65" s="70" t="e">
        <f t="shared" si="34"/>
        <v>#REF!</v>
      </c>
      <c r="AN65" s="70" t="e">
        <f t="shared" si="34"/>
        <v>#REF!</v>
      </c>
      <c r="AO65" s="70" t="e">
        <f t="shared" si="34"/>
        <v>#REF!</v>
      </c>
      <c r="AP65" s="70"/>
      <c r="AQ65" s="70"/>
      <c r="AR65" s="70" t="e">
        <f t="shared" ref="AR65:BA65" si="35">AR38+AR40+AR42+AR43+AR46</f>
        <v>#REF!</v>
      </c>
      <c r="AS65" s="70" t="e">
        <f t="shared" si="35"/>
        <v>#REF!</v>
      </c>
      <c r="AT65" s="70" t="e">
        <f t="shared" si="35"/>
        <v>#REF!</v>
      </c>
      <c r="AU65" s="70" t="e">
        <f t="shared" si="35"/>
        <v>#REF!</v>
      </c>
      <c r="AV65" s="70" t="e">
        <f t="shared" si="35"/>
        <v>#REF!</v>
      </c>
      <c r="AW65" s="70" t="e">
        <f t="shared" si="35"/>
        <v>#REF!</v>
      </c>
      <c r="AX65" s="70" t="e">
        <f t="shared" si="35"/>
        <v>#REF!</v>
      </c>
      <c r="AY65" s="70" t="e">
        <f t="shared" si="35"/>
        <v>#REF!</v>
      </c>
      <c r="AZ65" s="70" t="e">
        <f t="shared" si="35"/>
        <v>#REF!</v>
      </c>
      <c r="BA65" s="70" t="e">
        <f t="shared" si="35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6">AF16+AF17+AF22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AR16+AR17+AR22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41</v>
      </c>
      <c r="AB68" s="35"/>
      <c r="AF68" s="70" t="e">
        <f t="shared" ref="AF68:AO68" si="38">AF27+AF28+AF33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AR27+AR28+AR33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1" t="s">
        <v>42</v>
      </c>
      <c r="AB69" s="35"/>
      <c r="AF69" s="70" t="e">
        <f t="shared" ref="AF69:AO69" si="40">AF38+AF39+AF44</f>
        <v>#REF!</v>
      </c>
      <c r="AG69" s="70" t="e">
        <f t="shared" si="40"/>
        <v>#REF!</v>
      </c>
      <c r="AH69" s="70" t="e">
        <f t="shared" si="40"/>
        <v>#REF!</v>
      </c>
      <c r="AI69" s="70" t="e">
        <f t="shared" si="40"/>
        <v>#REF!</v>
      </c>
      <c r="AJ69" s="70" t="e">
        <f t="shared" si="40"/>
        <v>#REF!</v>
      </c>
      <c r="AK69" s="70" t="e">
        <f t="shared" si="40"/>
        <v>#REF!</v>
      </c>
      <c r="AL69" s="70" t="e">
        <f t="shared" si="40"/>
        <v>#REF!</v>
      </c>
      <c r="AM69" s="70" t="e">
        <f t="shared" si="40"/>
        <v>#REF!</v>
      </c>
      <c r="AN69" s="70" t="e">
        <f t="shared" si="40"/>
        <v>#REF!</v>
      </c>
      <c r="AO69" s="70" t="e">
        <f t="shared" si="40"/>
        <v>#REF!</v>
      </c>
      <c r="AP69" s="70"/>
      <c r="AQ69" s="70"/>
      <c r="AR69" s="70" t="e">
        <f t="shared" ref="AR69:BA69" si="41">AR38+AR39+AR44</f>
        <v>#REF!</v>
      </c>
      <c r="AS69" s="70" t="e">
        <f t="shared" si="41"/>
        <v>#REF!</v>
      </c>
      <c r="AT69" s="70" t="e">
        <f t="shared" si="41"/>
        <v>#REF!</v>
      </c>
      <c r="AU69" s="70" t="e">
        <f t="shared" si="41"/>
        <v>#REF!</v>
      </c>
      <c r="AV69" s="70" t="e">
        <f t="shared" si="41"/>
        <v>#REF!</v>
      </c>
      <c r="AW69" s="70" t="e">
        <f t="shared" si="41"/>
        <v>#REF!</v>
      </c>
      <c r="AX69" s="70" t="e">
        <f t="shared" si="41"/>
        <v>#REF!</v>
      </c>
      <c r="AY69" s="70" t="e">
        <f t="shared" si="41"/>
        <v>#REF!</v>
      </c>
      <c r="AZ69" s="70" t="e">
        <f t="shared" si="41"/>
        <v>#REF!</v>
      </c>
      <c r="BA69" s="70" t="e">
        <f t="shared" si="41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2">AF16+AF17+AF21+AF23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AR16+AR17+AR21+AR23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41</v>
      </c>
      <c r="AB72" s="35"/>
      <c r="AF72" s="70" t="e">
        <f t="shared" ref="AF72:AO72" si="44">AF27+AF28+AF32+AF34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AR27+AR28+AR32+AR34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71" t="s">
        <v>42</v>
      </c>
      <c r="AB73" s="35"/>
      <c r="AF73" s="70" t="e">
        <f t="shared" ref="AF73:AO73" si="46">AF38+AF39+AF43+AF45</f>
        <v>#REF!</v>
      </c>
      <c r="AG73" s="70" t="e">
        <f t="shared" si="46"/>
        <v>#REF!</v>
      </c>
      <c r="AH73" s="70" t="e">
        <f t="shared" si="46"/>
        <v>#REF!</v>
      </c>
      <c r="AI73" s="70" t="e">
        <f t="shared" si="46"/>
        <v>#REF!</v>
      </c>
      <c r="AJ73" s="70" t="e">
        <f t="shared" si="46"/>
        <v>#REF!</v>
      </c>
      <c r="AK73" s="70" t="e">
        <f t="shared" si="46"/>
        <v>#REF!</v>
      </c>
      <c r="AL73" s="70" t="e">
        <f t="shared" si="46"/>
        <v>#REF!</v>
      </c>
      <c r="AM73" s="70" t="e">
        <f t="shared" si="46"/>
        <v>#REF!</v>
      </c>
      <c r="AN73" s="70" t="e">
        <f t="shared" si="46"/>
        <v>#REF!</v>
      </c>
      <c r="AO73" s="70" t="e">
        <f t="shared" si="46"/>
        <v>#REF!</v>
      </c>
      <c r="AP73" s="70"/>
      <c r="AQ73" s="70"/>
      <c r="AR73" s="70" t="e">
        <f t="shared" ref="AR73:BA73" si="47">AR38+AR39+AR43+AR45</f>
        <v>#REF!</v>
      </c>
      <c r="AS73" s="70" t="e">
        <f t="shared" si="47"/>
        <v>#REF!</v>
      </c>
      <c r="AT73" s="70" t="e">
        <f t="shared" si="47"/>
        <v>#REF!</v>
      </c>
      <c r="AU73" s="70" t="e">
        <f t="shared" si="47"/>
        <v>#REF!</v>
      </c>
      <c r="AV73" s="70" t="e">
        <f t="shared" si="47"/>
        <v>#REF!</v>
      </c>
      <c r="AW73" s="70" t="e">
        <f t="shared" si="47"/>
        <v>#REF!</v>
      </c>
      <c r="AX73" s="70" t="e">
        <f t="shared" si="47"/>
        <v>#REF!</v>
      </c>
      <c r="AY73" s="70" t="e">
        <f t="shared" si="47"/>
        <v>#REF!</v>
      </c>
      <c r="AZ73" s="70" t="e">
        <f t="shared" si="47"/>
        <v>#REF!</v>
      </c>
      <c r="BA73" s="70" t="e">
        <f t="shared" si="47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8">AF16+AF17+AF21+AF24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AR16+AR17+AR21+AR24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41</v>
      </c>
      <c r="AB76" s="35"/>
      <c r="AF76" s="70" t="e">
        <f t="shared" ref="AF76:AO76" si="50">AF27+AF28+AF32+AF35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AR27+AR28+AR32+AR35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>
      <c r="AA77" s="71" t="s">
        <v>42</v>
      </c>
      <c r="AB77" s="35"/>
      <c r="AF77" s="70" t="e">
        <f t="shared" ref="AF77:AO77" si="52">AF38+AF39+AF43+AF46</f>
        <v>#REF!</v>
      </c>
      <c r="AG77" s="70" t="e">
        <f t="shared" si="52"/>
        <v>#REF!</v>
      </c>
      <c r="AH77" s="70" t="e">
        <f t="shared" si="52"/>
        <v>#REF!</v>
      </c>
      <c r="AI77" s="70" t="e">
        <f t="shared" si="52"/>
        <v>#REF!</v>
      </c>
      <c r="AJ77" s="70" t="e">
        <f t="shared" si="52"/>
        <v>#REF!</v>
      </c>
      <c r="AK77" s="70" t="e">
        <f t="shared" si="52"/>
        <v>#REF!</v>
      </c>
      <c r="AL77" s="70" t="e">
        <f t="shared" si="52"/>
        <v>#REF!</v>
      </c>
      <c r="AM77" s="70" t="e">
        <f t="shared" si="52"/>
        <v>#REF!</v>
      </c>
      <c r="AN77" s="70" t="e">
        <f t="shared" si="52"/>
        <v>#REF!</v>
      </c>
      <c r="AO77" s="70" t="e">
        <f t="shared" si="52"/>
        <v>#REF!</v>
      </c>
      <c r="AP77" s="70"/>
      <c r="AQ77" s="70"/>
      <c r="AR77" s="70" t="e">
        <f t="shared" ref="AR77:BA77" si="53">AR38+AR39+AR43+AR46</f>
        <v>#REF!</v>
      </c>
      <c r="AS77" s="70" t="e">
        <f t="shared" si="53"/>
        <v>#REF!</v>
      </c>
      <c r="AT77" s="70" t="e">
        <f t="shared" si="53"/>
        <v>#REF!</v>
      </c>
      <c r="AU77" s="70" t="e">
        <f t="shared" si="53"/>
        <v>#REF!</v>
      </c>
      <c r="AV77" s="70" t="e">
        <f t="shared" si="53"/>
        <v>#REF!</v>
      </c>
      <c r="AW77" s="70" t="e">
        <f t="shared" si="53"/>
        <v>#REF!</v>
      </c>
      <c r="AX77" s="70" t="e">
        <f t="shared" si="53"/>
        <v>#REF!</v>
      </c>
      <c r="AY77" s="70" t="e">
        <f t="shared" si="53"/>
        <v>#REF!</v>
      </c>
      <c r="AZ77" s="70" t="e">
        <f t="shared" si="53"/>
        <v>#REF!</v>
      </c>
      <c r="BA77" s="70" t="e">
        <f t="shared" si="53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45" t="s">
        <v>55</v>
      </c>
      <c r="G89" s="545" t="s">
        <v>73</v>
      </c>
      <c r="H89" s="545" t="s">
        <v>74</v>
      </c>
      <c r="I89" s="545" t="s">
        <v>58</v>
      </c>
      <c r="J89" s="545" t="s">
        <v>59</v>
      </c>
      <c r="K89" s="545" t="s">
        <v>60</v>
      </c>
      <c r="L89" s="544" t="s">
        <v>75</v>
      </c>
      <c r="M89" s="544" t="s">
        <v>76</v>
      </c>
      <c r="N89" s="544" t="s">
        <v>61</v>
      </c>
      <c r="O89" s="544" t="s">
        <v>62</v>
      </c>
      <c r="P89" s="544" t="s">
        <v>63</v>
      </c>
      <c r="AN89" s="38"/>
      <c r="AZ89" s="36"/>
    </row>
    <row r="90" spans="1:52" ht="25.5">
      <c r="A90" s="44" t="str">
        <f t="shared" ref="A90:C90" si="54">A4</f>
        <v>General Construction</v>
      </c>
      <c r="B90" s="45" t="str">
        <f t="shared" si="54"/>
        <v>Light-Duty Truck, catalyst</v>
      </c>
      <c r="C90" s="46">
        <f t="shared" si="54"/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:M91" si="55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ref="A91:C92" si="56">A5</f>
        <v>Substation General Construction</v>
      </c>
      <c r="B91" s="45" t="str">
        <f t="shared" si="56"/>
        <v>Light-Duty Truck, catalyst</v>
      </c>
      <c r="C91" s="46">
        <f t="shared" si="56"/>
        <v>3</v>
      </c>
      <c r="D91" s="46">
        <v>35</v>
      </c>
      <c r="E91" s="46">
        <v>80</v>
      </c>
      <c r="F91" s="50">
        <f>C5*($E5*$F5+($G5))/453.59</f>
        <v>1.4571581576427601</v>
      </c>
      <c r="G91" s="50">
        <f>C5*($E5*$H5+($I5))/453.59</f>
        <v>0.13101197188313402</v>
      </c>
      <c r="H91" s="50">
        <f>C5*(($E5*$J5)+($K5)+($L5)+($E5*$N5)+(($M5+$O5)))/453.59</f>
        <v>0.15149994097185998</v>
      </c>
      <c r="I91" s="50">
        <f>C5*($E5*$P5+($Q5))/453.59</f>
        <v>2.1803910814818476E-3</v>
      </c>
      <c r="J91" s="50">
        <f>C5*(($E5*($R5+$T5+$U5))+($S5))/453.59</f>
        <v>2.5572271365623688E-2</v>
      </c>
      <c r="K91" s="50">
        <f>$C5*(($E5*($V5+$X5+$Y5))+($W5))/453.59</f>
        <v>1.1136015972759426E-2</v>
      </c>
      <c r="L91" s="50">
        <f>$B$23*C5*(E5+6)</f>
        <v>2.5315747758215698E-2</v>
      </c>
      <c r="M91" s="50">
        <f t="shared" si="55"/>
        <v>1.0379456580868435E-2</v>
      </c>
      <c r="N91" s="50">
        <f>C5*($E5*$Z5+($AA5))/453.59</f>
        <v>166.27073017811671</v>
      </c>
      <c r="O91" s="50">
        <f>C5*($E5*$AB5+($AC5))/453.59</f>
        <v>9.5114261670907474E-3</v>
      </c>
      <c r="P91" s="50">
        <f>C5*($E5*$AD5+($AE5))/453.59</f>
        <v>1.7313359741530081E-2</v>
      </c>
      <c r="AN91" s="38"/>
      <c r="AZ91" s="36"/>
    </row>
    <row r="92" spans="1:52" ht="25.5">
      <c r="A92" s="44" t="str">
        <f t="shared" si="56"/>
        <v>Substation CMU Wall</v>
      </c>
      <c r="B92" s="45" t="str">
        <f t="shared" si="56"/>
        <v>Light-Duty Truck, catalyst</v>
      </c>
      <c r="C92" s="46">
        <f t="shared" si="56"/>
        <v>10</v>
      </c>
      <c r="D92" s="46">
        <v>35</v>
      </c>
      <c r="E92" s="46">
        <v>80</v>
      </c>
      <c r="F92" s="50">
        <f>C6*($E6*$F6+($G6))/453.59</f>
        <v>4.8571938588092012</v>
      </c>
      <c r="G92" s="50">
        <f>C6*($E6*$H6+($I6))/453.59</f>
        <v>0.43670657294378012</v>
      </c>
      <c r="H92" s="50">
        <f>C6*(($E6*$J6)+($K6)+($L6)+($E6*$N6)+(($M6+$O6)))/453.59</f>
        <v>0.50499980323953331</v>
      </c>
      <c r="I92" s="50">
        <f>C6*($E6*$P6+($Q6))/453.59</f>
        <v>7.2679702716061598E-3</v>
      </c>
      <c r="J92" s="50">
        <f>C6*(($E6*($R6+$T6+$U6))+($S6))/453.59</f>
        <v>8.5240904552078958E-2</v>
      </c>
      <c r="K92" s="50">
        <f>$C6*(($E6*($V6+$X6+$Y6))+($W6))/453.59</f>
        <v>3.7120053242531412E-2</v>
      </c>
      <c r="L92" s="50">
        <f>$B$23*C6*(E6+6)</f>
        <v>8.438582586071898E-2</v>
      </c>
      <c r="M92" s="50">
        <f t="shared" ref="M92" si="57">0.41*L92</f>
        <v>3.4598188602894778E-2</v>
      </c>
      <c r="N92" s="50">
        <f>C6*($E6*$Z6+($AA6))/453.59</f>
        <v>554.23576726038891</v>
      </c>
      <c r="O92" s="50">
        <f>C6*($E6*$AB6+($AC6))/453.59</f>
        <v>3.1704753890302494E-2</v>
      </c>
      <c r="P92" s="50">
        <f>C6*($E6*$AD6+($AE6))/453.59</f>
        <v>5.7711199138433596E-2</v>
      </c>
      <c r="AN92" s="38"/>
      <c r="AZ92" s="36"/>
    </row>
    <row r="93" spans="1:52">
      <c r="A93" s="61" t="s">
        <v>389</v>
      </c>
      <c r="B93" s="40"/>
      <c r="C93" s="40"/>
      <c r="D93" s="40"/>
      <c r="E93" s="40"/>
      <c r="F93" s="81">
        <f t="shared" ref="F93:P93" si="58">SUM(F90:F92)</f>
        <v>7.7715101740947219</v>
      </c>
      <c r="G93" s="81">
        <f t="shared" si="58"/>
        <v>0.69873051671004816</v>
      </c>
      <c r="H93" s="81">
        <f t="shared" si="58"/>
        <v>0.80799968518325327</v>
      </c>
      <c r="I93" s="81">
        <f t="shared" si="58"/>
        <v>1.1628752434569855E-2</v>
      </c>
      <c r="J93" s="81">
        <f t="shared" si="58"/>
        <v>0.13638544728332633</v>
      </c>
      <c r="K93" s="81">
        <f t="shared" si="58"/>
        <v>5.9392085188050267E-2</v>
      </c>
      <c r="L93" s="81">
        <f t="shared" si="58"/>
        <v>0.13501732137715039</v>
      </c>
      <c r="M93" s="81">
        <f t="shared" si="58"/>
        <v>5.5357101764631648E-2</v>
      </c>
      <c r="N93" s="81">
        <f t="shared" si="58"/>
        <v>886.77722761662233</v>
      </c>
      <c r="O93" s="81">
        <f t="shared" si="58"/>
        <v>5.0727606224483988E-2</v>
      </c>
      <c r="P93" s="81">
        <f t="shared" si="58"/>
        <v>9.2337918621493764E-2</v>
      </c>
      <c r="AN93" s="38"/>
      <c r="AZ93" s="36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33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582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314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8</v>
      </c>
      <c r="P8" s="88">
        <v>125</v>
      </c>
      <c r="Q8" s="34">
        <f t="shared" ref="Q8:Y10" si="2">(E8*$N8*$O8)</f>
        <v>0.49946184642775621</v>
      </c>
      <c r="R8" s="26">
        <f t="shared" si="2"/>
        <v>2.4431746031746027</v>
      </c>
      <c r="S8" s="26">
        <f t="shared" si="2"/>
        <v>3.1176888888888881</v>
      </c>
      <c r="T8" s="26">
        <f t="shared" si="2"/>
        <v>4.4060015200662857E-3</v>
      </c>
      <c r="U8" s="26">
        <f t="shared" si="2"/>
        <v>0.19809523809523807</v>
      </c>
      <c r="V8" s="26">
        <f t="shared" si="2"/>
        <v>0.17630476190476188</v>
      </c>
      <c r="W8" s="26">
        <f t="shared" si="2"/>
        <v>375.60183859341714</v>
      </c>
      <c r="X8" s="26">
        <f t="shared" si="2"/>
        <v>5.4697471816927752E-2</v>
      </c>
      <c r="Y8" s="26">
        <f t="shared" si="2"/>
        <v>0.29618044444444436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9</v>
      </c>
      <c r="P9" s="363">
        <v>125</v>
      </c>
      <c r="Q9" s="34">
        <f t="shared" si="2"/>
        <v>1.0612998664693185</v>
      </c>
      <c r="R9" s="26">
        <f t="shared" si="2"/>
        <v>3.2860974016937274</v>
      </c>
      <c r="S9" s="26">
        <f t="shared" si="2"/>
        <v>7.8103317854039886</v>
      </c>
      <c r="T9" s="26">
        <f t="shared" si="2"/>
        <v>1.6865295748293957E-2</v>
      </c>
      <c r="U9" s="26">
        <f t="shared" si="2"/>
        <v>0.26137541066030878</v>
      </c>
      <c r="V9" s="26">
        <f t="shared" si="2"/>
        <v>0.23262411548767484</v>
      </c>
      <c r="W9" s="26">
        <f t="shared" si="2"/>
        <v>1498.908740620727</v>
      </c>
      <c r="X9" s="26">
        <f t="shared" si="2"/>
        <v>9.5759396799267066E-2</v>
      </c>
      <c r="Y9" s="26">
        <f t="shared" si="2"/>
        <v>0.74198151961337888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3</v>
      </c>
      <c r="P10" s="363">
        <v>125</v>
      </c>
      <c r="Q10" s="34">
        <f t="shared" si="2"/>
        <v>3.9051121312432671E-2</v>
      </c>
      <c r="R10" s="26">
        <f t="shared" si="2"/>
        <v>0.1468253968253968</v>
      </c>
      <c r="S10" s="26">
        <f t="shared" si="2"/>
        <v>0.13018518518518515</v>
      </c>
      <c r="T10" s="26">
        <f t="shared" si="2"/>
        <v>4.7652059865273245E-4</v>
      </c>
      <c r="U10" s="26">
        <f t="shared" si="2"/>
        <v>1.4682539682539681E-2</v>
      </c>
      <c r="V10" s="26">
        <f t="shared" si="2"/>
        <v>1.3067460317460314E-2</v>
      </c>
      <c r="W10" s="26">
        <f t="shared" si="2"/>
        <v>30.622980859093083</v>
      </c>
      <c r="X10" s="26">
        <f t="shared" si="2"/>
        <v>3.8388136396804665E-3</v>
      </c>
      <c r="Y10" s="26">
        <f t="shared" si="2"/>
        <v>1.236759259259259E-2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1.5998128342095075</v>
      </c>
      <c r="R11" s="101">
        <f t="shared" ref="R11:Y11" si="3">SUM(R8:R10)</f>
        <v>5.8760974016937269</v>
      </c>
      <c r="S11" s="101">
        <f t="shared" si="3"/>
        <v>11.058205859478063</v>
      </c>
      <c r="T11" s="101">
        <f t="shared" si="3"/>
        <v>2.1747817867012974E-2</v>
      </c>
      <c r="U11" s="101">
        <f t="shared" si="3"/>
        <v>0.47415318843808657</v>
      </c>
      <c r="V11" s="101">
        <f t="shared" si="3"/>
        <v>0.42199633770989703</v>
      </c>
      <c r="W11" s="101">
        <f t="shared" si="3"/>
        <v>1905.1335600732373</v>
      </c>
      <c r="X11" s="101">
        <f t="shared" si="3"/>
        <v>0.15429568225587528</v>
      </c>
      <c r="Y11" s="101">
        <f t="shared" si="3"/>
        <v>1.0505295566504158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87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7" t="s">
        <v>315</v>
      </c>
      <c r="B13" s="579"/>
      <c r="C13" s="18"/>
      <c r="D13" s="18"/>
      <c r="E13" s="19"/>
      <c r="F13" s="19"/>
      <c r="G13" s="19"/>
      <c r="H13" s="19"/>
      <c r="I13" s="19"/>
      <c r="J13" s="19"/>
      <c r="K13" s="19"/>
      <c r="L13" s="19"/>
      <c r="M13" s="19"/>
      <c r="N13" s="30"/>
      <c r="O13" s="30"/>
      <c r="P13" s="30"/>
      <c r="Q13" s="20"/>
      <c r="R13" s="20"/>
      <c r="S13" s="20"/>
      <c r="T13" s="20"/>
      <c r="U13" s="20"/>
      <c r="V13" s="20"/>
      <c r="W13" s="21"/>
      <c r="X13" s="20"/>
      <c r="Y13" s="20"/>
    </row>
    <row r="14" spans="1:25" s="3" customFormat="1">
      <c r="A14" s="24" t="s">
        <v>119</v>
      </c>
      <c r="B14" s="90" t="s">
        <v>27</v>
      </c>
      <c r="C14" s="22">
        <v>78</v>
      </c>
      <c r="D14" s="22">
        <f>VLOOKUP(A14,'Offroad Tiers LF'!$B$6:$C$40,2,FALSE)</f>
        <v>0.48</v>
      </c>
      <c r="E14" s="102">
        <v>6.2432730803469526E-2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0.30539682539682533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0.38971111111111101</v>
      </c>
      <c r="H14" s="102">
        <v>5.5075019000828571E-4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2.4761904761904759E-2</v>
      </c>
      <c r="J14" s="100">
        <f t="shared" ref="J14:J16" si="4">0.89*I14</f>
        <v>2.2038095238095235E-2</v>
      </c>
      <c r="K14" s="103">
        <v>46.950229824177143</v>
      </c>
      <c r="L14" s="102">
        <v>6.837183977115969E-3</v>
      </c>
      <c r="M14" s="104">
        <f t="shared" ref="M14:M16" si="5">0.095*G14</f>
        <v>3.7022555555555545E-2</v>
      </c>
      <c r="N14" s="98">
        <v>1</v>
      </c>
      <c r="O14" s="98">
        <v>6</v>
      </c>
      <c r="P14" s="88">
        <v>125</v>
      </c>
      <c r="Q14" s="34">
        <f t="shared" ref="Q14:Y16" si="6">(E14*$N14*$O14)</f>
        <v>0.37459638482081714</v>
      </c>
      <c r="R14" s="26">
        <f t="shared" si="6"/>
        <v>1.832380952380952</v>
      </c>
      <c r="S14" s="26">
        <f t="shared" si="6"/>
        <v>2.3382666666666658</v>
      </c>
      <c r="T14" s="26">
        <f t="shared" si="6"/>
        <v>3.3045011400497145E-3</v>
      </c>
      <c r="U14" s="26">
        <f t="shared" si="6"/>
        <v>0.14857142857142855</v>
      </c>
      <c r="V14" s="26">
        <f t="shared" si="6"/>
        <v>0.13222857142857142</v>
      </c>
      <c r="W14" s="26">
        <f t="shared" si="6"/>
        <v>281.70137894506286</v>
      </c>
      <c r="X14" s="26">
        <f t="shared" si="6"/>
        <v>4.1023103862695816E-2</v>
      </c>
      <c r="Y14" s="26">
        <f t="shared" si="6"/>
        <v>0.22213533333333327</v>
      </c>
    </row>
    <row r="15" spans="1:25" s="3" customFormat="1">
      <c r="A15" s="24" t="s">
        <v>305</v>
      </c>
      <c r="B15" s="29" t="s">
        <v>27</v>
      </c>
      <c r="C15" s="22">
        <v>175</v>
      </c>
      <c r="D15" s="22"/>
      <c r="E15" s="102">
        <v>0.11792220738547983</v>
      </c>
      <c r="F15" s="102">
        <v>0.36512193352152528</v>
      </c>
      <c r="G15" s="102">
        <v>0.86781464282266541</v>
      </c>
      <c r="H15" s="102">
        <v>1.8739217498104396E-3</v>
      </c>
      <c r="I15" s="102">
        <v>2.9041712295589866E-2</v>
      </c>
      <c r="J15" s="100">
        <f t="shared" si="4"/>
        <v>2.5847123943074982E-2</v>
      </c>
      <c r="K15" s="103">
        <v>166.54541562452522</v>
      </c>
      <c r="L15" s="102">
        <v>1.063993297769634E-2</v>
      </c>
      <c r="M15" s="104">
        <f t="shared" si="5"/>
        <v>8.2442391068153209E-2</v>
      </c>
      <c r="N15" s="98">
        <v>1</v>
      </c>
      <c r="O15" s="87">
        <v>2</v>
      </c>
      <c r="P15" s="363">
        <v>125</v>
      </c>
      <c r="Q15" s="34">
        <f t="shared" si="6"/>
        <v>0.23584441477095966</v>
      </c>
      <c r="R15" s="26">
        <f t="shared" si="6"/>
        <v>0.73024386704305055</v>
      </c>
      <c r="S15" s="26">
        <f t="shared" si="6"/>
        <v>1.7356292856453308</v>
      </c>
      <c r="T15" s="26">
        <f t="shared" si="6"/>
        <v>3.7478434996208792E-3</v>
      </c>
      <c r="U15" s="26">
        <f t="shared" si="6"/>
        <v>5.8083424591179732E-2</v>
      </c>
      <c r="V15" s="26">
        <f t="shared" si="6"/>
        <v>5.1694247886149965E-2</v>
      </c>
      <c r="W15" s="26">
        <f t="shared" si="6"/>
        <v>333.09083124905044</v>
      </c>
      <c r="X15" s="26">
        <f t="shared" si="6"/>
        <v>2.127986595539268E-2</v>
      </c>
      <c r="Y15" s="26">
        <f t="shared" si="6"/>
        <v>0.16488478213630642</v>
      </c>
    </row>
    <row r="16" spans="1:25" s="3" customFormat="1">
      <c r="A16" s="24" t="s">
        <v>368</v>
      </c>
      <c r="B16" s="29" t="s">
        <v>27</v>
      </c>
      <c r="C16" s="22">
        <v>5</v>
      </c>
      <c r="D16" s="22">
        <v>0.74</v>
      </c>
      <c r="E16" s="102">
        <v>1.3017040437477556E-2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4.8941798941798939E-2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4.3395061728395051E-2</v>
      </c>
      <c r="H16" s="102">
        <v>1.5884019955091081E-4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4.8941798941798936E-3</v>
      </c>
      <c r="J16" s="100">
        <f t="shared" si="4"/>
        <v>4.3558201058201051E-3</v>
      </c>
      <c r="K16" s="103">
        <v>10.20766028636436</v>
      </c>
      <c r="L16" s="102">
        <v>1.2796045465601556E-3</v>
      </c>
      <c r="M16" s="104">
        <f t="shared" si="5"/>
        <v>4.1225308641975296E-3</v>
      </c>
      <c r="N16" s="98">
        <v>1</v>
      </c>
      <c r="O16" s="87">
        <v>8</v>
      </c>
      <c r="P16" s="363">
        <v>125</v>
      </c>
      <c r="Q16" s="34">
        <f t="shared" si="6"/>
        <v>0.10413632349982045</v>
      </c>
      <c r="R16" s="26">
        <f t="shared" si="6"/>
        <v>0.39153439153439151</v>
      </c>
      <c r="S16" s="26">
        <f t="shared" si="6"/>
        <v>0.34716049382716041</v>
      </c>
      <c r="T16" s="26">
        <f t="shared" si="6"/>
        <v>1.2707215964072865E-3</v>
      </c>
      <c r="U16" s="26">
        <f t="shared" si="6"/>
        <v>3.9153439153439148E-2</v>
      </c>
      <c r="V16" s="26">
        <f t="shared" si="6"/>
        <v>3.4846560846560841E-2</v>
      </c>
      <c r="W16" s="26">
        <f t="shared" si="6"/>
        <v>81.661282290914883</v>
      </c>
      <c r="X16" s="26">
        <f t="shared" si="6"/>
        <v>1.0236836372481245E-2</v>
      </c>
      <c r="Y16" s="26">
        <f t="shared" si="6"/>
        <v>3.2980246913580237E-2</v>
      </c>
    </row>
    <row r="17" spans="1:25" s="3" customFormat="1">
      <c r="A17" s="17" t="s">
        <v>28</v>
      </c>
      <c r="B17" s="29"/>
      <c r="C17" s="22"/>
      <c r="D17" s="22"/>
      <c r="E17" s="108"/>
      <c r="F17" s="108"/>
      <c r="G17" s="108"/>
      <c r="H17" s="108"/>
      <c r="I17" s="108"/>
      <c r="J17" s="100"/>
      <c r="K17" s="365"/>
      <c r="L17" s="110"/>
      <c r="M17" s="102"/>
      <c r="N17" s="98"/>
      <c r="O17" s="87"/>
      <c r="P17" s="363"/>
      <c r="Q17" s="101">
        <f>SUM(Q14:Q16)</f>
        <v>0.71457712309159727</v>
      </c>
      <c r="R17" s="101">
        <f t="shared" ref="R17:Y17" si="7">SUM(R14:R16)</f>
        <v>2.9541592109583941</v>
      </c>
      <c r="S17" s="101">
        <f t="shared" si="7"/>
        <v>4.4210564461391568</v>
      </c>
      <c r="T17" s="101">
        <f t="shared" si="7"/>
        <v>8.32306623607788E-3</v>
      </c>
      <c r="U17" s="101">
        <f t="shared" si="7"/>
        <v>0.24580829231604745</v>
      </c>
      <c r="V17" s="101">
        <f t="shared" si="7"/>
        <v>0.21876938016128222</v>
      </c>
      <c r="W17" s="101">
        <f t="shared" si="7"/>
        <v>696.45349248502816</v>
      </c>
      <c r="X17" s="101">
        <f t="shared" si="7"/>
        <v>7.2539806190569739E-2</v>
      </c>
      <c r="Y17" s="101">
        <f t="shared" si="7"/>
        <v>0.42000036238321992</v>
      </c>
    </row>
    <row r="18" spans="1:25" s="3" customFormat="1">
      <c r="A18" s="24"/>
      <c r="B18" s="29"/>
      <c r="C18" s="22"/>
      <c r="D18" s="22"/>
      <c r="E18" s="108"/>
      <c r="F18" s="108"/>
      <c r="G18" s="108"/>
      <c r="H18" s="108"/>
      <c r="I18" s="108"/>
      <c r="J18" s="100"/>
      <c r="K18" s="365"/>
      <c r="L18" s="110"/>
      <c r="M18" s="102"/>
      <c r="N18" s="98"/>
      <c r="O18" s="98"/>
      <c r="P18" s="363"/>
      <c r="Q18" s="34"/>
      <c r="R18" s="26"/>
      <c r="S18" s="26"/>
      <c r="T18" s="26"/>
      <c r="U18" s="26"/>
      <c r="V18" s="26"/>
      <c r="W18" s="26"/>
      <c r="X18" s="26"/>
      <c r="Y18" s="26"/>
    </row>
    <row r="19" spans="1:25" s="3" customFormat="1">
      <c r="A19" s="17" t="s">
        <v>289</v>
      </c>
      <c r="B19" s="22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11"/>
      <c r="O19" s="11"/>
      <c r="P19" s="11"/>
      <c r="Q19" s="27"/>
      <c r="R19" s="27"/>
      <c r="S19" s="27"/>
      <c r="T19" s="27"/>
      <c r="U19" s="27"/>
      <c r="V19" s="27"/>
      <c r="W19" s="28"/>
      <c r="X19" s="27"/>
      <c r="Y19" s="27"/>
    </row>
    <row r="20" spans="1:25" s="3" customFormat="1">
      <c r="A20" s="100" t="s">
        <v>290</v>
      </c>
      <c r="B20" s="97" t="s">
        <v>27</v>
      </c>
      <c r="C20" s="22">
        <v>83</v>
      </c>
      <c r="D20" s="22">
        <v>0.4</v>
      </c>
      <c r="E20" s="102">
        <v>7.2866722082413127E-2</v>
      </c>
      <c r="F20" s="397">
        <f>IF($C20&lt;11,'Offroad Tiers EF (2)'!$AN$4*$C20*$D20,IF($C20&lt;25,'Offroad Tiers EF (2)'!$AN$5*$C20*$D20,IF($C20&lt;50,'Offroad Tiers EF (2)'!$AN$6*$C20*$D20,IF($C20&lt;75,'Offroad Tiers EF (2)'!$AN$7*$C20*$D20,IF($C20&lt;100,'Offroad Tiers EF (2)'!$AN$8*$C20*$D20,IF($C20&lt;175,'Offroad Tiers EF (2)'!$AN$9*$C20*$D20,IF($C20&lt;300,'Offroad Tiers EF (2)'!$AN$10*$C20*$D20,IF($C20&lt;600,'Offroad Tiers EF (2)'!$AN$11*$C20*$D20,"!"))))))))</f>
        <v>0.27081128747795413</v>
      </c>
      <c r="G20" s="397">
        <f>IF($C20&lt;11,'Offroad Tiers EF (2)'!$AM$4*$C20*$D20,IF($C20&lt;25,'Offroad Tiers EF (2)'!$AM$5*$C20*$D20,IF($C20&lt;50,'Offroad Tiers EF (2)'!$AM$6*$C20*$D20,IF($C20&lt;75,'Offroad Tiers EF (2)'!$AM$7*$C20*$D20,IF($C20&lt;100,'Offroad Tiers EF (2)'!$AM$8*$C20*$D20,IF($C20&lt;175,'Offroad Tiers EF (2)'!$AM$9*$C20*$D20,IF($C20&lt;300,'Offroad Tiers EF (2)'!$AM$10*$C20*$D20,IF($C20&lt;600,'Offroad Tiers EF (2)'!$AM$11*$C20*$D20,"!"))))))))</f>
        <v>0.34557716049382714</v>
      </c>
      <c r="H20" s="102">
        <v>7.3256850739065386E-4</v>
      </c>
      <c r="I20" s="397">
        <f>IF($C20&lt;11,'Offroad Tiers EF (2)'!$AO$4*$C20*$D20,IF($C20&lt;25,'Offroad Tiers EF (2)'!$AO$5*$C20*$D20,IF($C20&lt;50,'Offroad Tiers EF (2)'!$AO$6*$C20*$D20,IF($C20&lt;75,'Offroad Tiers EF (2)'!$AO$7*$C20*$D20,IF($C20&lt;100,'Offroad Tiers EF (2)'!$AO$8*$C20*$D20,IF($C20&lt;175,'Offroad Tiers EF (2)'!$AO$9*$C20*$D20,IF($C20&lt;300,'Offroad Tiers EF (2)'!$AO$10*$C20*$D20,IF($C20&lt;600,'Offroad Tiers EF (2)'!$AO$11*$C20*$D20,"!"))))))))</f>
        <v>2.1957671957671957E-2</v>
      </c>
      <c r="J20" s="100">
        <f t="shared" ref="J20:J23" si="8">0.89*I20</f>
        <v>1.9542328042328042E-2</v>
      </c>
      <c r="K20" s="103">
        <v>62.449820864610082</v>
      </c>
      <c r="L20" s="102">
        <v>7.2252559786614269E-3</v>
      </c>
      <c r="M20" s="104">
        <f t="shared" ref="M20:M23" si="9">0.095*G20</f>
        <v>3.2829830246913577E-2</v>
      </c>
      <c r="N20" s="87">
        <v>2</v>
      </c>
      <c r="O20" s="88">
        <v>2</v>
      </c>
      <c r="P20" s="88">
        <f>12*22</f>
        <v>264</v>
      </c>
      <c r="Q20" s="26">
        <f t="shared" ref="Q20:Y23" si="10">(E20*$N20*$O20)</f>
        <v>0.29146688832965251</v>
      </c>
      <c r="R20" s="26">
        <f t="shared" si="10"/>
        <v>1.0832451499118165</v>
      </c>
      <c r="S20" s="26">
        <f t="shared" si="10"/>
        <v>1.3823086419753086</v>
      </c>
      <c r="T20" s="26">
        <f t="shared" si="10"/>
        <v>2.9302740295626154E-3</v>
      </c>
      <c r="U20" s="26">
        <f t="shared" si="10"/>
        <v>8.7830687830687829E-2</v>
      </c>
      <c r="V20" s="26">
        <f t="shared" si="10"/>
        <v>7.8169312169312166E-2</v>
      </c>
      <c r="W20" s="26">
        <f t="shared" si="10"/>
        <v>249.79928345844033</v>
      </c>
      <c r="X20" s="26">
        <f t="shared" si="10"/>
        <v>2.8901023914645708E-2</v>
      </c>
      <c r="Y20" s="26">
        <f t="shared" si="10"/>
        <v>0.13131932098765431</v>
      </c>
    </row>
    <row r="21" spans="1:25" s="3" customFormat="1">
      <c r="A21" s="100" t="s">
        <v>292</v>
      </c>
      <c r="B21" s="22" t="s">
        <v>27</v>
      </c>
      <c r="C21" s="97">
        <v>69</v>
      </c>
      <c r="D21" s="22">
        <v>0.5</v>
      </c>
      <c r="E21" s="102">
        <v>0.10796897189848784</v>
      </c>
      <c r="F21" s="397">
        <f>IF($C21&lt;11,'Offroad Tiers EF (2)'!$AN$4*$C21*$D21,IF($C21&lt;25,'Offroad Tiers EF (2)'!$AN$5*$C21*$D21,IF($C21&lt;50,'Offroad Tiers EF (2)'!$AN$6*$C21*$D21,IF($C21&lt;75,'Offroad Tiers EF (2)'!$AN$7*$C21*$D21,IF($C21&lt;100,'Offroad Tiers EF (2)'!$AN$8*$C21*$D21,IF($C21&lt;175,'Offroad Tiers EF (2)'!$AN$9*$C21*$D21,IF($C21&lt;300,'Offroad Tiers EF (2)'!$AN$10*$C21*$D21,IF($C21&lt;600,'Offroad Tiers EF (2)'!$AN$11*$C21*$D21,"!"))))))))</f>
        <v>0.2814153439153439</v>
      </c>
      <c r="G21" s="397">
        <f>IF($C21&lt;11,'Offroad Tiers EF (2)'!$AM$4*$C21*$D21,IF($C21&lt;25,'Offroad Tiers EF (2)'!$AM$5*$C21*$D21,IF($C21&lt;50,'Offroad Tiers EF (2)'!$AM$6*$C21*$D21,IF($C21&lt;75,'Offroad Tiers EF (2)'!$AM$7*$C21*$D21,IF($C21&lt;100,'Offroad Tiers EF (2)'!$AM$8*$C21*$D21,IF($C21&lt;175,'Offroad Tiers EF (2)'!$AM$9*$C21*$D21,IF($C21&lt;300,'Offroad Tiers EF (2)'!$AM$10*$C21*$D21,IF($C21&lt;600,'Offroad Tiers EF (2)'!$AM$11*$C21*$D21,"!"))))))))</f>
        <v>0.40462962962962956</v>
      </c>
      <c r="H21" s="102">
        <v>7.6125329247041284E-4</v>
      </c>
      <c r="I21" s="397">
        <f>IF($C21&lt;11,'Offroad Tiers EF (2)'!$AO$4*$C21*$D21,IF($C21&lt;25,'Offroad Tiers EF (2)'!$AO$5*$C21*$D21,IF($C21&lt;50,'Offroad Tiers EF (2)'!$AO$6*$C21*$D21,IF($C21&lt;75,'Offroad Tiers EF (2)'!$AO$7*$C21*$D21,IF($C21&lt;100,'Offroad Tiers EF (2)'!$AO$8*$C21*$D21,IF($C21&lt;175,'Offroad Tiers EF (2)'!$AO$9*$C21*$D21,IF($C21&lt;300,'Offroad Tiers EF (2)'!$AO$10*$C21*$D21,IF($C21&lt;600,'Offroad Tiers EF (2)'!$AO$11*$C21*$D21,"!"))))))))</f>
        <v>2.2817460317460316E-2</v>
      </c>
      <c r="J21" s="100">
        <f t="shared" si="8"/>
        <v>2.030753968253968E-2</v>
      </c>
      <c r="K21" s="103">
        <v>64.895144949977833</v>
      </c>
      <c r="L21" s="102">
        <v>1.0324742188913067E-2</v>
      </c>
      <c r="M21" s="104">
        <f t="shared" si="9"/>
        <v>3.8439814814814809E-2</v>
      </c>
      <c r="N21" s="87">
        <v>1</v>
      </c>
      <c r="O21" s="88">
        <v>6</v>
      </c>
      <c r="P21" s="88">
        <f>8*22</f>
        <v>176</v>
      </c>
      <c r="Q21" s="26">
        <f t="shared" si="10"/>
        <v>0.64781383139092696</v>
      </c>
      <c r="R21" s="26">
        <f t="shared" si="10"/>
        <v>1.6884920634920633</v>
      </c>
      <c r="S21" s="26">
        <f t="shared" si="10"/>
        <v>2.4277777777777771</v>
      </c>
      <c r="T21" s="26">
        <f t="shared" si="10"/>
        <v>4.567519754822477E-3</v>
      </c>
      <c r="U21" s="26">
        <f t="shared" si="10"/>
        <v>0.13690476190476189</v>
      </c>
      <c r="V21" s="26">
        <f t="shared" si="10"/>
        <v>0.12184523809523809</v>
      </c>
      <c r="W21" s="26">
        <f t="shared" si="10"/>
        <v>389.370869699867</v>
      </c>
      <c r="X21" s="26">
        <f t="shared" si="10"/>
        <v>6.1948453133478402E-2</v>
      </c>
      <c r="Y21" s="26">
        <f t="shared" si="10"/>
        <v>0.23063888888888884</v>
      </c>
    </row>
    <row r="22" spans="1:25" s="3" customFormat="1">
      <c r="A22" s="100" t="s">
        <v>126</v>
      </c>
      <c r="B22" s="22" t="s">
        <v>27</v>
      </c>
      <c r="C22" s="22">
        <v>175</v>
      </c>
      <c r="D22" s="22"/>
      <c r="E22" s="102">
        <v>0.11792220738547983</v>
      </c>
      <c r="F22" s="102">
        <v>0.36512193352152528</v>
      </c>
      <c r="G22" s="102">
        <v>0.86781464282266541</v>
      </c>
      <c r="H22" s="102">
        <v>1.8739217498104396E-3</v>
      </c>
      <c r="I22" s="102">
        <v>2.9041712295589866E-2</v>
      </c>
      <c r="J22" s="100">
        <f t="shared" si="8"/>
        <v>2.5847123943074982E-2</v>
      </c>
      <c r="K22" s="103">
        <v>166.54541562452522</v>
      </c>
      <c r="L22" s="102">
        <v>1.063993297769634E-2</v>
      </c>
      <c r="M22" s="104">
        <f t="shared" si="9"/>
        <v>8.2442391068153209E-2</v>
      </c>
      <c r="N22" s="88">
        <v>1</v>
      </c>
      <c r="O22" s="88">
        <v>3</v>
      </c>
      <c r="P22" s="367">
        <v>40</v>
      </c>
      <c r="Q22" s="26">
        <f t="shared" si="10"/>
        <v>0.3537666221564395</v>
      </c>
      <c r="R22" s="26">
        <f t="shared" si="10"/>
        <v>1.0953658005645759</v>
      </c>
      <c r="S22" s="26">
        <f t="shared" si="10"/>
        <v>2.6034439284679962</v>
      </c>
      <c r="T22" s="26">
        <f t="shared" si="10"/>
        <v>5.6217652494313184E-3</v>
      </c>
      <c r="U22" s="26">
        <f t="shared" si="10"/>
        <v>8.7125136886769594E-2</v>
      </c>
      <c r="V22" s="26">
        <f t="shared" si="10"/>
        <v>7.754137182922495E-2</v>
      </c>
      <c r="W22" s="26">
        <f t="shared" si="10"/>
        <v>499.63624687357566</v>
      </c>
      <c r="X22" s="26">
        <f t="shared" si="10"/>
        <v>3.1919798933089022E-2</v>
      </c>
      <c r="Y22" s="26">
        <f t="shared" si="10"/>
        <v>0.24732717320445963</v>
      </c>
    </row>
    <row r="23" spans="1:25" s="3" customFormat="1">
      <c r="A23" s="100" t="s">
        <v>293</v>
      </c>
      <c r="B23" s="22" t="s">
        <v>27</v>
      </c>
      <c r="C23" s="22">
        <v>157</v>
      </c>
      <c r="D23" s="22">
        <v>0.38</v>
      </c>
      <c r="E23" s="550">
        <v>9.7211873502789536E-2</v>
      </c>
      <c r="F23" s="397">
        <f>IF($C23&lt;11,'Offroad Tiers EF (2)'!$AN$4*$C23*$D23,IF($C23&lt;25,'Offroad Tiers EF (2)'!$AN$5*$C23*$D23,IF($C23&lt;50,'Offroad Tiers EF (2)'!$AN$6*$C23*$D23,IF($C23&lt;75,'Offroad Tiers EF (2)'!$AN$7*$C23*$D23,IF($C23&lt;100,'Offroad Tiers EF (2)'!$AN$8*$C23*$D23,IF($C23&lt;175,'Offroad Tiers EF (2)'!$AN$9*$C23*$D23,IF($C23&lt;300,'Offroad Tiers EF (2)'!$AN$10*$C23*$D23,IF($C23&lt;600,'Offroad Tiers EF (2)'!$AN$11*$C23*$D23,"!"))))))))</f>
        <v>0.48664462081128745</v>
      </c>
      <c r="G23" s="397">
        <f>IF($C23&lt;11,'Offroad Tiers EF (2)'!$AM$4*$C23*$D23,IF($C23&lt;25,'Offroad Tiers EF (2)'!$AM$5*$C23*$D23,IF($C23&lt;50,'Offroad Tiers EF (2)'!$AM$6*$C23*$D23,IF($C23&lt;75,'Offroad Tiers EF (2)'!$AM$7*$C23*$D23,IF($C23&lt;100,'Offroad Tiers EF (2)'!$AM$8*$C23*$D23,IF($C23&lt;175,'Offroad Tiers EF (2)'!$AM$9*$C23*$D23,IF($C23&lt;300,'Offroad Tiers EF (2)'!$AM$10*$C23*$D23,IF($C23&lt;600,'Offroad Tiers EF (2)'!$AM$11*$C23*$D23,"!"))))))))</f>
        <v>0.54103044532627864</v>
      </c>
      <c r="H23" s="550">
        <v>1.2626852382997586E-3</v>
      </c>
      <c r="I23" s="397">
        <f>IF($C23&lt;11,'Offroad Tiers EF (2)'!$AO$4*$C23*$D23,IF($C23&lt;25,'Offroad Tiers EF (2)'!$AO$5*$C23*$D23,IF($C23&lt;50,'Offroad Tiers EF (2)'!$AO$6*$C23*$D23,IF($C23&lt;75,'Offroad Tiers EF (2)'!$AO$7*$C23*$D23,IF($C23&lt;100,'Offroad Tiers EF (2)'!$AO$8*$C23*$D23,IF($C23&lt;175,'Offroad Tiers EF (2)'!$AO$9*$C23*$D23,IF($C23&lt;300,'Offroad Tiers EF (2)'!$AO$10*$C23*$D23,IF($C23&lt;600,'Offroad Tiers EF (2)'!$AO$11*$C23*$D23,"!"))))))))</f>
        <v>2.8935626102292767E-2</v>
      </c>
      <c r="J23" s="551">
        <f t="shared" si="8"/>
        <v>2.5752707231040561E-2</v>
      </c>
      <c r="K23" s="552">
        <v>112.22156581723891</v>
      </c>
      <c r="L23" s="111">
        <v>9.4890670020510905E-3</v>
      </c>
      <c r="M23" s="553">
        <f t="shared" si="9"/>
        <v>5.1397892305996472E-2</v>
      </c>
      <c r="N23" s="98">
        <v>1</v>
      </c>
      <c r="O23" s="88">
        <v>6</v>
      </c>
      <c r="P23" s="367">
        <v>15</v>
      </c>
      <c r="Q23" s="26">
        <f t="shared" si="10"/>
        <v>0.58327124101673722</v>
      </c>
      <c r="R23" s="26">
        <f t="shared" si="10"/>
        <v>2.9198677248677249</v>
      </c>
      <c r="S23" s="26">
        <f t="shared" si="10"/>
        <v>3.2461826719576719</v>
      </c>
      <c r="T23" s="26">
        <f t="shared" si="10"/>
        <v>7.5761114297985509E-3</v>
      </c>
      <c r="U23" s="26">
        <f t="shared" si="10"/>
        <v>0.17361375661375661</v>
      </c>
      <c r="V23" s="26">
        <f t="shared" si="10"/>
        <v>0.15451624338624337</v>
      </c>
      <c r="W23" s="26">
        <f t="shared" si="10"/>
        <v>673.32939490343347</v>
      </c>
      <c r="X23" s="26">
        <f t="shared" si="10"/>
        <v>5.693440201230654E-2</v>
      </c>
      <c r="Y23" s="26">
        <f t="shared" si="10"/>
        <v>0.30838735383597882</v>
      </c>
    </row>
    <row r="24" spans="1:25" s="3" customFormat="1">
      <c r="A24" s="17" t="s">
        <v>28</v>
      </c>
      <c r="B24" s="97"/>
      <c r="C24" s="22"/>
      <c r="D24" s="22"/>
      <c r="E24" s="23"/>
      <c r="F24" s="23"/>
      <c r="G24" s="23"/>
      <c r="H24" s="23"/>
      <c r="I24" s="23"/>
      <c r="J24" s="24"/>
      <c r="K24" s="25"/>
      <c r="L24" s="23"/>
      <c r="M24" s="23"/>
      <c r="N24" s="88"/>
      <c r="O24" s="88"/>
      <c r="P24" s="88"/>
      <c r="Q24" s="27">
        <f>SUM(Q20:Q23)</f>
        <v>1.8763185828937563</v>
      </c>
      <c r="R24" s="27">
        <f t="shared" ref="R24:Y24" si="11">SUM(R20:R23)</f>
        <v>6.7869707388361808</v>
      </c>
      <c r="S24" s="27">
        <f t="shared" si="11"/>
        <v>9.6597130201787529</v>
      </c>
      <c r="T24" s="27">
        <f t="shared" si="11"/>
        <v>2.0695670463614962E-2</v>
      </c>
      <c r="U24" s="27">
        <f t="shared" si="11"/>
        <v>0.48547434323597594</v>
      </c>
      <c r="V24" s="27">
        <f t="shared" si="11"/>
        <v>0.43207216548001859</v>
      </c>
      <c r="W24" s="27">
        <f t="shared" si="11"/>
        <v>1812.1357949353164</v>
      </c>
      <c r="X24" s="27">
        <f t="shared" si="11"/>
        <v>0.17970367799351966</v>
      </c>
      <c r="Y24" s="27">
        <f t="shared" si="11"/>
        <v>0.91767273691698159</v>
      </c>
    </row>
    <row r="25" spans="1:25" s="3" customFormat="1">
      <c r="A25" s="11"/>
      <c r="B25" s="579"/>
      <c r="C25" s="18"/>
      <c r="D25" s="22"/>
      <c r="E25" s="19"/>
      <c r="F25" s="19"/>
      <c r="G25" s="19"/>
      <c r="H25" s="19"/>
      <c r="I25" s="19"/>
      <c r="J25" s="19"/>
      <c r="K25" s="19"/>
      <c r="L25" s="19"/>
      <c r="M25" s="19"/>
      <c r="N25" s="30"/>
      <c r="O25" s="30"/>
      <c r="P25" s="364"/>
      <c r="Q25" s="20"/>
      <c r="R25" s="20"/>
      <c r="S25" s="27"/>
      <c r="T25" s="20"/>
      <c r="U25" s="20"/>
      <c r="V25" s="20"/>
      <c r="W25" s="20"/>
      <c r="X25" s="20"/>
      <c r="Y25" s="20"/>
    </row>
    <row r="26" spans="1:25">
      <c r="A26" s="11" t="s">
        <v>398</v>
      </c>
      <c r="B26" s="22"/>
      <c r="C26" s="18"/>
      <c r="D26" s="22"/>
      <c r="E26" s="19"/>
      <c r="F26" s="19"/>
      <c r="G26" s="19"/>
      <c r="H26" s="19"/>
      <c r="I26" s="19"/>
      <c r="J26" s="19"/>
      <c r="K26" s="19"/>
      <c r="L26" s="19"/>
      <c r="M26" s="19"/>
      <c r="N26" s="11"/>
      <c r="O26" s="11"/>
      <c r="P26" s="11"/>
      <c r="Q26" s="27"/>
      <c r="R26" s="27"/>
      <c r="S26" s="27"/>
      <c r="T26" s="27"/>
      <c r="U26" s="27"/>
      <c r="V26" s="27"/>
      <c r="W26" s="28"/>
      <c r="X26" s="27"/>
      <c r="Y26" s="27"/>
    </row>
    <row r="27" spans="1:25">
      <c r="A27" s="100" t="s">
        <v>125</v>
      </c>
      <c r="B27" s="97" t="s">
        <v>27</v>
      </c>
      <c r="C27" s="22">
        <v>87</v>
      </c>
      <c r="D27" s="22">
        <v>0.37</v>
      </c>
      <c r="E27" s="108">
        <v>5.2437519504869065E-2</v>
      </c>
      <c r="F27" s="397">
        <f>IF($C27&lt;11,'Offroad Tiers EF (2)'!$AN$4*$C27*$D27,IF($C27&lt;25,'Offroad Tiers EF (2)'!$AN$5*$C27*$D27,IF($C27&lt;50,'Offroad Tiers EF (2)'!$AN$6*$C27*$D27,IF($C27&lt;75,'Offroad Tiers EF (2)'!$AN$7*$C27*$D27,IF($C27&lt;100,'Offroad Tiers EF (2)'!$AN$8*$C27*$D27,IF($C27&lt;175,'Offroad Tiers EF (2)'!$AN$9*$C27*$D27,IF($C27&lt;300,'Offroad Tiers EF (2)'!$AN$10*$C27*$D27,IF($C27&lt;600,'Offroad Tiers EF (2)'!$AN$11*$C27*$D27,"!"))))))))</f>
        <v>0.26257275132275132</v>
      </c>
      <c r="G27" s="397">
        <f>IF($C27&lt;11,'Offroad Tiers EF (2)'!$AM$4*$C27*$D27,IF($C27&lt;25,'Offroad Tiers EF (2)'!$AM$5*$C27*$D27,IF($C27&lt;50,'Offroad Tiers EF (2)'!$AM$6*$C27*$D27,IF($C27&lt;75,'Offroad Tiers EF (2)'!$AM$7*$C27*$D27,IF($C27&lt;100,'Offroad Tiers EF (2)'!$AM$8*$C27*$D27,IF($C27&lt;175,'Offroad Tiers EF (2)'!$AM$9*$C27*$D27,IF($C27&lt;300,'Offroad Tiers EF (2)'!$AM$10*$C27*$D27,IF($C27&lt;600,'Offroad Tiers EF (2)'!$AM$11*$C27*$D27,"!"))))))))</f>
        <v>0.33506412037037031</v>
      </c>
      <c r="H27" s="108">
        <v>6.0679618797898508E-4</v>
      </c>
      <c r="I27" s="397">
        <f>IF($C27&lt;11,'Offroad Tiers EF (2)'!$AO$4*$C27*$D27,IF($C27&lt;25,'Offroad Tiers EF (2)'!$AO$5*$C27*$D27,IF($C27&lt;50,'Offroad Tiers EF (2)'!$AO$6*$C27*$D27,IF($C27&lt;75,'Offroad Tiers EF (2)'!$AO$7*$C27*$D27,IF($C27&lt;100,'Offroad Tiers EF (2)'!$AO$8*$C27*$D27,IF($C27&lt;175,'Offroad Tiers EF (2)'!$AO$9*$C27*$D27,IF($C27&lt;300,'Offroad Tiers EF (2)'!$AO$10*$C27*$D27,IF($C27&lt;600,'Offroad Tiers EF (2)'!$AO$11*$C27*$D27,"!"))))))))</f>
        <v>2.1289682539682539E-2</v>
      </c>
      <c r="J27" s="100">
        <f t="shared" ref="J27:J30" si="12">0.89*I27</f>
        <v>1.894781746031746E-2</v>
      </c>
      <c r="K27" s="108">
        <v>51.728016924248784</v>
      </c>
      <c r="L27" s="108">
        <v>5.2037096026823848E-3</v>
      </c>
      <c r="M27" s="102">
        <f t="shared" ref="M27:M30" si="13">0.095*G27</f>
        <v>3.1831091435185178E-2</v>
      </c>
      <c r="N27" s="88">
        <v>1</v>
      </c>
      <c r="O27" s="88">
        <v>6</v>
      </c>
      <c r="P27" s="367">
        <v>15</v>
      </c>
      <c r="Q27" s="26">
        <f t="shared" ref="Q27:Y30" si="14">(E27*$N27*$O27)</f>
        <v>0.31462511702921436</v>
      </c>
      <c r="R27" s="26">
        <f t="shared" si="14"/>
        <v>1.5754365079365078</v>
      </c>
      <c r="S27" s="26">
        <f t="shared" si="14"/>
        <v>2.0103847222222218</v>
      </c>
      <c r="T27" s="26">
        <f t="shared" si="14"/>
        <v>3.6407771278739107E-3</v>
      </c>
      <c r="U27" s="26">
        <f t="shared" si="14"/>
        <v>0.12773809523809523</v>
      </c>
      <c r="V27" s="26">
        <f t="shared" si="14"/>
        <v>0.11368690476190477</v>
      </c>
      <c r="W27" s="26">
        <f t="shared" si="14"/>
        <v>310.36810154549272</v>
      </c>
      <c r="X27" s="26">
        <f t="shared" si="14"/>
        <v>3.1222257616094311E-2</v>
      </c>
      <c r="Y27" s="26">
        <f t="shared" si="14"/>
        <v>0.19098654861111108</v>
      </c>
    </row>
    <row r="28" spans="1:25">
      <c r="A28" s="100" t="s">
        <v>287</v>
      </c>
      <c r="B28" s="97" t="s">
        <v>27</v>
      </c>
      <c r="C28" s="97">
        <v>37</v>
      </c>
      <c r="D28" s="22">
        <v>0.37</v>
      </c>
      <c r="E28" s="102">
        <v>3.2313389441625637E-2</v>
      </c>
      <c r="F28" s="397">
        <f>IF($C28&lt;11,'Offroad Tiers EF (2)'!$AN$4*$C28*$D28,IF($C28&lt;25,'Offroad Tiers EF (2)'!$AN$5*$C28*$D28,IF($C28&lt;50,'Offroad Tiers EF (2)'!$AN$6*$C28*$D28,IF($C28&lt;75,'Offroad Tiers EF (2)'!$AN$7*$C28*$D28,IF($C28&lt;100,'Offroad Tiers EF (2)'!$AN$8*$C28*$D28,IF($C28&lt;175,'Offroad Tiers EF (2)'!$AN$9*$C28*$D28,IF($C28&lt;300,'Offroad Tiers EF (2)'!$AN$10*$C28*$D28,IF($C28&lt;600,'Offroad Tiers EF (2)'!$AN$11*$C28*$D28,"!"))))))))</f>
        <v>0.12374118165784832</v>
      </c>
      <c r="G28" s="397">
        <f>IF($C28&lt;11,'Offroad Tiers EF (2)'!$AM$4*$C28*$D28,IF($C28&lt;25,'Offroad Tiers EF (2)'!$AM$5*$C28*$D28,IF($C28&lt;50,'Offroad Tiers EF (2)'!$AM$6*$C28*$D28,IF($C28&lt;75,'Offroad Tiers EF (2)'!$AM$7*$C28*$D28,IF($C28&lt;100,'Offroad Tiers EF (2)'!$AM$8*$C28*$D28,IF($C28&lt;175,'Offroad Tiers EF (2)'!$AM$9*$C28*$D28,IF($C28&lt;300,'Offroad Tiers EF (2)'!$AM$10*$C28*$D28,IF($C28&lt;600,'Offroad Tiers EF (2)'!$AM$11*$C28*$D28,"!"))))))))</f>
        <v>0.16056172839506169</v>
      </c>
      <c r="H28" s="102">
        <v>3.2989906092678058E-4</v>
      </c>
      <c r="I28" s="397">
        <f>IF($C28&lt;11,'Offroad Tiers EF (2)'!$AO$4*$C28*$D28,IF($C28&lt;25,'Offroad Tiers EF (2)'!$AO$5*$C28*$D28,IF($C28&lt;50,'Offroad Tiers EF (2)'!$AO$6*$C28*$D28,IF($C28&lt;75,'Offroad Tiers EF (2)'!$AO$7*$C28*$D28,IF($C28&lt;100,'Offroad Tiers EF (2)'!$AO$8*$C28*$D28,IF($C28&lt;175,'Offroad Tiers EF (2)'!$AO$9*$C28*$D28,IF($C28&lt;300,'Offroad Tiers EF (2)'!$AO$10*$C28*$D28,IF($C28&lt;600,'Offroad Tiers EF (2)'!$AO$11*$C28*$D28,"!"))))))))</f>
        <v>1.3581349206349205E-2</v>
      </c>
      <c r="J28" s="100">
        <f t="shared" si="12"/>
        <v>1.2087400793650793E-2</v>
      </c>
      <c r="K28" s="103">
        <v>25.519156990664225</v>
      </c>
      <c r="L28" s="102">
        <v>3.413848047070189E-3</v>
      </c>
      <c r="M28" s="104">
        <f t="shared" si="13"/>
        <v>1.5253364197530862E-2</v>
      </c>
      <c r="N28" s="88">
        <v>1</v>
      </c>
      <c r="O28" s="88">
        <v>1</v>
      </c>
      <c r="P28" s="367">
        <v>75</v>
      </c>
      <c r="Q28" s="26">
        <f t="shared" si="14"/>
        <v>3.2313389441625637E-2</v>
      </c>
      <c r="R28" s="26">
        <f t="shared" si="14"/>
        <v>0.12374118165784832</v>
      </c>
      <c r="S28" s="26">
        <f t="shared" si="14"/>
        <v>0.16056172839506169</v>
      </c>
      <c r="T28" s="26">
        <f t="shared" si="14"/>
        <v>3.2989906092678058E-4</v>
      </c>
      <c r="U28" s="26">
        <f t="shared" si="14"/>
        <v>1.3581349206349205E-2</v>
      </c>
      <c r="V28" s="26">
        <f t="shared" si="14"/>
        <v>1.2087400793650793E-2</v>
      </c>
      <c r="W28" s="26">
        <f t="shared" si="14"/>
        <v>25.519156990664225</v>
      </c>
      <c r="X28" s="26">
        <f t="shared" si="14"/>
        <v>3.413848047070189E-3</v>
      </c>
      <c r="Y28" s="26">
        <f t="shared" si="14"/>
        <v>1.5253364197530862E-2</v>
      </c>
    </row>
    <row r="29" spans="1:25">
      <c r="A29" s="100" t="s">
        <v>292</v>
      </c>
      <c r="B29" s="22" t="s">
        <v>27</v>
      </c>
      <c r="C29" s="97">
        <v>69</v>
      </c>
      <c r="D29" s="22">
        <v>0.5</v>
      </c>
      <c r="E29" s="102">
        <v>0.10796897189848784</v>
      </c>
      <c r="F29" s="397">
        <f>IF($C29&lt;11,'Offroad Tiers EF (2)'!$AN$4*$C29*$D29,IF($C29&lt;25,'Offroad Tiers EF (2)'!$AN$5*$C29*$D29,IF($C29&lt;50,'Offroad Tiers EF (2)'!$AN$6*$C29*$D29,IF($C29&lt;75,'Offroad Tiers EF (2)'!$AN$7*$C29*$D29,IF($C29&lt;100,'Offroad Tiers EF (2)'!$AN$8*$C29*$D29,IF($C29&lt;175,'Offroad Tiers EF (2)'!$AN$9*$C29*$D29,IF($C29&lt;300,'Offroad Tiers EF (2)'!$AN$10*$C29*$D29,IF($C29&lt;600,'Offroad Tiers EF (2)'!$AN$11*$C29*$D29,"!"))))))))</f>
        <v>0.2814153439153439</v>
      </c>
      <c r="G29" s="397">
        <f>IF($C29&lt;11,'Offroad Tiers EF (2)'!$AM$4*$C29*$D29,IF($C29&lt;25,'Offroad Tiers EF (2)'!$AM$5*$C29*$D29,IF($C29&lt;50,'Offroad Tiers EF (2)'!$AM$6*$C29*$D29,IF($C29&lt;75,'Offroad Tiers EF (2)'!$AM$7*$C29*$D29,IF($C29&lt;100,'Offroad Tiers EF (2)'!$AM$8*$C29*$D29,IF($C29&lt;175,'Offroad Tiers EF (2)'!$AM$9*$C29*$D29,IF($C29&lt;300,'Offroad Tiers EF (2)'!$AM$10*$C29*$D29,IF($C29&lt;600,'Offroad Tiers EF (2)'!$AM$11*$C29*$D29,"!"))))))))</f>
        <v>0.40462962962962956</v>
      </c>
      <c r="H29" s="102">
        <v>7.6125329247041284E-4</v>
      </c>
      <c r="I29" s="397">
        <f>IF($C29&lt;11,'Offroad Tiers EF (2)'!$AO$4*$C29*$D29,IF($C29&lt;25,'Offroad Tiers EF (2)'!$AO$5*$C29*$D29,IF($C29&lt;50,'Offroad Tiers EF (2)'!$AO$6*$C29*$D29,IF($C29&lt;75,'Offroad Tiers EF (2)'!$AO$7*$C29*$D29,IF($C29&lt;100,'Offroad Tiers EF (2)'!$AO$8*$C29*$D29,IF($C29&lt;175,'Offroad Tiers EF (2)'!$AO$9*$C29*$D29,IF($C29&lt;300,'Offroad Tiers EF (2)'!$AO$10*$C29*$D29,IF($C29&lt;600,'Offroad Tiers EF (2)'!$AO$11*$C29*$D29,"!"))))))))</f>
        <v>2.2817460317460316E-2</v>
      </c>
      <c r="J29" s="100">
        <f t="shared" si="12"/>
        <v>2.030753968253968E-2</v>
      </c>
      <c r="K29" s="103">
        <v>64.895144949977833</v>
      </c>
      <c r="L29" s="102">
        <v>1.0324742188913067E-2</v>
      </c>
      <c r="M29" s="104">
        <f t="shared" si="13"/>
        <v>3.8439814814814809E-2</v>
      </c>
      <c r="N29" s="87">
        <v>1</v>
      </c>
      <c r="O29" s="87">
        <v>6</v>
      </c>
      <c r="P29" s="88">
        <f>8*22</f>
        <v>176</v>
      </c>
      <c r="Q29" s="34">
        <f t="shared" si="14"/>
        <v>0.64781383139092696</v>
      </c>
      <c r="R29" s="26">
        <f t="shared" si="14"/>
        <v>1.6884920634920633</v>
      </c>
      <c r="S29" s="26">
        <f t="shared" si="14"/>
        <v>2.4277777777777771</v>
      </c>
      <c r="T29" s="26">
        <f t="shared" si="14"/>
        <v>4.567519754822477E-3</v>
      </c>
      <c r="U29" s="26">
        <f t="shared" si="14"/>
        <v>0.13690476190476189</v>
      </c>
      <c r="V29" s="26">
        <f t="shared" si="14"/>
        <v>0.12184523809523809</v>
      </c>
      <c r="W29" s="26">
        <f t="shared" si="14"/>
        <v>389.370869699867</v>
      </c>
      <c r="X29" s="26">
        <f t="shared" si="14"/>
        <v>6.1948453133478402E-2</v>
      </c>
      <c r="Y29" s="26">
        <f t="shared" si="14"/>
        <v>0.23063888888888884</v>
      </c>
    </row>
    <row r="30" spans="1:25">
      <c r="A30" s="100" t="s">
        <v>126</v>
      </c>
      <c r="B30" s="22" t="s">
        <v>27</v>
      </c>
      <c r="C30" s="22">
        <v>175</v>
      </c>
      <c r="D30" s="22"/>
      <c r="E30" s="102">
        <v>0.11792220738547983</v>
      </c>
      <c r="F30" s="102">
        <v>0.36512193352152528</v>
      </c>
      <c r="G30" s="102">
        <v>0.86781464282266541</v>
      </c>
      <c r="H30" s="102">
        <v>1.8739217498104396E-3</v>
      </c>
      <c r="I30" s="102">
        <v>2.9041712295589866E-2</v>
      </c>
      <c r="J30" s="100">
        <f t="shared" si="12"/>
        <v>2.5847123943074982E-2</v>
      </c>
      <c r="K30" s="103">
        <v>166.54541562452522</v>
      </c>
      <c r="L30" s="102">
        <v>1.063993297769634E-2</v>
      </c>
      <c r="M30" s="104">
        <f t="shared" si="13"/>
        <v>8.2442391068153209E-2</v>
      </c>
      <c r="N30" s="88">
        <v>1</v>
      </c>
      <c r="O30" s="88">
        <v>3</v>
      </c>
      <c r="P30" s="367">
        <v>40</v>
      </c>
      <c r="Q30" s="26">
        <f t="shared" si="14"/>
        <v>0.3537666221564395</v>
      </c>
      <c r="R30" s="26">
        <f t="shared" si="14"/>
        <v>1.0953658005645759</v>
      </c>
      <c r="S30" s="26">
        <f t="shared" si="14"/>
        <v>2.6034439284679962</v>
      </c>
      <c r="T30" s="26">
        <f t="shared" si="14"/>
        <v>5.6217652494313184E-3</v>
      </c>
      <c r="U30" s="26">
        <f t="shared" si="14"/>
        <v>8.7125136886769594E-2</v>
      </c>
      <c r="V30" s="26">
        <f t="shared" si="14"/>
        <v>7.754137182922495E-2</v>
      </c>
      <c r="W30" s="26">
        <f t="shared" si="14"/>
        <v>499.63624687357566</v>
      </c>
      <c r="X30" s="26">
        <f t="shared" si="14"/>
        <v>3.1919798933089022E-2</v>
      </c>
      <c r="Y30" s="26">
        <f t="shared" si="14"/>
        <v>0.24732717320445963</v>
      </c>
    </row>
    <row r="31" spans="1:25">
      <c r="A31" s="17" t="s">
        <v>28</v>
      </c>
      <c r="B31" s="97"/>
      <c r="C31" s="22"/>
      <c r="D31" s="22"/>
      <c r="E31" s="23"/>
      <c r="F31" s="23"/>
      <c r="G31" s="23"/>
      <c r="H31" s="23"/>
      <c r="I31" s="23"/>
      <c r="J31" s="24"/>
      <c r="K31" s="25"/>
      <c r="L31" s="23"/>
      <c r="M31" s="23"/>
      <c r="N31" s="88"/>
      <c r="O31" s="88"/>
      <c r="P31" s="88"/>
      <c r="Q31" s="27">
        <f t="shared" ref="Q31:Y31" si="15">SUM(Q27:Q30)</f>
        <v>1.3485189600182066</v>
      </c>
      <c r="R31" s="27">
        <f t="shared" si="15"/>
        <v>4.4830355536509954</v>
      </c>
      <c r="S31" s="27">
        <f t="shared" si="15"/>
        <v>7.2021681568630562</v>
      </c>
      <c r="T31" s="27">
        <f t="shared" si="15"/>
        <v>1.4159961193054486E-2</v>
      </c>
      <c r="U31" s="27">
        <f t="shared" si="15"/>
        <v>0.3653493432359759</v>
      </c>
      <c r="V31" s="27">
        <f t="shared" si="15"/>
        <v>0.32516091548001858</v>
      </c>
      <c r="W31" s="27">
        <f t="shared" si="15"/>
        <v>1224.8943751095997</v>
      </c>
      <c r="X31" s="27">
        <f t="shared" si="15"/>
        <v>0.12850435772973193</v>
      </c>
      <c r="Y31" s="27">
        <f t="shared" si="15"/>
        <v>0.68420597490199042</v>
      </c>
    </row>
    <row r="32" spans="1:25">
      <c r="A32" s="17"/>
      <c r="B32" s="29"/>
      <c r="C32" s="22"/>
      <c r="D32" s="22"/>
      <c r="E32" s="23"/>
      <c r="F32" s="23"/>
      <c r="G32" s="23"/>
      <c r="H32" s="23"/>
      <c r="I32" s="23"/>
      <c r="J32" s="24"/>
      <c r="K32" s="25"/>
      <c r="L32" s="23"/>
      <c r="M32" s="23"/>
      <c r="N32" s="99"/>
      <c r="O32" s="99"/>
      <c r="P32" s="99"/>
      <c r="Q32" s="27"/>
      <c r="R32" s="27"/>
      <c r="S32" s="27"/>
      <c r="T32" s="27"/>
      <c r="U32" s="27"/>
      <c r="V32" s="27"/>
      <c r="W32" s="27"/>
      <c r="X32" s="27"/>
      <c r="Y32" s="27"/>
    </row>
    <row r="33" spans="1:25">
      <c r="A33" s="17" t="s">
        <v>387</v>
      </c>
      <c r="B33" s="549"/>
      <c r="C33" s="18"/>
      <c r="D33" s="22"/>
      <c r="E33" s="19"/>
      <c r="F33" s="19"/>
      <c r="G33" s="19"/>
      <c r="H33" s="19"/>
      <c r="I33" s="19"/>
      <c r="J33" s="19"/>
      <c r="K33" s="19"/>
      <c r="L33" s="19"/>
      <c r="M33" s="19"/>
      <c r="N33" s="30"/>
      <c r="O33" s="30"/>
      <c r="P33" s="364"/>
      <c r="Q33" s="20">
        <f>Q11+Q17+Q24+Q31</f>
        <v>5.5392275002130678</v>
      </c>
      <c r="R33" s="20">
        <f t="shared" ref="R33:Y33" si="16">R11+R17+R24+R31</f>
        <v>20.100262905139299</v>
      </c>
      <c r="S33" s="20">
        <f t="shared" si="16"/>
        <v>32.341143482659028</v>
      </c>
      <c r="T33" s="20">
        <f t="shared" si="16"/>
        <v>6.49265157597603E-2</v>
      </c>
      <c r="U33" s="20">
        <f t="shared" si="16"/>
        <v>1.5707851672260857</v>
      </c>
      <c r="V33" s="20">
        <f t="shared" si="16"/>
        <v>1.3979987988312164</v>
      </c>
      <c r="W33" s="20">
        <f t="shared" si="16"/>
        <v>5638.6172226031813</v>
      </c>
      <c r="X33" s="20">
        <f t="shared" si="16"/>
        <v>0.53504352416969658</v>
      </c>
      <c r="Y33" s="20">
        <f t="shared" si="16"/>
        <v>3.0724086308526077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92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42578125" style="36" bestFit="1" customWidth="1"/>
    <col min="4" max="4" width="10.85546875" style="36" customWidth="1"/>
    <col min="5" max="5" width="10.42578125" style="36" bestFit="1" customWidth="1"/>
    <col min="6" max="6" width="9.5703125" style="36" bestFit="1" customWidth="1"/>
    <col min="7" max="7" width="12" style="36" bestFit="1" customWidth="1"/>
    <col min="8" max="8" width="9.5703125" style="36" bestFit="1" customWidth="1"/>
    <col min="9" max="9" width="11.85546875" style="36" bestFit="1" customWidth="1"/>
    <col min="10" max="11" width="9.5703125" style="36" bestFit="1" customWidth="1"/>
    <col min="12" max="13" width="11.85546875" style="36" bestFit="1" customWidth="1"/>
    <col min="14" max="14" width="9.5703125" style="36" bestFit="1" customWidth="1"/>
    <col min="15" max="16" width="10.85546875" style="36" bestFit="1" customWidth="1"/>
    <col min="17" max="17" width="9.5703125" style="36" bestFit="1" customWidth="1"/>
    <col min="18" max="18" width="12.85546875" style="36" bestFit="1" customWidth="1"/>
    <col min="19" max="30" width="9.5703125" style="36" bestFit="1" customWidth="1"/>
    <col min="31" max="16384" width="9.140625" style="36"/>
  </cols>
  <sheetData>
    <row r="1" spans="1:30">
      <c r="A1" s="3" t="s">
        <v>583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C9*(F9)*$B$253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C10*(F10)*$B$253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 ht="25.5">
      <c r="A13" s="114" t="s">
        <v>315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326</v>
      </c>
      <c r="B14" s="76" t="s">
        <v>95</v>
      </c>
      <c r="C14" s="79">
        <v>3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9.9891275533645019E-2</v>
      </c>
      <c r="U14" s="50">
        <f>C14*($F14*$H14)/453.59</f>
        <v>0.18440937782971867</v>
      </c>
      <c r="V14" s="50">
        <f>C14*(($F14*$I14))/453.59</f>
        <v>2.253067276294635E-2</v>
      </c>
      <c r="W14" s="50">
        <f>C14*($F14*$J14)/453.59</f>
        <v>1.3898613406074772E-3</v>
      </c>
      <c r="X14" s="50">
        <f>C14*(($F14*($K14+$L14+$M14)))/453.59</f>
        <v>3.6369464870151122E-2</v>
      </c>
      <c r="Y14" s="50">
        <f>C14*(($F14*($N14+$O14+$P14)))/453.59</f>
        <v>2.4166098982977401E-2</v>
      </c>
      <c r="Z14" s="50">
        <f>C14*(F14)*$B$253</f>
        <v>0</v>
      </c>
      <c r="AA14" s="50">
        <f>Z14*0.21</f>
        <v>0</v>
      </c>
      <c r="AB14" s="50">
        <f>C14*(($F14*($Q14)))/453.59</f>
        <v>96.814105590256631</v>
      </c>
      <c r="AC14" s="50">
        <f>C14*(($F14*($R14)))/453.59</f>
        <v>5.5322484357440338E-3</v>
      </c>
      <c r="AD14" s="50">
        <f>C14*(($F14*($S14)))/453.59</f>
        <v>2.4799901288000137E-3</v>
      </c>
    </row>
    <row r="15" spans="1:30">
      <c r="A15" s="78" t="s">
        <v>327</v>
      </c>
      <c r="B15" s="76" t="s">
        <v>105</v>
      </c>
      <c r="C15" s="374">
        <v>1</v>
      </c>
      <c r="D15" s="77"/>
      <c r="E15" s="77">
        <v>35</v>
      </c>
      <c r="F15" s="77">
        <v>80</v>
      </c>
      <c r="G15" s="106">
        <v>1.08263976628415</v>
      </c>
      <c r="H15" s="106">
        <v>4.9712718909585103</v>
      </c>
      <c r="I15" s="106">
        <v>0.26248012575016899</v>
      </c>
      <c r="J15" s="106">
        <v>1.0711818E-2</v>
      </c>
      <c r="K15" s="106">
        <v>7.1679901072141505E-2</v>
      </c>
      <c r="L15" s="576">
        <v>3.59998119015979E-2</v>
      </c>
      <c r="M15" s="576">
        <v>6.1739677411240299E-2</v>
      </c>
      <c r="N15" s="106">
        <v>6.5945508986370194E-2</v>
      </c>
      <c r="O15" s="576">
        <v>2.9999843251331498E-3</v>
      </c>
      <c r="P15" s="576">
        <v>5.5859708133979398E-2</v>
      </c>
      <c r="Q15" s="106">
        <v>1710.7260798814</v>
      </c>
      <c r="R15" s="47">
        <v>1.5235246282551899E-2</v>
      </c>
      <c r="S15" s="80">
        <f>0.000025616*Q15</f>
        <v>4.3821959262241944E-2</v>
      </c>
      <c r="T15" s="50">
        <f>C15*($F15*$G15)/453.59</f>
        <v>0.19094596728925242</v>
      </c>
      <c r="U15" s="50">
        <f>C15*($F15*$H15)/453.59</f>
        <v>0.87678685878586582</v>
      </c>
      <c r="V15" s="50">
        <f>C15*(($F15*$I15))/453.59</f>
        <v>4.6293811724274173E-2</v>
      </c>
      <c r="W15" s="50">
        <f>C15*($F15*$J15)/453.59</f>
        <v>1.8892511739676801E-3</v>
      </c>
      <c r="X15" s="50">
        <f>C15*(($F15*($K15+$L15+$M15)))/453.59</f>
        <v>2.9880621774726907E-2</v>
      </c>
      <c r="Y15" s="50">
        <f>C15*(($F15*($N15+$O15+$P15)))/453.59</f>
        <v>2.2011984646131133E-2</v>
      </c>
      <c r="Z15" s="50">
        <f>C15*(F15)*$B$253</f>
        <v>0</v>
      </c>
      <c r="AA15" s="50">
        <f>Z15*0.21</f>
        <v>0</v>
      </c>
      <c r="AB15" s="50">
        <f>C15*(($F15*($Q15)))/453.59</f>
        <v>301.72200972356535</v>
      </c>
      <c r="AC15" s="50">
        <f>C15*(($F15*($R15)))/453.59</f>
        <v>2.6870515280410772E-3</v>
      </c>
      <c r="AD15" s="50">
        <f>C15*(($F15*($S15)))/453.59</f>
        <v>7.7289110010788503E-3</v>
      </c>
    </row>
    <row r="16" spans="1:30">
      <c r="A16" s="75" t="s">
        <v>28</v>
      </c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>
        <f t="shared" ref="T16:AD16" si="1">SUM(T14:T15)</f>
        <v>0.29083724282289747</v>
      </c>
      <c r="U16" s="81">
        <f t="shared" si="1"/>
        <v>1.0611962366155845</v>
      </c>
      <c r="V16" s="81">
        <f t="shared" si="1"/>
        <v>6.8824484487220519E-2</v>
      </c>
      <c r="W16" s="81">
        <f t="shared" si="1"/>
        <v>3.2791125145751575E-3</v>
      </c>
      <c r="X16" s="81">
        <f t="shared" si="1"/>
        <v>6.6250086644878026E-2</v>
      </c>
      <c r="Y16" s="81">
        <f t="shared" si="1"/>
        <v>4.6178083629108538E-2</v>
      </c>
      <c r="Z16" s="81">
        <f t="shared" si="1"/>
        <v>0</v>
      </c>
      <c r="AA16" s="81">
        <f t="shared" si="1"/>
        <v>0</v>
      </c>
      <c r="AB16" s="81">
        <f t="shared" si="1"/>
        <v>398.53611531382199</v>
      </c>
      <c r="AC16" s="81">
        <f t="shared" si="1"/>
        <v>8.2192999637851101E-3</v>
      </c>
      <c r="AD16" s="81">
        <f t="shared" si="1"/>
        <v>1.0208901129878864E-2</v>
      </c>
    </row>
    <row r="17" spans="1:30">
      <c r="A17" s="75"/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</row>
    <row r="18" spans="1:30">
      <c r="A18" s="114" t="s">
        <v>333</v>
      </c>
      <c r="B18" s="74"/>
      <c r="C18" s="112"/>
      <c r="D18" s="112"/>
      <c r="E18" s="74"/>
      <c r="F18" s="74"/>
      <c r="G18" s="577"/>
      <c r="H18" s="41"/>
      <c r="I18" s="41"/>
      <c r="J18" s="41"/>
      <c r="K18" s="574"/>
      <c r="L18" s="574"/>
      <c r="M18" s="574"/>
      <c r="N18" s="574"/>
      <c r="O18" s="574"/>
      <c r="P18" s="574"/>
      <c r="Q18" s="41"/>
      <c r="R18" s="574"/>
      <c r="S18" s="574"/>
      <c r="T18" s="61"/>
      <c r="U18" s="61"/>
      <c r="V18" s="61"/>
      <c r="W18" s="61"/>
      <c r="X18" s="61"/>
      <c r="Y18" s="61"/>
      <c r="Z18" s="62"/>
      <c r="AA18" s="62"/>
      <c r="AB18" s="62"/>
      <c r="AC18" s="62"/>
      <c r="AD18" s="62"/>
    </row>
    <row r="19" spans="1:30">
      <c r="A19" s="78" t="s">
        <v>320</v>
      </c>
      <c r="B19" s="76" t="s">
        <v>95</v>
      </c>
      <c r="C19" s="79">
        <v>6</v>
      </c>
      <c r="D19" s="77"/>
      <c r="E19" s="77">
        <v>35</v>
      </c>
      <c r="F19" s="77">
        <v>60</v>
      </c>
      <c r="G19" s="106">
        <v>0.25172046482947802</v>
      </c>
      <c r="H19" s="106">
        <v>0.464701387165456</v>
      </c>
      <c r="I19" s="106">
        <v>5.6776043658582402E-2</v>
      </c>
      <c r="J19" s="106">
        <v>3.5023733638119199E-3</v>
      </c>
      <c r="K19" s="106">
        <v>4.6899256897933901E-2</v>
      </c>
      <c r="L19" s="47">
        <v>7.99995847163921E-3</v>
      </c>
      <c r="M19" s="47">
        <v>3.6749815577381599E-2</v>
      </c>
      <c r="N19" s="106">
        <v>4.3147317248333997E-2</v>
      </c>
      <c r="O19" s="47">
        <v>1.9999896145790402E-3</v>
      </c>
      <c r="P19" s="47">
        <v>1.57499200131354E-2</v>
      </c>
      <c r="Q19" s="106">
        <v>243.966167526025</v>
      </c>
      <c r="R19" s="47">
        <f>0.000057143*Q19</f>
        <v>1.3940958710939646E-2</v>
      </c>
      <c r="S19" s="80">
        <f>0.000025616*Q19</f>
        <v>6.2494373473466567E-3</v>
      </c>
      <c r="T19" s="50">
        <f>C19*($F19*$G19)/453.59</f>
        <v>0.19978255106729004</v>
      </c>
      <c r="U19" s="50">
        <f>C19*($F19*$H19)/453.59</f>
        <v>0.36881875565943734</v>
      </c>
      <c r="V19" s="50">
        <f>C19*(($F19*$I19))/453.59</f>
        <v>4.50613455258927E-2</v>
      </c>
      <c r="W19" s="50">
        <f>C19*($F19*$J19)/453.59</f>
        <v>2.7797226812149543E-3</v>
      </c>
      <c r="X19" s="50">
        <f>C19*(($F19*($K19+$L19+$M19)))/453.59</f>
        <v>7.2738929740302244E-2</v>
      </c>
      <c r="Y19" s="50">
        <f>C19*(($F19*($N19+$O19+$P19)))/453.59</f>
        <v>4.8332197965954803E-2</v>
      </c>
      <c r="Z19" s="50">
        <f>C19*(F19)*$B$384</f>
        <v>0</v>
      </c>
      <c r="AA19" s="50">
        <f>Z19*0.21</f>
        <v>0</v>
      </c>
      <c r="AB19" s="50">
        <f>C19*(($F19*($Q19)))/453.59</f>
        <v>193.62821118051326</v>
      </c>
      <c r="AC19" s="50">
        <f>C19*(($F19*($R19)))/453.59</f>
        <v>1.1064496871488068E-2</v>
      </c>
      <c r="AD19" s="50">
        <f>C19*(($F19*($S19)))/453.59</f>
        <v>4.9599802576000274E-3</v>
      </c>
    </row>
    <row r="20" spans="1:30">
      <c r="A20" s="75" t="s">
        <v>28</v>
      </c>
      <c r="B20" s="74"/>
      <c r="C20" s="112"/>
      <c r="D20" s="112"/>
      <c r="E20" s="74"/>
      <c r="F20" s="74"/>
      <c r="G20" s="577"/>
      <c r="H20" s="41"/>
      <c r="I20" s="41"/>
      <c r="J20" s="41"/>
      <c r="K20" s="574"/>
      <c r="L20" s="574"/>
      <c r="M20" s="574"/>
      <c r="N20" s="574"/>
      <c r="O20" s="574"/>
      <c r="P20" s="574"/>
      <c r="Q20" s="41"/>
      <c r="R20" s="574"/>
      <c r="S20" s="574"/>
      <c r="T20" s="81">
        <f t="shared" ref="T20:AD20" si="2">SUM(T19:T19)</f>
        <v>0.19978255106729004</v>
      </c>
      <c r="U20" s="81">
        <f t="shared" si="2"/>
        <v>0.36881875565943734</v>
      </c>
      <c r="V20" s="81">
        <f t="shared" si="2"/>
        <v>4.50613455258927E-2</v>
      </c>
      <c r="W20" s="81">
        <f t="shared" si="2"/>
        <v>2.7797226812149543E-3</v>
      </c>
      <c r="X20" s="81">
        <f t="shared" si="2"/>
        <v>7.2738929740302244E-2</v>
      </c>
      <c r="Y20" s="81">
        <f t="shared" si="2"/>
        <v>4.8332197965954803E-2</v>
      </c>
      <c r="Z20" s="81">
        <f t="shared" si="2"/>
        <v>0</v>
      </c>
      <c r="AA20" s="81">
        <f t="shared" si="2"/>
        <v>0</v>
      </c>
      <c r="AB20" s="81">
        <f t="shared" si="2"/>
        <v>193.62821118051326</v>
      </c>
      <c r="AC20" s="81">
        <f t="shared" si="2"/>
        <v>1.1064496871488068E-2</v>
      </c>
      <c r="AD20" s="81">
        <f t="shared" si="2"/>
        <v>4.9599802576000274E-3</v>
      </c>
    </row>
    <row r="21" spans="1:30">
      <c r="A21" s="75"/>
      <c r="B21" s="74"/>
      <c r="C21" s="112"/>
      <c r="D21" s="112"/>
      <c r="E21" s="74"/>
      <c r="F21" s="74"/>
      <c r="G21" s="577"/>
      <c r="H21" s="41"/>
      <c r="I21" s="41"/>
      <c r="J21" s="41"/>
      <c r="K21" s="574"/>
      <c r="L21" s="574"/>
      <c r="M21" s="574"/>
      <c r="N21" s="574"/>
      <c r="O21" s="574"/>
      <c r="P21" s="574"/>
      <c r="Q21" s="41"/>
      <c r="R21" s="574"/>
      <c r="S21" s="574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</row>
    <row r="22" spans="1:30">
      <c r="A22" s="114" t="s">
        <v>334</v>
      </c>
      <c r="B22" s="74"/>
      <c r="C22" s="112"/>
      <c r="D22" s="112"/>
      <c r="E22" s="74"/>
      <c r="F22" s="74"/>
      <c r="G22" s="577"/>
      <c r="H22" s="41"/>
      <c r="I22" s="41"/>
      <c r="J22" s="41"/>
      <c r="K22" s="574"/>
      <c r="L22" s="574"/>
      <c r="M22" s="574"/>
      <c r="N22" s="574"/>
      <c r="O22" s="574"/>
      <c r="P22" s="574"/>
      <c r="Q22" s="41"/>
      <c r="R22" s="574"/>
      <c r="S22" s="574"/>
      <c r="T22" s="61"/>
      <c r="U22" s="61"/>
      <c r="V22" s="61"/>
      <c r="W22" s="61"/>
      <c r="X22" s="61"/>
      <c r="Y22" s="61"/>
      <c r="Z22" s="62"/>
      <c r="AA22" s="62"/>
      <c r="AB22" s="62"/>
      <c r="AC22" s="62"/>
      <c r="AD22" s="62"/>
    </row>
    <row r="23" spans="1:30">
      <c r="A23" s="78" t="s">
        <v>320</v>
      </c>
      <c r="B23" s="76" t="s">
        <v>95</v>
      </c>
      <c r="C23" s="79">
        <v>6</v>
      </c>
      <c r="D23" s="77"/>
      <c r="E23" s="77">
        <v>35</v>
      </c>
      <c r="F23" s="77">
        <v>60</v>
      </c>
      <c r="G23" s="106">
        <v>0.25172046482947802</v>
      </c>
      <c r="H23" s="106">
        <v>0.464701387165456</v>
      </c>
      <c r="I23" s="106">
        <v>5.6776043658582402E-2</v>
      </c>
      <c r="J23" s="106">
        <v>3.5023733638119199E-3</v>
      </c>
      <c r="K23" s="106">
        <v>4.6899256897933901E-2</v>
      </c>
      <c r="L23" s="47">
        <v>7.99995847163921E-3</v>
      </c>
      <c r="M23" s="47">
        <v>3.6749815577381599E-2</v>
      </c>
      <c r="N23" s="106">
        <v>4.3147317248333997E-2</v>
      </c>
      <c r="O23" s="47">
        <v>1.9999896145790402E-3</v>
      </c>
      <c r="P23" s="47">
        <v>1.57499200131354E-2</v>
      </c>
      <c r="Q23" s="106">
        <v>243.966167526025</v>
      </c>
      <c r="R23" s="47">
        <f>0.000057143*Q23</f>
        <v>1.3940958710939646E-2</v>
      </c>
      <c r="S23" s="80">
        <f>0.000025616*Q23</f>
        <v>6.2494373473466567E-3</v>
      </c>
      <c r="T23" s="50">
        <f>C23*($F23*$G23)/453.59</f>
        <v>0.19978255106729004</v>
      </c>
      <c r="U23" s="50">
        <f>C23*($F23*$H23)/453.59</f>
        <v>0.36881875565943734</v>
      </c>
      <c r="V23" s="50">
        <f>C23*(($F23*$I23))/453.59</f>
        <v>4.50613455258927E-2</v>
      </c>
      <c r="W23" s="50">
        <f>C23*($F23*$J23)/453.59</f>
        <v>2.7797226812149543E-3</v>
      </c>
      <c r="X23" s="50">
        <f>C23*(($F23*($K23+$L23+$M23)))/453.59</f>
        <v>7.2738929740302244E-2</v>
      </c>
      <c r="Y23" s="50">
        <f>C23*(($F23*($N23+$O23+$P23)))/453.59</f>
        <v>4.8332197965954803E-2</v>
      </c>
      <c r="Z23" s="50">
        <f>C23*(F23)*$B$355</f>
        <v>0</v>
      </c>
      <c r="AA23" s="50">
        <f>Z23*0.21</f>
        <v>0</v>
      </c>
      <c r="AB23" s="50">
        <f>C23*(($F23*($Q23)))/453.59</f>
        <v>193.62821118051326</v>
      </c>
      <c r="AC23" s="50">
        <f>C23*(($F23*($R23)))/453.59</f>
        <v>1.1064496871488068E-2</v>
      </c>
      <c r="AD23" s="50">
        <f>C23*(($F23*($S23)))/453.59</f>
        <v>4.9599802576000274E-3</v>
      </c>
    </row>
    <row r="24" spans="1:30">
      <c r="A24" s="78" t="s">
        <v>318</v>
      </c>
      <c r="B24" s="76" t="s">
        <v>105</v>
      </c>
      <c r="C24" s="77">
        <v>1</v>
      </c>
      <c r="D24" s="77"/>
      <c r="E24" s="77">
        <v>35</v>
      </c>
      <c r="F24" s="77">
        <v>80</v>
      </c>
      <c r="G24" s="106">
        <v>1.08263976628415</v>
      </c>
      <c r="H24" s="106">
        <v>4.9712718909585103</v>
      </c>
      <c r="I24" s="106">
        <v>0.26248012575016899</v>
      </c>
      <c r="J24" s="106">
        <v>1.0711818E-2</v>
      </c>
      <c r="K24" s="106">
        <v>7.1679901072141505E-2</v>
      </c>
      <c r="L24" s="576">
        <v>3.59998119015979E-2</v>
      </c>
      <c r="M24" s="576">
        <v>6.1739677411240299E-2</v>
      </c>
      <c r="N24" s="106">
        <v>6.5945508986370194E-2</v>
      </c>
      <c r="O24" s="576">
        <v>2.9999843251331498E-3</v>
      </c>
      <c r="P24" s="576">
        <v>5.5859708133979398E-2</v>
      </c>
      <c r="Q24" s="106">
        <v>1710.7260798814</v>
      </c>
      <c r="R24" s="47">
        <v>1.5235246282551899E-2</v>
      </c>
      <c r="S24" s="80">
        <f>0.000025616*Q24</f>
        <v>4.3821959262241944E-2</v>
      </c>
      <c r="T24" s="50">
        <f>C24*($F24*$G24)/453.59</f>
        <v>0.19094596728925242</v>
      </c>
      <c r="U24" s="50">
        <f>C24*($F24*$H24)/453.59</f>
        <v>0.87678685878586582</v>
      </c>
      <c r="V24" s="50">
        <f>C24*(($F24*$I24))/453.59</f>
        <v>4.6293811724274173E-2</v>
      </c>
      <c r="W24" s="50">
        <f>C24*($F24*$J24)/453.59</f>
        <v>1.8892511739676801E-3</v>
      </c>
      <c r="X24" s="50">
        <f>C24*(($F24*($K24+$L24+$M24)))/453.59</f>
        <v>2.9880621774726907E-2</v>
      </c>
      <c r="Y24" s="50">
        <f>C24*(($F24*($N24+$O24+$P24)))/453.59</f>
        <v>2.2011984646131133E-2</v>
      </c>
      <c r="Z24" s="50">
        <f>C24*(F24)*$B$355</f>
        <v>0</v>
      </c>
      <c r="AA24" s="50">
        <f>Z24*0.21</f>
        <v>0</v>
      </c>
      <c r="AB24" s="50">
        <f>C24*(($F24*($Q24)))/453.59</f>
        <v>301.72200972356535</v>
      </c>
      <c r="AC24" s="50">
        <f>C24*(($F24*($R24)))/453.59</f>
        <v>2.6870515280410772E-3</v>
      </c>
      <c r="AD24" s="50">
        <f>C24*(($F24*($S24)))/453.59</f>
        <v>7.7289110010788503E-3</v>
      </c>
    </row>
    <row r="25" spans="1:30">
      <c r="A25" s="78" t="s">
        <v>112</v>
      </c>
      <c r="B25" s="76" t="s">
        <v>105</v>
      </c>
      <c r="C25" s="77">
        <v>33</v>
      </c>
      <c r="D25" s="77"/>
      <c r="E25" s="77">
        <v>35</v>
      </c>
      <c r="F25" s="77">
        <v>80</v>
      </c>
      <c r="G25" s="106">
        <v>1.08263976628415</v>
      </c>
      <c r="H25" s="106">
        <v>4.9712718909585103</v>
      </c>
      <c r="I25" s="106">
        <v>0.26248012575016899</v>
      </c>
      <c r="J25" s="106">
        <v>1.0711818E-2</v>
      </c>
      <c r="K25" s="106">
        <v>7.1679901072141505E-2</v>
      </c>
      <c r="L25" s="576">
        <v>3.59998119015979E-2</v>
      </c>
      <c r="M25" s="576">
        <v>6.1739677411240299E-2</v>
      </c>
      <c r="N25" s="106">
        <v>6.5945508986370194E-2</v>
      </c>
      <c r="O25" s="576">
        <v>2.9999843251331498E-3</v>
      </c>
      <c r="P25" s="576">
        <v>5.5859708133979398E-2</v>
      </c>
      <c r="Q25" s="106">
        <v>1710.7260798814</v>
      </c>
      <c r="R25" s="47">
        <v>1.5235246282551899E-2</v>
      </c>
      <c r="S25" s="80">
        <f>0.000025616*Q25</f>
        <v>4.3821959262241944E-2</v>
      </c>
      <c r="T25" s="50">
        <f>C25*($F25*$G25)/453.59</f>
        <v>6.3012169205453299</v>
      </c>
      <c r="U25" s="50">
        <f>C25*($F25*$H25)/453.59</f>
        <v>28.933966339933573</v>
      </c>
      <c r="V25" s="50">
        <f>C25*(($F25*$I25))/453.59</f>
        <v>1.5276957869010475</v>
      </c>
      <c r="W25" s="50">
        <f>C25*($F25*$J25)/453.59</f>
        <v>6.2345288740933445E-2</v>
      </c>
      <c r="X25" s="50">
        <f>C25*(($F25*($K25+$L25+$M25)))/453.59</f>
        <v>0.98606051856598786</v>
      </c>
      <c r="Y25" s="50">
        <f>C25*(($F25*($N25+$O25+$P25)))/453.59</f>
        <v>0.72639549332232733</v>
      </c>
      <c r="Z25" s="50">
        <f>C25*(F25)*$B$355</f>
        <v>0</v>
      </c>
      <c r="AA25" s="50">
        <f>Z25*0.21</f>
        <v>0</v>
      </c>
      <c r="AB25" s="50">
        <f>C25*(($F25*($Q25)))/453.59</f>
        <v>9956.8263208776571</v>
      </c>
      <c r="AC25" s="50">
        <f>C25*(($F25*($R25)))/453.59</f>
        <v>8.8672700425355536E-2</v>
      </c>
      <c r="AD25" s="50">
        <f>C25*(($F25*($S25)))/453.59</f>
        <v>0.25505406303560207</v>
      </c>
    </row>
    <row r="26" spans="1:30">
      <c r="A26" s="75" t="s">
        <v>28</v>
      </c>
      <c r="B26" s="74"/>
      <c r="C26" s="112"/>
      <c r="D26" s="112"/>
      <c r="E26" s="74"/>
      <c r="F26" s="74"/>
      <c r="G26" s="577"/>
      <c r="H26" s="41"/>
      <c r="I26" s="41"/>
      <c r="J26" s="41"/>
      <c r="K26" s="574"/>
      <c r="L26" s="574"/>
      <c r="M26" s="574"/>
      <c r="N26" s="574"/>
      <c r="O26" s="574"/>
      <c r="P26" s="574"/>
      <c r="Q26" s="41"/>
      <c r="R26" s="574"/>
      <c r="S26" s="574"/>
      <c r="T26" s="81">
        <f>SUM(T23:T25)</f>
        <v>6.6919454389018727</v>
      </c>
      <c r="U26" s="81">
        <f t="shared" ref="U26:AD26" si="3">SUM(U23:U25)</f>
        <v>30.179571954378876</v>
      </c>
      <c r="V26" s="81">
        <f t="shared" si="3"/>
        <v>1.6190509441512144</v>
      </c>
      <c r="W26" s="81">
        <f t="shared" si="3"/>
        <v>6.7014262596116078E-2</v>
      </c>
      <c r="X26" s="81">
        <f t="shared" si="3"/>
        <v>1.0886800700810171</v>
      </c>
      <c r="Y26" s="81">
        <f t="shared" si="3"/>
        <v>0.79673967593441331</v>
      </c>
      <c r="Z26" s="81">
        <f t="shared" si="3"/>
        <v>0</v>
      </c>
      <c r="AA26" s="81">
        <f t="shared" si="3"/>
        <v>0</v>
      </c>
      <c r="AB26" s="81">
        <f t="shared" si="3"/>
        <v>10452.176541781735</v>
      </c>
      <c r="AC26" s="81">
        <f t="shared" si="3"/>
        <v>0.10242424882488468</v>
      </c>
      <c r="AD26" s="81">
        <f t="shared" si="3"/>
        <v>0.26774295429428097</v>
      </c>
    </row>
    <row r="27" spans="1:30">
      <c r="A27" s="75"/>
      <c r="B27" s="74"/>
      <c r="C27" s="112"/>
      <c r="D27" s="112"/>
      <c r="E27" s="74"/>
      <c r="F27" s="74"/>
      <c r="G27" s="577"/>
      <c r="H27" s="41"/>
      <c r="I27" s="41"/>
      <c r="J27" s="41"/>
      <c r="K27" s="574"/>
      <c r="L27" s="574"/>
      <c r="M27" s="574"/>
      <c r="N27" s="574"/>
      <c r="O27" s="574"/>
      <c r="P27" s="574"/>
      <c r="Q27" s="41"/>
      <c r="R27" s="574"/>
      <c r="S27" s="574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</row>
    <row r="28" spans="1:30">
      <c r="A28" s="75" t="s">
        <v>388</v>
      </c>
      <c r="B28" s="74"/>
      <c r="C28" s="112"/>
      <c r="D28" s="112"/>
      <c r="E28" s="74"/>
      <c r="F28" s="74"/>
      <c r="G28" s="547"/>
      <c r="H28" s="41"/>
      <c r="I28" s="41"/>
      <c r="J28" s="41"/>
      <c r="K28" s="544"/>
      <c r="L28" s="544"/>
      <c r="M28" s="544"/>
      <c r="N28" s="544"/>
      <c r="O28" s="544"/>
      <c r="P28" s="544"/>
      <c r="Q28" s="41"/>
      <c r="R28" s="544"/>
      <c r="S28" s="544"/>
      <c r="T28" s="81">
        <f>T11+T16+T20+T26</f>
        <v>7.4734024756149573</v>
      </c>
      <c r="U28" s="81">
        <f t="shared" ref="U28:AD28" si="4">U11+U16+U20+U26</f>
        <v>32.670783183269485</v>
      </c>
      <c r="V28" s="81">
        <f t="shared" si="4"/>
        <v>1.8017612586515481</v>
      </c>
      <c r="W28" s="81">
        <f t="shared" si="4"/>
        <v>7.6352210306481344E-2</v>
      </c>
      <c r="X28" s="81">
        <f t="shared" si="4"/>
        <v>1.2939191731110753</v>
      </c>
      <c r="Y28" s="81">
        <f t="shared" si="4"/>
        <v>0.93742804115858513</v>
      </c>
      <c r="Z28" s="81">
        <f t="shared" si="4"/>
        <v>0</v>
      </c>
      <c r="AA28" s="81">
        <f t="shared" si="4"/>
        <v>0</v>
      </c>
      <c r="AB28" s="81">
        <f t="shared" si="4"/>
        <v>11442.876983589893</v>
      </c>
      <c r="AC28" s="81">
        <f t="shared" si="4"/>
        <v>0.12992734562394298</v>
      </c>
      <c r="AD28" s="81">
        <f t="shared" si="4"/>
        <v>0.29312073681163875</v>
      </c>
    </row>
    <row r="29" spans="1:30">
      <c r="A29" s="370"/>
      <c r="B29" s="371"/>
      <c r="C29" s="372"/>
      <c r="D29" s="372"/>
      <c r="E29" s="371"/>
      <c r="F29" s="371"/>
      <c r="G29" s="373"/>
      <c r="H29" s="373"/>
      <c r="I29" s="373"/>
      <c r="J29" s="373"/>
      <c r="K29" s="373"/>
      <c r="L29" s="373"/>
      <c r="M29" s="373"/>
      <c r="N29" s="373"/>
      <c r="O29" s="373"/>
      <c r="P29" s="373"/>
      <c r="Q29" s="373"/>
      <c r="R29" s="373"/>
      <c r="S29" s="373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</row>
    <row r="30" spans="1:30">
      <c r="A30" s="370"/>
      <c r="B30" s="371"/>
      <c r="C30" s="372"/>
      <c r="D30" s="372"/>
      <c r="E30" s="371"/>
      <c r="F30" s="371"/>
      <c r="G30" s="373"/>
      <c r="H30" s="373"/>
      <c r="I30" s="373"/>
      <c r="J30" s="373"/>
      <c r="K30" s="373"/>
      <c r="L30" s="373"/>
      <c r="M30" s="373"/>
      <c r="N30" s="373"/>
      <c r="O30" s="373"/>
      <c r="P30" s="373"/>
      <c r="Q30" s="373"/>
      <c r="R30" s="373"/>
      <c r="S30" s="373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</row>
    <row r="31" spans="1:30">
      <c r="A31" s="370"/>
      <c r="B31" s="371"/>
      <c r="C31" s="372"/>
      <c r="D31" s="372"/>
      <c r="E31" s="371"/>
      <c r="F31" s="371"/>
      <c r="G31" s="373"/>
      <c r="H31" s="373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</row>
    <row r="32" spans="1:30">
      <c r="A32" s="370"/>
      <c r="B32" s="371"/>
      <c r="C32" s="372"/>
      <c r="D32" s="372"/>
      <c r="E32" s="371"/>
      <c r="F32" s="371"/>
      <c r="G32" s="373"/>
      <c r="H32" s="373"/>
      <c r="I32" s="373"/>
      <c r="J32" s="373"/>
      <c r="K32" s="373"/>
      <c r="L32" s="373"/>
      <c r="M32" s="373"/>
      <c r="N32" s="373"/>
      <c r="O32" s="373"/>
      <c r="P32" s="373"/>
      <c r="Q32" s="373"/>
      <c r="R32" s="373"/>
      <c r="S32" s="373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</row>
    <row r="380" spans="1:1" ht="25.5">
      <c r="A380" s="82" t="s">
        <v>109</v>
      </c>
    </row>
    <row r="382" spans="1:1">
      <c r="A382" s="36" t="s">
        <v>81</v>
      </c>
    </row>
    <row r="383" spans="1:1">
      <c r="A383" s="36" t="s">
        <v>82</v>
      </c>
    </row>
    <row r="384" spans="1:1">
      <c r="A384" s="36" t="s">
        <v>83</v>
      </c>
    </row>
    <row r="385" spans="1:2">
      <c r="A385" s="37" t="s">
        <v>96</v>
      </c>
    </row>
    <row r="386" spans="1:2">
      <c r="A386" s="36" t="s">
        <v>85</v>
      </c>
    </row>
    <row r="387" spans="1:2">
      <c r="A387" s="36" t="s">
        <v>86</v>
      </c>
    </row>
    <row r="388" spans="1:2">
      <c r="A388" s="36" t="s">
        <v>87</v>
      </c>
    </row>
    <row r="389" spans="1:2">
      <c r="A389" s="36" t="s">
        <v>0</v>
      </c>
    </row>
    <row r="390" spans="1:2">
      <c r="A390" s="37" t="s">
        <v>97</v>
      </c>
      <c r="B390" s="36">
        <f>(0.016*(0.03/2)^0.65*(2/3)^1.5)-0.00047</f>
        <v>9.8123053326417428E-5</v>
      </c>
    </row>
    <row r="391" spans="1:2">
      <c r="A391" s="37" t="s">
        <v>98</v>
      </c>
      <c r="B391" s="36">
        <f>(0.016*(0.03/2)^0.65*(13/3)^1.5)-0.00047</f>
        <v>8.9448292388582783E-3</v>
      </c>
    </row>
    <row r="392" spans="1:2">
      <c r="A392" s="37" t="s">
        <v>99</v>
      </c>
      <c r="B392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5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584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346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7" si="0">0.000049261*AA4</f>
        <v>2.2095931710230707E-2</v>
      </c>
      <c r="AD4" s="49">
        <v>3.2599999999999997E-2</v>
      </c>
      <c r="AE4" s="47">
        <f t="shared" ref="AE4:AE7" si="1">0.000021675*AA4</f>
        <v>9.7222817202097123E-3</v>
      </c>
    </row>
    <row r="5" spans="1:67" ht="25.5">
      <c r="A5" s="44" t="s">
        <v>328</v>
      </c>
      <c r="B5" s="45" t="s">
        <v>102</v>
      </c>
      <c r="C5" s="46">
        <v>3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333</v>
      </c>
      <c r="B6" s="45" t="s">
        <v>102</v>
      </c>
      <c r="C6" s="46">
        <v>12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ref="AC6" si="2">0.000049261*AA6</f>
        <v>2.2095931710230707E-2</v>
      </c>
      <c r="AD6" s="49">
        <v>3.2599999999999997E-2</v>
      </c>
      <c r="AE6" s="47">
        <f t="shared" ref="AE6" si="3">0.000021675*AA6</f>
        <v>9.7222817202097123E-3</v>
      </c>
    </row>
    <row r="7" spans="1:67" ht="25.5">
      <c r="A7" s="44" t="s">
        <v>516</v>
      </c>
      <c r="B7" s="45" t="s">
        <v>102</v>
      </c>
      <c r="C7" s="46">
        <v>10</v>
      </c>
      <c r="D7" s="46">
        <v>35</v>
      </c>
      <c r="E7" s="46">
        <v>80</v>
      </c>
      <c r="F7" s="47">
        <v>2.3611622044318601</v>
      </c>
      <c r="G7" s="48">
        <v>31.4244798871777</v>
      </c>
      <c r="H7" s="48">
        <v>0.22493614397154399</v>
      </c>
      <c r="I7" s="48">
        <v>1.8136819244333999</v>
      </c>
      <c r="J7" s="47">
        <v>5.7965153248686403E-2</v>
      </c>
      <c r="K7" s="48">
        <v>2.3946366793705498</v>
      </c>
      <c r="L7" s="48">
        <v>1.62197187247403</v>
      </c>
      <c r="M7" s="48">
        <v>0.70709499821369304</v>
      </c>
      <c r="N7" s="48">
        <v>0.16038404042738499</v>
      </c>
      <c r="O7" s="48">
        <v>0.71464703099800198</v>
      </c>
      <c r="P7" s="48">
        <v>4.0478385316323803E-3</v>
      </c>
      <c r="Q7" s="48">
        <v>5.8407810191933099E-3</v>
      </c>
      <c r="R7" s="47">
        <v>3.2157701660956101E-3</v>
      </c>
      <c r="S7" s="48">
        <v>2.9198634356063399E-2</v>
      </c>
      <c r="T7" s="48">
        <v>7.9999583995993707E-3</v>
      </c>
      <c r="U7" s="48">
        <v>3.6749815874576097E-2</v>
      </c>
      <c r="V7" s="48">
        <v>2.9606446234606999E-3</v>
      </c>
      <c r="W7" s="48">
        <v>2.6884174180557701E-2</v>
      </c>
      <c r="X7" s="48">
        <v>1.9999896010969099E-3</v>
      </c>
      <c r="Y7" s="48">
        <v>1.57499197860352E-2</v>
      </c>
      <c r="Z7" s="48">
        <v>308.63789988642998</v>
      </c>
      <c r="AA7" s="48">
        <v>448.54817624958298</v>
      </c>
      <c r="AB7" s="47">
        <v>1.77E-2</v>
      </c>
      <c r="AC7" s="47">
        <f t="shared" si="0"/>
        <v>2.2095931710230707E-2</v>
      </c>
      <c r="AD7" s="49">
        <v>3.2599999999999997E-2</v>
      </c>
      <c r="AE7" s="47">
        <f t="shared" si="1"/>
        <v>9.7222817202097123E-3</v>
      </c>
    </row>
    <row r="8" spans="1:67">
      <c r="A8" s="52"/>
      <c r="B8" s="52"/>
      <c r="C8" s="53"/>
      <c r="D8" s="54"/>
      <c r="E8" s="54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</row>
    <row r="9" spans="1:67" ht="25.5">
      <c r="A9" s="55" t="s">
        <v>504</v>
      </c>
      <c r="B9" s="37"/>
      <c r="C9" s="37"/>
    </row>
    <row r="10" spans="1:67">
      <c r="A10" s="55" t="s">
        <v>77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84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</row>
    <row r="11" spans="1:67">
      <c r="A11" s="55" t="s">
        <v>78</v>
      </c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t="38.25" hidden="1">
      <c r="A12" s="55" t="s">
        <v>79</v>
      </c>
      <c r="B12" s="37"/>
      <c r="C12" s="37"/>
      <c r="AA12" s="57"/>
      <c r="AB12" s="58" t="s">
        <v>80</v>
      </c>
      <c r="AC12" s="57"/>
      <c r="AD12" s="57"/>
      <c r="AE12" s="57"/>
      <c r="AF12" s="57" t="e">
        <f>#REF!/60</f>
        <v>#REF!</v>
      </c>
      <c r="AG12" s="57" t="e">
        <f>#REF!/60</f>
        <v>#REF!</v>
      </c>
      <c r="AH12" s="57" t="e">
        <f>#REF!/60</f>
        <v>#REF!</v>
      </c>
      <c r="AI12" s="57" t="e">
        <f>#REF!/60</f>
        <v>#REF!</v>
      </c>
      <c r="AJ12" s="57" t="e">
        <f>#REF!/60</f>
        <v>#REF!</v>
      </c>
      <c r="AK12" s="57" t="e">
        <f>#REF!/60</f>
        <v>#REF!</v>
      </c>
      <c r="AL12" s="57" t="e">
        <f>#REF!/60</f>
        <v>#REF!</v>
      </c>
      <c r="AM12" s="57" t="e">
        <f>#REF!/60</f>
        <v>#REF!</v>
      </c>
      <c r="AN12" s="57" t="e">
        <f>#REF!/60</f>
        <v>#REF!</v>
      </c>
      <c r="AO12" s="57" t="e">
        <f>#REF!/60</f>
        <v>#REF!</v>
      </c>
      <c r="AP12" s="57"/>
      <c r="AQ12" s="57"/>
      <c r="AR12" s="57" t="e">
        <f>#REF!/60</f>
        <v>#REF!</v>
      </c>
      <c r="AS12" s="57" t="e">
        <f>#REF!/60</f>
        <v>#REF!</v>
      </c>
      <c r="AT12" s="57" t="e">
        <f>#REF!/60</f>
        <v>#REF!</v>
      </c>
      <c r="AU12" s="57" t="e">
        <f>#REF!/60</f>
        <v>#REF!</v>
      </c>
      <c r="AV12" s="57" t="e">
        <f>#REF!/60</f>
        <v>#REF!</v>
      </c>
      <c r="AW12" s="57" t="e">
        <f>#REF!/60</f>
        <v>#REF!</v>
      </c>
      <c r="AX12" s="57" t="e">
        <f>#REF!/60</f>
        <v>#REF!</v>
      </c>
      <c r="AY12" s="57" t="e">
        <f>#REF!/60</f>
        <v>#REF!</v>
      </c>
      <c r="AZ12" s="57" t="e">
        <f>#REF!/60</f>
        <v>#REF!</v>
      </c>
      <c r="BA12" s="57" t="e">
        <f>#REF!/60</f>
        <v>#REF!</v>
      </c>
    </row>
    <row r="13" spans="1:67" hidden="1">
      <c r="A13" s="55"/>
      <c r="B13" s="37"/>
      <c r="C13" s="3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9"/>
      <c r="AS13" s="59"/>
      <c r="AT13" s="59"/>
      <c r="AU13" s="59"/>
      <c r="AV13" s="59"/>
      <c r="AW13" s="59"/>
      <c r="AX13" s="59"/>
      <c r="AY13" s="59"/>
      <c r="AZ13" s="60"/>
      <c r="BA13" s="59"/>
    </row>
    <row r="14" spans="1:67" hidden="1">
      <c r="A14" s="37"/>
      <c r="B14" s="37"/>
      <c r="C14" s="37"/>
      <c r="AF14" s="596" t="s">
        <v>64</v>
      </c>
      <c r="AG14" s="596"/>
      <c r="AH14" s="596"/>
      <c r="AI14" s="596"/>
      <c r="AJ14" s="596"/>
      <c r="AK14" s="597"/>
      <c r="AL14" s="597"/>
      <c r="AM14" s="597"/>
      <c r="AN14" s="597"/>
      <c r="AO14" s="597"/>
      <c r="AP14" s="546"/>
      <c r="AQ14" s="56"/>
      <c r="AR14" s="596" t="s">
        <v>65</v>
      </c>
      <c r="AS14" s="596"/>
      <c r="AT14" s="596"/>
      <c r="AU14" s="596"/>
      <c r="AV14" s="596"/>
      <c r="AW14" s="597"/>
      <c r="AX14" s="597"/>
      <c r="AY14" s="597"/>
      <c r="AZ14" s="597"/>
      <c r="BA14" s="597"/>
    </row>
    <row r="15" spans="1:67" ht="63.75" hidden="1">
      <c r="A15" s="37"/>
      <c r="B15" s="37"/>
      <c r="C15" s="37"/>
      <c r="AF15" s="61" t="s">
        <v>55</v>
      </c>
      <c r="AG15" s="61" t="s">
        <v>73</v>
      </c>
      <c r="AH15" s="61" t="s">
        <v>74</v>
      </c>
      <c r="AI15" s="61" t="s">
        <v>58</v>
      </c>
      <c r="AJ15" s="61" t="s">
        <v>59</v>
      </c>
      <c r="AK15" s="61" t="s">
        <v>60</v>
      </c>
      <c r="AL15" s="62" t="s">
        <v>75</v>
      </c>
      <c r="AM15" s="62" t="s">
        <v>76</v>
      </c>
      <c r="AN15" s="62" t="s">
        <v>61</v>
      </c>
      <c r="AO15" s="62" t="s">
        <v>62</v>
      </c>
      <c r="AP15" s="62"/>
      <c r="AQ15" s="43"/>
      <c r="AR15" s="61" t="s">
        <v>55</v>
      </c>
      <c r="AS15" s="61" t="s">
        <v>73</v>
      </c>
      <c r="AT15" s="61" t="s">
        <v>74</v>
      </c>
      <c r="AU15" s="61" t="s">
        <v>58</v>
      </c>
      <c r="AV15" s="61" t="s">
        <v>59</v>
      </c>
      <c r="AW15" s="61" t="s">
        <v>60</v>
      </c>
      <c r="AX15" s="62" t="s">
        <v>75</v>
      </c>
      <c r="AY15" s="62" t="s">
        <v>76</v>
      </c>
      <c r="AZ15" s="63" t="s">
        <v>61</v>
      </c>
      <c r="BA15" s="61" t="s">
        <v>62</v>
      </c>
    </row>
    <row r="16" spans="1:67" hidden="1">
      <c r="A16" s="37" t="s">
        <v>81</v>
      </c>
      <c r="B16" s="37"/>
      <c r="C16" s="37"/>
      <c r="AA16" s="64" t="s">
        <v>29</v>
      </c>
      <c r="AB16" s="65" t="s">
        <v>30</v>
      </c>
      <c r="AC16" s="65" t="s">
        <v>31</v>
      </c>
      <c r="AD16" s="65"/>
      <c r="AE16" s="65"/>
      <c r="AQ16" s="38"/>
    </row>
    <row r="17" spans="1:53" hidden="1">
      <c r="A17" s="37" t="s">
        <v>82</v>
      </c>
      <c r="B17" s="37"/>
      <c r="C17" s="37"/>
      <c r="AA17" s="64"/>
      <c r="AB17" s="65" t="s">
        <v>32</v>
      </c>
      <c r="AC17" s="65">
        <v>13.25</v>
      </c>
      <c r="AD17" s="65"/>
      <c r="AE17" s="65"/>
      <c r="AF17" s="36" t="e">
        <f>AF$12*$AC17</f>
        <v>#REF!</v>
      </c>
      <c r="AG17" s="36" t="e">
        <f t="shared" ref="AG17:AO25" si="4">AG$12*$AC17</f>
        <v>#REF!</v>
      </c>
      <c r="AH17" s="36" t="e">
        <f t="shared" si="4"/>
        <v>#REF!</v>
      </c>
      <c r="AI17" s="36" t="e">
        <f t="shared" si="4"/>
        <v>#REF!</v>
      </c>
      <c r="AJ17" s="36" t="e">
        <f t="shared" si="4"/>
        <v>#REF!</v>
      </c>
      <c r="AK17" s="36" t="e">
        <f t="shared" si="4"/>
        <v>#REF!</v>
      </c>
      <c r="AL17" s="36" t="e">
        <f t="shared" si="4"/>
        <v>#REF!</v>
      </c>
      <c r="AM17" s="36" t="e">
        <f t="shared" si="4"/>
        <v>#REF!</v>
      </c>
      <c r="AN17" s="36" t="e">
        <f t="shared" si="4"/>
        <v>#REF!</v>
      </c>
      <c r="AO17" s="36" t="e">
        <f t="shared" si="4"/>
        <v>#REF!</v>
      </c>
      <c r="AQ17" s="38"/>
      <c r="AR17" s="36" t="e">
        <f>AR$12*$AC17</f>
        <v>#REF!</v>
      </c>
      <c r="AS17" s="36" t="e">
        <f t="shared" ref="AS17:BA25" si="5">AS$12*$AC17</f>
        <v>#REF!</v>
      </c>
      <c r="AT17" s="36" t="e">
        <f t="shared" si="5"/>
        <v>#REF!</v>
      </c>
      <c r="AU17" s="36" t="e">
        <f t="shared" si="5"/>
        <v>#REF!</v>
      </c>
      <c r="AV17" s="36" t="e">
        <f t="shared" si="5"/>
        <v>#REF!</v>
      </c>
      <c r="AW17" s="36" t="e">
        <f t="shared" si="5"/>
        <v>#REF!</v>
      </c>
      <c r="AX17" s="36" t="e">
        <f t="shared" si="5"/>
        <v>#REF!</v>
      </c>
      <c r="AY17" s="36" t="e">
        <f t="shared" si="5"/>
        <v>#REF!</v>
      </c>
      <c r="AZ17" s="36" t="e">
        <f t="shared" si="5"/>
        <v>#REF!</v>
      </c>
      <c r="BA17" s="36" t="e">
        <f t="shared" si="5"/>
        <v>#REF!</v>
      </c>
    </row>
    <row r="18" spans="1:53" hidden="1">
      <c r="A18" s="37" t="s">
        <v>83</v>
      </c>
      <c r="B18" s="37"/>
      <c r="C18" s="37"/>
      <c r="AA18" s="64"/>
      <c r="AB18" s="65" t="s">
        <v>33</v>
      </c>
      <c r="AC18" s="65">
        <v>20.298999999999999</v>
      </c>
      <c r="AD18" s="65"/>
      <c r="AE18" s="65"/>
      <c r="AF18" s="36" t="e">
        <f t="shared" ref="AF18:AF25" si="6">AF$12*$AC18</f>
        <v>#REF!</v>
      </c>
      <c r="AG18" s="36" t="e">
        <f t="shared" si="4"/>
        <v>#REF!</v>
      </c>
      <c r="AH18" s="36" t="e">
        <f t="shared" si="4"/>
        <v>#REF!</v>
      </c>
      <c r="AI18" s="36" t="e">
        <f t="shared" si="4"/>
        <v>#REF!</v>
      </c>
      <c r="AJ18" s="36" t="e">
        <f t="shared" si="4"/>
        <v>#REF!</v>
      </c>
      <c r="AK18" s="36" t="e">
        <f t="shared" si="4"/>
        <v>#REF!</v>
      </c>
      <c r="AL18" s="36" t="e">
        <f t="shared" si="4"/>
        <v>#REF!</v>
      </c>
      <c r="AM18" s="36" t="e">
        <f t="shared" si="4"/>
        <v>#REF!</v>
      </c>
      <c r="AN18" s="36" t="e">
        <f t="shared" si="4"/>
        <v>#REF!</v>
      </c>
      <c r="AO18" s="36" t="e">
        <f t="shared" si="4"/>
        <v>#REF!</v>
      </c>
      <c r="AQ18" s="38"/>
      <c r="AR18" s="36" t="e">
        <f t="shared" ref="AR18:AR25" si="7">AR$12*$AC18</f>
        <v>#REF!</v>
      </c>
      <c r="AS18" s="36" t="e">
        <f t="shared" si="5"/>
        <v>#REF!</v>
      </c>
      <c r="AT18" s="36" t="e">
        <f t="shared" si="5"/>
        <v>#REF!</v>
      </c>
      <c r="AU18" s="36" t="e">
        <f t="shared" si="5"/>
        <v>#REF!</v>
      </c>
      <c r="AV18" s="36" t="e">
        <f t="shared" si="5"/>
        <v>#REF!</v>
      </c>
      <c r="AW18" s="36" t="e">
        <f t="shared" si="5"/>
        <v>#REF!</v>
      </c>
      <c r="AX18" s="36" t="e">
        <f t="shared" si="5"/>
        <v>#REF!</v>
      </c>
      <c r="AY18" s="36" t="e">
        <f t="shared" si="5"/>
        <v>#REF!</v>
      </c>
      <c r="AZ18" s="36" t="e">
        <f t="shared" si="5"/>
        <v>#REF!</v>
      </c>
      <c r="BA18" s="36" t="e">
        <f t="shared" si="5"/>
        <v>#REF!</v>
      </c>
    </row>
    <row r="19" spans="1:53" hidden="1">
      <c r="A19" s="37" t="s">
        <v>84</v>
      </c>
      <c r="B19" s="37"/>
      <c r="C19" s="37"/>
      <c r="AA19" s="64"/>
      <c r="AB19" s="65" t="s">
        <v>34</v>
      </c>
      <c r="AC19" s="65">
        <v>21.68</v>
      </c>
      <c r="AD19" s="65"/>
      <c r="AE19" s="65"/>
      <c r="AF19" s="36" t="e">
        <f t="shared" si="6"/>
        <v>#REF!</v>
      </c>
      <c r="AG19" s="36" t="e">
        <f t="shared" si="4"/>
        <v>#REF!</v>
      </c>
      <c r="AH19" s="36" t="e">
        <f t="shared" si="4"/>
        <v>#REF!</v>
      </c>
      <c r="AI19" s="36" t="e">
        <f t="shared" si="4"/>
        <v>#REF!</v>
      </c>
      <c r="AJ19" s="36" t="e">
        <f t="shared" si="4"/>
        <v>#REF!</v>
      </c>
      <c r="AK19" s="36" t="e">
        <f t="shared" si="4"/>
        <v>#REF!</v>
      </c>
      <c r="AL19" s="36" t="e">
        <f t="shared" si="4"/>
        <v>#REF!</v>
      </c>
      <c r="AM19" s="36" t="e">
        <f t="shared" si="4"/>
        <v>#REF!</v>
      </c>
      <c r="AN19" s="36" t="e">
        <f t="shared" si="4"/>
        <v>#REF!</v>
      </c>
      <c r="AO19" s="36" t="e">
        <f t="shared" si="4"/>
        <v>#REF!</v>
      </c>
      <c r="AQ19" s="38"/>
      <c r="AR19" s="36" t="e">
        <f t="shared" si="7"/>
        <v>#REF!</v>
      </c>
      <c r="AS19" s="36" t="e">
        <f t="shared" si="5"/>
        <v>#REF!</v>
      </c>
      <c r="AT19" s="36" t="e">
        <f t="shared" si="5"/>
        <v>#REF!</v>
      </c>
      <c r="AU19" s="36" t="e">
        <f t="shared" si="5"/>
        <v>#REF!</v>
      </c>
      <c r="AV19" s="36" t="e">
        <f t="shared" si="5"/>
        <v>#REF!</v>
      </c>
      <c r="AW19" s="36" t="e">
        <f t="shared" si="5"/>
        <v>#REF!</v>
      </c>
      <c r="AX19" s="36" t="e">
        <f t="shared" si="5"/>
        <v>#REF!</v>
      </c>
      <c r="AY19" s="36" t="e">
        <f t="shared" si="5"/>
        <v>#REF!</v>
      </c>
      <c r="AZ19" s="36" t="e">
        <f t="shared" si="5"/>
        <v>#REF!</v>
      </c>
      <c r="BA19" s="36" t="e">
        <f t="shared" si="5"/>
        <v>#REF!</v>
      </c>
    </row>
    <row r="20" spans="1:53" hidden="1">
      <c r="A20" s="37" t="s">
        <v>85</v>
      </c>
      <c r="B20" s="37"/>
      <c r="C20" s="37"/>
      <c r="AA20" s="64"/>
      <c r="AB20" s="65" t="s">
        <v>35</v>
      </c>
      <c r="AC20" s="65">
        <v>9.3046500000000005</v>
      </c>
      <c r="AD20" s="65"/>
      <c r="AE20" s="65"/>
      <c r="AF20" s="36" t="e">
        <f t="shared" si="6"/>
        <v>#REF!</v>
      </c>
      <c r="AG20" s="36" t="e">
        <f t="shared" si="4"/>
        <v>#REF!</v>
      </c>
      <c r="AH20" s="36" t="e">
        <f t="shared" si="4"/>
        <v>#REF!</v>
      </c>
      <c r="AI20" s="36" t="e">
        <f t="shared" si="4"/>
        <v>#REF!</v>
      </c>
      <c r="AJ20" s="36" t="e">
        <f t="shared" si="4"/>
        <v>#REF!</v>
      </c>
      <c r="AK20" s="36" t="e">
        <f t="shared" si="4"/>
        <v>#REF!</v>
      </c>
      <c r="AL20" s="36" t="e">
        <f t="shared" si="4"/>
        <v>#REF!</v>
      </c>
      <c r="AM20" s="36" t="e">
        <f t="shared" si="4"/>
        <v>#REF!</v>
      </c>
      <c r="AN20" s="36" t="e">
        <f t="shared" si="4"/>
        <v>#REF!</v>
      </c>
      <c r="AO20" s="36" t="e">
        <f t="shared" si="4"/>
        <v>#REF!</v>
      </c>
      <c r="AQ20" s="38"/>
      <c r="AR20" s="36" t="e">
        <f t="shared" si="7"/>
        <v>#REF!</v>
      </c>
      <c r="AS20" s="36" t="e">
        <f t="shared" si="5"/>
        <v>#REF!</v>
      </c>
      <c r="AT20" s="36" t="e">
        <f t="shared" si="5"/>
        <v>#REF!</v>
      </c>
      <c r="AU20" s="36" t="e">
        <f t="shared" si="5"/>
        <v>#REF!</v>
      </c>
      <c r="AV20" s="36" t="e">
        <f t="shared" si="5"/>
        <v>#REF!</v>
      </c>
      <c r="AW20" s="36" t="e">
        <f t="shared" si="5"/>
        <v>#REF!</v>
      </c>
      <c r="AX20" s="36" t="e">
        <f t="shared" si="5"/>
        <v>#REF!</v>
      </c>
      <c r="AY20" s="36" t="e">
        <f t="shared" si="5"/>
        <v>#REF!</v>
      </c>
      <c r="AZ20" s="36" t="e">
        <f t="shared" si="5"/>
        <v>#REF!</v>
      </c>
      <c r="BA20" s="36" t="e">
        <f t="shared" si="5"/>
        <v>#REF!</v>
      </c>
    </row>
    <row r="21" spans="1:53" hidden="1">
      <c r="A21" s="37" t="s">
        <v>86</v>
      </c>
      <c r="B21" s="37"/>
      <c r="C21" s="37"/>
      <c r="AA21" s="64"/>
      <c r="AB21" s="65" t="s">
        <v>36</v>
      </c>
      <c r="AC21" s="65">
        <v>5.0347999999999997</v>
      </c>
      <c r="AD21" s="65"/>
      <c r="AE21" s="65"/>
      <c r="AF21" s="36" t="e">
        <f t="shared" si="6"/>
        <v>#REF!</v>
      </c>
      <c r="AG21" s="36" t="e">
        <f t="shared" si="4"/>
        <v>#REF!</v>
      </c>
      <c r="AH21" s="36" t="e">
        <f t="shared" si="4"/>
        <v>#REF!</v>
      </c>
      <c r="AI21" s="36" t="e">
        <f t="shared" si="4"/>
        <v>#REF!</v>
      </c>
      <c r="AJ21" s="36" t="e">
        <f t="shared" si="4"/>
        <v>#REF!</v>
      </c>
      <c r="AK21" s="36" t="e">
        <f t="shared" si="4"/>
        <v>#REF!</v>
      </c>
      <c r="AL21" s="36" t="e">
        <f t="shared" si="4"/>
        <v>#REF!</v>
      </c>
      <c r="AM21" s="36" t="e">
        <f t="shared" si="4"/>
        <v>#REF!</v>
      </c>
      <c r="AN21" s="36" t="e">
        <f t="shared" si="4"/>
        <v>#REF!</v>
      </c>
      <c r="AO21" s="36" t="e">
        <f t="shared" si="4"/>
        <v>#REF!</v>
      </c>
      <c r="AQ21" s="38"/>
      <c r="AR21" s="36" t="e">
        <f t="shared" si="7"/>
        <v>#REF!</v>
      </c>
      <c r="AS21" s="36" t="e">
        <f t="shared" si="5"/>
        <v>#REF!</v>
      </c>
      <c r="AT21" s="36" t="e">
        <f t="shared" si="5"/>
        <v>#REF!</v>
      </c>
      <c r="AU21" s="36" t="e">
        <f t="shared" si="5"/>
        <v>#REF!</v>
      </c>
      <c r="AV21" s="36" t="e">
        <f t="shared" si="5"/>
        <v>#REF!</v>
      </c>
      <c r="AW21" s="36" t="e">
        <f t="shared" si="5"/>
        <v>#REF!</v>
      </c>
      <c r="AX21" s="36" t="e">
        <f t="shared" si="5"/>
        <v>#REF!</v>
      </c>
      <c r="AY21" s="36" t="e">
        <f t="shared" si="5"/>
        <v>#REF!</v>
      </c>
      <c r="AZ21" s="36" t="e">
        <f t="shared" si="5"/>
        <v>#REF!</v>
      </c>
      <c r="BA21" s="36" t="e">
        <f t="shared" si="5"/>
        <v>#REF!</v>
      </c>
    </row>
    <row r="22" spans="1:53" hidden="1">
      <c r="A22" s="37" t="s">
        <v>87</v>
      </c>
      <c r="B22" s="37"/>
      <c r="C22" s="37"/>
      <c r="AA22" s="64"/>
      <c r="AB22" s="65" t="s">
        <v>37</v>
      </c>
      <c r="AC22" s="65">
        <v>0</v>
      </c>
      <c r="AD22" s="65"/>
      <c r="AE22" s="65"/>
      <c r="AF22" s="36" t="e">
        <f t="shared" si="6"/>
        <v>#REF!</v>
      </c>
      <c r="AG22" s="36" t="e">
        <f t="shared" si="4"/>
        <v>#REF!</v>
      </c>
      <c r="AH22" s="36" t="e">
        <f t="shared" si="4"/>
        <v>#REF!</v>
      </c>
      <c r="AI22" s="36" t="e">
        <f t="shared" si="4"/>
        <v>#REF!</v>
      </c>
      <c r="AJ22" s="36" t="e">
        <f t="shared" si="4"/>
        <v>#REF!</v>
      </c>
      <c r="AK22" s="36" t="e">
        <f t="shared" si="4"/>
        <v>#REF!</v>
      </c>
      <c r="AL22" s="36" t="e">
        <f t="shared" si="4"/>
        <v>#REF!</v>
      </c>
      <c r="AM22" s="36" t="e">
        <f t="shared" si="4"/>
        <v>#REF!</v>
      </c>
      <c r="AN22" s="36" t="e">
        <f t="shared" si="4"/>
        <v>#REF!</v>
      </c>
      <c r="AO22" s="36" t="e">
        <f t="shared" si="4"/>
        <v>#REF!</v>
      </c>
      <c r="AQ22" s="38"/>
      <c r="AR22" s="36" t="e">
        <f t="shared" si="7"/>
        <v>#REF!</v>
      </c>
      <c r="AS22" s="36" t="e">
        <f t="shared" si="5"/>
        <v>#REF!</v>
      </c>
      <c r="AT22" s="36" t="e">
        <f t="shared" si="5"/>
        <v>#REF!</v>
      </c>
      <c r="AU22" s="36" t="e">
        <f t="shared" si="5"/>
        <v>#REF!</v>
      </c>
      <c r="AV22" s="36" t="e">
        <f t="shared" si="5"/>
        <v>#REF!</v>
      </c>
      <c r="AW22" s="36" t="e">
        <f t="shared" si="5"/>
        <v>#REF!</v>
      </c>
      <c r="AX22" s="36" t="e">
        <f t="shared" si="5"/>
        <v>#REF!</v>
      </c>
      <c r="AY22" s="36" t="e">
        <f t="shared" si="5"/>
        <v>#REF!</v>
      </c>
      <c r="AZ22" s="36" t="e">
        <f t="shared" si="5"/>
        <v>#REF!</v>
      </c>
      <c r="BA22" s="36" t="e">
        <f t="shared" si="5"/>
        <v>#REF!</v>
      </c>
    </row>
    <row r="23" spans="1:53" hidden="1">
      <c r="A23" s="37" t="s">
        <v>0</v>
      </c>
      <c r="B23" s="37"/>
      <c r="C23" s="37"/>
      <c r="AA23" s="64"/>
      <c r="AB23" s="65" t="s">
        <v>38</v>
      </c>
      <c r="AC23" s="65">
        <v>0</v>
      </c>
      <c r="AD23" s="65"/>
      <c r="AE23" s="65"/>
      <c r="AF23" s="36" t="e">
        <f t="shared" si="6"/>
        <v>#REF!</v>
      </c>
      <c r="AG23" s="36" t="e">
        <f t="shared" si="4"/>
        <v>#REF!</v>
      </c>
      <c r="AH23" s="36" t="e">
        <f t="shared" si="4"/>
        <v>#REF!</v>
      </c>
      <c r="AI23" s="36" t="e">
        <f t="shared" si="4"/>
        <v>#REF!</v>
      </c>
      <c r="AJ23" s="36" t="e">
        <f t="shared" si="4"/>
        <v>#REF!</v>
      </c>
      <c r="AK23" s="36" t="e">
        <f t="shared" si="4"/>
        <v>#REF!</v>
      </c>
      <c r="AL23" s="36" t="e">
        <f t="shared" si="4"/>
        <v>#REF!</v>
      </c>
      <c r="AM23" s="36" t="e">
        <f t="shared" si="4"/>
        <v>#REF!</v>
      </c>
      <c r="AN23" s="36" t="e">
        <f t="shared" si="4"/>
        <v>#REF!</v>
      </c>
      <c r="AO23" s="36" t="e">
        <f t="shared" si="4"/>
        <v>#REF!</v>
      </c>
      <c r="AQ23" s="38"/>
      <c r="AR23" s="36" t="e">
        <f t="shared" si="7"/>
        <v>#REF!</v>
      </c>
      <c r="AS23" s="36" t="e">
        <f t="shared" si="5"/>
        <v>#REF!</v>
      </c>
      <c r="AT23" s="36" t="e">
        <f t="shared" si="5"/>
        <v>#REF!</v>
      </c>
      <c r="AU23" s="36" t="e">
        <f t="shared" si="5"/>
        <v>#REF!</v>
      </c>
      <c r="AV23" s="36" t="e">
        <f t="shared" si="5"/>
        <v>#REF!</v>
      </c>
      <c r="AW23" s="36" t="e">
        <f t="shared" si="5"/>
        <v>#REF!</v>
      </c>
      <c r="AX23" s="36" t="e">
        <f t="shared" si="5"/>
        <v>#REF!</v>
      </c>
      <c r="AY23" s="36" t="e">
        <f t="shared" si="5"/>
        <v>#REF!</v>
      </c>
      <c r="AZ23" s="36" t="e">
        <f t="shared" si="5"/>
        <v>#REF!</v>
      </c>
      <c r="BA23" s="36" t="e">
        <f t="shared" si="5"/>
        <v>#REF!</v>
      </c>
    </row>
    <row r="24" spans="1:53" hidden="1">
      <c r="A24" s="37" t="s">
        <v>59</v>
      </c>
      <c r="B24" s="37">
        <f>(0.016*(0.03/2)^0.65*(2/3)^1.5)-0.00047</f>
        <v>9.8123053326417428E-5</v>
      </c>
      <c r="C24" s="37"/>
      <c r="AA24" s="64"/>
      <c r="AB24" s="65" t="s">
        <v>39</v>
      </c>
      <c r="AC24" s="65">
        <v>0</v>
      </c>
      <c r="AD24" s="65"/>
      <c r="AE24" s="65"/>
      <c r="AF24" s="36" t="e">
        <f t="shared" si="6"/>
        <v>#REF!</v>
      </c>
      <c r="AG24" s="36" t="e">
        <f t="shared" si="4"/>
        <v>#REF!</v>
      </c>
      <c r="AH24" s="36" t="e">
        <f t="shared" si="4"/>
        <v>#REF!</v>
      </c>
      <c r="AI24" s="36" t="e">
        <f t="shared" si="4"/>
        <v>#REF!</v>
      </c>
      <c r="AJ24" s="36" t="e">
        <f t="shared" si="4"/>
        <v>#REF!</v>
      </c>
      <c r="AK24" s="36" t="e">
        <f t="shared" si="4"/>
        <v>#REF!</v>
      </c>
      <c r="AL24" s="36" t="e">
        <f t="shared" si="4"/>
        <v>#REF!</v>
      </c>
      <c r="AM24" s="36" t="e">
        <f t="shared" si="4"/>
        <v>#REF!</v>
      </c>
      <c r="AN24" s="36" t="e">
        <f t="shared" si="4"/>
        <v>#REF!</v>
      </c>
      <c r="AO24" s="36" t="e">
        <f t="shared" si="4"/>
        <v>#REF!</v>
      </c>
      <c r="AQ24" s="38"/>
      <c r="AR24" s="36" t="e">
        <f t="shared" si="7"/>
        <v>#REF!</v>
      </c>
      <c r="AS24" s="36" t="e">
        <f t="shared" si="5"/>
        <v>#REF!</v>
      </c>
      <c r="AT24" s="36" t="e">
        <f t="shared" si="5"/>
        <v>#REF!</v>
      </c>
      <c r="AU24" s="36" t="e">
        <f t="shared" si="5"/>
        <v>#REF!</v>
      </c>
      <c r="AV24" s="36" t="e">
        <f t="shared" si="5"/>
        <v>#REF!</v>
      </c>
      <c r="AW24" s="36" t="e">
        <f t="shared" si="5"/>
        <v>#REF!</v>
      </c>
      <c r="AX24" s="36" t="e">
        <f t="shared" si="5"/>
        <v>#REF!</v>
      </c>
      <c r="AY24" s="36" t="e">
        <f t="shared" si="5"/>
        <v>#REF!</v>
      </c>
      <c r="AZ24" s="36" t="e">
        <f t="shared" si="5"/>
        <v>#REF!</v>
      </c>
      <c r="BA24" s="36" t="e">
        <f t="shared" si="5"/>
        <v>#REF!</v>
      </c>
    </row>
    <row r="25" spans="1:53" hidden="1">
      <c r="A25" s="37"/>
      <c r="B25" s="37"/>
      <c r="C25" s="37"/>
      <c r="AA25" s="64"/>
      <c r="AB25" s="65" t="s">
        <v>40</v>
      </c>
      <c r="AC25" s="65">
        <v>0</v>
      </c>
      <c r="AD25" s="65"/>
      <c r="AE25" s="65"/>
      <c r="AF25" s="36" t="e">
        <f t="shared" si="6"/>
        <v>#REF!</v>
      </c>
      <c r="AG25" s="36" t="e">
        <f t="shared" si="4"/>
        <v>#REF!</v>
      </c>
      <c r="AH25" s="36" t="e">
        <f t="shared" si="4"/>
        <v>#REF!</v>
      </c>
      <c r="AI25" s="36" t="e">
        <f t="shared" si="4"/>
        <v>#REF!</v>
      </c>
      <c r="AJ25" s="36" t="e">
        <f t="shared" si="4"/>
        <v>#REF!</v>
      </c>
      <c r="AK25" s="36" t="e">
        <f t="shared" si="4"/>
        <v>#REF!</v>
      </c>
      <c r="AL25" s="36" t="e">
        <f t="shared" si="4"/>
        <v>#REF!</v>
      </c>
      <c r="AM25" s="36" t="e">
        <f t="shared" si="4"/>
        <v>#REF!</v>
      </c>
      <c r="AN25" s="36" t="e">
        <f t="shared" si="4"/>
        <v>#REF!</v>
      </c>
      <c r="AO25" s="36" t="e">
        <f t="shared" si="4"/>
        <v>#REF!</v>
      </c>
      <c r="AQ25" s="38"/>
      <c r="AR25" s="36" t="e">
        <f t="shared" si="7"/>
        <v>#REF!</v>
      </c>
      <c r="AS25" s="36" t="e">
        <f t="shared" si="5"/>
        <v>#REF!</v>
      </c>
      <c r="AT25" s="36" t="e">
        <f t="shared" si="5"/>
        <v>#REF!</v>
      </c>
      <c r="AU25" s="36" t="e">
        <f t="shared" si="5"/>
        <v>#REF!</v>
      </c>
      <c r="AV25" s="36" t="e">
        <f t="shared" si="5"/>
        <v>#REF!</v>
      </c>
      <c r="AW25" s="36" t="e">
        <f t="shared" si="5"/>
        <v>#REF!</v>
      </c>
      <c r="AX25" s="36" t="e">
        <f t="shared" si="5"/>
        <v>#REF!</v>
      </c>
      <c r="AY25" s="36" t="e">
        <f t="shared" si="5"/>
        <v>#REF!</v>
      </c>
      <c r="AZ25" s="36" t="e">
        <f t="shared" si="5"/>
        <v>#REF!</v>
      </c>
      <c r="BA25" s="36" t="e">
        <f t="shared" si="5"/>
        <v>#REF!</v>
      </c>
    </row>
    <row r="26" spans="1:53" hidden="1">
      <c r="A26" s="37"/>
      <c r="B26" s="37"/>
      <c r="C26" s="37"/>
      <c r="AA26" s="64"/>
      <c r="AB26" s="65"/>
      <c r="AC26" s="65"/>
      <c r="AD26" s="65"/>
      <c r="AE26" s="65"/>
      <c r="AQ26" s="38"/>
    </row>
    <row r="27" spans="1:53" hidden="1">
      <c r="A27" s="37"/>
      <c r="B27" s="37"/>
      <c r="C27" s="37"/>
      <c r="AA27" s="64" t="s">
        <v>41</v>
      </c>
      <c r="AB27" s="65" t="s">
        <v>30</v>
      </c>
      <c r="AC27" s="65" t="s">
        <v>31</v>
      </c>
      <c r="AD27" s="65"/>
      <c r="AE27" s="65"/>
      <c r="AQ27" s="38"/>
    </row>
    <row r="28" spans="1:53" hidden="1">
      <c r="A28" s="37" t="s">
        <v>88</v>
      </c>
      <c r="B28" s="37"/>
      <c r="C28" s="37"/>
      <c r="AA28" s="64"/>
      <c r="AB28" s="65" t="s">
        <v>32</v>
      </c>
      <c r="AC28" s="65">
        <v>0</v>
      </c>
      <c r="AD28" s="65"/>
      <c r="AE28" s="65"/>
      <c r="AF28" s="36" t="e">
        <f t="shared" ref="AF28:AO36" si="8">AF$12*$AC28</f>
        <v>#REF!</v>
      </c>
      <c r="AG28" s="36" t="e">
        <f t="shared" si="8"/>
        <v>#REF!</v>
      </c>
      <c r="AH28" s="36" t="e">
        <f t="shared" si="8"/>
        <v>#REF!</v>
      </c>
      <c r="AI28" s="36" t="e">
        <f t="shared" si="8"/>
        <v>#REF!</v>
      </c>
      <c r="AJ28" s="36" t="e">
        <f t="shared" si="8"/>
        <v>#REF!</v>
      </c>
      <c r="AK28" s="36" t="e">
        <f t="shared" si="8"/>
        <v>#REF!</v>
      </c>
      <c r="AL28" s="36" t="e">
        <f t="shared" si="8"/>
        <v>#REF!</v>
      </c>
      <c r="AM28" s="36" t="e">
        <f t="shared" si="8"/>
        <v>#REF!</v>
      </c>
      <c r="AN28" s="36" t="e">
        <f t="shared" si="8"/>
        <v>#REF!</v>
      </c>
      <c r="AO28" s="36" t="e">
        <f t="shared" si="8"/>
        <v>#REF!</v>
      </c>
      <c r="AQ28" s="38"/>
      <c r="AR28" s="36" t="e">
        <f t="shared" ref="AR28:BA36" si="9">AR$12*$AC28</f>
        <v>#REF!</v>
      </c>
      <c r="AS28" s="36" t="e">
        <f t="shared" si="9"/>
        <v>#REF!</v>
      </c>
      <c r="AT28" s="36" t="e">
        <f t="shared" si="9"/>
        <v>#REF!</v>
      </c>
      <c r="AU28" s="36" t="e">
        <f t="shared" si="9"/>
        <v>#REF!</v>
      </c>
      <c r="AV28" s="36" t="e">
        <f t="shared" si="9"/>
        <v>#REF!</v>
      </c>
      <c r="AW28" s="36" t="e">
        <f t="shared" si="9"/>
        <v>#REF!</v>
      </c>
      <c r="AX28" s="36" t="e">
        <f t="shared" si="9"/>
        <v>#REF!</v>
      </c>
      <c r="AY28" s="36" t="e">
        <f t="shared" si="9"/>
        <v>#REF!</v>
      </c>
      <c r="AZ28" s="36" t="e">
        <f t="shared" si="9"/>
        <v>#REF!</v>
      </c>
      <c r="BA28" s="36" t="e">
        <f t="shared" si="9"/>
        <v>#REF!</v>
      </c>
    </row>
    <row r="29" spans="1:53" hidden="1">
      <c r="A29" s="37" t="s">
        <v>89</v>
      </c>
      <c r="B29" s="37"/>
      <c r="C29" s="37"/>
      <c r="AA29" s="64"/>
      <c r="AB29" s="65" t="s">
        <v>33</v>
      </c>
      <c r="AC29" s="65">
        <v>6.2010000000000005</v>
      </c>
      <c r="AD29" s="65"/>
      <c r="AE29" s="65"/>
      <c r="AF29" s="36" t="e">
        <f t="shared" si="8"/>
        <v>#REF!</v>
      </c>
      <c r="AG29" s="36" t="e">
        <f t="shared" si="8"/>
        <v>#REF!</v>
      </c>
      <c r="AH29" s="36" t="e">
        <f t="shared" si="8"/>
        <v>#REF!</v>
      </c>
      <c r="AI29" s="36" t="e">
        <f t="shared" si="8"/>
        <v>#REF!</v>
      </c>
      <c r="AJ29" s="36" t="e">
        <f t="shared" si="8"/>
        <v>#REF!</v>
      </c>
      <c r="AK29" s="36" t="e">
        <f t="shared" si="8"/>
        <v>#REF!</v>
      </c>
      <c r="AL29" s="36" t="e">
        <f t="shared" si="8"/>
        <v>#REF!</v>
      </c>
      <c r="AM29" s="36" t="e">
        <f t="shared" si="8"/>
        <v>#REF!</v>
      </c>
      <c r="AN29" s="36" t="e">
        <f t="shared" si="8"/>
        <v>#REF!</v>
      </c>
      <c r="AO29" s="36" t="e">
        <f t="shared" si="8"/>
        <v>#REF!</v>
      </c>
      <c r="AQ29" s="38"/>
      <c r="AR29" s="36" t="e">
        <f t="shared" si="9"/>
        <v>#REF!</v>
      </c>
      <c r="AS29" s="36" t="e">
        <f t="shared" si="9"/>
        <v>#REF!</v>
      </c>
      <c r="AT29" s="36" t="e">
        <f t="shared" si="9"/>
        <v>#REF!</v>
      </c>
      <c r="AU29" s="36" t="e">
        <f t="shared" si="9"/>
        <v>#REF!</v>
      </c>
      <c r="AV29" s="36" t="e">
        <f t="shared" si="9"/>
        <v>#REF!</v>
      </c>
      <c r="AW29" s="36" t="e">
        <f t="shared" si="9"/>
        <v>#REF!</v>
      </c>
      <c r="AX29" s="36" t="e">
        <f t="shared" si="9"/>
        <v>#REF!</v>
      </c>
      <c r="AY29" s="36" t="e">
        <f t="shared" si="9"/>
        <v>#REF!</v>
      </c>
      <c r="AZ29" s="36" t="e">
        <f t="shared" si="9"/>
        <v>#REF!</v>
      </c>
      <c r="BA29" s="36" t="e">
        <f t="shared" si="9"/>
        <v>#REF!</v>
      </c>
    </row>
    <row r="30" spans="1:53" hidden="1">
      <c r="A30" s="37" t="s">
        <v>90</v>
      </c>
      <c r="B30" s="37"/>
      <c r="C30" s="37"/>
      <c r="AA30" s="64"/>
      <c r="AB30" s="65" t="s">
        <v>34</v>
      </c>
      <c r="AC30" s="65">
        <v>0</v>
      </c>
      <c r="AD30" s="65"/>
      <c r="AE30" s="65"/>
      <c r="AF30" s="36" t="e">
        <f t="shared" si="8"/>
        <v>#REF!</v>
      </c>
      <c r="AG30" s="36" t="e">
        <f t="shared" si="8"/>
        <v>#REF!</v>
      </c>
      <c r="AH30" s="36" t="e">
        <f t="shared" si="8"/>
        <v>#REF!</v>
      </c>
      <c r="AI30" s="36" t="e">
        <f t="shared" si="8"/>
        <v>#REF!</v>
      </c>
      <c r="AJ30" s="36" t="e">
        <f t="shared" si="8"/>
        <v>#REF!</v>
      </c>
      <c r="AK30" s="36" t="e">
        <f t="shared" si="8"/>
        <v>#REF!</v>
      </c>
      <c r="AL30" s="36" t="e">
        <f t="shared" si="8"/>
        <v>#REF!</v>
      </c>
      <c r="AM30" s="36" t="e">
        <f t="shared" si="8"/>
        <v>#REF!</v>
      </c>
      <c r="AN30" s="36" t="e">
        <f t="shared" si="8"/>
        <v>#REF!</v>
      </c>
      <c r="AO30" s="36" t="e">
        <f t="shared" si="8"/>
        <v>#REF!</v>
      </c>
      <c r="AQ30" s="38"/>
      <c r="AR30" s="36" t="e">
        <f t="shared" si="9"/>
        <v>#REF!</v>
      </c>
      <c r="AS30" s="36" t="e">
        <f t="shared" si="9"/>
        <v>#REF!</v>
      </c>
      <c r="AT30" s="36" t="e">
        <f t="shared" si="9"/>
        <v>#REF!</v>
      </c>
      <c r="AU30" s="36" t="e">
        <f t="shared" si="9"/>
        <v>#REF!</v>
      </c>
      <c r="AV30" s="36" t="e">
        <f t="shared" si="9"/>
        <v>#REF!</v>
      </c>
      <c r="AW30" s="36" t="e">
        <f t="shared" si="9"/>
        <v>#REF!</v>
      </c>
      <c r="AX30" s="36" t="e">
        <f t="shared" si="9"/>
        <v>#REF!</v>
      </c>
      <c r="AY30" s="36" t="e">
        <f t="shared" si="9"/>
        <v>#REF!</v>
      </c>
      <c r="AZ30" s="36" t="e">
        <f t="shared" si="9"/>
        <v>#REF!</v>
      </c>
      <c r="BA30" s="36" t="e">
        <f t="shared" si="9"/>
        <v>#REF!</v>
      </c>
    </row>
    <row r="31" spans="1:53" hidden="1">
      <c r="A31" s="37" t="s">
        <v>91</v>
      </c>
      <c r="B31" s="37"/>
      <c r="C31" s="37"/>
      <c r="AA31" s="64"/>
      <c r="AB31" s="65" t="s">
        <v>35</v>
      </c>
      <c r="AC31" s="65">
        <v>9.8037500000000009</v>
      </c>
      <c r="AD31" s="65"/>
      <c r="AE31" s="65"/>
      <c r="AF31" s="36" t="e">
        <f t="shared" si="8"/>
        <v>#REF!</v>
      </c>
      <c r="AG31" s="36" t="e">
        <f t="shared" si="8"/>
        <v>#REF!</v>
      </c>
      <c r="AH31" s="36" t="e">
        <f t="shared" si="8"/>
        <v>#REF!</v>
      </c>
      <c r="AI31" s="36" t="e">
        <f t="shared" si="8"/>
        <v>#REF!</v>
      </c>
      <c r="AJ31" s="36" t="e">
        <f t="shared" si="8"/>
        <v>#REF!</v>
      </c>
      <c r="AK31" s="36" t="e">
        <f t="shared" si="8"/>
        <v>#REF!</v>
      </c>
      <c r="AL31" s="36" t="e">
        <f t="shared" si="8"/>
        <v>#REF!</v>
      </c>
      <c r="AM31" s="36" t="e">
        <f t="shared" si="8"/>
        <v>#REF!</v>
      </c>
      <c r="AN31" s="36" t="e">
        <f t="shared" si="8"/>
        <v>#REF!</v>
      </c>
      <c r="AO31" s="36" t="e">
        <f t="shared" si="8"/>
        <v>#REF!</v>
      </c>
      <c r="AQ31" s="38"/>
      <c r="AR31" s="36" t="e">
        <f t="shared" si="9"/>
        <v>#REF!</v>
      </c>
      <c r="AS31" s="36" t="e">
        <f t="shared" si="9"/>
        <v>#REF!</v>
      </c>
      <c r="AT31" s="36" t="e">
        <f t="shared" si="9"/>
        <v>#REF!</v>
      </c>
      <c r="AU31" s="36" t="e">
        <f t="shared" si="9"/>
        <v>#REF!</v>
      </c>
      <c r="AV31" s="36" t="e">
        <f t="shared" si="9"/>
        <v>#REF!</v>
      </c>
      <c r="AW31" s="36" t="e">
        <f t="shared" si="9"/>
        <v>#REF!</v>
      </c>
      <c r="AX31" s="36" t="e">
        <f t="shared" si="9"/>
        <v>#REF!</v>
      </c>
      <c r="AY31" s="36" t="e">
        <f t="shared" si="9"/>
        <v>#REF!</v>
      </c>
      <c r="AZ31" s="36" t="e">
        <f t="shared" si="9"/>
        <v>#REF!</v>
      </c>
      <c r="BA31" s="36" t="e">
        <f t="shared" si="9"/>
        <v>#REF!</v>
      </c>
    </row>
    <row r="32" spans="1:53" hidden="1">
      <c r="A32" s="37" t="s">
        <v>92</v>
      </c>
      <c r="B32" s="37"/>
      <c r="C32" s="37"/>
      <c r="AA32" s="64"/>
      <c r="AB32" s="65" t="s">
        <v>36</v>
      </c>
      <c r="AC32" s="65">
        <v>7.2451999999999996</v>
      </c>
      <c r="AD32" s="65"/>
      <c r="AE32" s="65"/>
      <c r="AF32" s="36" t="e">
        <f t="shared" si="8"/>
        <v>#REF!</v>
      </c>
      <c r="AG32" s="36" t="e">
        <f t="shared" si="8"/>
        <v>#REF!</v>
      </c>
      <c r="AH32" s="36" t="e">
        <f t="shared" si="8"/>
        <v>#REF!</v>
      </c>
      <c r="AI32" s="36" t="e">
        <f t="shared" si="8"/>
        <v>#REF!</v>
      </c>
      <c r="AJ32" s="36" t="e">
        <f t="shared" si="8"/>
        <v>#REF!</v>
      </c>
      <c r="AK32" s="36" t="e">
        <f t="shared" si="8"/>
        <v>#REF!</v>
      </c>
      <c r="AL32" s="36" t="e">
        <f t="shared" si="8"/>
        <v>#REF!</v>
      </c>
      <c r="AM32" s="36" t="e">
        <f t="shared" si="8"/>
        <v>#REF!</v>
      </c>
      <c r="AN32" s="36" t="e">
        <f t="shared" si="8"/>
        <v>#REF!</v>
      </c>
      <c r="AO32" s="36" t="e">
        <f t="shared" si="8"/>
        <v>#REF!</v>
      </c>
      <c r="AQ32" s="38"/>
      <c r="AR32" s="36" t="e">
        <f t="shared" si="9"/>
        <v>#REF!</v>
      </c>
      <c r="AS32" s="36" t="e">
        <f t="shared" si="9"/>
        <v>#REF!</v>
      </c>
      <c r="AT32" s="36" t="e">
        <f t="shared" si="9"/>
        <v>#REF!</v>
      </c>
      <c r="AU32" s="36" t="e">
        <f t="shared" si="9"/>
        <v>#REF!</v>
      </c>
      <c r="AV32" s="36" t="e">
        <f t="shared" si="9"/>
        <v>#REF!</v>
      </c>
      <c r="AW32" s="36" t="e">
        <f t="shared" si="9"/>
        <v>#REF!</v>
      </c>
      <c r="AX32" s="36" t="e">
        <f t="shared" si="9"/>
        <v>#REF!</v>
      </c>
      <c r="AY32" s="36" t="e">
        <f t="shared" si="9"/>
        <v>#REF!</v>
      </c>
      <c r="AZ32" s="36" t="e">
        <f t="shared" si="9"/>
        <v>#REF!</v>
      </c>
      <c r="BA32" s="36" t="e">
        <f t="shared" si="9"/>
        <v>#REF!</v>
      </c>
    </row>
    <row r="33" spans="1:53" hidden="1">
      <c r="A33" s="37" t="s">
        <v>84</v>
      </c>
      <c r="B33" s="37"/>
      <c r="C33" s="37"/>
      <c r="AA33" s="64"/>
      <c r="AB33" s="65" t="s">
        <v>37</v>
      </c>
      <c r="AC33" s="65">
        <v>3.6</v>
      </c>
      <c r="AD33" s="65"/>
      <c r="AE33" s="65"/>
      <c r="AF33" s="36" t="e">
        <f t="shared" si="8"/>
        <v>#REF!</v>
      </c>
      <c r="AG33" s="36" t="e">
        <f t="shared" si="8"/>
        <v>#REF!</v>
      </c>
      <c r="AH33" s="36" t="e">
        <f t="shared" si="8"/>
        <v>#REF!</v>
      </c>
      <c r="AI33" s="36" t="e">
        <f t="shared" si="8"/>
        <v>#REF!</v>
      </c>
      <c r="AJ33" s="36" t="e">
        <f t="shared" si="8"/>
        <v>#REF!</v>
      </c>
      <c r="AK33" s="36" t="e">
        <f t="shared" si="8"/>
        <v>#REF!</v>
      </c>
      <c r="AL33" s="36" t="e">
        <f t="shared" si="8"/>
        <v>#REF!</v>
      </c>
      <c r="AM33" s="36" t="e">
        <f t="shared" si="8"/>
        <v>#REF!</v>
      </c>
      <c r="AN33" s="36" t="e">
        <f t="shared" si="8"/>
        <v>#REF!</v>
      </c>
      <c r="AO33" s="36" t="e">
        <f t="shared" si="8"/>
        <v>#REF!</v>
      </c>
      <c r="AQ33" s="38"/>
      <c r="AR33" s="36" t="e">
        <f t="shared" si="9"/>
        <v>#REF!</v>
      </c>
      <c r="AS33" s="36" t="e">
        <f t="shared" si="9"/>
        <v>#REF!</v>
      </c>
      <c r="AT33" s="36" t="e">
        <f t="shared" si="9"/>
        <v>#REF!</v>
      </c>
      <c r="AU33" s="36" t="e">
        <f t="shared" si="9"/>
        <v>#REF!</v>
      </c>
      <c r="AV33" s="36" t="e">
        <f t="shared" si="9"/>
        <v>#REF!</v>
      </c>
      <c r="AW33" s="36" t="e">
        <f t="shared" si="9"/>
        <v>#REF!</v>
      </c>
      <c r="AX33" s="36" t="e">
        <f t="shared" si="9"/>
        <v>#REF!</v>
      </c>
      <c r="AY33" s="36" t="e">
        <f t="shared" si="9"/>
        <v>#REF!</v>
      </c>
      <c r="AZ33" s="36" t="e">
        <f t="shared" si="9"/>
        <v>#REF!</v>
      </c>
      <c r="BA33" s="36" t="e">
        <f t="shared" si="9"/>
        <v>#REF!</v>
      </c>
    </row>
    <row r="34" spans="1:53" hidden="1">
      <c r="A34" s="37" t="s">
        <v>93</v>
      </c>
      <c r="B34" s="37"/>
      <c r="C34" s="37"/>
      <c r="AA34" s="64"/>
      <c r="AB34" s="65" t="s">
        <v>38</v>
      </c>
      <c r="AC34" s="65">
        <v>6.1984000000000004</v>
      </c>
      <c r="AD34" s="65"/>
      <c r="AE34" s="65"/>
      <c r="AF34" s="36" t="e">
        <f t="shared" si="8"/>
        <v>#REF!</v>
      </c>
      <c r="AG34" s="36" t="e">
        <f t="shared" si="8"/>
        <v>#REF!</v>
      </c>
      <c r="AH34" s="36" t="e">
        <f t="shared" si="8"/>
        <v>#REF!</v>
      </c>
      <c r="AI34" s="36" t="e">
        <f t="shared" si="8"/>
        <v>#REF!</v>
      </c>
      <c r="AJ34" s="36" t="e">
        <f t="shared" si="8"/>
        <v>#REF!</v>
      </c>
      <c r="AK34" s="36" t="e">
        <f t="shared" si="8"/>
        <v>#REF!</v>
      </c>
      <c r="AL34" s="36" t="e">
        <f t="shared" si="8"/>
        <v>#REF!</v>
      </c>
      <c r="AM34" s="36" t="e">
        <f t="shared" si="8"/>
        <v>#REF!</v>
      </c>
      <c r="AN34" s="36" t="e">
        <f t="shared" si="8"/>
        <v>#REF!</v>
      </c>
      <c r="AO34" s="36" t="e">
        <f t="shared" si="8"/>
        <v>#REF!</v>
      </c>
      <c r="AQ34" s="38"/>
      <c r="AR34" s="36" t="e">
        <f t="shared" si="9"/>
        <v>#REF!</v>
      </c>
      <c r="AS34" s="36" t="e">
        <f t="shared" si="9"/>
        <v>#REF!</v>
      </c>
      <c r="AT34" s="36" t="e">
        <f t="shared" si="9"/>
        <v>#REF!</v>
      </c>
      <c r="AU34" s="36" t="e">
        <f t="shared" si="9"/>
        <v>#REF!</v>
      </c>
      <c r="AV34" s="36" t="e">
        <f t="shared" si="9"/>
        <v>#REF!</v>
      </c>
      <c r="AW34" s="36" t="e">
        <f t="shared" si="9"/>
        <v>#REF!</v>
      </c>
      <c r="AX34" s="36" t="e">
        <f t="shared" si="9"/>
        <v>#REF!</v>
      </c>
      <c r="AY34" s="36" t="e">
        <f t="shared" si="9"/>
        <v>#REF!</v>
      </c>
      <c r="AZ34" s="36" t="e">
        <f t="shared" si="9"/>
        <v>#REF!</v>
      </c>
      <c r="BA34" s="36" t="e">
        <f t="shared" si="9"/>
        <v>#REF!</v>
      </c>
    </row>
    <row r="35" spans="1:53" hidden="1">
      <c r="A35" s="37" t="s">
        <v>94</v>
      </c>
      <c r="B35" s="37"/>
      <c r="C35" s="37"/>
      <c r="AA35" s="64"/>
      <c r="AB35" s="65" t="s">
        <v>39</v>
      </c>
      <c r="AC35" s="65">
        <v>5.1995100000000001</v>
      </c>
      <c r="AD35" s="65"/>
      <c r="AE35" s="65"/>
      <c r="AF35" s="36" t="e">
        <f t="shared" si="8"/>
        <v>#REF!</v>
      </c>
      <c r="AG35" s="36" t="e">
        <f t="shared" si="8"/>
        <v>#REF!</v>
      </c>
      <c r="AH35" s="36" t="e">
        <f t="shared" si="8"/>
        <v>#REF!</v>
      </c>
      <c r="AI35" s="36" t="e">
        <f t="shared" si="8"/>
        <v>#REF!</v>
      </c>
      <c r="AJ35" s="36" t="e">
        <f t="shared" si="8"/>
        <v>#REF!</v>
      </c>
      <c r="AK35" s="36" t="e">
        <f t="shared" si="8"/>
        <v>#REF!</v>
      </c>
      <c r="AL35" s="36" t="e">
        <f t="shared" si="8"/>
        <v>#REF!</v>
      </c>
      <c r="AM35" s="36" t="e">
        <f t="shared" si="8"/>
        <v>#REF!</v>
      </c>
      <c r="AN35" s="36" t="e">
        <f t="shared" si="8"/>
        <v>#REF!</v>
      </c>
      <c r="AO35" s="36" t="e">
        <f t="shared" si="8"/>
        <v>#REF!</v>
      </c>
      <c r="AQ35" s="38"/>
      <c r="AR35" s="36" t="e">
        <f t="shared" si="9"/>
        <v>#REF!</v>
      </c>
      <c r="AS35" s="36" t="e">
        <f t="shared" si="9"/>
        <v>#REF!</v>
      </c>
      <c r="AT35" s="36" t="e">
        <f t="shared" si="9"/>
        <v>#REF!</v>
      </c>
      <c r="AU35" s="36" t="e">
        <f t="shared" si="9"/>
        <v>#REF!</v>
      </c>
      <c r="AV35" s="36" t="e">
        <f t="shared" si="9"/>
        <v>#REF!</v>
      </c>
      <c r="AW35" s="36" t="e">
        <f t="shared" si="9"/>
        <v>#REF!</v>
      </c>
      <c r="AX35" s="36" t="e">
        <f t="shared" si="9"/>
        <v>#REF!</v>
      </c>
      <c r="AY35" s="36" t="e">
        <f t="shared" si="9"/>
        <v>#REF!</v>
      </c>
      <c r="AZ35" s="36" t="e">
        <f t="shared" si="9"/>
        <v>#REF!</v>
      </c>
      <c r="BA35" s="36" t="e">
        <f t="shared" si="9"/>
        <v>#REF!</v>
      </c>
    </row>
    <row r="36" spans="1:53" hidden="1">
      <c r="A36" s="37" t="s">
        <v>0</v>
      </c>
      <c r="B36" s="37"/>
      <c r="C36" s="37"/>
      <c r="AA36" s="64"/>
      <c r="AB36" s="65" t="s">
        <v>40</v>
      </c>
      <c r="AC36" s="65">
        <v>17.71416</v>
      </c>
      <c r="AD36" s="65"/>
      <c r="AE36" s="65"/>
      <c r="AF36" s="36" t="e">
        <f t="shared" si="8"/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si="9"/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37" s="37" t="s">
        <v>59</v>
      </c>
      <c r="B37" s="37">
        <f>0.39*1.5*(8.5/12)^0.9*(2/3)^0.45</f>
        <v>0.35737873826145539</v>
      </c>
      <c r="C37" s="37"/>
      <c r="AA37" s="64"/>
      <c r="AB37" s="65"/>
      <c r="AC37" s="65"/>
      <c r="AD37" s="65"/>
      <c r="AE37" s="65"/>
      <c r="AQ37" s="38"/>
    </row>
    <row r="38" spans="1:53" hidden="1">
      <c r="A38" s="37" t="s">
        <v>60</v>
      </c>
      <c r="B38" s="37">
        <f>0.39*0.15*(8.5/12)^0.9*(2/3)^0.45</f>
        <v>3.5737873826145544E-2</v>
      </c>
      <c r="C38" s="37"/>
      <c r="AA38" s="64" t="s">
        <v>42</v>
      </c>
      <c r="AB38" s="65" t="s">
        <v>30</v>
      </c>
      <c r="AC38" s="65" t="s">
        <v>31</v>
      </c>
      <c r="AD38" s="65"/>
      <c r="AE38" s="65"/>
      <c r="AQ38" s="38"/>
    </row>
    <row r="39" spans="1:53" hidden="1">
      <c r="AA39" s="64"/>
      <c r="AB39" s="65" t="s">
        <v>32</v>
      </c>
      <c r="AC39" s="65">
        <v>0</v>
      </c>
      <c r="AD39" s="65"/>
      <c r="AE39" s="65"/>
      <c r="AF39" s="36" t="e">
        <f t="shared" ref="AF39:AO47" si="10">AF$12*$AC39</f>
        <v>#REF!</v>
      </c>
      <c r="AG39" s="36" t="e">
        <f t="shared" si="10"/>
        <v>#REF!</v>
      </c>
      <c r="AH39" s="36" t="e">
        <f t="shared" si="10"/>
        <v>#REF!</v>
      </c>
      <c r="AI39" s="36" t="e">
        <f t="shared" si="10"/>
        <v>#REF!</v>
      </c>
      <c r="AJ39" s="36" t="e">
        <f t="shared" si="10"/>
        <v>#REF!</v>
      </c>
      <c r="AK39" s="36" t="e">
        <f t="shared" si="10"/>
        <v>#REF!</v>
      </c>
      <c r="AL39" s="36" t="e">
        <f t="shared" si="10"/>
        <v>#REF!</v>
      </c>
      <c r="AM39" s="36" t="e">
        <f t="shared" si="10"/>
        <v>#REF!</v>
      </c>
      <c r="AN39" s="36" t="e">
        <f t="shared" si="10"/>
        <v>#REF!</v>
      </c>
      <c r="AO39" s="36" t="e">
        <f t="shared" si="10"/>
        <v>#REF!</v>
      </c>
      <c r="AQ39" s="38"/>
      <c r="AR39" s="36" t="e">
        <f t="shared" ref="AR39:BA47" si="11">AR$12*$AC39</f>
        <v>#REF!</v>
      </c>
      <c r="AS39" s="36" t="e">
        <f t="shared" si="11"/>
        <v>#REF!</v>
      </c>
      <c r="AT39" s="36" t="e">
        <f t="shared" si="11"/>
        <v>#REF!</v>
      </c>
      <c r="AU39" s="36" t="e">
        <f t="shared" si="11"/>
        <v>#REF!</v>
      </c>
      <c r="AV39" s="36" t="e">
        <f t="shared" si="11"/>
        <v>#REF!</v>
      </c>
      <c r="AW39" s="36" t="e">
        <f t="shared" si="11"/>
        <v>#REF!</v>
      </c>
      <c r="AX39" s="36" t="e">
        <f t="shared" si="11"/>
        <v>#REF!</v>
      </c>
      <c r="AY39" s="36" t="e">
        <f t="shared" si="11"/>
        <v>#REF!</v>
      </c>
      <c r="AZ39" s="36" t="e">
        <f t="shared" si="11"/>
        <v>#REF!</v>
      </c>
      <c r="BA39" s="36" t="e">
        <f t="shared" si="11"/>
        <v>#REF!</v>
      </c>
    </row>
    <row r="40" spans="1:53" hidden="1">
      <c r="AA40" s="64"/>
      <c r="AB40" s="65" t="s">
        <v>33</v>
      </c>
      <c r="AC40" s="65">
        <v>0</v>
      </c>
      <c r="AD40" s="65"/>
      <c r="AE40" s="65"/>
      <c r="AF40" s="36" t="e">
        <f t="shared" si="10"/>
        <v>#REF!</v>
      </c>
      <c r="AG40" s="36" t="e">
        <f t="shared" si="10"/>
        <v>#REF!</v>
      </c>
      <c r="AH40" s="36" t="e">
        <f t="shared" si="10"/>
        <v>#REF!</v>
      </c>
      <c r="AI40" s="36" t="e">
        <f t="shared" si="10"/>
        <v>#REF!</v>
      </c>
      <c r="AJ40" s="36" t="e">
        <f t="shared" si="10"/>
        <v>#REF!</v>
      </c>
      <c r="AK40" s="36" t="e">
        <f t="shared" si="10"/>
        <v>#REF!</v>
      </c>
      <c r="AL40" s="36" t="e">
        <f t="shared" si="10"/>
        <v>#REF!</v>
      </c>
      <c r="AM40" s="36" t="e">
        <f t="shared" si="10"/>
        <v>#REF!</v>
      </c>
      <c r="AN40" s="36" t="e">
        <f t="shared" si="10"/>
        <v>#REF!</v>
      </c>
      <c r="AO40" s="36" t="e">
        <f t="shared" si="10"/>
        <v>#REF!</v>
      </c>
      <c r="AQ40" s="38"/>
      <c r="AR40" s="36" t="e">
        <f t="shared" si="11"/>
        <v>#REF!</v>
      </c>
      <c r="AS40" s="36" t="e">
        <f t="shared" si="11"/>
        <v>#REF!</v>
      </c>
      <c r="AT40" s="36" t="e">
        <f t="shared" si="11"/>
        <v>#REF!</v>
      </c>
      <c r="AU40" s="36" t="e">
        <f t="shared" si="11"/>
        <v>#REF!</v>
      </c>
      <c r="AV40" s="36" t="e">
        <f t="shared" si="11"/>
        <v>#REF!</v>
      </c>
      <c r="AW40" s="36" t="e">
        <f t="shared" si="11"/>
        <v>#REF!</v>
      </c>
      <c r="AX40" s="36" t="e">
        <f t="shared" si="11"/>
        <v>#REF!</v>
      </c>
      <c r="AY40" s="36" t="e">
        <f t="shared" si="11"/>
        <v>#REF!</v>
      </c>
      <c r="AZ40" s="36" t="e">
        <f t="shared" si="11"/>
        <v>#REF!</v>
      </c>
      <c r="BA40" s="36" t="e">
        <f t="shared" si="11"/>
        <v>#REF!</v>
      </c>
    </row>
    <row r="41" spans="1:53" hidden="1">
      <c r="AA41" s="64"/>
      <c r="AB41" s="65" t="s">
        <v>34</v>
      </c>
      <c r="AC41" s="65">
        <v>0</v>
      </c>
      <c r="AD41" s="65"/>
      <c r="AE41" s="65"/>
      <c r="AF41" s="36" t="e">
        <f t="shared" si="10"/>
        <v>#REF!</v>
      </c>
      <c r="AG41" s="36" t="e">
        <f t="shared" si="10"/>
        <v>#REF!</v>
      </c>
      <c r="AH41" s="36" t="e">
        <f t="shared" si="10"/>
        <v>#REF!</v>
      </c>
      <c r="AI41" s="36" t="e">
        <f t="shared" si="10"/>
        <v>#REF!</v>
      </c>
      <c r="AJ41" s="36" t="e">
        <f t="shared" si="10"/>
        <v>#REF!</v>
      </c>
      <c r="AK41" s="36" t="e">
        <f t="shared" si="10"/>
        <v>#REF!</v>
      </c>
      <c r="AL41" s="36" t="e">
        <f t="shared" si="10"/>
        <v>#REF!</v>
      </c>
      <c r="AM41" s="36" t="e">
        <f t="shared" si="10"/>
        <v>#REF!</v>
      </c>
      <c r="AN41" s="36" t="e">
        <f t="shared" si="10"/>
        <v>#REF!</v>
      </c>
      <c r="AO41" s="36" t="e">
        <f t="shared" si="10"/>
        <v>#REF!</v>
      </c>
      <c r="AQ41" s="38"/>
      <c r="AR41" s="36" t="e">
        <f t="shared" si="11"/>
        <v>#REF!</v>
      </c>
      <c r="AS41" s="36" t="e">
        <f t="shared" si="11"/>
        <v>#REF!</v>
      </c>
      <c r="AT41" s="36" t="e">
        <f t="shared" si="11"/>
        <v>#REF!</v>
      </c>
      <c r="AU41" s="36" t="e">
        <f t="shared" si="11"/>
        <v>#REF!</v>
      </c>
      <c r="AV41" s="36" t="e">
        <f t="shared" si="11"/>
        <v>#REF!</v>
      </c>
      <c r="AW41" s="36" t="e">
        <f t="shared" si="11"/>
        <v>#REF!</v>
      </c>
      <c r="AX41" s="36" t="e">
        <f t="shared" si="11"/>
        <v>#REF!</v>
      </c>
      <c r="AY41" s="36" t="e">
        <f t="shared" si="11"/>
        <v>#REF!</v>
      </c>
      <c r="AZ41" s="36" t="e">
        <f t="shared" si="11"/>
        <v>#REF!</v>
      </c>
      <c r="BA41" s="36" t="e">
        <f t="shared" si="11"/>
        <v>#REF!</v>
      </c>
    </row>
    <row r="42" spans="1:53" hidden="1">
      <c r="AA42" s="64"/>
      <c r="AB42" s="65" t="s">
        <v>35</v>
      </c>
      <c r="AC42" s="65">
        <v>16.541599999999999</v>
      </c>
      <c r="AD42" s="65"/>
      <c r="AE42" s="65"/>
      <c r="AF42" s="36" t="e">
        <f t="shared" si="10"/>
        <v>#REF!</v>
      </c>
      <c r="AG42" s="36" t="e">
        <f t="shared" si="10"/>
        <v>#REF!</v>
      </c>
      <c r="AH42" s="36" t="e">
        <f t="shared" si="10"/>
        <v>#REF!</v>
      </c>
      <c r="AI42" s="36" t="e">
        <f t="shared" si="10"/>
        <v>#REF!</v>
      </c>
      <c r="AJ42" s="36" t="e">
        <f t="shared" si="10"/>
        <v>#REF!</v>
      </c>
      <c r="AK42" s="36" t="e">
        <f t="shared" si="10"/>
        <v>#REF!</v>
      </c>
      <c r="AL42" s="36" t="e">
        <f t="shared" si="10"/>
        <v>#REF!</v>
      </c>
      <c r="AM42" s="36" t="e">
        <f t="shared" si="10"/>
        <v>#REF!</v>
      </c>
      <c r="AN42" s="36" t="e">
        <f t="shared" si="10"/>
        <v>#REF!</v>
      </c>
      <c r="AO42" s="36" t="e">
        <f t="shared" si="10"/>
        <v>#REF!</v>
      </c>
      <c r="AQ42" s="38"/>
      <c r="AR42" s="36" t="e">
        <f t="shared" si="11"/>
        <v>#REF!</v>
      </c>
      <c r="AS42" s="36" t="e">
        <f t="shared" si="11"/>
        <v>#REF!</v>
      </c>
      <c r="AT42" s="36" t="e">
        <f t="shared" si="11"/>
        <v>#REF!</v>
      </c>
      <c r="AU42" s="36" t="e">
        <f t="shared" si="11"/>
        <v>#REF!</v>
      </c>
      <c r="AV42" s="36" t="e">
        <f t="shared" si="11"/>
        <v>#REF!</v>
      </c>
      <c r="AW42" s="36" t="e">
        <f t="shared" si="11"/>
        <v>#REF!</v>
      </c>
      <c r="AX42" s="36" t="e">
        <f t="shared" si="11"/>
        <v>#REF!</v>
      </c>
      <c r="AY42" s="36" t="e">
        <f t="shared" si="11"/>
        <v>#REF!</v>
      </c>
      <c r="AZ42" s="36" t="e">
        <f t="shared" si="11"/>
        <v>#REF!</v>
      </c>
      <c r="BA42" s="36" t="e">
        <f t="shared" si="11"/>
        <v>#REF!</v>
      </c>
    </row>
    <row r="43" spans="1:53" hidden="1">
      <c r="AA43" s="64"/>
      <c r="AB43" s="65" t="s">
        <v>36</v>
      </c>
      <c r="AC43" s="65">
        <v>0</v>
      </c>
      <c r="AD43" s="65"/>
      <c r="AE43" s="65"/>
      <c r="AF43" s="36" t="e">
        <f t="shared" si="10"/>
        <v>#REF!</v>
      </c>
      <c r="AG43" s="36" t="e">
        <f t="shared" si="10"/>
        <v>#REF!</v>
      </c>
      <c r="AH43" s="36" t="e">
        <f t="shared" si="10"/>
        <v>#REF!</v>
      </c>
      <c r="AI43" s="36" t="e">
        <f t="shared" si="10"/>
        <v>#REF!</v>
      </c>
      <c r="AJ43" s="36" t="e">
        <f t="shared" si="10"/>
        <v>#REF!</v>
      </c>
      <c r="AK43" s="36" t="e">
        <f t="shared" si="10"/>
        <v>#REF!</v>
      </c>
      <c r="AL43" s="36" t="e">
        <f t="shared" si="10"/>
        <v>#REF!</v>
      </c>
      <c r="AM43" s="36" t="e">
        <f t="shared" si="10"/>
        <v>#REF!</v>
      </c>
      <c r="AN43" s="36" t="e">
        <f t="shared" si="10"/>
        <v>#REF!</v>
      </c>
      <c r="AO43" s="36" t="e">
        <f t="shared" si="10"/>
        <v>#REF!</v>
      </c>
      <c r="AQ43" s="38"/>
      <c r="AR43" s="36" t="e">
        <f t="shared" si="11"/>
        <v>#REF!</v>
      </c>
      <c r="AS43" s="36" t="e">
        <f t="shared" si="11"/>
        <v>#REF!</v>
      </c>
      <c r="AT43" s="36" t="e">
        <f t="shared" si="11"/>
        <v>#REF!</v>
      </c>
      <c r="AU43" s="36" t="e">
        <f t="shared" si="11"/>
        <v>#REF!</v>
      </c>
      <c r="AV43" s="36" t="e">
        <f t="shared" si="11"/>
        <v>#REF!</v>
      </c>
      <c r="AW43" s="36" t="e">
        <f t="shared" si="11"/>
        <v>#REF!</v>
      </c>
      <c r="AX43" s="36" t="e">
        <f t="shared" si="11"/>
        <v>#REF!</v>
      </c>
      <c r="AY43" s="36" t="e">
        <f t="shared" si="11"/>
        <v>#REF!</v>
      </c>
      <c r="AZ43" s="36" t="e">
        <f t="shared" si="11"/>
        <v>#REF!</v>
      </c>
      <c r="BA43" s="36" t="e">
        <f t="shared" si="11"/>
        <v>#REF!</v>
      </c>
    </row>
    <row r="44" spans="1:53" hidden="1">
      <c r="AA44" s="64"/>
      <c r="AB44" s="65" t="s">
        <v>37</v>
      </c>
      <c r="AC44" s="65">
        <v>0</v>
      </c>
      <c r="AD44" s="65"/>
      <c r="AE44" s="65"/>
      <c r="AF44" s="36" t="e">
        <f t="shared" si="10"/>
        <v>#REF!</v>
      </c>
      <c r="AG44" s="36" t="e">
        <f t="shared" si="10"/>
        <v>#REF!</v>
      </c>
      <c r="AH44" s="36" t="e">
        <f t="shared" si="10"/>
        <v>#REF!</v>
      </c>
      <c r="AI44" s="36" t="e">
        <f t="shared" si="10"/>
        <v>#REF!</v>
      </c>
      <c r="AJ44" s="36" t="e">
        <f t="shared" si="10"/>
        <v>#REF!</v>
      </c>
      <c r="AK44" s="36" t="e">
        <f t="shared" si="10"/>
        <v>#REF!</v>
      </c>
      <c r="AL44" s="36" t="e">
        <f t="shared" si="10"/>
        <v>#REF!</v>
      </c>
      <c r="AM44" s="36" t="e">
        <f t="shared" si="10"/>
        <v>#REF!</v>
      </c>
      <c r="AN44" s="36" t="e">
        <f t="shared" si="10"/>
        <v>#REF!</v>
      </c>
      <c r="AO44" s="36" t="e">
        <f t="shared" si="10"/>
        <v>#REF!</v>
      </c>
      <c r="AQ44" s="38"/>
      <c r="AR44" s="36" t="e">
        <f t="shared" si="11"/>
        <v>#REF!</v>
      </c>
      <c r="AS44" s="36" t="e">
        <f t="shared" si="11"/>
        <v>#REF!</v>
      </c>
      <c r="AT44" s="36" t="e">
        <f t="shared" si="11"/>
        <v>#REF!</v>
      </c>
      <c r="AU44" s="36" t="e">
        <f t="shared" si="11"/>
        <v>#REF!</v>
      </c>
      <c r="AV44" s="36" t="e">
        <f t="shared" si="11"/>
        <v>#REF!</v>
      </c>
      <c r="AW44" s="36" t="e">
        <f t="shared" si="11"/>
        <v>#REF!</v>
      </c>
      <c r="AX44" s="36" t="e">
        <f t="shared" si="11"/>
        <v>#REF!</v>
      </c>
      <c r="AY44" s="36" t="e">
        <f t="shared" si="11"/>
        <v>#REF!</v>
      </c>
      <c r="AZ44" s="36" t="e">
        <f t="shared" si="11"/>
        <v>#REF!</v>
      </c>
      <c r="BA44" s="36" t="e">
        <f t="shared" si="11"/>
        <v>#REF!</v>
      </c>
    </row>
    <row r="45" spans="1:53" hidden="1">
      <c r="AA45" s="64"/>
      <c r="AB45" s="65" t="s">
        <v>38</v>
      </c>
      <c r="AC45" s="65">
        <v>14.601599999999999</v>
      </c>
      <c r="AD45" s="65"/>
      <c r="AE45" s="65"/>
      <c r="AF45" s="36" t="e">
        <f t="shared" si="10"/>
        <v>#REF!</v>
      </c>
      <c r="AG45" s="36" t="e">
        <f t="shared" si="10"/>
        <v>#REF!</v>
      </c>
      <c r="AH45" s="36" t="e">
        <f t="shared" si="10"/>
        <v>#REF!</v>
      </c>
      <c r="AI45" s="36" t="e">
        <f t="shared" si="10"/>
        <v>#REF!</v>
      </c>
      <c r="AJ45" s="36" t="e">
        <f t="shared" si="10"/>
        <v>#REF!</v>
      </c>
      <c r="AK45" s="36" t="e">
        <f t="shared" si="10"/>
        <v>#REF!</v>
      </c>
      <c r="AL45" s="36" t="e">
        <f t="shared" si="10"/>
        <v>#REF!</v>
      </c>
      <c r="AM45" s="36" t="e">
        <f t="shared" si="10"/>
        <v>#REF!</v>
      </c>
      <c r="AN45" s="36" t="e">
        <f t="shared" si="10"/>
        <v>#REF!</v>
      </c>
      <c r="AO45" s="36" t="e">
        <f t="shared" si="10"/>
        <v>#REF!</v>
      </c>
      <c r="AQ45" s="38"/>
      <c r="AR45" s="36" t="e">
        <f t="shared" si="11"/>
        <v>#REF!</v>
      </c>
      <c r="AS45" s="36" t="e">
        <f t="shared" si="11"/>
        <v>#REF!</v>
      </c>
      <c r="AT45" s="36" t="e">
        <f t="shared" si="11"/>
        <v>#REF!</v>
      </c>
      <c r="AU45" s="36" t="e">
        <f t="shared" si="11"/>
        <v>#REF!</v>
      </c>
      <c r="AV45" s="36" t="e">
        <f t="shared" si="11"/>
        <v>#REF!</v>
      </c>
      <c r="AW45" s="36" t="e">
        <f t="shared" si="11"/>
        <v>#REF!</v>
      </c>
      <c r="AX45" s="36" t="e">
        <f t="shared" si="11"/>
        <v>#REF!</v>
      </c>
      <c r="AY45" s="36" t="e">
        <f t="shared" si="11"/>
        <v>#REF!</v>
      </c>
      <c r="AZ45" s="36" t="e">
        <f t="shared" si="11"/>
        <v>#REF!</v>
      </c>
      <c r="BA45" s="36" t="e">
        <f t="shared" si="11"/>
        <v>#REF!</v>
      </c>
    </row>
    <row r="46" spans="1:53" hidden="1">
      <c r="AA46" s="64"/>
      <c r="AB46" s="65" t="s">
        <v>39</v>
      </c>
      <c r="AC46" s="65">
        <v>14.570489999999999</v>
      </c>
      <c r="AD46" s="65"/>
      <c r="AE46" s="65"/>
      <c r="AF46" s="36" t="e">
        <f t="shared" si="10"/>
        <v>#REF!</v>
      </c>
      <c r="AG46" s="36" t="e">
        <f t="shared" si="10"/>
        <v>#REF!</v>
      </c>
      <c r="AH46" s="36" t="e">
        <f t="shared" si="10"/>
        <v>#REF!</v>
      </c>
      <c r="AI46" s="36" t="e">
        <f t="shared" si="10"/>
        <v>#REF!</v>
      </c>
      <c r="AJ46" s="36" t="e">
        <f t="shared" si="10"/>
        <v>#REF!</v>
      </c>
      <c r="AK46" s="36" t="e">
        <f t="shared" si="10"/>
        <v>#REF!</v>
      </c>
      <c r="AL46" s="36" t="e">
        <f t="shared" si="10"/>
        <v>#REF!</v>
      </c>
      <c r="AM46" s="36" t="e">
        <f t="shared" si="10"/>
        <v>#REF!</v>
      </c>
      <c r="AN46" s="36" t="e">
        <f t="shared" si="10"/>
        <v>#REF!</v>
      </c>
      <c r="AO46" s="36" t="e">
        <f t="shared" si="10"/>
        <v>#REF!</v>
      </c>
      <c r="AQ46" s="38"/>
      <c r="AR46" s="36" t="e">
        <f t="shared" si="11"/>
        <v>#REF!</v>
      </c>
      <c r="AS46" s="36" t="e">
        <f t="shared" si="11"/>
        <v>#REF!</v>
      </c>
      <c r="AT46" s="36" t="e">
        <f t="shared" si="11"/>
        <v>#REF!</v>
      </c>
      <c r="AU46" s="36" t="e">
        <f t="shared" si="11"/>
        <v>#REF!</v>
      </c>
      <c r="AV46" s="36" t="e">
        <f t="shared" si="11"/>
        <v>#REF!</v>
      </c>
      <c r="AW46" s="36" t="e">
        <f t="shared" si="11"/>
        <v>#REF!</v>
      </c>
      <c r="AX46" s="36" t="e">
        <f t="shared" si="11"/>
        <v>#REF!</v>
      </c>
      <c r="AY46" s="36" t="e">
        <f t="shared" si="11"/>
        <v>#REF!</v>
      </c>
      <c r="AZ46" s="36" t="e">
        <f t="shared" si="11"/>
        <v>#REF!</v>
      </c>
      <c r="BA46" s="36" t="e">
        <f t="shared" si="11"/>
        <v>#REF!</v>
      </c>
    </row>
    <row r="47" spans="1:53" hidden="1">
      <c r="AA47" s="64"/>
      <c r="AB47" s="65" t="s">
        <v>40</v>
      </c>
      <c r="AC47" s="65">
        <v>14.14584</v>
      </c>
      <c r="AD47" s="65"/>
      <c r="AE47" s="65"/>
      <c r="AF47" s="36" t="e">
        <f t="shared" si="10"/>
        <v>#REF!</v>
      </c>
      <c r="AG47" s="36" t="e">
        <f t="shared" si="10"/>
        <v>#REF!</v>
      </c>
      <c r="AH47" s="36" t="e">
        <f t="shared" si="10"/>
        <v>#REF!</v>
      </c>
      <c r="AI47" s="36" t="e">
        <f t="shared" si="10"/>
        <v>#REF!</v>
      </c>
      <c r="AJ47" s="36" t="e">
        <f t="shared" si="10"/>
        <v>#REF!</v>
      </c>
      <c r="AK47" s="36" t="e">
        <f t="shared" si="10"/>
        <v>#REF!</v>
      </c>
      <c r="AL47" s="36" t="e">
        <f t="shared" si="10"/>
        <v>#REF!</v>
      </c>
      <c r="AM47" s="36" t="e">
        <f t="shared" si="10"/>
        <v>#REF!</v>
      </c>
      <c r="AN47" s="36" t="e">
        <f t="shared" si="10"/>
        <v>#REF!</v>
      </c>
      <c r="AO47" s="36" t="e">
        <f t="shared" si="10"/>
        <v>#REF!</v>
      </c>
      <c r="AQ47" s="38"/>
      <c r="AR47" s="36" t="e">
        <f t="shared" si="11"/>
        <v>#REF!</v>
      </c>
      <c r="AS47" s="36" t="e">
        <f t="shared" si="11"/>
        <v>#REF!</v>
      </c>
      <c r="AT47" s="36" t="e">
        <f t="shared" si="11"/>
        <v>#REF!</v>
      </c>
      <c r="AU47" s="36" t="e">
        <f t="shared" si="11"/>
        <v>#REF!</v>
      </c>
      <c r="AV47" s="36" t="e">
        <f t="shared" si="11"/>
        <v>#REF!</v>
      </c>
      <c r="AW47" s="36" t="e">
        <f t="shared" si="11"/>
        <v>#REF!</v>
      </c>
      <c r="AX47" s="36" t="e">
        <f t="shared" si="11"/>
        <v>#REF!</v>
      </c>
      <c r="AY47" s="36" t="e">
        <f t="shared" si="11"/>
        <v>#REF!</v>
      </c>
      <c r="AZ47" s="36" t="e">
        <f t="shared" si="11"/>
        <v>#REF!</v>
      </c>
      <c r="BA47" s="36" t="e">
        <f t="shared" si="11"/>
        <v>#REF!</v>
      </c>
    </row>
    <row r="48" spans="1:53" hidden="1">
      <c r="AQ48" s="38"/>
    </row>
    <row r="49" spans="27:53" hidden="1">
      <c r="AQ49" s="38"/>
    </row>
    <row r="50" spans="27:53" ht="63.75" hidden="1">
      <c r="AA50" s="66" t="s">
        <v>43</v>
      </c>
      <c r="AB50" s="67"/>
      <c r="AC50" s="68"/>
      <c r="AD50" s="68"/>
      <c r="AE50" s="68"/>
      <c r="AF50" s="61" t="s">
        <v>55</v>
      </c>
      <c r="AG50" s="61" t="s">
        <v>73</v>
      </c>
      <c r="AH50" s="61" t="s">
        <v>57</v>
      </c>
      <c r="AI50" s="61" t="s">
        <v>58</v>
      </c>
      <c r="AJ50" s="61" t="s">
        <v>59</v>
      </c>
      <c r="AK50" s="61" t="s">
        <v>60</v>
      </c>
      <c r="AL50" s="62" t="s">
        <v>75</v>
      </c>
      <c r="AM50" s="62" t="s">
        <v>76</v>
      </c>
      <c r="AN50" s="62" t="s">
        <v>61</v>
      </c>
      <c r="AO50" s="62" t="s">
        <v>62</v>
      </c>
      <c r="AP50" s="62"/>
      <c r="AQ50" s="43"/>
      <c r="AR50" s="61" t="s">
        <v>55</v>
      </c>
      <c r="AS50" s="61" t="s">
        <v>73</v>
      </c>
      <c r="AT50" s="61" t="s">
        <v>74</v>
      </c>
      <c r="AU50" s="61" t="s">
        <v>58</v>
      </c>
      <c r="AV50" s="61" t="s">
        <v>59</v>
      </c>
      <c r="AW50" s="61" t="s">
        <v>60</v>
      </c>
      <c r="AX50" s="62" t="s">
        <v>75</v>
      </c>
      <c r="AY50" s="62" t="s">
        <v>76</v>
      </c>
      <c r="AZ50" s="63" t="s">
        <v>61</v>
      </c>
      <c r="BA50" s="61" t="s">
        <v>62</v>
      </c>
    </row>
    <row r="51" spans="27:53" hidden="1">
      <c r="AA51" s="69" t="s">
        <v>44</v>
      </c>
      <c r="AB51" s="35"/>
      <c r="AG51" s="70"/>
      <c r="AQ51" s="38"/>
    </row>
    <row r="52" spans="27:53" hidden="1">
      <c r="AA52" s="71" t="s">
        <v>29</v>
      </c>
      <c r="AB52" s="35"/>
      <c r="AF52" s="70" t="e">
        <f t="shared" ref="AF52:AO52" si="12">AF17+AF19+AF20</f>
        <v>#REF!</v>
      </c>
      <c r="AG52" s="70" t="e">
        <f t="shared" si="12"/>
        <v>#REF!</v>
      </c>
      <c r="AH52" s="70" t="e">
        <f t="shared" si="12"/>
        <v>#REF!</v>
      </c>
      <c r="AI52" s="70" t="e">
        <f t="shared" si="12"/>
        <v>#REF!</v>
      </c>
      <c r="AJ52" s="70" t="e">
        <f t="shared" si="12"/>
        <v>#REF!</v>
      </c>
      <c r="AK52" s="70" t="e">
        <f t="shared" si="12"/>
        <v>#REF!</v>
      </c>
      <c r="AL52" s="70" t="e">
        <f t="shared" si="12"/>
        <v>#REF!</v>
      </c>
      <c r="AM52" s="70" t="e">
        <f t="shared" si="12"/>
        <v>#REF!</v>
      </c>
      <c r="AN52" s="70" t="e">
        <f t="shared" si="12"/>
        <v>#REF!</v>
      </c>
      <c r="AO52" s="70" t="e">
        <f t="shared" si="12"/>
        <v>#REF!</v>
      </c>
      <c r="AP52" s="70"/>
      <c r="AQ52" s="70"/>
      <c r="AR52" s="70" t="e">
        <f t="shared" ref="AR52:BA52" si="13">AR17+AR19+AR20</f>
        <v>#REF!</v>
      </c>
      <c r="AS52" s="70" t="e">
        <f t="shared" si="13"/>
        <v>#REF!</v>
      </c>
      <c r="AT52" s="70" t="e">
        <f t="shared" si="13"/>
        <v>#REF!</v>
      </c>
      <c r="AU52" s="70" t="e">
        <f t="shared" si="13"/>
        <v>#REF!</v>
      </c>
      <c r="AV52" s="70" t="e">
        <f t="shared" si="13"/>
        <v>#REF!</v>
      </c>
      <c r="AW52" s="70" t="e">
        <f t="shared" si="13"/>
        <v>#REF!</v>
      </c>
      <c r="AX52" s="70" t="e">
        <f t="shared" si="13"/>
        <v>#REF!</v>
      </c>
      <c r="AY52" s="70" t="e">
        <f t="shared" si="13"/>
        <v>#REF!</v>
      </c>
      <c r="AZ52" s="70" t="e">
        <f t="shared" si="13"/>
        <v>#REF!</v>
      </c>
      <c r="BA52" s="70" t="e">
        <f t="shared" si="13"/>
        <v>#REF!</v>
      </c>
    </row>
    <row r="53" spans="27:53" hidden="1">
      <c r="AA53" s="71" t="s">
        <v>41</v>
      </c>
      <c r="AB53" s="35"/>
      <c r="AF53" s="70" t="e">
        <f t="shared" ref="AF53:AO53" si="14">AF28+AF30+AF31</f>
        <v>#REF!</v>
      </c>
      <c r="AG53" s="70" t="e">
        <f t="shared" si="14"/>
        <v>#REF!</v>
      </c>
      <c r="AH53" s="70" t="e">
        <f t="shared" si="14"/>
        <v>#REF!</v>
      </c>
      <c r="AI53" s="70" t="e">
        <f t="shared" si="14"/>
        <v>#REF!</v>
      </c>
      <c r="AJ53" s="70" t="e">
        <f t="shared" si="14"/>
        <v>#REF!</v>
      </c>
      <c r="AK53" s="70" t="e">
        <f t="shared" si="14"/>
        <v>#REF!</v>
      </c>
      <c r="AL53" s="70" t="e">
        <f t="shared" si="14"/>
        <v>#REF!</v>
      </c>
      <c r="AM53" s="70" t="e">
        <f t="shared" si="14"/>
        <v>#REF!</v>
      </c>
      <c r="AN53" s="70" t="e">
        <f t="shared" si="14"/>
        <v>#REF!</v>
      </c>
      <c r="AO53" s="70" t="e">
        <f t="shared" si="14"/>
        <v>#REF!</v>
      </c>
      <c r="AP53" s="70"/>
      <c r="AQ53" s="70"/>
      <c r="AR53" s="70" t="e">
        <f t="shared" ref="AR53:BA53" si="15">AR28+AR30+AR31</f>
        <v>#REF!</v>
      </c>
      <c r="AS53" s="70" t="e">
        <f t="shared" si="15"/>
        <v>#REF!</v>
      </c>
      <c r="AT53" s="70" t="e">
        <f t="shared" si="15"/>
        <v>#REF!</v>
      </c>
      <c r="AU53" s="70" t="e">
        <f t="shared" si="15"/>
        <v>#REF!</v>
      </c>
      <c r="AV53" s="70" t="e">
        <f t="shared" si="15"/>
        <v>#REF!</v>
      </c>
      <c r="AW53" s="70" t="e">
        <f t="shared" si="15"/>
        <v>#REF!</v>
      </c>
      <c r="AX53" s="70" t="e">
        <f t="shared" si="15"/>
        <v>#REF!</v>
      </c>
      <c r="AY53" s="70" t="e">
        <f t="shared" si="15"/>
        <v>#REF!</v>
      </c>
      <c r="AZ53" s="70" t="e">
        <f t="shared" si="15"/>
        <v>#REF!</v>
      </c>
      <c r="BA53" s="70" t="e">
        <f t="shared" si="15"/>
        <v>#REF!</v>
      </c>
    </row>
    <row r="54" spans="27:53" hidden="1">
      <c r="AA54" s="71" t="s">
        <v>42</v>
      </c>
      <c r="AB54" s="35"/>
      <c r="AF54" s="70" t="e">
        <f t="shared" ref="AF54:AO54" si="16">AF39+AF41+AF42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AR39+AR41+AR42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69" t="s">
        <v>45</v>
      </c>
      <c r="AB55" s="35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</row>
    <row r="56" spans="27:53" hidden="1">
      <c r="AA56" s="71" t="s">
        <v>29</v>
      </c>
      <c r="AB56" s="35"/>
      <c r="AF56" s="70" t="e">
        <f t="shared" ref="AF56:AO56" si="18">AF17+AF19+AF21+AF23</f>
        <v>#REF!</v>
      </c>
      <c r="AG56" s="70" t="e">
        <f t="shared" si="18"/>
        <v>#REF!</v>
      </c>
      <c r="AH56" s="70" t="e">
        <f t="shared" si="18"/>
        <v>#REF!</v>
      </c>
      <c r="AI56" s="70" t="e">
        <f t="shared" si="18"/>
        <v>#REF!</v>
      </c>
      <c r="AJ56" s="70" t="e">
        <f t="shared" si="18"/>
        <v>#REF!</v>
      </c>
      <c r="AK56" s="70" t="e">
        <f t="shared" si="18"/>
        <v>#REF!</v>
      </c>
      <c r="AL56" s="70" t="e">
        <f t="shared" si="18"/>
        <v>#REF!</v>
      </c>
      <c r="AM56" s="70" t="e">
        <f t="shared" si="18"/>
        <v>#REF!</v>
      </c>
      <c r="AN56" s="70" t="e">
        <f t="shared" si="18"/>
        <v>#REF!</v>
      </c>
      <c r="AO56" s="70" t="e">
        <f t="shared" si="18"/>
        <v>#REF!</v>
      </c>
      <c r="AP56" s="70"/>
      <c r="AQ56" s="70"/>
      <c r="AR56" s="70" t="e">
        <f t="shared" ref="AR56:BA56" si="19">AR17+AR19+AR21+AR23</f>
        <v>#REF!</v>
      </c>
      <c r="AS56" s="70" t="e">
        <f t="shared" si="19"/>
        <v>#REF!</v>
      </c>
      <c r="AT56" s="70" t="e">
        <f t="shared" si="19"/>
        <v>#REF!</v>
      </c>
      <c r="AU56" s="70" t="e">
        <f t="shared" si="19"/>
        <v>#REF!</v>
      </c>
      <c r="AV56" s="70" t="e">
        <f t="shared" si="19"/>
        <v>#REF!</v>
      </c>
      <c r="AW56" s="70" t="e">
        <f t="shared" si="19"/>
        <v>#REF!</v>
      </c>
      <c r="AX56" s="70" t="e">
        <f t="shared" si="19"/>
        <v>#REF!</v>
      </c>
      <c r="AY56" s="70" t="e">
        <f t="shared" si="19"/>
        <v>#REF!</v>
      </c>
      <c r="AZ56" s="70" t="e">
        <f t="shared" si="19"/>
        <v>#REF!</v>
      </c>
      <c r="BA56" s="70" t="e">
        <f t="shared" si="19"/>
        <v>#REF!</v>
      </c>
    </row>
    <row r="57" spans="27:53" hidden="1">
      <c r="AA57" s="71" t="s">
        <v>41</v>
      </c>
      <c r="AB57" s="35"/>
      <c r="AF57" s="70" t="e">
        <f t="shared" ref="AF57:AO57" si="20">AF28+AF30+AF32+AF34</f>
        <v>#REF!</v>
      </c>
      <c r="AG57" s="70" t="e">
        <f t="shared" si="20"/>
        <v>#REF!</v>
      </c>
      <c r="AH57" s="70" t="e">
        <f t="shared" si="20"/>
        <v>#REF!</v>
      </c>
      <c r="AI57" s="70" t="e">
        <f t="shared" si="20"/>
        <v>#REF!</v>
      </c>
      <c r="AJ57" s="70" t="e">
        <f t="shared" si="20"/>
        <v>#REF!</v>
      </c>
      <c r="AK57" s="70" t="e">
        <f t="shared" si="20"/>
        <v>#REF!</v>
      </c>
      <c r="AL57" s="70" t="e">
        <f t="shared" si="20"/>
        <v>#REF!</v>
      </c>
      <c r="AM57" s="70" t="e">
        <f t="shared" si="20"/>
        <v>#REF!</v>
      </c>
      <c r="AN57" s="70" t="e">
        <f t="shared" si="20"/>
        <v>#REF!</v>
      </c>
      <c r="AO57" s="70" t="e">
        <f t="shared" si="20"/>
        <v>#REF!</v>
      </c>
      <c r="AP57" s="70"/>
      <c r="AQ57" s="70"/>
      <c r="AR57" s="70" t="e">
        <f t="shared" ref="AR57:BA57" si="21">AR28+AR30+AR32+AR34</f>
        <v>#REF!</v>
      </c>
      <c r="AS57" s="70" t="e">
        <f t="shared" si="21"/>
        <v>#REF!</v>
      </c>
      <c r="AT57" s="70" t="e">
        <f t="shared" si="21"/>
        <v>#REF!</v>
      </c>
      <c r="AU57" s="70" t="e">
        <f t="shared" si="21"/>
        <v>#REF!</v>
      </c>
      <c r="AV57" s="70" t="e">
        <f t="shared" si="21"/>
        <v>#REF!</v>
      </c>
      <c r="AW57" s="70" t="e">
        <f t="shared" si="21"/>
        <v>#REF!</v>
      </c>
      <c r="AX57" s="70" t="e">
        <f t="shared" si="21"/>
        <v>#REF!</v>
      </c>
      <c r="AY57" s="70" t="e">
        <f t="shared" si="21"/>
        <v>#REF!</v>
      </c>
      <c r="AZ57" s="70" t="e">
        <f t="shared" si="21"/>
        <v>#REF!</v>
      </c>
      <c r="BA57" s="70" t="e">
        <f t="shared" si="21"/>
        <v>#REF!</v>
      </c>
    </row>
    <row r="58" spans="27:53" hidden="1">
      <c r="AA58" s="71" t="s">
        <v>42</v>
      </c>
      <c r="AB58" s="35"/>
      <c r="AF58" s="70" t="e">
        <f t="shared" ref="AF58:AO58" si="22">AF39+AF41+AF43+AF45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AR39+AR41+AR43+AR45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69" t="s">
        <v>46</v>
      </c>
      <c r="AB59" s="35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</row>
    <row r="60" spans="27:53" hidden="1">
      <c r="AA60" s="71" t="s">
        <v>29</v>
      </c>
      <c r="AB60" s="35"/>
      <c r="AF60" s="70" t="e">
        <f t="shared" ref="AF60:AO60" si="24">AF17+AF19+AF21+AF22+AF24</f>
        <v>#REF!</v>
      </c>
      <c r="AG60" s="70" t="e">
        <f t="shared" si="24"/>
        <v>#REF!</v>
      </c>
      <c r="AH60" s="70" t="e">
        <f t="shared" si="24"/>
        <v>#REF!</v>
      </c>
      <c r="AI60" s="70" t="e">
        <f t="shared" si="24"/>
        <v>#REF!</v>
      </c>
      <c r="AJ60" s="70" t="e">
        <f t="shared" si="24"/>
        <v>#REF!</v>
      </c>
      <c r="AK60" s="70" t="e">
        <f t="shared" si="24"/>
        <v>#REF!</v>
      </c>
      <c r="AL60" s="70" t="e">
        <f t="shared" si="24"/>
        <v>#REF!</v>
      </c>
      <c r="AM60" s="70" t="e">
        <f t="shared" si="24"/>
        <v>#REF!</v>
      </c>
      <c r="AN60" s="70" t="e">
        <f t="shared" si="24"/>
        <v>#REF!</v>
      </c>
      <c r="AO60" s="70" t="e">
        <f t="shared" si="24"/>
        <v>#REF!</v>
      </c>
      <c r="AP60" s="70"/>
      <c r="AQ60" s="70"/>
      <c r="AR60" s="70" t="e">
        <f t="shared" ref="AR60:BA60" si="25">AR17+AR19+AR21+AR22+AR24</f>
        <v>#REF!</v>
      </c>
      <c r="AS60" s="70" t="e">
        <f t="shared" si="25"/>
        <v>#REF!</v>
      </c>
      <c r="AT60" s="70" t="e">
        <f t="shared" si="25"/>
        <v>#REF!</v>
      </c>
      <c r="AU60" s="70" t="e">
        <f t="shared" si="25"/>
        <v>#REF!</v>
      </c>
      <c r="AV60" s="70" t="e">
        <f t="shared" si="25"/>
        <v>#REF!</v>
      </c>
      <c r="AW60" s="70" t="e">
        <f t="shared" si="25"/>
        <v>#REF!</v>
      </c>
      <c r="AX60" s="70" t="e">
        <f t="shared" si="25"/>
        <v>#REF!</v>
      </c>
      <c r="AY60" s="70" t="e">
        <f t="shared" si="25"/>
        <v>#REF!</v>
      </c>
      <c r="AZ60" s="70" t="e">
        <f t="shared" si="25"/>
        <v>#REF!</v>
      </c>
      <c r="BA60" s="70" t="e">
        <f t="shared" si="25"/>
        <v>#REF!</v>
      </c>
    </row>
    <row r="61" spans="27:53" hidden="1">
      <c r="AA61" s="71" t="s">
        <v>41</v>
      </c>
      <c r="AB61" s="35"/>
      <c r="AF61" s="70" t="e">
        <f t="shared" ref="AF61:AO61" si="26">AF28+AF30+AF32+AF33+AF35</f>
        <v>#REF!</v>
      </c>
      <c r="AG61" s="70" t="e">
        <f t="shared" si="26"/>
        <v>#REF!</v>
      </c>
      <c r="AH61" s="70" t="e">
        <f t="shared" si="26"/>
        <v>#REF!</v>
      </c>
      <c r="AI61" s="70" t="e">
        <f t="shared" si="26"/>
        <v>#REF!</v>
      </c>
      <c r="AJ61" s="70" t="e">
        <f t="shared" si="26"/>
        <v>#REF!</v>
      </c>
      <c r="AK61" s="70" t="e">
        <f t="shared" si="26"/>
        <v>#REF!</v>
      </c>
      <c r="AL61" s="70" t="e">
        <f t="shared" si="26"/>
        <v>#REF!</v>
      </c>
      <c r="AM61" s="70" t="e">
        <f t="shared" si="26"/>
        <v>#REF!</v>
      </c>
      <c r="AN61" s="70" t="e">
        <f t="shared" si="26"/>
        <v>#REF!</v>
      </c>
      <c r="AO61" s="70" t="e">
        <f t="shared" si="26"/>
        <v>#REF!</v>
      </c>
      <c r="AP61" s="70"/>
      <c r="AQ61" s="70"/>
      <c r="AR61" s="70" t="e">
        <f t="shared" ref="AR61:BA61" si="27">AR28+AR30+AR32+AR33+AR35</f>
        <v>#REF!</v>
      </c>
      <c r="AS61" s="70" t="e">
        <f t="shared" si="27"/>
        <v>#REF!</v>
      </c>
      <c r="AT61" s="70" t="e">
        <f t="shared" si="27"/>
        <v>#REF!</v>
      </c>
      <c r="AU61" s="70" t="e">
        <f t="shared" si="27"/>
        <v>#REF!</v>
      </c>
      <c r="AV61" s="70" t="e">
        <f t="shared" si="27"/>
        <v>#REF!</v>
      </c>
      <c r="AW61" s="70" t="e">
        <f t="shared" si="27"/>
        <v>#REF!</v>
      </c>
      <c r="AX61" s="70" t="e">
        <f t="shared" si="27"/>
        <v>#REF!</v>
      </c>
      <c r="AY61" s="70" t="e">
        <f t="shared" si="27"/>
        <v>#REF!</v>
      </c>
      <c r="AZ61" s="70" t="e">
        <f t="shared" si="27"/>
        <v>#REF!</v>
      </c>
      <c r="BA61" s="70" t="e">
        <f t="shared" si="27"/>
        <v>#REF!</v>
      </c>
    </row>
    <row r="62" spans="27:53" hidden="1">
      <c r="AA62" s="71" t="s">
        <v>42</v>
      </c>
      <c r="AB62" s="35"/>
      <c r="AF62" s="70" t="e">
        <f t="shared" ref="AF62:AO62" si="28">AF39+AF41+AF43+AF44+AF46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AR39+AR41+AR43+AR44+AR46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69" t="s">
        <v>47</v>
      </c>
      <c r="AB63" s="35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</row>
    <row r="64" spans="27:53" hidden="1">
      <c r="AA64" s="71" t="s">
        <v>29</v>
      </c>
      <c r="AB64" s="35"/>
      <c r="AF64" s="70" t="e">
        <f t="shared" ref="AF64:AO64" si="30">AF17+AF19+AF21+AF22+AF25</f>
        <v>#REF!</v>
      </c>
      <c r="AG64" s="70" t="e">
        <f t="shared" si="30"/>
        <v>#REF!</v>
      </c>
      <c r="AH64" s="70" t="e">
        <f t="shared" si="30"/>
        <v>#REF!</v>
      </c>
      <c r="AI64" s="70" t="e">
        <f t="shared" si="30"/>
        <v>#REF!</v>
      </c>
      <c r="AJ64" s="70" t="e">
        <f t="shared" si="30"/>
        <v>#REF!</v>
      </c>
      <c r="AK64" s="70" t="e">
        <f t="shared" si="30"/>
        <v>#REF!</v>
      </c>
      <c r="AL64" s="70" t="e">
        <f t="shared" si="30"/>
        <v>#REF!</v>
      </c>
      <c r="AM64" s="70" t="e">
        <f t="shared" si="30"/>
        <v>#REF!</v>
      </c>
      <c r="AN64" s="70" t="e">
        <f t="shared" si="30"/>
        <v>#REF!</v>
      </c>
      <c r="AO64" s="70" t="e">
        <f t="shared" si="30"/>
        <v>#REF!</v>
      </c>
      <c r="AP64" s="70"/>
      <c r="AQ64" s="70"/>
      <c r="AR64" s="70" t="e">
        <f t="shared" ref="AR64:BA64" si="31">AR17+AR19+AR21+AR22+AR25</f>
        <v>#REF!</v>
      </c>
      <c r="AS64" s="70" t="e">
        <f t="shared" si="31"/>
        <v>#REF!</v>
      </c>
      <c r="AT64" s="70" t="e">
        <f t="shared" si="31"/>
        <v>#REF!</v>
      </c>
      <c r="AU64" s="70" t="e">
        <f t="shared" si="31"/>
        <v>#REF!</v>
      </c>
      <c r="AV64" s="70" t="e">
        <f t="shared" si="31"/>
        <v>#REF!</v>
      </c>
      <c r="AW64" s="70" t="e">
        <f t="shared" si="31"/>
        <v>#REF!</v>
      </c>
      <c r="AX64" s="70" t="e">
        <f t="shared" si="31"/>
        <v>#REF!</v>
      </c>
      <c r="AY64" s="70" t="e">
        <f t="shared" si="31"/>
        <v>#REF!</v>
      </c>
      <c r="AZ64" s="70" t="e">
        <f t="shared" si="31"/>
        <v>#REF!</v>
      </c>
      <c r="BA64" s="70" t="e">
        <f t="shared" si="31"/>
        <v>#REF!</v>
      </c>
    </row>
    <row r="65" spans="27:53" hidden="1">
      <c r="AA65" s="71" t="s">
        <v>41</v>
      </c>
      <c r="AB65" s="35"/>
      <c r="AF65" s="70" t="e">
        <f t="shared" ref="AF65:AO65" si="32">AF28+AF30+AF32+AF33+AF36</f>
        <v>#REF!</v>
      </c>
      <c r="AG65" s="70" t="e">
        <f t="shared" si="32"/>
        <v>#REF!</v>
      </c>
      <c r="AH65" s="70" t="e">
        <f t="shared" si="32"/>
        <v>#REF!</v>
      </c>
      <c r="AI65" s="70" t="e">
        <f t="shared" si="32"/>
        <v>#REF!</v>
      </c>
      <c r="AJ65" s="70" t="e">
        <f t="shared" si="32"/>
        <v>#REF!</v>
      </c>
      <c r="AK65" s="70" t="e">
        <f t="shared" si="32"/>
        <v>#REF!</v>
      </c>
      <c r="AL65" s="70" t="e">
        <f t="shared" si="32"/>
        <v>#REF!</v>
      </c>
      <c r="AM65" s="70" t="e">
        <f t="shared" si="32"/>
        <v>#REF!</v>
      </c>
      <c r="AN65" s="70" t="e">
        <f t="shared" si="32"/>
        <v>#REF!</v>
      </c>
      <c r="AO65" s="70" t="e">
        <f t="shared" si="32"/>
        <v>#REF!</v>
      </c>
      <c r="AP65" s="70"/>
      <c r="AQ65" s="70"/>
      <c r="AR65" s="70" t="e">
        <f t="shared" ref="AR65:BA65" si="33">AR28+AR30+AR32+AR33+AR36</f>
        <v>#REF!</v>
      </c>
      <c r="AS65" s="70" t="e">
        <f t="shared" si="33"/>
        <v>#REF!</v>
      </c>
      <c r="AT65" s="70" t="e">
        <f t="shared" si="33"/>
        <v>#REF!</v>
      </c>
      <c r="AU65" s="70" t="e">
        <f t="shared" si="33"/>
        <v>#REF!</v>
      </c>
      <c r="AV65" s="70" t="e">
        <f t="shared" si="33"/>
        <v>#REF!</v>
      </c>
      <c r="AW65" s="70" t="e">
        <f t="shared" si="33"/>
        <v>#REF!</v>
      </c>
      <c r="AX65" s="70" t="e">
        <f t="shared" si="33"/>
        <v>#REF!</v>
      </c>
      <c r="AY65" s="70" t="e">
        <f t="shared" si="33"/>
        <v>#REF!</v>
      </c>
      <c r="AZ65" s="70" t="e">
        <f t="shared" si="33"/>
        <v>#REF!</v>
      </c>
      <c r="BA65" s="70" t="e">
        <f t="shared" si="33"/>
        <v>#REF!</v>
      </c>
    </row>
    <row r="66" spans="27:53" hidden="1">
      <c r="AA66" s="71" t="s">
        <v>42</v>
      </c>
      <c r="AB66" s="35"/>
      <c r="AF66" s="70" t="e">
        <f t="shared" ref="AF66:AO66" si="34">AF39+AF41+AF43+AF44+AF47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AR39+AR41+AR43+AR44+AR47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69" t="s">
        <v>48</v>
      </c>
      <c r="AB67" s="35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</row>
    <row r="68" spans="27:53" hidden="1">
      <c r="AA68" s="71" t="s">
        <v>29</v>
      </c>
      <c r="AB68" s="35"/>
      <c r="AF68" s="70" t="e">
        <f t="shared" ref="AF68:AO68" si="36">AF17+AF18+AF23</f>
        <v>#REF!</v>
      </c>
      <c r="AG68" s="70" t="e">
        <f t="shared" si="36"/>
        <v>#REF!</v>
      </c>
      <c r="AH68" s="70" t="e">
        <f t="shared" si="36"/>
        <v>#REF!</v>
      </c>
      <c r="AI68" s="70" t="e">
        <f t="shared" si="36"/>
        <v>#REF!</v>
      </c>
      <c r="AJ68" s="70" t="e">
        <f t="shared" si="36"/>
        <v>#REF!</v>
      </c>
      <c r="AK68" s="70" t="e">
        <f t="shared" si="36"/>
        <v>#REF!</v>
      </c>
      <c r="AL68" s="70" t="e">
        <f t="shared" si="36"/>
        <v>#REF!</v>
      </c>
      <c r="AM68" s="70" t="e">
        <f t="shared" si="36"/>
        <v>#REF!</v>
      </c>
      <c r="AN68" s="70" t="e">
        <f t="shared" si="36"/>
        <v>#REF!</v>
      </c>
      <c r="AO68" s="70" t="e">
        <f t="shared" si="36"/>
        <v>#REF!</v>
      </c>
      <c r="AP68" s="70"/>
      <c r="AQ68" s="70"/>
      <c r="AR68" s="70" t="e">
        <f t="shared" ref="AR68:BA68" si="37">AR17+AR18+AR23</f>
        <v>#REF!</v>
      </c>
      <c r="AS68" s="70" t="e">
        <f t="shared" si="37"/>
        <v>#REF!</v>
      </c>
      <c r="AT68" s="70" t="e">
        <f t="shared" si="37"/>
        <v>#REF!</v>
      </c>
      <c r="AU68" s="70" t="e">
        <f t="shared" si="37"/>
        <v>#REF!</v>
      </c>
      <c r="AV68" s="70" t="e">
        <f t="shared" si="37"/>
        <v>#REF!</v>
      </c>
      <c r="AW68" s="70" t="e">
        <f t="shared" si="37"/>
        <v>#REF!</v>
      </c>
      <c r="AX68" s="70" t="e">
        <f t="shared" si="37"/>
        <v>#REF!</v>
      </c>
      <c r="AY68" s="70" t="e">
        <f t="shared" si="37"/>
        <v>#REF!</v>
      </c>
      <c r="AZ68" s="70" t="e">
        <f t="shared" si="37"/>
        <v>#REF!</v>
      </c>
      <c r="BA68" s="70" t="e">
        <f t="shared" si="37"/>
        <v>#REF!</v>
      </c>
    </row>
    <row r="69" spans="27:53" hidden="1">
      <c r="AA69" s="71" t="s">
        <v>41</v>
      </c>
      <c r="AB69" s="35"/>
      <c r="AF69" s="70" t="e">
        <f t="shared" ref="AF69:AO69" si="38">AF28+AF29+AF34</f>
        <v>#REF!</v>
      </c>
      <c r="AG69" s="70" t="e">
        <f t="shared" si="38"/>
        <v>#REF!</v>
      </c>
      <c r="AH69" s="70" t="e">
        <f t="shared" si="38"/>
        <v>#REF!</v>
      </c>
      <c r="AI69" s="70" t="e">
        <f t="shared" si="38"/>
        <v>#REF!</v>
      </c>
      <c r="AJ69" s="70" t="e">
        <f t="shared" si="38"/>
        <v>#REF!</v>
      </c>
      <c r="AK69" s="70" t="e">
        <f t="shared" si="38"/>
        <v>#REF!</v>
      </c>
      <c r="AL69" s="70" t="e">
        <f t="shared" si="38"/>
        <v>#REF!</v>
      </c>
      <c r="AM69" s="70" t="e">
        <f t="shared" si="38"/>
        <v>#REF!</v>
      </c>
      <c r="AN69" s="70" t="e">
        <f t="shared" si="38"/>
        <v>#REF!</v>
      </c>
      <c r="AO69" s="70" t="e">
        <f t="shared" si="38"/>
        <v>#REF!</v>
      </c>
      <c r="AP69" s="70"/>
      <c r="AQ69" s="70"/>
      <c r="AR69" s="70" t="e">
        <f t="shared" ref="AR69:BA69" si="39">AR28+AR29+AR34</f>
        <v>#REF!</v>
      </c>
      <c r="AS69" s="70" t="e">
        <f t="shared" si="39"/>
        <v>#REF!</v>
      </c>
      <c r="AT69" s="70" t="e">
        <f t="shared" si="39"/>
        <v>#REF!</v>
      </c>
      <c r="AU69" s="70" t="e">
        <f t="shared" si="39"/>
        <v>#REF!</v>
      </c>
      <c r="AV69" s="70" t="e">
        <f t="shared" si="39"/>
        <v>#REF!</v>
      </c>
      <c r="AW69" s="70" t="e">
        <f t="shared" si="39"/>
        <v>#REF!</v>
      </c>
      <c r="AX69" s="70" t="e">
        <f t="shared" si="39"/>
        <v>#REF!</v>
      </c>
      <c r="AY69" s="70" t="e">
        <f t="shared" si="39"/>
        <v>#REF!</v>
      </c>
      <c r="AZ69" s="70" t="e">
        <f t="shared" si="39"/>
        <v>#REF!</v>
      </c>
      <c r="BA69" s="70" t="e">
        <f t="shared" si="39"/>
        <v>#REF!</v>
      </c>
    </row>
    <row r="70" spans="27:53" hidden="1">
      <c r="AA70" s="71" t="s">
        <v>42</v>
      </c>
      <c r="AB70" s="35"/>
      <c r="AF70" s="70" t="e">
        <f t="shared" ref="AF70:AO70" si="40">AF39+AF40+AF45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AR39+AR40+AR45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2" t="s">
        <v>49</v>
      </c>
      <c r="AB71" s="35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</row>
    <row r="72" spans="27:53" hidden="1">
      <c r="AA72" s="71" t="s">
        <v>29</v>
      </c>
      <c r="AB72" s="35"/>
      <c r="AF72" s="70" t="e">
        <f t="shared" ref="AF72:AO72" si="42">AF17+AF18+AF22+AF24</f>
        <v>#REF!</v>
      </c>
      <c r="AG72" s="70" t="e">
        <f t="shared" si="42"/>
        <v>#REF!</v>
      </c>
      <c r="AH72" s="70" t="e">
        <f t="shared" si="42"/>
        <v>#REF!</v>
      </c>
      <c r="AI72" s="70" t="e">
        <f t="shared" si="42"/>
        <v>#REF!</v>
      </c>
      <c r="AJ72" s="70" t="e">
        <f t="shared" si="42"/>
        <v>#REF!</v>
      </c>
      <c r="AK72" s="70" t="e">
        <f t="shared" si="42"/>
        <v>#REF!</v>
      </c>
      <c r="AL72" s="70" t="e">
        <f t="shared" si="42"/>
        <v>#REF!</v>
      </c>
      <c r="AM72" s="70" t="e">
        <f t="shared" si="42"/>
        <v>#REF!</v>
      </c>
      <c r="AN72" s="70" t="e">
        <f t="shared" si="42"/>
        <v>#REF!</v>
      </c>
      <c r="AO72" s="70" t="e">
        <f t="shared" si="42"/>
        <v>#REF!</v>
      </c>
      <c r="AP72" s="70"/>
      <c r="AQ72" s="70"/>
      <c r="AR72" s="70" t="e">
        <f t="shared" ref="AR72:BA72" si="43">AR17+AR18+AR22+AR24</f>
        <v>#REF!</v>
      </c>
      <c r="AS72" s="70" t="e">
        <f t="shared" si="43"/>
        <v>#REF!</v>
      </c>
      <c r="AT72" s="70" t="e">
        <f t="shared" si="43"/>
        <v>#REF!</v>
      </c>
      <c r="AU72" s="70" t="e">
        <f t="shared" si="43"/>
        <v>#REF!</v>
      </c>
      <c r="AV72" s="70" t="e">
        <f t="shared" si="43"/>
        <v>#REF!</v>
      </c>
      <c r="AW72" s="70" t="e">
        <f t="shared" si="43"/>
        <v>#REF!</v>
      </c>
      <c r="AX72" s="70" t="e">
        <f t="shared" si="43"/>
        <v>#REF!</v>
      </c>
      <c r="AY72" s="70" t="e">
        <f t="shared" si="43"/>
        <v>#REF!</v>
      </c>
      <c r="AZ72" s="70" t="e">
        <f t="shared" si="43"/>
        <v>#REF!</v>
      </c>
      <c r="BA72" s="70" t="e">
        <f t="shared" si="43"/>
        <v>#REF!</v>
      </c>
    </row>
    <row r="73" spans="27:53" hidden="1">
      <c r="AA73" s="71" t="s">
        <v>41</v>
      </c>
      <c r="AB73" s="35"/>
      <c r="AF73" s="70" t="e">
        <f t="shared" ref="AF73:AO73" si="44">AF28+AF29+AF33+AF35</f>
        <v>#REF!</v>
      </c>
      <c r="AG73" s="70" t="e">
        <f t="shared" si="44"/>
        <v>#REF!</v>
      </c>
      <c r="AH73" s="70" t="e">
        <f t="shared" si="44"/>
        <v>#REF!</v>
      </c>
      <c r="AI73" s="70" t="e">
        <f t="shared" si="44"/>
        <v>#REF!</v>
      </c>
      <c r="AJ73" s="70" t="e">
        <f t="shared" si="44"/>
        <v>#REF!</v>
      </c>
      <c r="AK73" s="70" t="e">
        <f t="shared" si="44"/>
        <v>#REF!</v>
      </c>
      <c r="AL73" s="70" t="e">
        <f t="shared" si="44"/>
        <v>#REF!</v>
      </c>
      <c r="AM73" s="70" t="e">
        <f t="shared" si="44"/>
        <v>#REF!</v>
      </c>
      <c r="AN73" s="70" t="e">
        <f t="shared" si="44"/>
        <v>#REF!</v>
      </c>
      <c r="AO73" s="70" t="e">
        <f t="shared" si="44"/>
        <v>#REF!</v>
      </c>
      <c r="AP73" s="70"/>
      <c r="AQ73" s="70"/>
      <c r="AR73" s="70" t="e">
        <f t="shared" ref="AR73:BA73" si="45">AR28+AR29+AR33+AR35</f>
        <v>#REF!</v>
      </c>
      <c r="AS73" s="70" t="e">
        <f t="shared" si="45"/>
        <v>#REF!</v>
      </c>
      <c r="AT73" s="70" t="e">
        <f t="shared" si="45"/>
        <v>#REF!</v>
      </c>
      <c r="AU73" s="70" t="e">
        <f t="shared" si="45"/>
        <v>#REF!</v>
      </c>
      <c r="AV73" s="70" t="e">
        <f t="shared" si="45"/>
        <v>#REF!</v>
      </c>
      <c r="AW73" s="70" t="e">
        <f t="shared" si="45"/>
        <v>#REF!</v>
      </c>
      <c r="AX73" s="70" t="e">
        <f t="shared" si="45"/>
        <v>#REF!</v>
      </c>
      <c r="AY73" s="70" t="e">
        <f t="shared" si="45"/>
        <v>#REF!</v>
      </c>
      <c r="AZ73" s="70" t="e">
        <f t="shared" si="45"/>
        <v>#REF!</v>
      </c>
      <c r="BA73" s="70" t="e">
        <f t="shared" si="45"/>
        <v>#REF!</v>
      </c>
    </row>
    <row r="74" spans="27:53" hidden="1">
      <c r="AA74" s="71" t="s">
        <v>42</v>
      </c>
      <c r="AB74" s="35"/>
      <c r="AF74" s="70" t="e">
        <f t="shared" ref="AF74:AO74" si="46">AF39+AF40+AF44+AF46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AR39+AR40+AR44+AR46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69" t="s">
        <v>50</v>
      </c>
      <c r="AB75" s="35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</row>
    <row r="76" spans="27:53" hidden="1">
      <c r="AA76" s="71" t="s">
        <v>29</v>
      </c>
      <c r="AB76" s="35"/>
      <c r="AF76" s="70" t="e">
        <f t="shared" ref="AF76:AO76" si="48">AF17+AF18+AF22+AF25</f>
        <v>#REF!</v>
      </c>
      <c r="AG76" s="70" t="e">
        <f t="shared" si="48"/>
        <v>#REF!</v>
      </c>
      <c r="AH76" s="70" t="e">
        <f t="shared" si="48"/>
        <v>#REF!</v>
      </c>
      <c r="AI76" s="70" t="e">
        <f t="shared" si="48"/>
        <v>#REF!</v>
      </c>
      <c r="AJ76" s="70" t="e">
        <f t="shared" si="48"/>
        <v>#REF!</v>
      </c>
      <c r="AK76" s="70" t="e">
        <f t="shared" si="48"/>
        <v>#REF!</v>
      </c>
      <c r="AL76" s="70" t="e">
        <f t="shared" si="48"/>
        <v>#REF!</v>
      </c>
      <c r="AM76" s="70" t="e">
        <f t="shared" si="48"/>
        <v>#REF!</v>
      </c>
      <c r="AN76" s="70" t="e">
        <f t="shared" si="48"/>
        <v>#REF!</v>
      </c>
      <c r="AO76" s="70" t="e">
        <f t="shared" si="48"/>
        <v>#REF!</v>
      </c>
      <c r="AP76" s="70"/>
      <c r="AQ76" s="70"/>
      <c r="AR76" s="70" t="e">
        <f t="shared" ref="AR76:BA76" si="49">AR17+AR18+AR22+AR25</f>
        <v>#REF!</v>
      </c>
      <c r="AS76" s="70" t="e">
        <f t="shared" si="49"/>
        <v>#REF!</v>
      </c>
      <c r="AT76" s="70" t="e">
        <f t="shared" si="49"/>
        <v>#REF!</v>
      </c>
      <c r="AU76" s="70" t="e">
        <f t="shared" si="49"/>
        <v>#REF!</v>
      </c>
      <c r="AV76" s="70" t="e">
        <f t="shared" si="49"/>
        <v>#REF!</v>
      </c>
      <c r="AW76" s="70" t="e">
        <f t="shared" si="49"/>
        <v>#REF!</v>
      </c>
      <c r="AX76" s="70" t="e">
        <f t="shared" si="49"/>
        <v>#REF!</v>
      </c>
      <c r="AY76" s="70" t="e">
        <f t="shared" si="49"/>
        <v>#REF!</v>
      </c>
      <c r="AZ76" s="70" t="e">
        <f t="shared" si="49"/>
        <v>#REF!</v>
      </c>
      <c r="BA76" s="70" t="e">
        <f t="shared" si="49"/>
        <v>#REF!</v>
      </c>
    </row>
    <row r="77" spans="27:53" hidden="1">
      <c r="AA77" s="71" t="s">
        <v>41</v>
      </c>
      <c r="AB77" s="35"/>
      <c r="AF77" s="70" t="e">
        <f t="shared" ref="AF77:AO77" si="50">AF28+AF29+AF33+AF36</f>
        <v>#REF!</v>
      </c>
      <c r="AG77" s="70" t="e">
        <f t="shared" si="50"/>
        <v>#REF!</v>
      </c>
      <c r="AH77" s="70" t="e">
        <f t="shared" si="50"/>
        <v>#REF!</v>
      </c>
      <c r="AI77" s="70" t="e">
        <f t="shared" si="50"/>
        <v>#REF!</v>
      </c>
      <c r="AJ77" s="70" t="e">
        <f t="shared" si="50"/>
        <v>#REF!</v>
      </c>
      <c r="AK77" s="70" t="e">
        <f t="shared" si="50"/>
        <v>#REF!</v>
      </c>
      <c r="AL77" s="70" t="e">
        <f t="shared" si="50"/>
        <v>#REF!</v>
      </c>
      <c r="AM77" s="70" t="e">
        <f t="shared" si="50"/>
        <v>#REF!</v>
      </c>
      <c r="AN77" s="70" t="e">
        <f t="shared" si="50"/>
        <v>#REF!</v>
      </c>
      <c r="AO77" s="70" t="e">
        <f t="shared" si="50"/>
        <v>#REF!</v>
      </c>
      <c r="AP77" s="70"/>
      <c r="AQ77" s="70"/>
      <c r="AR77" s="70" t="e">
        <f t="shared" ref="AR77:BA77" si="51">AR28+AR29+AR33+AR36</f>
        <v>#REF!</v>
      </c>
      <c r="AS77" s="70" t="e">
        <f t="shared" si="51"/>
        <v>#REF!</v>
      </c>
      <c r="AT77" s="70" t="e">
        <f t="shared" si="51"/>
        <v>#REF!</v>
      </c>
      <c r="AU77" s="70" t="e">
        <f t="shared" si="51"/>
        <v>#REF!</v>
      </c>
      <c r="AV77" s="70" t="e">
        <f t="shared" si="51"/>
        <v>#REF!</v>
      </c>
      <c r="AW77" s="70" t="e">
        <f t="shared" si="51"/>
        <v>#REF!</v>
      </c>
      <c r="AX77" s="70" t="e">
        <f t="shared" si="51"/>
        <v>#REF!</v>
      </c>
      <c r="AY77" s="70" t="e">
        <f t="shared" si="51"/>
        <v>#REF!</v>
      </c>
      <c r="AZ77" s="70" t="e">
        <f t="shared" si="51"/>
        <v>#REF!</v>
      </c>
      <c r="BA77" s="70" t="e">
        <f t="shared" si="51"/>
        <v>#REF!</v>
      </c>
    </row>
    <row r="78" spans="27:53" hidden="1">
      <c r="AA78" s="71" t="s">
        <v>42</v>
      </c>
      <c r="AB78" s="35"/>
      <c r="AF78" s="70" t="e">
        <f t="shared" ref="AF78:AO78" si="52">AF39+AF40+AF44+AF47</f>
        <v>#REF!</v>
      </c>
      <c r="AG78" s="70" t="e">
        <f t="shared" si="52"/>
        <v>#REF!</v>
      </c>
      <c r="AH78" s="70" t="e">
        <f t="shared" si="52"/>
        <v>#REF!</v>
      </c>
      <c r="AI78" s="70" t="e">
        <f t="shared" si="52"/>
        <v>#REF!</v>
      </c>
      <c r="AJ78" s="70" t="e">
        <f t="shared" si="52"/>
        <v>#REF!</v>
      </c>
      <c r="AK78" s="70" t="e">
        <f t="shared" si="52"/>
        <v>#REF!</v>
      </c>
      <c r="AL78" s="70" t="e">
        <f t="shared" si="52"/>
        <v>#REF!</v>
      </c>
      <c r="AM78" s="70" t="e">
        <f t="shared" si="52"/>
        <v>#REF!</v>
      </c>
      <c r="AN78" s="70" t="e">
        <f t="shared" si="52"/>
        <v>#REF!</v>
      </c>
      <c r="AO78" s="70" t="e">
        <f t="shared" si="52"/>
        <v>#REF!</v>
      </c>
      <c r="AP78" s="70"/>
      <c r="AQ78" s="70"/>
      <c r="AR78" s="70" t="e">
        <f t="shared" ref="AR78:BA78" si="53">AR39+AR40+AR44+AR47</f>
        <v>#REF!</v>
      </c>
      <c r="AS78" s="70" t="e">
        <f t="shared" si="53"/>
        <v>#REF!</v>
      </c>
      <c r="AT78" s="70" t="e">
        <f t="shared" si="53"/>
        <v>#REF!</v>
      </c>
      <c r="AU78" s="70" t="e">
        <f t="shared" si="53"/>
        <v>#REF!</v>
      </c>
      <c r="AV78" s="70" t="e">
        <f t="shared" si="53"/>
        <v>#REF!</v>
      </c>
      <c r="AW78" s="70" t="e">
        <f t="shared" si="53"/>
        <v>#REF!</v>
      </c>
      <c r="AX78" s="70" t="e">
        <f t="shared" si="53"/>
        <v>#REF!</v>
      </c>
      <c r="AY78" s="70" t="e">
        <f t="shared" si="53"/>
        <v>#REF!</v>
      </c>
      <c r="AZ78" s="70" t="e">
        <f t="shared" si="53"/>
        <v>#REF!</v>
      </c>
      <c r="BA78" s="70" t="e">
        <f t="shared" si="53"/>
        <v>#REF!</v>
      </c>
    </row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7" spans="1:52" hidden="1"/>
    <row r="89" spans="1:52">
      <c r="A89" s="598" t="s">
        <v>108</v>
      </c>
      <c r="B89" s="598" t="s">
        <v>52</v>
      </c>
      <c r="C89" s="39" t="s">
        <v>101</v>
      </c>
      <c r="D89" s="39" t="s">
        <v>53</v>
      </c>
      <c r="E89" s="39" t="s">
        <v>54</v>
      </c>
      <c r="F89" s="587" t="s">
        <v>64</v>
      </c>
      <c r="G89" s="600"/>
      <c r="H89" s="600"/>
      <c r="I89" s="600"/>
      <c r="J89" s="600"/>
      <c r="K89" s="600"/>
      <c r="L89" s="600"/>
      <c r="M89" s="600"/>
      <c r="N89" s="600"/>
      <c r="O89" s="600"/>
      <c r="P89" s="590"/>
      <c r="AN89" s="38"/>
      <c r="AZ89" s="36"/>
    </row>
    <row r="90" spans="1:52" ht="63.75">
      <c r="A90" s="599"/>
      <c r="B90" s="599"/>
      <c r="C90" s="41" t="s">
        <v>66</v>
      </c>
      <c r="D90" s="41" t="s">
        <v>67</v>
      </c>
      <c r="E90" s="41" t="s">
        <v>68</v>
      </c>
      <c r="F90" s="545" t="s">
        <v>55</v>
      </c>
      <c r="G90" s="545" t="s">
        <v>73</v>
      </c>
      <c r="H90" s="545" t="s">
        <v>74</v>
      </c>
      <c r="I90" s="545" t="s">
        <v>58</v>
      </c>
      <c r="J90" s="545" t="s">
        <v>59</v>
      </c>
      <c r="K90" s="545" t="s">
        <v>60</v>
      </c>
      <c r="L90" s="544" t="s">
        <v>75</v>
      </c>
      <c r="M90" s="544" t="s">
        <v>76</v>
      </c>
      <c r="N90" s="544" t="s">
        <v>61</v>
      </c>
      <c r="O90" s="544" t="s">
        <v>62</v>
      </c>
      <c r="P90" s="544" t="s">
        <v>63</v>
      </c>
      <c r="AN90" s="38"/>
      <c r="AZ90" s="36"/>
    </row>
    <row r="91" spans="1:52" ht="25.5">
      <c r="A91" s="44" t="str">
        <f t="shared" ref="A91:C92" si="54">A4</f>
        <v>General Construction</v>
      </c>
      <c r="B91" s="45" t="str">
        <f t="shared" si="54"/>
        <v>Light-Duty Truck, catalyst</v>
      </c>
      <c r="C91" s="46">
        <f t="shared" si="54"/>
        <v>3</v>
      </c>
      <c r="D91" s="46">
        <v>35</v>
      </c>
      <c r="E91" s="46">
        <v>80</v>
      </c>
      <c r="F91" s="50">
        <f>C4*($E4*$F4+($G4))/453.59</f>
        <v>1.4571581576427601</v>
      </c>
      <c r="G91" s="50">
        <f>C4*($E4*$H4+($I4))/453.59</f>
        <v>0.13101197188313402</v>
      </c>
      <c r="H91" s="50">
        <f>C4*(($E4*$J4)+($K4)+($L4)+($E4*$N4)+(($M4+$O4)))/453.59</f>
        <v>0.15149994097185998</v>
      </c>
      <c r="I91" s="50">
        <f>C4*($E4*$P4+($Q4))/453.59</f>
        <v>2.1803910814818476E-3</v>
      </c>
      <c r="J91" s="50">
        <f>C4*(($E4*($R4+$T4+$U4))+($S4))/453.59</f>
        <v>2.5572271365623688E-2</v>
      </c>
      <c r="K91" s="50">
        <f>$C4*(($E4*($V4+$X4+$Y4))+($W4))/453.59</f>
        <v>1.1136015972759426E-2</v>
      </c>
      <c r="L91" s="50">
        <f>$B$24*C4*(E4+6)</f>
        <v>2.5315747758215698E-2</v>
      </c>
      <c r="M91" s="50">
        <f t="shared" ref="M91:M93" si="55">0.41*L91</f>
        <v>1.0379456580868435E-2</v>
      </c>
      <c r="N91" s="50">
        <f>C4*($E4*$Z4+($AA4))/453.59</f>
        <v>166.27073017811671</v>
      </c>
      <c r="O91" s="50">
        <f>C4*($E4*$AB4+($AC4))/453.59</f>
        <v>9.5114261670907474E-3</v>
      </c>
      <c r="P91" s="50">
        <f>C4*($E4*$AD4+($AE4))/453.59</f>
        <v>1.7313359741530081E-2</v>
      </c>
      <c r="AN91" s="38"/>
      <c r="AZ91" s="36"/>
    </row>
    <row r="92" spans="1:52" ht="25.5">
      <c r="A92" s="44" t="str">
        <f t="shared" si="54"/>
        <v>Substation General Construction</v>
      </c>
      <c r="B92" s="45" t="str">
        <f t="shared" si="54"/>
        <v>Light-Duty Truck, catalyst</v>
      </c>
      <c r="C92" s="46">
        <f t="shared" si="54"/>
        <v>3</v>
      </c>
      <c r="D92" s="46">
        <v>35</v>
      </c>
      <c r="E92" s="46">
        <v>80</v>
      </c>
      <c r="F92" s="50">
        <f>C5*($E5*$F5+($G5))/453.59</f>
        <v>1.4571581576427601</v>
      </c>
      <c r="G92" s="50">
        <f>C5*($E5*$H5+($I5))/453.59</f>
        <v>0.13101197188313402</v>
      </c>
      <c r="H92" s="50">
        <f>C5*(($E5*$J5)+($K5)+($L5)+($E5*$N5)+(($M5+$O5)))/453.59</f>
        <v>0.15149994097185998</v>
      </c>
      <c r="I92" s="50">
        <f>C5*($E5*$P5+($Q5))/453.59</f>
        <v>2.1803910814818476E-3</v>
      </c>
      <c r="J92" s="50">
        <f>C5*(($E5*($R5+$T5+$U5))+($S5))/453.59</f>
        <v>2.5572271365623688E-2</v>
      </c>
      <c r="K92" s="50">
        <f>$C5*(($E5*($V5+$X5+$Y5))+($W5))/453.59</f>
        <v>1.1136015972759426E-2</v>
      </c>
      <c r="L92" s="50">
        <f>$B$24*C5*(E5+6)</f>
        <v>2.5315747758215698E-2</v>
      </c>
      <c r="M92" s="50">
        <f t="shared" si="55"/>
        <v>1.0379456580868435E-2</v>
      </c>
      <c r="N92" s="50">
        <f>C5*($E5*$Z5+($AA5))/453.59</f>
        <v>166.27073017811671</v>
      </c>
      <c r="O92" s="50">
        <f>C5*($E5*$AB5+($AC5))/453.59</f>
        <v>9.5114261670907474E-3</v>
      </c>
      <c r="P92" s="50">
        <f>C5*($E5*$AD5+($AE5))/453.59</f>
        <v>1.7313359741530081E-2</v>
      </c>
      <c r="AN92" s="38"/>
      <c r="AZ92" s="36"/>
    </row>
    <row r="93" spans="1:52" ht="25.5">
      <c r="A93" s="44" t="str">
        <f t="shared" ref="A93:C94" si="56">A6</f>
        <v>Substation CMU Wall</v>
      </c>
      <c r="B93" s="45" t="str">
        <f t="shared" si="56"/>
        <v>Light-Duty Truck, catalyst</v>
      </c>
      <c r="C93" s="46">
        <f t="shared" si="56"/>
        <v>12</v>
      </c>
      <c r="D93" s="46">
        <v>35</v>
      </c>
      <c r="E93" s="46">
        <v>80</v>
      </c>
      <c r="F93" s="50">
        <f>C6*($E6*$F6+($G6))/453.59</f>
        <v>5.8286326305710405</v>
      </c>
      <c r="G93" s="50">
        <f>C6*($E6*$H6+($I6))/453.59</f>
        <v>0.52404788753253606</v>
      </c>
      <c r="H93" s="50">
        <f>C6*(($E6*$J6)+($K6)+($L6)+($E6*$N6)+(($M6+$O6)))/453.59</f>
        <v>0.60599976388743992</v>
      </c>
      <c r="I93" s="50">
        <f>C6*($E6*$P6+($Q6))/453.59</f>
        <v>8.7215643259273903E-3</v>
      </c>
      <c r="J93" s="50">
        <f>C6*(($E6*($R6+$T6+$U6))+($S6))/453.59</f>
        <v>0.10228908546249475</v>
      </c>
      <c r="K93" s="50">
        <f>$C6*(($E6*($V6+$X6+$Y6))+($W6))/453.59</f>
        <v>4.4544063891037704E-2</v>
      </c>
      <c r="L93" s="50">
        <f>$B$24*C6*(E6+6)</f>
        <v>0.10126299103286279</v>
      </c>
      <c r="M93" s="50">
        <f t="shared" si="55"/>
        <v>4.1517826323473742E-2</v>
      </c>
      <c r="N93" s="50">
        <f>C6*($E6*$Z6+($AA6))/453.59</f>
        <v>665.08292071246683</v>
      </c>
      <c r="O93" s="50">
        <f>C6*($E6*$AB6+($AC6))/453.59</f>
        <v>3.804570466836299E-2</v>
      </c>
      <c r="P93" s="50">
        <f>C6*($E6*$AD6+($AE6))/453.59</f>
        <v>6.9253438966120323E-2</v>
      </c>
      <c r="AN93" s="38"/>
      <c r="AZ93" s="36"/>
    </row>
    <row r="94" spans="1:52" ht="25.5">
      <c r="A94" s="44" t="str">
        <f t="shared" si="56"/>
        <v>Substation Below Grade</v>
      </c>
      <c r="B94" s="45" t="str">
        <f t="shared" si="56"/>
        <v>Light-Duty Truck, catalyst</v>
      </c>
      <c r="C94" s="46">
        <f t="shared" si="56"/>
        <v>10</v>
      </c>
      <c r="D94" s="46">
        <v>35</v>
      </c>
      <c r="E94" s="46">
        <v>80</v>
      </c>
      <c r="F94" s="50">
        <f>C7*($E7*$F7+($G7))/453.59</f>
        <v>4.8571938588092012</v>
      </c>
      <c r="G94" s="50">
        <f>C7*($E7*$H7+($I7))/453.59</f>
        <v>0.43670657294378012</v>
      </c>
      <c r="H94" s="50">
        <f>C7*(($E7*$J7)+($K7)+($L7)+($E7*$N7)+(($M7+$O7)))/453.59</f>
        <v>0.50499980323953331</v>
      </c>
      <c r="I94" s="50">
        <f>C7*($E7*$P7+($Q7))/453.59</f>
        <v>7.2679702716061598E-3</v>
      </c>
      <c r="J94" s="50">
        <f>C7*(($E7*($R7+$T7+$U7))+($S7))/453.59</f>
        <v>8.5240904552078958E-2</v>
      </c>
      <c r="K94" s="50">
        <f>$C7*(($E7*($V7+$X7+$Y7))+($W7))/453.59</f>
        <v>3.7120053242531412E-2</v>
      </c>
      <c r="L94" s="50">
        <f>$B$24*C7*(E7+6)</f>
        <v>8.438582586071898E-2</v>
      </c>
      <c r="M94" s="50">
        <f t="shared" ref="M94" si="57">0.41*L94</f>
        <v>3.4598188602894778E-2</v>
      </c>
      <c r="N94" s="50">
        <f>C7*($E7*$Z7+($AA7))/453.59</f>
        <v>554.23576726038891</v>
      </c>
      <c r="O94" s="50">
        <f>C7*($E7*$AB7+($AC7))/453.59</f>
        <v>3.1704753890302494E-2</v>
      </c>
      <c r="P94" s="50">
        <f>C7*($E7*$AD7+($AE7))/453.59</f>
        <v>5.7711199138433596E-2</v>
      </c>
      <c r="AN94" s="38"/>
      <c r="AZ94" s="36"/>
    </row>
    <row r="95" spans="1:52">
      <c r="A95" s="61" t="s">
        <v>389</v>
      </c>
      <c r="B95" s="40"/>
      <c r="C95" s="40"/>
      <c r="D95" s="40"/>
      <c r="E95" s="40"/>
      <c r="F95" s="81">
        <f>SUM(F91:F94)</f>
        <v>13.600142804665762</v>
      </c>
      <c r="G95" s="81">
        <f t="shared" ref="G95:P95" si="58">SUM(G91:G94)</f>
        <v>1.2227784042425842</v>
      </c>
      <c r="H95" s="81">
        <f t="shared" si="58"/>
        <v>1.4139994490706931</v>
      </c>
      <c r="I95" s="81">
        <f t="shared" si="58"/>
        <v>2.0350316760497245E-2</v>
      </c>
      <c r="J95" s="81">
        <f t="shared" si="58"/>
        <v>0.23867453274582107</v>
      </c>
      <c r="K95" s="81">
        <f t="shared" si="58"/>
        <v>0.10393614907908796</v>
      </c>
      <c r="L95" s="81">
        <f t="shared" si="58"/>
        <v>0.23628031241001318</v>
      </c>
      <c r="M95" s="81">
        <f t="shared" si="58"/>
        <v>9.6874928088105383E-2</v>
      </c>
      <c r="N95" s="81">
        <f t="shared" si="58"/>
        <v>1551.860148329089</v>
      </c>
      <c r="O95" s="81">
        <f t="shared" si="58"/>
        <v>8.8773310892846985E-2</v>
      </c>
      <c r="P95" s="81">
        <f t="shared" si="58"/>
        <v>0.16159135758761409</v>
      </c>
      <c r="AN95" s="38"/>
      <c r="AZ95" s="36"/>
    </row>
  </sheetData>
  <mergeCells count="16">
    <mergeCell ref="A89:A90"/>
    <mergeCell ref="A2:A3"/>
    <mergeCell ref="AR14:BA14"/>
    <mergeCell ref="B89:B90"/>
    <mergeCell ref="F89:P89"/>
    <mergeCell ref="R2:U2"/>
    <mergeCell ref="V2:Y2"/>
    <mergeCell ref="Z2:AA2"/>
    <mergeCell ref="AB2:AC2"/>
    <mergeCell ref="AD2:AE2"/>
    <mergeCell ref="AF14:AO14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33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585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314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8</v>
      </c>
      <c r="P8" s="88">
        <v>125</v>
      </c>
      <c r="Q8" s="34">
        <f t="shared" ref="Q8:Y10" si="2">(E8*$N8*$O8)</f>
        <v>0.49946184642775621</v>
      </c>
      <c r="R8" s="26">
        <f t="shared" si="2"/>
        <v>2.4431746031746027</v>
      </c>
      <c r="S8" s="26">
        <f t="shared" si="2"/>
        <v>3.1176888888888881</v>
      </c>
      <c r="T8" s="26">
        <f t="shared" si="2"/>
        <v>4.4060015200662857E-3</v>
      </c>
      <c r="U8" s="26">
        <f t="shared" si="2"/>
        <v>0.19809523809523807</v>
      </c>
      <c r="V8" s="26">
        <f t="shared" si="2"/>
        <v>0.17630476190476188</v>
      </c>
      <c r="W8" s="26">
        <f t="shared" si="2"/>
        <v>375.60183859341714</v>
      </c>
      <c r="X8" s="26">
        <f t="shared" si="2"/>
        <v>5.4697471816927752E-2</v>
      </c>
      <c r="Y8" s="26">
        <f t="shared" si="2"/>
        <v>0.29618044444444436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9</v>
      </c>
      <c r="P9" s="363">
        <v>125</v>
      </c>
      <c r="Q9" s="34">
        <f t="shared" si="2"/>
        <v>1.0612998664693185</v>
      </c>
      <c r="R9" s="26">
        <f t="shared" si="2"/>
        <v>3.2860974016937274</v>
      </c>
      <c r="S9" s="26">
        <f t="shared" si="2"/>
        <v>7.8103317854039886</v>
      </c>
      <c r="T9" s="26">
        <f t="shared" si="2"/>
        <v>1.6865295748293957E-2</v>
      </c>
      <c r="U9" s="26">
        <f t="shared" si="2"/>
        <v>0.26137541066030878</v>
      </c>
      <c r="V9" s="26">
        <f t="shared" si="2"/>
        <v>0.23262411548767484</v>
      </c>
      <c r="W9" s="26">
        <f t="shared" si="2"/>
        <v>1498.908740620727</v>
      </c>
      <c r="X9" s="26">
        <f t="shared" si="2"/>
        <v>9.5759396799267066E-2</v>
      </c>
      <c r="Y9" s="26">
        <f t="shared" si="2"/>
        <v>0.74198151961337888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3</v>
      </c>
      <c r="P10" s="363">
        <v>125</v>
      </c>
      <c r="Q10" s="34">
        <f t="shared" si="2"/>
        <v>3.9051121312432671E-2</v>
      </c>
      <c r="R10" s="26">
        <f t="shared" si="2"/>
        <v>0.1468253968253968</v>
      </c>
      <c r="S10" s="26">
        <f t="shared" si="2"/>
        <v>0.13018518518518515</v>
      </c>
      <c r="T10" s="26">
        <f t="shared" si="2"/>
        <v>4.7652059865273245E-4</v>
      </c>
      <c r="U10" s="26">
        <f t="shared" si="2"/>
        <v>1.4682539682539681E-2</v>
      </c>
      <c r="V10" s="26">
        <f t="shared" si="2"/>
        <v>1.3067460317460314E-2</v>
      </c>
      <c r="W10" s="26">
        <f t="shared" si="2"/>
        <v>30.622980859093083</v>
      </c>
      <c r="X10" s="26">
        <f t="shared" si="2"/>
        <v>3.8388136396804665E-3</v>
      </c>
      <c r="Y10" s="26">
        <f t="shared" si="2"/>
        <v>1.236759259259259E-2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1.5998128342095075</v>
      </c>
      <c r="R11" s="101">
        <f t="shared" ref="R11:Y11" si="3">SUM(R8:R10)</f>
        <v>5.8760974016937269</v>
      </c>
      <c r="S11" s="101">
        <f t="shared" si="3"/>
        <v>11.058205859478063</v>
      </c>
      <c r="T11" s="101">
        <f t="shared" si="3"/>
        <v>2.1747817867012974E-2</v>
      </c>
      <c r="U11" s="101">
        <f t="shared" si="3"/>
        <v>0.47415318843808657</v>
      </c>
      <c r="V11" s="101">
        <f t="shared" si="3"/>
        <v>0.42199633770989703</v>
      </c>
      <c r="W11" s="101">
        <f t="shared" si="3"/>
        <v>1905.1335600732373</v>
      </c>
      <c r="X11" s="101">
        <f t="shared" si="3"/>
        <v>0.15429568225587528</v>
      </c>
      <c r="Y11" s="101">
        <f t="shared" si="3"/>
        <v>1.0505295566504158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87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7" t="s">
        <v>315</v>
      </c>
      <c r="B13" s="579"/>
      <c r="C13" s="18"/>
      <c r="D13" s="18"/>
      <c r="E13" s="19"/>
      <c r="F13" s="19"/>
      <c r="G13" s="19"/>
      <c r="H13" s="19"/>
      <c r="I13" s="19"/>
      <c r="J13" s="19"/>
      <c r="K13" s="19"/>
      <c r="L13" s="19"/>
      <c r="M13" s="19"/>
      <c r="N13" s="30"/>
      <c r="O13" s="30"/>
      <c r="P13" s="30"/>
      <c r="Q13" s="20"/>
      <c r="R13" s="20"/>
      <c r="S13" s="20"/>
      <c r="T13" s="20"/>
      <c r="U13" s="20"/>
      <c r="V13" s="20"/>
      <c r="W13" s="21"/>
      <c r="X13" s="20"/>
      <c r="Y13" s="20"/>
    </row>
    <row r="14" spans="1:25" s="3" customFormat="1">
      <c r="A14" s="24" t="s">
        <v>119</v>
      </c>
      <c r="B14" s="90" t="s">
        <v>27</v>
      </c>
      <c r="C14" s="22">
        <v>78</v>
      </c>
      <c r="D14" s="22">
        <f>VLOOKUP(A14,'Offroad Tiers LF'!$B$6:$C$40,2,FALSE)</f>
        <v>0.48</v>
      </c>
      <c r="E14" s="102">
        <v>6.2432730803469526E-2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0.30539682539682533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0.38971111111111101</v>
      </c>
      <c r="H14" s="102">
        <v>5.5075019000828571E-4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2.4761904761904759E-2</v>
      </c>
      <c r="J14" s="100">
        <f t="shared" ref="J14:J16" si="4">0.89*I14</f>
        <v>2.2038095238095235E-2</v>
      </c>
      <c r="K14" s="103">
        <v>46.950229824177143</v>
      </c>
      <c r="L14" s="102">
        <v>6.837183977115969E-3</v>
      </c>
      <c r="M14" s="104">
        <f t="shared" ref="M14:M16" si="5">0.095*G14</f>
        <v>3.7022555555555545E-2</v>
      </c>
      <c r="N14" s="98">
        <v>1</v>
      </c>
      <c r="O14" s="98">
        <v>6</v>
      </c>
      <c r="P14" s="88">
        <v>125</v>
      </c>
      <c r="Q14" s="34">
        <f t="shared" ref="Q14:Y16" si="6">(E14*$N14*$O14)</f>
        <v>0.37459638482081714</v>
      </c>
      <c r="R14" s="26">
        <f t="shared" si="6"/>
        <v>1.832380952380952</v>
      </c>
      <c r="S14" s="26">
        <f t="shared" si="6"/>
        <v>2.3382666666666658</v>
      </c>
      <c r="T14" s="26">
        <f t="shared" si="6"/>
        <v>3.3045011400497145E-3</v>
      </c>
      <c r="U14" s="26">
        <f t="shared" si="6"/>
        <v>0.14857142857142855</v>
      </c>
      <c r="V14" s="26">
        <f t="shared" si="6"/>
        <v>0.13222857142857142</v>
      </c>
      <c r="W14" s="26">
        <f t="shared" si="6"/>
        <v>281.70137894506286</v>
      </c>
      <c r="X14" s="26">
        <f t="shared" si="6"/>
        <v>4.1023103862695816E-2</v>
      </c>
      <c r="Y14" s="26">
        <f t="shared" si="6"/>
        <v>0.22213533333333327</v>
      </c>
    </row>
    <row r="15" spans="1:25" s="3" customFormat="1">
      <c r="A15" s="24" t="s">
        <v>305</v>
      </c>
      <c r="B15" s="29" t="s">
        <v>27</v>
      </c>
      <c r="C15" s="22">
        <v>175</v>
      </c>
      <c r="D15" s="22"/>
      <c r="E15" s="102">
        <v>0.11792220738547983</v>
      </c>
      <c r="F15" s="102">
        <v>0.36512193352152528</v>
      </c>
      <c r="G15" s="102">
        <v>0.86781464282266541</v>
      </c>
      <c r="H15" s="102">
        <v>1.8739217498104396E-3</v>
      </c>
      <c r="I15" s="102">
        <v>2.9041712295589866E-2</v>
      </c>
      <c r="J15" s="100">
        <f t="shared" si="4"/>
        <v>2.5847123943074982E-2</v>
      </c>
      <c r="K15" s="103">
        <v>166.54541562452522</v>
      </c>
      <c r="L15" s="102">
        <v>1.063993297769634E-2</v>
      </c>
      <c r="M15" s="104">
        <f t="shared" si="5"/>
        <v>8.2442391068153209E-2</v>
      </c>
      <c r="N15" s="98">
        <v>1</v>
      </c>
      <c r="O15" s="87">
        <v>2</v>
      </c>
      <c r="P15" s="363">
        <v>125</v>
      </c>
      <c r="Q15" s="34">
        <f t="shared" si="6"/>
        <v>0.23584441477095966</v>
      </c>
      <c r="R15" s="26">
        <f t="shared" si="6"/>
        <v>0.73024386704305055</v>
      </c>
      <c r="S15" s="26">
        <f t="shared" si="6"/>
        <v>1.7356292856453308</v>
      </c>
      <c r="T15" s="26">
        <f t="shared" si="6"/>
        <v>3.7478434996208792E-3</v>
      </c>
      <c r="U15" s="26">
        <f t="shared" si="6"/>
        <v>5.8083424591179732E-2</v>
      </c>
      <c r="V15" s="26">
        <f t="shared" si="6"/>
        <v>5.1694247886149965E-2</v>
      </c>
      <c r="W15" s="26">
        <f t="shared" si="6"/>
        <v>333.09083124905044</v>
      </c>
      <c r="X15" s="26">
        <f t="shared" si="6"/>
        <v>2.127986595539268E-2</v>
      </c>
      <c r="Y15" s="26">
        <f t="shared" si="6"/>
        <v>0.16488478213630642</v>
      </c>
    </row>
    <row r="16" spans="1:25" s="3" customFormat="1">
      <c r="A16" s="24" t="s">
        <v>368</v>
      </c>
      <c r="B16" s="29" t="s">
        <v>27</v>
      </c>
      <c r="C16" s="22">
        <v>5</v>
      </c>
      <c r="D16" s="22">
        <v>0.74</v>
      </c>
      <c r="E16" s="102">
        <v>1.3017040437477556E-2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4.8941798941798939E-2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4.3395061728395051E-2</v>
      </c>
      <c r="H16" s="102">
        <v>1.5884019955091081E-4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4.8941798941798936E-3</v>
      </c>
      <c r="J16" s="100">
        <f t="shared" si="4"/>
        <v>4.3558201058201051E-3</v>
      </c>
      <c r="K16" s="103">
        <v>10.20766028636436</v>
      </c>
      <c r="L16" s="102">
        <v>1.2796045465601556E-3</v>
      </c>
      <c r="M16" s="104">
        <f t="shared" si="5"/>
        <v>4.1225308641975296E-3</v>
      </c>
      <c r="N16" s="98">
        <v>1</v>
      </c>
      <c r="O16" s="87">
        <v>8</v>
      </c>
      <c r="P16" s="363">
        <v>125</v>
      </c>
      <c r="Q16" s="34">
        <f t="shared" si="6"/>
        <v>0.10413632349982045</v>
      </c>
      <c r="R16" s="26">
        <f t="shared" si="6"/>
        <v>0.39153439153439151</v>
      </c>
      <c r="S16" s="26">
        <f t="shared" si="6"/>
        <v>0.34716049382716041</v>
      </c>
      <c r="T16" s="26">
        <f t="shared" si="6"/>
        <v>1.2707215964072865E-3</v>
      </c>
      <c r="U16" s="26">
        <f t="shared" si="6"/>
        <v>3.9153439153439148E-2</v>
      </c>
      <c r="V16" s="26">
        <f t="shared" si="6"/>
        <v>3.4846560846560841E-2</v>
      </c>
      <c r="W16" s="26">
        <f t="shared" si="6"/>
        <v>81.661282290914883</v>
      </c>
      <c r="X16" s="26">
        <f t="shared" si="6"/>
        <v>1.0236836372481245E-2</v>
      </c>
      <c r="Y16" s="26">
        <f t="shared" si="6"/>
        <v>3.2980246913580237E-2</v>
      </c>
    </row>
    <row r="17" spans="1:25" s="3" customFormat="1">
      <c r="A17" s="17" t="s">
        <v>28</v>
      </c>
      <c r="B17" s="29"/>
      <c r="C17" s="22"/>
      <c r="D17" s="22"/>
      <c r="E17" s="108"/>
      <c r="F17" s="108"/>
      <c r="G17" s="108"/>
      <c r="H17" s="108"/>
      <c r="I17" s="108"/>
      <c r="J17" s="100"/>
      <c r="K17" s="365"/>
      <c r="L17" s="110"/>
      <c r="M17" s="102"/>
      <c r="N17" s="98"/>
      <c r="O17" s="87"/>
      <c r="P17" s="363"/>
      <c r="Q17" s="101">
        <f>SUM(Q14:Q16)</f>
        <v>0.71457712309159727</v>
      </c>
      <c r="R17" s="101">
        <f t="shared" ref="R17:Y17" si="7">SUM(R14:R16)</f>
        <v>2.9541592109583941</v>
      </c>
      <c r="S17" s="101">
        <f t="shared" si="7"/>
        <v>4.4210564461391568</v>
      </c>
      <c r="T17" s="101">
        <f t="shared" si="7"/>
        <v>8.32306623607788E-3</v>
      </c>
      <c r="U17" s="101">
        <f t="shared" si="7"/>
        <v>0.24580829231604745</v>
      </c>
      <c r="V17" s="101">
        <f t="shared" si="7"/>
        <v>0.21876938016128222</v>
      </c>
      <c r="W17" s="101">
        <f t="shared" si="7"/>
        <v>696.45349248502816</v>
      </c>
      <c r="X17" s="101">
        <f t="shared" si="7"/>
        <v>7.2539806190569739E-2</v>
      </c>
      <c r="Y17" s="101">
        <f t="shared" si="7"/>
        <v>0.42000036238321992</v>
      </c>
    </row>
    <row r="18" spans="1:25" s="3" customFormat="1">
      <c r="A18" s="24"/>
      <c r="B18" s="29"/>
      <c r="C18" s="22"/>
      <c r="D18" s="22"/>
      <c r="E18" s="108"/>
      <c r="F18" s="108"/>
      <c r="G18" s="108"/>
      <c r="H18" s="108"/>
      <c r="I18" s="108"/>
      <c r="J18" s="100"/>
      <c r="K18" s="365"/>
      <c r="L18" s="110"/>
      <c r="M18" s="102"/>
      <c r="N18" s="98"/>
      <c r="O18" s="98"/>
      <c r="P18" s="363"/>
      <c r="Q18" s="34"/>
      <c r="R18" s="26"/>
      <c r="S18" s="26"/>
      <c r="T18" s="26"/>
      <c r="U18" s="26"/>
      <c r="V18" s="26"/>
      <c r="W18" s="26"/>
      <c r="X18" s="26"/>
      <c r="Y18" s="26"/>
    </row>
    <row r="19" spans="1:25" s="3" customFormat="1">
      <c r="A19" s="17" t="s">
        <v>289</v>
      </c>
      <c r="B19" s="22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11"/>
      <c r="O19" s="11"/>
      <c r="P19" s="11"/>
      <c r="Q19" s="27"/>
      <c r="R19" s="27"/>
      <c r="S19" s="27"/>
      <c r="T19" s="27"/>
      <c r="U19" s="27"/>
      <c r="V19" s="27"/>
      <c r="W19" s="28"/>
      <c r="X19" s="27"/>
      <c r="Y19" s="27"/>
    </row>
    <row r="20" spans="1:25" s="3" customFormat="1">
      <c r="A20" s="100" t="s">
        <v>292</v>
      </c>
      <c r="B20" s="22" t="s">
        <v>27</v>
      </c>
      <c r="C20" s="97">
        <v>69</v>
      </c>
      <c r="D20" s="22">
        <v>0.5</v>
      </c>
      <c r="E20" s="102">
        <v>0.10796897189848784</v>
      </c>
      <c r="F20" s="397">
        <f>IF($C20&lt;11,'Offroad Tiers EF (2)'!$AN$4*$C20*$D20,IF($C20&lt;25,'Offroad Tiers EF (2)'!$AN$5*$C20*$D20,IF($C20&lt;50,'Offroad Tiers EF (2)'!$AN$6*$C20*$D20,IF($C20&lt;75,'Offroad Tiers EF (2)'!$AN$7*$C20*$D20,IF($C20&lt;100,'Offroad Tiers EF (2)'!$AN$8*$C20*$D20,IF($C20&lt;175,'Offroad Tiers EF (2)'!$AN$9*$C20*$D20,IF($C20&lt;300,'Offroad Tiers EF (2)'!$AN$10*$C20*$D20,IF($C20&lt;600,'Offroad Tiers EF (2)'!$AN$11*$C20*$D20,"!"))))))))</f>
        <v>0.2814153439153439</v>
      </c>
      <c r="G20" s="397">
        <f>IF($C20&lt;11,'Offroad Tiers EF (2)'!$AM$4*$C20*$D20,IF($C20&lt;25,'Offroad Tiers EF (2)'!$AM$5*$C20*$D20,IF($C20&lt;50,'Offroad Tiers EF (2)'!$AM$6*$C20*$D20,IF($C20&lt;75,'Offroad Tiers EF (2)'!$AM$7*$C20*$D20,IF($C20&lt;100,'Offroad Tiers EF (2)'!$AM$8*$C20*$D20,IF($C20&lt;175,'Offroad Tiers EF (2)'!$AM$9*$C20*$D20,IF($C20&lt;300,'Offroad Tiers EF (2)'!$AM$10*$C20*$D20,IF($C20&lt;600,'Offroad Tiers EF (2)'!$AM$11*$C20*$D20,"!"))))))))</f>
        <v>0.40462962962962956</v>
      </c>
      <c r="H20" s="102">
        <v>7.6125329247041284E-4</v>
      </c>
      <c r="I20" s="397">
        <f>IF($C20&lt;11,'Offroad Tiers EF (2)'!$AO$4*$C20*$D20,IF($C20&lt;25,'Offroad Tiers EF (2)'!$AO$5*$C20*$D20,IF($C20&lt;50,'Offroad Tiers EF (2)'!$AO$6*$C20*$D20,IF($C20&lt;75,'Offroad Tiers EF (2)'!$AO$7*$C20*$D20,IF($C20&lt;100,'Offroad Tiers EF (2)'!$AO$8*$C20*$D20,IF($C20&lt;175,'Offroad Tiers EF (2)'!$AO$9*$C20*$D20,IF($C20&lt;300,'Offroad Tiers EF (2)'!$AO$10*$C20*$D20,IF($C20&lt;600,'Offroad Tiers EF (2)'!$AO$11*$C20*$D20,"!"))))))))</f>
        <v>2.2817460317460316E-2</v>
      </c>
      <c r="J20" s="100">
        <f t="shared" ref="J20:J23" si="8">0.89*I20</f>
        <v>2.030753968253968E-2</v>
      </c>
      <c r="K20" s="103">
        <v>64.895144949977833</v>
      </c>
      <c r="L20" s="102">
        <v>1.0324742188913067E-2</v>
      </c>
      <c r="M20" s="104">
        <f t="shared" ref="M20:M23" si="9">0.095*G20</f>
        <v>3.8439814814814809E-2</v>
      </c>
      <c r="N20" s="87">
        <v>1</v>
      </c>
      <c r="O20" s="88">
        <v>6</v>
      </c>
      <c r="P20" s="88">
        <f>8*22</f>
        <v>176</v>
      </c>
      <c r="Q20" s="26">
        <f t="shared" ref="Q20:Y23" si="10">(E20*$N20*$O20)</f>
        <v>0.64781383139092696</v>
      </c>
      <c r="R20" s="26">
        <f t="shared" si="10"/>
        <v>1.6884920634920633</v>
      </c>
      <c r="S20" s="26">
        <f t="shared" si="10"/>
        <v>2.4277777777777771</v>
      </c>
      <c r="T20" s="26">
        <f t="shared" si="10"/>
        <v>4.567519754822477E-3</v>
      </c>
      <c r="U20" s="26">
        <f t="shared" si="10"/>
        <v>0.13690476190476189</v>
      </c>
      <c r="V20" s="26">
        <f t="shared" si="10"/>
        <v>0.12184523809523809</v>
      </c>
      <c r="W20" s="26">
        <f t="shared" si="10"/>
        <v>389.370869699867</v>
      </c>
      <c r="X20" s="26">
        <f t="shared" si="10"/>
        <v>6.1948453133478402E-2</v>
      </c>
      <c r="Y20" s="26">
        <f t="shared" si="10"/>
        <v>0.23063888888888884</v>
      </c>
    </row>
    <row r="21" spans="1:25" s="3" customFormat="1">
      <c r="A21" s="100" t="s">
        <v>123</v>
      </c>
      <c r="B21" s="29" t="s">
        <v>27</v>
      </c>
      <c r="C21" s="22">
        <v>84</v>
      </c>
      <c r="D21" s="22">
        <v>0.38</v>
      </c>
      <c r="E21" s="102">
        <v>7.9534395197012789E-2</v>
      </c>
      <c r="F21" s="397">
        <f>IF($C21&lt;11,'Offroad Tiers EF (2)'!$AN$4*$C21*$D21,IF($C21&lt;25,'Offroad Tiers EF (2)'!$AN$5*$C21*$D21,IF($C21&lt;50,'Offroad Tiers EF (2)'!$AN$6*$C21*$D21,IF($C21&lt;75,'Offroad Tiers EF (2)'!$AN$7*$C21*$D21,IF($C21&lt;100,'Offroad Tiers EF (2)'!$AN$8*$C21*$D21,IF($C21&lt;175,'Offroad Tiers EF (2)'!$AN$9*$C21*$D21,IF($C21&lt;300,'Offroad Tiers EF (2)'!$AN$10*$C21*$D21,IF($C21&lt;600,'Offroad Tiers EF (2)'!$AN$11*$C21*$D21,"!"))))))))</f>
        <v>0.26037037037037036</v>
      </c>
      <c r="G21" s="397">
        <f>IF($C21&lt;11,'Offroad Tiers EF (2)'!$AM$4*$C21*$D21,IF($C21&lt;25,'Offroad Tiers EF (2)'!$AM$5*$C21*$D21,IF($C21&lt;50,'Offroad Tiers EF (2)'!$AM$6*$C21*$D21,IF($C21&lt;75,'Offroad Tiers EF (2)'!$AM$7*$C21*$D21,IF($C21&lt;100,'Offroad Tiers EF (2)'!$AM$8*$C21*$D21,IF($C21&lt;175,'Offroad Tiers EF (2)'!$AM$9*$C21*$D21,IF($C21&lt;300,'Offroad Tiers EF (2)'!$AM$10*$C21*$D21,IF($C21&lt;600,'Offroad Tiers EF (2)'!$AM$11*$C21*$D21,"!"))))))))</f>
        <v>0.33225370370370361</v>
      </c>
      <c r="H21" s="102">
        <v>6.9196834691909377E-4</v>
      </c>
      <c r="I21" s="397">
        <f>IF($C21&lt;11,'Offroad Tiers EF (2)'!$AO$4*$C21*$D21,IF($C21&lt;25,'Offroad Tiers EF (2)'!$AO$5*$C21*$D21,IF($C21&lt;50,'Offroad Tiers EF (2)'!$AO$6*$C21*$D21,IF($C21&lt;75,'Offroad Tiers EF (2)'!$AO$7*$C21*$D21,IF($C21&lt;100,'Offroad Tiers EF (2)'!$AO$8*$C21*$D21,IF($C21&lt;175,'Offroad Tiers EF (2)'!$AO$9*$C21*$D21,IF($C21&lt;300,'Offroad Tiers EF (2)'!$AO$10*$C21*$D21,IF($C21&lt;600,'Offroad Tiers EF (2)'!$AO$11*$C21*$D21,"!"))))))))</f>
        <v>2.1111111111111112E-2</v>
      </c>
      <c r="J21" s="100">
        <f t="shared" si="8"/>
        <v>1.878888888888889E-2</v>
      </c>
      <c r="K21" s="103">
        <v>58.988746640295226</v>
      </c>
      <c r="L21" s="102">
        <v>7.7311979659905822E-3</v>
      </c>
      <c r="M21" s="102">
        <f t="shared" si="9"/>
        <v>3.1564101851851843E-2</v>
      </c>
      <c r="N21" s="363">
        <v>1</v>
      </c>
      <c r="O21" s="87">
        <v>8</v>
      </c>
      <c r="P21" s="363">
        <v>75</v>
      </c>
      <c r="Q21" s="34">
        <f t="shared" si="10"/>
        <v>0.63627516157610231</v>
      </c>
      <c r="R21" s="26">
        <f t="shared" si="10"/>
        <v>2.0829629629629629</v>
      </c>
      <c r="S21" s="26">
        <f t="shared" si="10"/>
        <v>2.6580296296296289</v>
      </c>
      <c r="T21" s="26">
        <f t="shared" si="10"/>
        <v>5.5357467753527501E-3</v>
      </c>
      <c r="U21" s="26">
        <f t="shared" si="10"/>
        <v>0.16888888888888889</v>
      </c>
      <c r="V21" s="26">
        <f t="shared" si="10"/>
        <v>0.15031111111111112</v>
      </c>
      <c r="W21" s="26">
        <f t="shared" si="10"/>
        <v>471.90997312236181</v>
      </c>
      <c r="X21" s="26">
        <f t="shared" si="10"/>
        <v>6.1849583727924658E-2</v>
      </c>
      <c r="Y21" s="26">
        <f t="shared" si="10"/>
        <v>0.25251281481481475</v>
      </c>
    </row>
    <row r="22" spans="1:25" s="3" customFormat="1">
      <c r="A22" s="100" t="s">
        <v>126</v>
      </c>
      <c r="B22" s="22" t="s">
        <v>27</v>
      </c>
      <c r="C22" s="22">
        <v>175</v>
      </c>
      <c r="D22" s="22"/>
      <c r="E22" s="102">
        <v>0.11792220738547983</v>
      </c>
      <c r="F22" s="102">
        <v>0.36512193352152528</v>
      </c>
      <c r="G22" s="102">
        <v>0.86781464282266541</v>
      </c>
      <c r="H22" s="102">
        <v>1.8739217498104396E-3</v>
      </c>
      <c r="I22" s="102">
        <v>2.9041712295589866E-2</v>
      </c>
      <c r="J22" s="100">
        <f t="shared" si="8"/>
        <v>2.5847123943074982E-2</v>
      </c>
      <c r="K22" s="103">
        <v>166.54541562452522</v>
      </c>
      <c r="L22" s="102">
        <v>1.063993297769634E-2</v>
      </c>
      <c r="M22" s="104">
        <f t="shared" si="9"/>
        <v>8.2442391068153209E-2</v>
      </c>
      <c r="N22" s="88">
        <v>1</v>
      </c>
      <c r="O22" s="88">
        <v>3</v>
      </c>
      <c r="P22" s="367">
        <v>40</v>
      </c>
      <c r="Q22" s="26">
        <f t="shared" si="10"/>
        <v>0.3537666221564395</v>
      </c>
      <c r="R22" s="26">
        <f t="shared" si="10"/>
        <v>1.0953658005645759</v>
      </c>
      <c r="S22" s="26">
        <f t="shared" si="10"/>
        <v>2.6034439284679962</v>
      </c>
      <c r="T22" s="26">
        <f t="shared" si="10"/>
        <v>5.6217652494313184E-3</v>
      </c>
      <c r="U22" s="26">
        <f t="shared" si="10"/>
        <v>8.7125136886769594E-2</v>
      </c>
      <c r="V22" s="26">
        <f t="shared" si="10"/>
        <v>7.754137182922495E-2</v>
      </c>
      <c r="W22" s="26">
        <f t="shared" si="10"/>
        <v>499.63624687357566</v>
      </c>
      <c r="X22" s="26">
        <f t="shared" si="10"/>
        <v>3.1919798933089022E-2</v>
      </c>
      <c r="Y22" s="26">
        <f t="shared" si="10"/>
        <v>0.24732717320445963</v>
      </c>
    </row>
    <row r="23" spans="1:25" s="3" customFormat="1">
      <c r="A23" s="100" t="s">
        <v>293</v>
      </c>
      <c r="B23" s="22" t="s">
        <v>27</v>
      </c>
      <c r="C23" s="22">
        <v>157</v>
      </c>
      <c r="D23" s="22">
        <v>0.38</v>
      </c>
      <c r="E23" s="550">
        <v>9.7211873502789536E-2</v>
      </c>
      <c r="F23" s="397">
        <f>IF($C23&lt;11,'Offroad Tiers EF (2)'!$AN$4*$C23*$D23,IF($C23&lt;25,'Offroad Tiers EF (2)'!$AN$5*$C23*$D23,IF($C23&lt;50,'Offroad Tiers EF (2)'!$AN$6*$C23*$D23,IF($C23&lt;75,'Offroad Tiers EF (2)'!$AN$7*$C23*$D23,IF($C23&lt;100,'Offroad Tiers EF (2)'!$AN$8*$C23*$D23,IF($C23&lt;175,'Offroad Tiers EF (2)'!$AN$9*$C23*$D23,IF($C23&lt;300,'Offroad Tiers EF (2)'!$AN$10*$C23*$D23,IF($C23&lt;600,'Offroad Tiers EF (2)'!$AN$11*$C23*$D23,"!"))))))))</f>
        <v>0.48664462081128745</v>
      </c>
      <c r="G23" s="397">
        <f>IF($C23&lt;11,'Offroad Tiers EF (2)'!$AM$4*$C23*$D23,IF($C23&lt;25,'Offroad Tiers EF (2)'!$AM$5*$C23*$D23,IF($C23&lt;50,'Offroad Tiers EF (2)'!$AM$6*$C23*$D23,IF($C23&lt;75,'Offroad Tiers EF (2)'!$AM$7*$C23*$D23,IF($C23&lt;100,'Offroad Tiers EF (2)'!$AM$8*$C23*$D23,IF($C23&lt;175,'Offroad Tiers EF (2)'!$AM$9*$C23*$D23,IF($C23&lt;300,'Offroad Tiers EF (2)'!$AM$10*$C23*$D23,IF($C23&lt;600,'Offroad Tiers EF (2)'!$AM$11*$C23*$D23,"!"))))))))</f>
        <v>0.54103044532627864</v>
      </c>
      <c r="H23" s="550">
        <v>1.2626852382997586E-3</v>
      </c>
      <c r="I23" s="397">
        <f>IF($C23&lt;11,'Offroad Tiers EF (2)'!$AO$4*$C23*$D23,IF($C23&lt;25,'Offroad Tiers EF (2)'!$AO$5*$C23*$D23,IF($C23&lt;50,'Offroad Tiers EF (2)'!$AO$6*$C23*$D23,IF($C23&lt;75,'Offroad Tiers EF (2)'!$AO$7*$C23*$D23,IF($C23&lt;100,'Offroad Tiers EF (2)'!$AO$8*$C23*$D23,IF($C23&lt;175,'Offroad Tiers EF (2)'!$AO$9*$C23*$D23,IF($C23&lt;300,'Offroad Tiers EF (2)'!$AO$10*$C23*$D23,IF($C23&lt;600,'Offroad Tiers EF (2)'!$AO$11*$C23*$D23,"!"))))))))</f>
        <v>2.8935626102292767E-2</v>
      </c>
      <c r="J23" s="551">
        <f t="shared" si="8"/>
        <v>2.5752707231040561E-2</v>
      </c>
      <c r="K23" s="552">
        <v>112.22156581723891</v>
      </c>
      <c r="L23" s="111">
        <v>9.4890670020510905E-3</v>
      </c>
      <c r="M23" s="553">
        <f t="shared" si="9"/>
        <v>5.1397892305996472E-2</v>
      </c>
      <c r="N23" s="98">
        <v>1</v>
      </c>
      <c r="O23" s="88">
        <v>6</v>
      </c>
      <c r="P23" s="367">
        <v>15</v>
      </c>
      <c r="Q23" s="26">
        <f t="shared" si="10"/>
        <v>0.58327124101673722</v>
      </c>
      <c r="R23" s="26">
        <f t="shared" si="10"/>
        <v>2.9198677248677249</v>
      </c>
      <c r="S23" s="26">
        <f t="shared" si="10"/>
        <v>3.2461826719576719</v>
      </c>
      <c r="T23" s="26">
        <f t="shared" si="10"/>
        <v>7.5761114297985509E-3</v>
      </c>
      <c r="U23" s="26">
        <f t="shared" si="10"/>
        <v>0.17361375661375661</v>
      </c>
      <c r="V23" s="26">
        <f t="shared" si="10"/>
        <v>0.15451624338624337</v>
      </c>
      <c r="W23" s="26">
        <f t="shared" si="10"/>
        <v>673.32939490343347</v>
      </c>
      <c r="X23" s="26">
        <f t="shared" si="10"/>
        <v>5.693440201230654E-2</v>
      </c>
      <c r="Y23" s="26">
        <f t="shared" si="10"/>
        <v>0.30838735383597882</v>
      </c>
    </row>
    <row r="24" spans="1:25" s="3" customFormat="1">
      <c r="A24" s="17" t="s">
        <v>28</v>
      </c>
      <c r="B24" s="97"/>
      <c r="C24" s="22"/>
      <c r="D24" s="22"/>
      <c r="E24" s="23"/>
      <c r="F24" s="23"/>
      <c r="G24" s="23"/>
      <c r="H24" s="23"/>
      <c r="I24" s="23"/>
      <c r="J24" s="24"/>
      <c r="K24" s="25"/>
      <c r="L24" s="23"/>
      <c r="M24" s="23"/>
      <c r="N24" s="88"/>
      <c r="O24" s="88"/>
      <c r="P24" s="88"/>
      <c r="Q24" s="27">
        <f t="shared" ref="Q24:Y24" si="11">SUM(Q20:Q23)</f>
        <v>2.2211268561402058</v>
      </c>
      <c r="R24" s="27">
        <f t="shared" si="11"/>
        <v>7.7866885518873268</v>
      </c>
      <c r="S24" s="27">
        <f t="shared" si="11"/>
        <v>10.935434007833074</v>
      </c>
      <c r="T24" s="27">
        <f t="shared" si="11"/>
        <v>2.3301143209405097E-2</v>
      </c>
      <c r="U24" s="27">
        <f t="shared" si="11"/>
        <v>0.56653254429417699</v>
      </c>
      <c r="V24" s="27">
        <f t="shared" si="11"/>
        <v>0.50421396442181754</v>
      </c>
      <c r="W24" s="27">
        <f t="shared" si="11"/>
        <v>2034.2464845992379</v>
      </c>
      <c r="X24" s="27">
        <f t="shared" si="11"/>
        <v>0.21265223780679862</v>
      </c>
      <c r="Y24" s="27">
        <f t="shared" si="11"/>
        <v>1.0388662307441421</v>
      </c>
    </row>
    <row r="25" spans="1:25" s="3" customFormat="1">
      <c r="A25" s="11"/>
      <c r="B25" s="579"/>
      <c r="C25" s="18"/>
      <c r="D25" s="22"/>
      <c r="E25" s="19"/>
      <c r="F25" s="19"/>
      <c r="G25" s="19"/>
      <c r="H25" s="19"/>
      <c r="I25" s="19"/>
      <c r="J25" s="19"/>
      <c r="K25" s="19"/>
      <c r="L25" s="19"/>
      <c r="M25" s="19"/>
      <c r="N25" s="30"/>
      <c r="O25" s="30"/>
      <c r="P25" s="364"/>
      <c r="Q25" s="20"/>
      <c r="R25" s="20"/>
      <c r="S25" s="27"/>
      <c r="T25" s="20"/>
      <c r="U25" s="20"/>
      <c r="V25" s="20"/>
      <c r="W25" s="20"/>
      <c r="X25" s="20"/>
      <c r="Y25" s="20"/>
    </row>
    <row r="26" spans="1:25" s="3" customFormat="1">
      <c r="A26" s="11" t="s">
        <v>398</v>
      </c>
      <c r="B26" s="22"/>
      <c r="C26" s="18"/>
      <c r="D26" s="22"/>
      <c r="E26" s="19"/>
      <c r="F26" s="19"/>
      <c r="G26" s="19"/>
      <c r="H26" s="19"/>
      <c r="I26" s="19"/>
      <c r="J26" s="19"/>
      <c r="K26" s="19"/>
      <c r="L26" s="19"/>
      <c r="M26" s="19"/>
      <c r="N26" s="11"/>
      <c r="O26" s="11"/>
      <c r="P26" s="11"/>
      <c r="Q26" s="27"/>
      <c r="R26" s="27"/>
      <c r="S26" s="27"/>
      <c r="T26" s="27"/>
      <c r="U26" s="27"/>
      <c r="V26" s="27"/>
      <c r="W26" s="28"/>
      <c r="X26" s="27"/>
      <c r="Y26" s="27"/>
    </row>
    <row r="27" spans="1:25">
      <c r="A27" s="100" t="s">
        <v>125</v>
      </c>
      <c r="B27" s="97" t="s">
        <v>27</v>
      </c>
      <c r="C27" s="22">
        <v>87</v>
      </c>
      <c r="D27" s="22">
        <v>0.37</v>
      </c>
      <c r="E27" s="108">
        <v>5.2437519504869065E-2</v>
      </c>
      <c r="F27" s="397">
        <f>IF($C27&lt;11,'Offroad Tiers EF (2)'!$AN$4*$C27*$D27,IF($C27&lt;25,'Offroad Tiers EF (2)'!$AN$5*$C27*$D27,IF($C27&lt;50,'Offroad Tiers EF (2)'!$AN$6*$C27*$D27,IF($C27&lt;75,'Offroad Tiers EF (2)'!$AN$7*$C27*$D27,IF($C27&lt;100,'Offroad Tiers EF (2)'!$AN$8*$C27*$D27,IF($C27&lt;175,'Offroad Tiers EF (2)'!$AN$9*$C27*$D27,IF($C27&lt;300,'Offroad Tiers EF (2)'!$AN$10*$C27*$D27,IF($C27&lt;600,'Offroad Tiers EF (2)'!$AN$11*$C27*$D27,"!"))))))))</f>
        <v>0.26257275132275132</v>
      </c>
      <c r="G27" s="397">
        <f>IF($C27&lt;11,'Offroad Tiers EF (2)'!$AM$4*$C27*$D27,IF($C27&lt;25,'Offroad Tiers EF (2)'!$AM$5*$C27*$D27,IF($C27&lt;50,'Offroad Tiers EF (2)'!$AM$6*$C27*$D27,IF($C27&lt;75,'Offroad Tiers EF (2)'!$AM$7*$C27*$D27,IF($C27&lt;100,'Offroad Tiers EF (2)'!$AM$8*$C27*$D27,IF($C27&lt;175,'Offroad Tiers EF (2)'!$AM$9*$C27*$D27,IF($C27&lt;300,'Offroad Tiers EF (2)'!$AM$10*$C27*$D27,IF($C27&lt;600,'Offroad Tiers EF (2)'!$AM$11*$C27*$D27,"!"))))))))</f>
        <v>0.33506412037037031</v>
      </c>
      <c r="H27" s="108">
        <v>6.0679618797898508E-4</v>
      </c>
      <c r="I27" s="397">
        <f>IF($C27&lt;11,'Offroad Tiers EF (2)'!$AO$4*$C27*$D27,IF($C27&lt;25,'Offroad Tiers EF (2)'!$AO$5*$C27*$D27,IF($C27&lt;50,'Offroad Tiers EF (2)'!$AO$6*$C27*$D27,IF($C27&lt;75,'Offroad Tiers EF (2)'!$AO$7*$C27*$D27,IF($C27&lt;100,'Offroad Tiers EF (2)'!$AO$8*$C27*$D27,IF($C27&lt;175,'Offroad Tiers EF (2)'!$AO$9*$C27*$D27,IF($C27&lt;300,'Offroad Tiers EF (2)'!$AO$10*$C27*$D27,IF($C27&lt;600,'Offroad Tiers EF (2)'!$AO$11*$C27*$D27,"!"))))))))</f>
        <v>2.1289682539682539E-2</v>
      </c>
      <c r="J27" s="100">
        <f t="shared" ref="J27:J30" si="12">0.89*I27</f>
        <v>1.894781746031746E-2</v>
      </c>
      <c r="K27" s="108">
        <v>51.728016924248784</v>
      </c>
      <c r="L27" s="108">
        <v>5.2037096026823848E-3</v>
      </c>
      <c r="M27" s="102">
        <f t="shared" ref="M27:M30" si="13">0.095*G27</f>
        <v>3.1831091435185178E-2</v>
      </c>
      <c r="N27" s="88">
        <v>1</v>
      </c>
      <c r="O27" s="88">
        <v>6</v>
      </c>
      <c r="P27" s="367">
        <v>15</v>
      </c>
      <c r="Q27" s="26">
        <f t="shared" ref="Q27:Y30" si="14">(E27*$N27*$O27)</f>
        <v>0.31462511702921436</v>
      </c>
      <c r="R27" s="26">
        <f t="shared" si="14"/>
        <v>1.5754365079365078</v>
      </c>
      <c r="S27" s="26">
        <f t="shared" si="14"/>
        <v>2.0103847222222218</v>
      </c>
      <c r="T27" s="26">
        <f t="shared" si="14"/>
        <v>3.6407771278739107E-3</v>
      </c>
      <c r="U27" s="26">
        <f t="shared" si="14"/>
        <v>0.12773809523809523</v>
      </c>
      <c r="V27" s="26">
        <f t="shared" si="14"/>
        <v>0.11368690476190477</v>
      </c>
      <c r="W27" s="26">
        <f t="shared" si="14"/>
        <v>310.36810154549272</v>
      </c>
      <c r="X27" s="26">
        <f t="shared" si="14"/>
        <v>3.1222257616094311E-2</v>
      </c>
      <c r="Y27" s="26">
        <f t="shared" si="14"/>
        <v>0.19098654861111108</v>
      </c>
    </row>
    <row r="28" spans="1:25">
      <c r="A28" s="100" t="s">
        <v>287</v>
      </c>
      <c r="B28" s="97" t="s">
        <v>27</v>
      </c>
      <c r="C28" s="97">
        <v>37</v>
      </c>
      <c r="D28" s="22">
        <v>0.37</v>
      </c>
      <c r="E28" s="102">
        <v>3.2313389441625637E-2</v>
      </c>
      <c r="F28" s="397">
        <f>IF($C28&lt;11,'Offroad Tiers EF (2)'!$AN$4*$C28*$D28,IF($C28&lt;25,'Offroad Tiers EF (2)'!$AN$5*$C28*$D28,IF($C28&lt;50,'Offroad Tiers EF (2)'!$AN$6*$C28*$D28,IF($C28&lt;75,'Offroad Tiers EF (2)'!$AN$7*$C28*$D28,IF($C28&lt;100,'Offroad Tiers EF (2)'!$AN$8*$C28*$D28,IF($C28&lt;175,'Offroad Tiers EF (2)'!$AN$9*$C28*$D28,IF($C28&lt;300,'Offroad Tiers EF (2)'!$AN$10*$C28*$D28,IF($C28&lt;600,'Offroad Tiers EF (2)'!$AN$11*$C28*$D28,"!"))))))))</f>
        <v>0.12374118165784832</v>
      </c>
      <c r="G28" s="397">
        <f>IF($C28&lt;11,'Offroad Tiers EF (2)'!$AM$4*$C28*$D28,IF($C28&lt;25,'Offroad Tiers EF (2)'!$AM$5*$C28*$D28,IF($C28&lt;50,'Offroad Tiers EF (2)'!$AM$6*$C28*$D28,IF($C28&lt;75,'Offroad Tiers EF (2)'!$AM$7*$C28*$D28,IF($C28&lt;100,'Offroad Tiers EF (2)'!$AM$8*$C28*$D28,IF($C28&lt;175,'Offroad Tiers EF (2)'!$AM$9*$C28*$D28,IF($C28&lt;300,'Offroad Tiers EF (2)'!$AM$10*$C28*$D28,IF($C28&lt;600,'Offroad Tiers EF (2)'!$AM$11*$C28*$D28,"!"))))))))</f>
        <v>0.16056172839506169</v>
      </c>
      <c r="H28" s="102">
        <v>3.2989906092678058E-4</v>
      </c>
      <c r="I28" s="397">
        <f>IF($C28&lt;11,'Offroad Tiers EF (2)'!$AO$4*$C28*$D28,IF($C28&lt;25,'Offroad Tiers EF (2)'!$AO$5*$C28*$D28,IF($C28&lt;50,'Offroad Tiers EF (2)'!$AO$6*$C28*$D28,IF($C28&lt;75,'Offroad Tiers EF (2)'!$AO$7*$C28*$D28,IF($C28&lt;100,'Offroad Tiers EF (2)'!$AO$8*$C28*$D28,IF($C28&lt;175,'Offroad Tiers EF (2)'!$AO$9*$C28*$D28,IF($C28&lt;300,'Offroad Tiers EF (2)'!$AO$10*$C28*$D28,IF($C28&lt;600,'Offroad Tiers EF (2)'!$AO$11*$C28*$D28,"!"))))))))</f>
        <v>1.3581349206349205E-2</v>
      </c>
      <c r="J28" s="100">
        <f t="shared" si="12"/>
        <v>1.2087400793650793E-2</v>
      </c>
      <c r="K28" s="103">
        <v>25.519156990664225</v>
      </c>
      <c r="L28" s="102">
        <v>3.413848047070189E-3</v>
      </c>
      <c r="M28" s="104">
        <f t="shared" si="13"/>
        <v>1.5253364197530862E-2</v>
      </c>
      <c r="N28" s="88">
        <v>1</v>
      </c>
      <c r="O28" s="88">
        <v>1</v>
      </c>
      <c r="P28" s="367">
        <v>75</v>
      </c>
      <c r="Q28" s="26">
        <f t="shared" si="14"/>
        <v>3.2313389441625637E-2</v>
      </c>
      <c r="R28" s="26">
        <f t="shared" si="14"/>
        <v>0.12374118165784832</v>
      </c>
      <c r="S28" s="26">
        <f t="shared" si="14"/>
        <v>0.16056172839506169</v>
      </c>
      <c r="T28" s="26">
        <f t="shared" si="14"/>
        <v>3.2989906092678058E-4</v>
      </c>
      <c r="U28" s="26">
        <f t="shared" si="14"/>
        <v>1.3581349206349205E-2</v>
      </c>
      <c r="V28" s="26">
        <f t="shared" si="14"/>
        <v>1.2087400793650793E-2</v>
      </c>
      <c r="W28" s="26">
        <f t="shared" si="14"/>
        <v>25.519156990664225</v>
      </c>
      <c r="X28" s="26">
        <f t="shared" si="14"/>
        <v>3.413848047070189E-3</v>
      </c>
      <c r="Y28" s="26">
        <f t="shared" si="14"/>
        <v>1.5253364197530862E-2</v>
      </c>
    </row>
    <row r="29" spans="1:25">
      <c r="A29" s="100" t="s">
        <v>292</v>
      </c>
      <c r="B29" s="22" t="s">
        <v>27</v>
      </c>
      <c r="C29" s="97">
        <v>69</v>
      </c>
      <c r="D29" s="22">
        <v>0.5</v>
      </c>
      <c r="E29" s="102">
        <v>0.10796897189848784</v>
      </c>
      <c r="F29" s="397">
        <f>IF($C29&lt;11,'Offroad Tiers EF (2)'!$AN$4*$C29*$D29,IF($C29&lt;25,'Offroad Tiers EF (2)'!$AN$5*$C29*$D29,IF($C29&lt;50,'Offroad Tiers EF (2)'!$AN$6*$C29*$D29,IF($C29&lt;75,'Offroad Tiers EF (2)'!$AN$7*$C29*$D29,IF($C29&lt;100,'Offroad Tiers EF (2)'!$AN$8*$C29*$D29,IF($C29&lt;175,'Offroad Tiers EF (2)'!$AN$9*$C29*$D29,IF($C29&lt;300,'Offroad Tiers EF (2)'!$AN$10*$C29*$D29,IF($C29&lt;600,'Offroad Tiers EF (2)'!$AN$11*$C29*$D29,"!"))))))))</f>
        <v>0.2814153439153439</v>
      </c>
      <c r="G29" s="397">
        <f>IF($C29&lt;11,'Offroad Tiers EF (2)'!$AM$4*$C29*$D29,IF($C29&lt;25,'Offroad Tiers EF (2)'!$AM$5*$C29*$D29,IF($C29&lt;50,'Offroad Tiers EF (2)'!$AM$6*$C29*$D29,IF($C29&lt;75,'Offroad Tiers EF (2)'!$AM$7*$C29*$D29,IF($C29&lt;100,'Offroad Tiers EF (2)'!$AM$8*$C29*$D29,IF($C29&lt;175,'Offroad Tiers EF (2)'!$AM$9*$C29*$D29,IF($C29&lt;300,'Offroad Tiers EF (2)'!$AM$10*$C29*$D29,IF($C29&lt;600,'Offroad Tiers EF (2)'!$AM$11*$C29*$D29,"!"))))))))</f>
        <v>0.40462962962962956</v>
      </c>
      <c r="H29" s="102">
        <v>7.6125329247041284E-4</v>
      </c>
      <c r="I29" s="397">
        <f>IF($C29&lt;11,'Offroad Tiers EF (2)'!$AO$4*$C29*$D29,IF($C29&lt;25,'Offroad Tiers EF (2)'!$AO$5*$C29*$D29,IF($C29&lt;50,'Offroad Tiers EF (2)'!$AO$6*$C29*$D29,IF($C29&lt;75,'Offroad Tiers EF (2)'!$AO$7*$C29*$D29,IF($C29&lt;100,'Offroad Tiers EF (2)'!$AO$8*$C29*$D29,IF($C29&lt;175,'Offroad Tiers EF (2)'!$AO$9*$C29*$D29,IF($C29&lt;300,'Offroad Tiers EF (2)'!$AO$10*$C29*$D29,IF($C29&lt;600,'Offroad Tiers EF (2)'!$AO$11*$C29*$D29,"!"))))))))</f>
        <v>2.2817460317460316E-2</v>
      </c>
      <c r="J29" s="100">
        <f t="shared" si="12"/>
        <v>2.030753968253968E-2</v>
      </c>
      <c r="K29" s="103">
        <v>64.895144949977833</v>
      </c>
      <c r="L29" s="102">
        <v>1.0324742188913067E-2</v>
      </c>
      <c r="M29" s="104">
        <f t="shared" si="13"/>
        <v>3.8439814814814809E-2</v>
      </c>
      <c r="N29" s="87">
        <v>1</v>
      </c>
      <c r="O29" s="87">
        <v>6</v>
      </c>
      <c r="P29" s="88">
        <f>8*22</f>
        <v>176</v>
      </c>
      <c r="Q29" s="34">
        <f t="shared" si="14"/>
        <v>0.64781383139092696</v>
      </c>
      <c r="R29" s="26">
        <f t="shared" si="14"/>
        <v>1.6884920634920633</v>
      </c>
      <c r="S29" s="26">
        <f t="shared" si="14"/>
        <v>2.4277777777777771</v>
      </c>
      <c r="T29" s="26">
        <f t="shared" si="14"/>
        <v>4.567519754822477E-3</v>
      </c>
      <c r="U29" s="26">
        <f t="shared" si="14"/>
        <v>0.13690476190476189</v>
      </c>
      <c r="V29" s="26">
        <f t="shared" si="14"/>
        <v>0.12184523809523809</v>
      </c>
      <c r="W29" s="26">
        <f t="shared" si="14"/>
        <v>389.370869699867</v>
      </c>
      <c r="X29" s="26">
        <f t="shared" si="14"/>
        <v>6.1948453133478402E-2</v>
      </c>
      <c r="Y29" s="26">
        <f t="shared" si="14"/>
        <v>0.23063888888888884</v>
      </c>
    </row>
    <row r="30" spans="1:25">
      <c r="A30" s="100" t="s">
        <v>126</v>
      </c>
      <c r="B30" s="22" t="s">
        <v>27</v>
      </c>
      <c r="C30" s="22">
        <v>175</v>
      </c>
      <c r="D30" s="22"/>
      <c r="E30" s="102">
        <v>0.11792220738547983</v>
      </c>
      <c r="F30" s="102">
        <v>0.36512193352152528</v>
      </c>
      <c r="G30" s="102">
        <v>0.86781464282266541</v>
      </c>
      <c r="H30" s="102">
        <v>1.8739217498104396E-3</v>
      </c>
      <c r="I30" s="102">
        <v>2.9041712295589866E-2</v>
      </c>
      <c r="J30" s="100">
        <f t="shared" si="12"/>
        <v>2.5847123943074982E-2</v>
      </c>
      <c r="K30" s="103">
        <v>166.54541562452522</v>
      </c>
      <c r="L30" s="102">
        <v>1.063993297769634E-2</v>
      </c>
      <c r="M30" s="104">
        <f t="shared" si="13"/>
        <v>8.2442391068153209E-2</v>
      </c>
      <c r="N30" s="88">
        <v>1</v>
      </c>
      <c r="O30" s="88">
        <v>3</v>
      </c>
      <c r="P30" s="367">
        <v>40</v>
      </c>
      <c r="Q30" s="26">
        <f t="shared" si="14"/>
        <v>0.3537666221564395</v>
      </c>
      <c r="R30" s="26">
        <f t="shared" si="14"/>
        <v>1.0953658005645759</v>
      </c>
      <c r="S30" s="26">
        <f t="shared" si="14"/>
        <v>2.6034439284679962</v>
      </c>
      <c r="T30" s="26">
        <f t="shared" si="14"/>
        <v>5.6217652494313184E-3</v>
      </c>
      <c r="U30" s="26">
        <f t="shared" si="14"/>
        <v>8.7125136886769594E-2</v>
      </c>
      <c r="V30" s="26">
        <f t="shared" si="14"/>
        <v>7.754137182922495E-2</v>
      </c>
      <c r="W30" s="26">
        <f t="shared" si="14"/>
        <v>499.63624687357566</v>
      </c>
      <c r="X30" s="26">
        <f t="shared" si="14"/>
        <v>3.1919798933089022E-2</v>
      </c>
      <c r="Y30" s="26">
        <f t="shared" si="14"/>
        <v>0.24732717320445963</v>
      </c>
    </row>
    <row r="31" spans="1:25">
      <c r="A31" s="17" t="s">
        <v>28</v>
      </c>
      <c r="B31" s="97"/>
      <c r="C31" s="22"/>
      <c r="D31" s="22"/>
      <c r="E31" s="23"/>
      <c r="F31" s="23"/>
      <c r="G31" s="23"/>
      <c r="H31" s="23"/>
      <c r="I31" s="23"/>
      <c r="J31" s="24"/>
      <c r="K31" s="25"/>
      <c r="L31" s="23"/>
      <c r="M31" s="23"/>
      <c r="N31" s="88"/>
      <c r="O31" s="88"/>
      <c r="P31" s="88"/>
      <c r="Q31" s="27">
        <f t="shared" ref="Q31:Y31" si="15">SUM(Q27:Q30)</f>
        <v>1.3485189600182066</v>
      </c>
      <c r="R31" s="27">
        <f t="shared" si="15"/>
        <v>4.4830355536509954</v>
      </c>
      <c r="S31" s="27">
        <f t="shared" si="15"/>
        <v>7.2021681568630562</v>
      </c>
      <c r="T31" s="27">
        <f t="shared" si="15"/>
        <v>1.4159961193054486E-2</v>
      </c>
      <c r="U31" s="27">
        <f t="shared" si="15"/>
        <v>0.3653493432359759</v>
      </c>
      <c r="V31" s="27">
        <f t="shared" si="15"/>
        <v>0.32516091548001858</v>
      </c>
      <c r="W31" s="27">
        <f t="shared" si="15"/>
        <v>1224.8943751095997</v>
      </c>
      <c r="X31" s="27">
        <f t="shared" si="15"/>
        <v>0.12850435772973193</v>
      </c>
      <c r="Y31" s="27">
        <f t="shared" si="15"/>
        <v>0.68420597490199042</v>
      </c>
    </row>
    <row r="32" spans="1:25">
      <c r="A32" s="17"/>
      <c r="B32" s="29"/>
      <c r="C32" s="22"/>
      <c r="D32" s="22"/>
      <c r="E32" s="23"/>
      <c r="F32" s="23"/>
      <c r="G32" s="23"/>
      <c r="H32" s="23"/>
      <c r="I32" s="23"/>
      <c r="J32" s="24"/>
      <c r="K32" s="25"/>
      <c r="L32" s="23"/>
      <c r="M32" s="23"/>
      <c r="N32" s="99"/>
      <c r="O32" s="99"/>
      <c r="P32" s="99"/>
      <c r="Q32" s="27"/>
      <c r="R32" s="27"/>
      <c r="S32" s="27"/>
      <c r="T32" s="27"/>
      <c r="U32" s="27"/>
      <c r="V32" s="27"/>
      <c r="W32" s="27"/>
      <c r="X32" s="27"/>
      <c r="Y32" s="27"/>
    </row>
    <row r="33" spans="1:25">
      <c r="A33" s="17" t="s">
        <v>387</v>
      </c>
      <c r="B33" s="549"/>
      <c r="C33" s="18"/>
      <c r="D33" s="22"/>
      <c r="E33" s="19"/>
      <c r="F33" s="19"/>
      <c r="G33" s="19"/>
      <c r="H33" s="19"/>
      <c r="I33" s="19"/>
      <c r="J33" s="19"/>
      <c r="K33" s="19"/>
      <c r="L33" s="19"/>
      <c r="M33" s="19"/>
      <c r="N33" s="30"/>
      <c r="O33" s="30"/>
      <c r="P33" s="364"/>
      <c r="Q33" s="20">
        <f>Q11+Q17+Q24+Q31</f>
        <v>5.8840357734595168</v>
      </c>
      <c r="R33" s="20">
        <f t="shared" ref="R33:Y33" si="16">R11+R17+R24+R31</f>
        <v>21.099980718190444</v>
      </c>
      <c r="S33" s="20">
        <f t="shared" si="16"/>
        <v>33.616864470313345</v>
      </c>
      <c r="T33" s="20">
        <f t="shared" si="16"/>
        <v>6.7531988505550436E-2</v>
      </c>
      <c r="U33" s="20">
        <f t="shared" si="16"/>
        <v>1.651843368284287</v>
      </c>
      <c r="V33" s="20">
        <f t="shared" si="16"/>
        <v>1.4701405977730153</v>
      </c>
      <c r="W33" s="20">
        <f t="shared" si="16"/>
        <v>5860.7279122671025</v>
      </c>
      <c r="X33" s="20">
        <f t="shared" si="16"/>
        <v>0.56799208398297552</v>
      </c>
      <c r="Y33" s="20">
        <f t="shared" si="16"/>
        <v>3.1936021246797681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94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42578125" style="36" bestFit="1" customWidth="1"/>
    <col min="4" max="4" width="10.85546875" style="36" customWidth="1"/>
    <col min="5" max="5" width="10.42578125" style="36" bestFit="1" customWidth="1"/>
    <col min="6" max="6" width="9.5703125" style="36" bestFit="1" customWidth="1"/>
    <col min="7" max="7" width="12" style="36" bestFit="1" customWidth="1"/>
    <col min="8" max="8" width="9.5703125" style="36" bestFit="1" customWidth="1"/>
    <col min="9" max="9" width="11.85546875" style="36" bestFit="1" customWidth="1"/>
    <col min="10" max="11" width="9.5703125" style="36" bestFit="1" customWidth="1"/>
    <col min="12" max="13" width="11.85546875" style="36" bestFit="1" customWidth="1"/>
    <col min="14" max="14" width="9.5703125" style="36" bestFit="1" customWidth="1"/>
    <col min="15" max="16" width="10.85546875" style="36" bestFit="1" customWidth="1"/>
    <col min="17" max="17" width="9.5703125" style="36" bestFit="1" customWidth="1"/>
    <col min="18" max="18" width="12.85546875" style="36" bestFit="1" customWidth="1"/>
    <col min="19" max="30" width="9.5703125" style="36" bestFit="1" customWidth="1"/>
    <col min="31" max="16384" width="9.140625" style="36"/>
  </cols>
  <sheetData>
    <row r="1" spans="1:30">
      <c r="A1" s="3" t="s">
        <v>586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C9*(F9)*$B$242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C10*(F10)*$B$242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 ht="25.5">
      <c r="A13" s="114" t="s">
        <v>315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326</v>
      </c>
      <c r="B14" s="76" t="s">
        <v>95</v>
      </c>
      <c r="C14" s="79">
        <v>3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9.9891275533645019E-2</v>
      </c>
      <c r="U14" s="50">
        <f>C14*($F14*$H14)/453.59</f>
        <v>0.18440937782971867</v>
      </c>
      <c r="V14" s="50">
        <f>C14*(($F14*$I14))/453.59</f>
        <v>2.253067276294635E-2</v>
      </c>
      <c r="W14" s="50">
        <f>C14*($F14*$J14)/453.59</f>
        <v>1.3898613406074772E-3</v>
      </c>
      <c r="X14" s="50">
        <f>C14*(($F14*($K14+$L14+$M14)))/453.59</f>
        <v>3.6369464870151122E-2</v>
      </c>
      <c r="Y14" s="50">
        <f>C14*(($F14*($N14+$O14+$P14)))/453.59</f>
        <v>2.4166098982977401E-2</v>
      </c>
      <c r="Z14" s="50">
        <f>C14*(F14)*$B$242</f>
        <v>0</v>
      </c>
      <c r="AA14" s="50">
        <f>Z14*0.21</f>
        <v>0</v>
      </c>
      <c r="AB14" s="50">
        <f>C14*(($F14*($Q14)))/453.59</f>
        <v>96.814105590256631</v>
      </c>
      <c r="AC14" s="50">
        <f>C14*(($F14*($R14)))/453.59</f>
        <v>5.5322484357440338E-3</v>
      </c>
      <c r="AD14" s="50">
        <f>C14*(($F14*($S14)))/453.59</f>
        <v>2.4799901288000137E-3</v>
      </c>
    </row>
    <row r="15" spans="1:30">
      <c r="A15" s="78" t="s">
        <v>327</v>
      </c>
      <c r="B15" s="76" t="s">
        <v>105</v>
      </c>
      <c r="C15" s="374">
        <v>1</v>
      </c>
      <c r="D15" s="77"/>
      <c r="E15" s="77">
        <v>35</v>
      </c>
      <c r="F15" s="77">
        <v>80</v>
      </c>
      <c r="G15" s="106">
        <v>1.08263976628415</v>
      </c>
      <c r="H15" s="106">
        <v>4.9712718909585103</v>
      </c>
      <c r="I15" s="106">
        <v>0.26248012575016899</v>
      </c>
      <c r="J15" s="106">
        <v>1.0711818E-2</v>
      </c>
      <c r="K15" s="106">
        <v>7.1679901072141505E-2</v>
      </c>
      <c r="L15" s="576">
        <v>3.59998119015979E-2</v>
      </c>
      <c r="M15" s="576">
        <v>6.1739677411240299E-2</v>
      </c>
      <c r="N15" s="106">
        <v>6.5945508986370194E-2</v>
      </c>
      <c r="O15" s="576">
        <v>2.9999843251331498E-3</v>
      </c>
      <c r="P15" s="576">
        <v>5.5859708133979398E-2</v>
      </c>
      <c r="Q15" s="106">
        <v>1710.7260798814</v>
      </c>
      <c r="R15" s="47">
        <v>1.5235246282551899E-2</v>
      </c>
      <c r="S15" s="80">
        <f>0.000025616*Q15</f>
        <v>4.3821959262241944E-2</v>
      </c>
      <c r="T15" s="50">
        <f>C15*($F15*$G15)/453.59</f>
        <v>0.19094596728925242</v>
      </c>
      <c r="U15" s="50">
        <f>C15*($F15*$H15)/453.59</f>
        <v>0.87678685878586582</v>
      </c>
      <c r="V15" s="50">
        <f>C15*(($F15*$I15))/453.59</f>
        <v>4.6293811724274173E-2</v>
      </c>
      <c r="W15" s="50">
        <f>C15*($F15*$J15)/453.59</f>
        <v>1.8892511739676801E-3</v>
      </c>
      <c r="X15" s="50">
        <f>C15*(($F15*($K15+$L15+$M15)))/453.59</f>
        <v>2.9880621774726907E-2</v>
      </c>
      <c r="Y15" s="50">
        <f>C15*(($F15*($N15+$O15+$P15)))/453.59</f>
        <v>2.2011984646131133E-2</v>
      </c>
      <c r="Z15" s="50">
        <f>C15*(F15)*$B$242</f>
        <v>0</v>
      </c>
      <c r="AA15" s="50">
        <f>Z15*0.21</f>
        <v>0</v>
      </c>
      <c r="AB15" s="50">
        <f>C15*(($F15*($Q15)))/453.59</f>
        <v>301.72200972356535</v>
      </c>
      <c r="AC15" s="50">
        <f>C15*(($F15*($R15)))/453.59</f>
        <v>2.6870515280410772E-3</v>
      </c>
      <c r="AD15" s="50">
        <f>C15*(($F15*($S15)))/453.59</f>
        <v>7.7289110010788503E-3</v>
      </c>
    </row>
    <row r="16" spans="1:30">
      <c r="A16" s="75" t="s">
        <v>28</v>
      </c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>
        <f t="shared" ref="T16:AD16" si="1">SUM(T14:T15)</f>
        <v>0.29083724282289747</v>
      </c>
      <c r="U16" s="81">
        <f t="shared" si="1"/>
        <v>1.0611962366155845</v>
      </c>
      <c r="V16" s="81">
        <f t="shared" si="1"/>
        <v>6.8824484487220519E-2</v>
      </c>
      <c r="W16" s="81">
        <f t="shared" si="1"/>
        <v>3.2791125145751575E-3</v>
      </c>
      <c r="X16" s="81">
        <f t="shared" si="1"/>
        <v>6.6250086644878026E-2</v>
      </c>
      <c r="Y16" s="81">
        <f t="shared" si="1"/>
        <v>4.6178083629108538E-2</v>
      </c>
      <c r="Z16" s="81">
        <f t="shared" si="1"/>
        <v>0</v>
      </c>
      <c r="AA16" s="81">
        <f t="shared" si="1"/>
        <v>0</v>
      </c>
      <c r="AB16" s="81">
        <f t="shared" si="1"/>
        <v>398.53611531382199</v>
      </c>
      <c r="AC16" s="81">
        <f t="shared" si="1"/>
        <v>8.2192999637851101E-3</v>
      </c>
      <c r="AD16" s="81">
        <f t="shared" si="1"/>
        <v>1.0208901129878864E-2</v>
      </c>
    </row>
    <row r="17" spans="1:30">
      <c r="A17" s="75"/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</row>
    <row r="18" spans="1:30">
      <c r="A18" s="114" t="s">
        <v>333</v>
      </c>
      <c r="B18" s="74"/>
      <c r="C18" s="112"/>
      <c r="D18" s="112"/>
      <c r="E18" s="74"/>
      <c r="F18" s="74"/>
      <c r="G18" s="577"/>
      <c r="H18" s="41"/>
      <c r="I18" s="41"/>
      <c r="J18" s="41"/>
      <c r="K18" s="574"/>
      <c r="L18" s="574"/>
      <c r="M18" s="574"/>
      <c r="N18" s="574"/>
      <c r="O18" s="574"/>
      <c r="P18" s="574"/>
      <c r="Q18" s="41"/>
      <c r="R18" s="574"/>
      <c r="S18" s="574"/>
      <c r="T18" s="61"/>
      <c r="U18" s="61"/>
      <c r="V18" s="61"/>
      <c r="W18" s="61"/>
      <c r="X18" s="61"/>
      <c r="Y18" s="61"/>
      <c r="Z18" s="62"/>
      <c r="AA18" s="62"/>
      <c r="AB18" s="62"/>
      <c r="AC18" s="62"/>
      <c r="AD18" s="62"/>
    </row>
    <row r="19" spans="1:30">
      <c r="A19" s="78" t="s">
        <v>320</v>
      </c>
      <c r="B19" s="76" t="s">
        <v>95</v>
      </c>
      <c r="C19" s="79">
        <v>6</v>
      </c>
      <c r="D19" s="77"/>
      <c r="E19" s="77">
        <v>35</v>
      </c>
      <c r="F19" s="77">
        <v>60</v>
      </c>
      <c r="G19" s="106">
        <v>0.25172046482947802</v>
      </c>
      <c r="H19" s="106">
        <v>0.464701387165456</v>
      </c>
      <c r="I19" s="106">
        <v>5.6776043658582402E-2</v>
      </c>
      <c r="J19" s="106">
        <v>3.5023733638119199E-3</v>
      </c>
      <c r="K19" s="106">
        <v>4.6899256897933901E-2</v>
      </c>
      <c r="L19" s="47">
        <v>7.99995847163921E-3</v>
      </c>
      <c r="M19" s="47">
        <v>3.6749815577381599E-2</v>
      </c>
      <c r="N19" s="106">
        <v>4.3147317248333997E-2</v>
      </c>
      <c r="O19" s="47">
        <v>1.9999896145790402E-3</v>
      </c>
      <c r="P19" s="47">
        <v>1.57499200131354E-2</v>
      </c>
      <c r="Q19" s="106">
        <v>243.966167526025</v>
      </c>
      <c r="R19" s="47">
        <f>0.000057143*Q19</f>
        <v>1.3940958710939646E-2</v>
      </c>
      <c r="S19" s="80">
        <f>0.000025616*Q19</f>
        <v>6.2494373473466567E-3</v>
      </c>
      <c r="T19" s="50">
        <f>C19*($F19*$G19)/453.59</f>
        <v>0.19978255106729004</v>
      </c>
      <c r="U19" s="50">
        <f>C19*($F19*$H19)/453.59</f>
        <v>0.36881875565943734</v>
      </c>
      <c r="V19" s="50">
        <f>C19*(($F19*$I19))/453.59</f>
        <v>4.50613455258927E-2</v>
      </c>
      <c r="W19" s="50">
        <f>C19*($F19*$J19)/453.59</f>
        <v>2.7797226812149543E-3</v>
      </c>
      <c r="X19" s="50">
        <f>C19*(($F19*($K19+$L19+$M19)))/453.59</f>
        <v>7.2738929740302244E-2</v>
      </c>
      <c r="Y19" s="50">
        <f>C19*(($F19*($N19+$O19+$P19)))/453.59</f>
        <v>4.8332197965954803E-2</v>
      </c>
      <c r="Z19" s="50">
        <f>C19*(F19)*$B$373</f>
        <v>0</v>
      </c>
      <c r="AA19" s="50">
        <f>Z19*0.21</f>
        <v>0</v>
      </c>
      <c r="AB19" s="50">
        <f>C19*(($F19*($Q19)))/453.59</f>
        <v>193.62821118051326</v>
      </c>
      <c r="AC19" s="50">
        <f>C19*(($F19*($R19)))/453.59</f>
        <v>1.1064496871488068E-2</v>
      </c>
      <c r="AD19" s="50">
        <f>C19*(($F19*($S19)))/453.59</f>
        <v>4.9599802576000274E-3</v>
      </c>
    </row>
    <row r="20" spans="1:30">
      <c r="A20" s="78" t="s">
        <v>112</v>
      </c>
      <c r="B20" s="76" t="s">
        <v>105</v>
      </c>
      <c r="C20" s="77">
        <v>10</v>
      </c>
      <c r="D20" s="77"/>
      <c r="E20" s="77">
        <v>35</v>
      </c>
      <c r="F20" s="77">
        <v>80</v>
      </c>
      <c r="G20" s="106">
        <v>1.08263976628415</v>
      </c>
      <c r="H20" s="106">
        <v>4.9712718909585103</v>
      </c>
      <c r="I20" s="106">
        <v>0.26248012575016899</v>
      </c>
      <c r="J20" s="106">
        <v>1.0711818E-2</v>
      </c>
      <c r="K20" s="106">
        <v>7.1679901072141505E-2</v>
      </c>
      <c r="L20" s="576">
        <v>3.59998119015979E-2</v>
      </c>
      <c r="M20" s="576">
        <v>6.1739677411240299E-2</v>
      </c>
      <c r="N20" s="106">
        <v>6.5945508986370194E-2</v>
      </c>
      <c r="O20" s="576">
        <v>2.9999843251331498E-3</v>
      </c>
      <c r="P20" s="576">
        <v>5.5859708133979398E-2</v>
      </c>
      <c r="Q20" s="106">
        <v>1710.7260798814</v>
      </c>
      <c r="R20" s="47">
        <v>1.5235246282551899E-2</v>
      </c>
      <c r="S20" s="80">
        <f>0.000025616*Q20</f>
        <v>4.3821959262241944E-2</v>
      </c>
      <c r="T20" s="50">
        <f>C20*($F20*$G20)/453.59</f>
        <v>1.9094596728925244</v>
      </c>
      <c r="U20" s="50">
        <f>C20*($F20*$H20)/453.59</f>
        <v>8.7678685878586577</v>
      </c>
      <c r="V20" s="50">
        <f>C20*(($F20*$I20))/453.59</f>
        <v>0.4629381172427417</v>
      </c>
      <c r="W20" s="50">
        <f>C20*($F20*$J20)/453.59</f>
        <v>1.88925117396768E-2</v>
      </c>
      <c r="X20" s="50">
        <f>C20*(($F20*($K20+$L20+$M20)))/453.59</f>
        <v>0.29880621774726907</v>
      </c>
      <c r="Y20" s="50">
        <f>C20*(($F20*($N20+$O20+$P20)))/453.59</f>
        <v>0.22011984646131133</v>
      </c>
      <c r="Z20" s="50">
        <f>C20*(F20)*$B$344</f>
        <v>0</v>
      </c>
      <c r="AA20" s="50">
        <f>Z20*0.21</f>
        <v>0</v>
      </c>
      <c r="AB20" s="50">
        <f>C20*(($F20*($Q20)))/453.59</f>
        <v>3017.2200972356541</v>
      </c>
      <c r="AC20" s="50">
        <f>C20*(($F20*($R20)))/453.59</f>
        <v>2.6870515280410772E-2</v>
      </c>
      <c r="AD20" s="50">
        <f>C20*(($F20*($S20)))/453.59</f>
        <v>7.7289110010788503E-2</v>
      </c>
    </row>
    <row r="21" spans="1:30">
      <c r="A21" s="78" t="s">
        <v>331</v>
      </c>
      <c r="B21" s="76" t="s">
        <v>105</v>
      </c>
      <c r="C21" s="77">
        <v>14</v>
      </c>
      <c r="D21" s="77"/>
      <c r="E21" s="77">
        <v>35</v>
      </c>
      <c r="F21" s="77">
        <v>80</v>
      </c>
      <c r="G21" s="106">
        <v>1.08263976628415</v>
      </c>
      <c r="H21" s="106">
        <v>4.9712718909585103</v>
      </c>
      <c r="I21" s="106">
        <v>0.26248012575016899</v>
      </c>
      <c r="J21" s="106">
        <v>1.0711818E-2</v>
      </c>
      <c r="K21" s="106">
        <v>7.1679901072141505E-2</v>
      </c>
      <c r="L21" s="576">
        <v>3.59998119015979E-2</v>
      </c>
      <c r="M21" s="576">
        <v>6.1739677411240299E-2</v>
      </c>
      <c r="N21" s="106">
        <v>6.5945508986370194E-2</v>
      </c>
      <c r="O21" s="576">
        <v>2.9999843251331498E-3</v>
      </c>
      <c r="P21" s="576">
        <v>5.5859708133979398E-2</v>
      </c>
      <c r="Q21" s="106">
        <v>1710.7260798814</v>
      </c>
      <c r="R21" s="47">
        <v>1.5235246282551899E-2</v>
      </c>
      <c r="S21" s="80">
        <f>0.000025616*Q21</f>
        <v>4.3821959262241944E-2</v>
      </c>
      <c r="T21" s="50">
        <f>C21*($F21*$G21)/453.59</f>
        <v>2.673243542049534</v>
      </c>
      <c r="U21" s="50">
        <f>C21*($F21*$H21)/453.59</f>
        <v>12.275016023002122</v>
      </c>
      <c r="V21" s="50">
        <f>C21*(($F21*$I21))/453.59</f>
        <v>0.64811336413983833</v>
      </c>
      <c r="W21" s="50">
        <f>C21*($F21*$J21)/453.59</f>
        <v>2.6449516435547521E-2</v>
      </c>
      <c r="X21" s="50">
        <f>C21*(($F21*($K21+$L21+$M21)))/453.59</f>
        <v>0.41832870484617668</v>
      </c>
      <c r="Y21" s="50">
        <f>C21*(($F21*($N21+$O21+$P21)))/453.59</f>
        <v>0.30816778504583586</v>
      </c>
      <c r="Z21" s="50">
        <f>C21*(F21)*$B$344</f>
        <v>0</v>
      </c>
      <c r="AA21" s="50">
        <f>Z21*0.21</f>
        <v>0</v>
      </c>
      <c r="AB21" s="50">
        <f>C21*(($F21*($Q21)))/453.59</f>
        <v>4224.1081361299148</v>
      </c>
      <c r="AC21" s="50">
        <f>C21*(($F21*($R21)))/453.59</f>
        <v>3.7618721392575077E-2</v>
      </c>
      <c r="AD21" s="50">
        <f>C21*(($F21*($S21)))/453.59</f>
        <v>0.1082047540151039</v>
      </c>
    </row>
    <row r="22" spans="1:30">
      <c r="A22" s="75" t="s">
        <v>28</v>
      </c>
      <c r="B22" s="74"/>
      <c r="C22" s="112"/>
      <c r="D22" s="112"/>
      <c r="E22" s="74"/>
      <c r="F22" s="74"/>
      <c r="G22" s="577"/>
      <c r="H22" s="41"/>
      <c r="I22" s="41"/>
      <c r="J22" s="41"/>
      <c r="K22" s="574"/>
      <c r="L22" s="574"/>
      <c r="M22" s="574"/>
      <c r="N22" s="574"/>
      <c r="O22" s="574"/>
      <c r="P22" s="574"/>
      <c r="Q22" s="41"/>
      <c r="R22" s="574"/>
      <c r="S22" s="574"/>
      <c r="T22" s="81">
        <f>SUM(T19:T21)</f>
        <v>4.7824857660093478</v>
      </c>
      <c r="U22" s="81">
        <f t="shared" ref="U22:AD22" si="2">SUM(U19:U21)</f>
        <v>21.411703366520214</v>
      </c>
      <c r="V22" s="81">
        <f t="shared" si="2"/>
        <v>1.1561128269084726</v>
      </c>
      <c r="W22" s="81">
        <f t="shared" si="2"/>
        <v>4.8121750856439272E-2</v>
      </c>
      <c r="X22" s="81">
        <f t="shared" si="2"/>
        <v>0.78987385233374796</v>
      </c>
      <c r="Y22" s="81">
        <f t="shared" si="2"/>
        <v>0.57661982947310197</v>
      </c>
      <c r="Z22" s="81">
        <f t="shared" si="2"/>
        <v>0</v>
      </c>
      <c r="AA22" s="81">
        <f t="shared" si="2"/>
        <v>0</v>
      </c>
      <c r="AB22" s="81">
        <f t="shared" si="2"/>
        <v>7434.9564445460819</v>
      </c>
      <c r="AC22" s="81">
        <f t="shared" si="2"/>
        <v>7.5553733544473922E-2</v>
      </c>
      <c r="AD22" s="81">
        <f t="shared" si="2"/>
        <v>0.19045384428349243</v>
      </c>
    </row>
    <row r="23" spans="1:30">
      <c r="A23" s="75"/>
      <c r="B23" s="74"/>
      <c r="C23" s="112"/>
      <c r="D23" s="112"/>
      <c r="E23" s="74"/>
      <c r="F23" s="74"/>
      <c r="G23" s="577"/>
      <c r="H23" s="41"/>
      <c r="I23" s="41"/>
      <c r="J23" s="41"/>
      <c r="K23" s="574"/>
      <c r="L23" s="574"/>
      <c r="M23" s="574"/>
      <c r="N23" s="574"/>
      <c r="O23" s="574"/>
      <c r="P23" s="574"/>
      <c r="Q23" s="41"/>
      <c r="R23" s="574"/>
      <c r="S23" s="574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</row>
    <row r="24" spans="1:30">
      <c r="A24" s="114" t="s">
        <v>334</v>
      </c>
      <c r="B24" s="74"/>
      <c r="C24" s="112"/>
      <c r="D24" s="112"/>
      <c r="E24" s="74"/>
      <c r="F24" s="74"/>
      <c r="G24" s="577"/>
      <c r="H24" s="41"/>
      <c r="I24" s="41"/>
      <c r="J24" s="41"/>
      <c r="K24" s="574"/>
      <c r="L24" s="574"/>
      <c r="M24" s="574"/>
      <c r="N24" s="574"/>
      <c r="O24" s="574"/>
      <c r="P24" s="574"/>
      <c r="Q24" s="41"/>
      <c r="R24" s="574"/>
      <c r="S24" s="574"/>
      <c r="T24" s="61"/>
      <c r="U24" s="61"/>
      <c r="V24" s="61"/>
      <c r="W24" s="61"/>
      <c r="X24" s="61"/>
      <c r="Y24" s="61"/>
      <c r="Z24" s="62"/>
      <c r="AA24" s="62"/>
      <c r="AB24" s="62"/>
      <c r="AC24" s="62"/>
      <c r="AD24" s="62"/>
    </row>
    <row r="25" spans="1:30">
      <c r="A25" s="78" t="s">
        <v>320</v>
      </c>
      <c r="B25" s="76" t="s">
        <v>95</v>
      </c>
      <c r="C25" s="79">
        <v>6</v>
      </c>
      <c r="D25" s="77"/>
      <c r="E25" s="77">
        <v>35</v>
      </c>
      <c r="F25" s="77">
        <v>60</v>
      </c>
      <c r="G25" s="106">
        <v>0.25172046482947802</v>
      </c>
      <c r="H25" s="106">
        <v>0.464701387165456</v>
      </c>
      <c r="I25" s="106">
        <v>5.6776043658582402E-2</v>
      </c>
      <c r="J25" s="106">
        <v>3.5023733638119199E-3</v>
      </c>
      <c r="K25" s="106">
        <v>4.6899256897933901E-2</v>
      </c>
      <c r="L25" s="47">
        <v>7.99995847163921E-3</v>
      </c>
      <c r="M25" s="47">
        <v>3.6749815577381599E-2</v>
      </c>
      <c r="N25" s="106">
        <v>4.3147317248333997E-2</v>
      </c>
      <c r="O25" s="47">
        <v>1.9999896145790402E-3</v>
      </c>
      <c r="P25" s="47">
        <v>1.57499200131354E-2</v>
      </c>
      <c r="Q25" s="106">
        <v>243.966167526025</v>
      </c>
      <c r="R25" s="47">
        <f>0.000057143*Q25</f>
        <v>1.3940958710939646E-2</v>
      </c>
      <c r="S25" s="80">
        <f>0.000025616*Q25</f>
        <v>6.2494373473466567E-3</v>
      </c>
      <c r="T25" s="50">
        <f>C25*($F25*$G25)/453.59</f>
        <v>0.19978255106729004</v>
      </c>
      <c r="U25" s="50">
        <f>C25*($F25*$H25)/453.59</f>
        <v>0.36881875565943734</v>
      </c>
      <c r="V25" s="50">
        <f>C25*(($F25*$I25))/453.59</f>
        <v>4.50613455258927E-2</v>
      </c>
      <c r="W25" s="50">
        <f>C25*($F25*$J25)/453.59</f>
        <v>2.7797226812149543E-3</v>
      </c>
      <c r="X25" s="50">
        <f>C25*(($F25*($K25+$L25+$M25)))/453.59</f>
        <v>7.2738929740302244E-2</v>
      </c>
      <c r="Y25" s="50">
        <f>C25*(($F25*($N25+$O25+$P25)))/453.59</f>
        <v>4.8332197965954803E-2</v>
      </c>
      <c r="Z25" s="50">
        <f>C25*(F25)*$B$344</f>
        <v>0</v>
      </c>
      <c r="AA25" s="50">
        <f>Z25*0.21</f>
        <v>0</v>
      </c>
      <c r="AB25" s="50">
        <f>C25*(($F25*($Q25)))/453.59</f>
        <v>193.62821118051326</v>
      </c>
      <c r="AC25" s="50">
        <f>C25*(($F25*($R25)))/453.59</f>
        <v>1.1064496871488068E-2</v>
      </c>
      <c r="AD25" s="50">
        <f>C25*(($F25*($S25)))/453.59</f>
        <v>4.9599802576000274E-3</v>
      </c>
    </row>
    <row r="26" spans="1:30">
      <c r="A26" s="78" t="s">
        <v>318</v>
      </c>
      <c r="B26" s="76" t="s">
        <v>105</v>
      </c>
      <c r="C26" s="77">
        <v>1</v>
      </c>
      <c r="D26" s="77"/>
      <c r="E26" s="77">
        <v>35</v>
      </c>
      <c r="F26" s="77">
        <v>80</v>
      </c>
      <c r="G26" s="106">
        <v>1.08263976628415</v>
      </c>
      <c r="H26" s="106">
        <v>4.9712718909585103</v>
      </c>
      <c r="I26" s="106">
        <v>0.26248012575016899</v>
      </c>
      <c r="J26" s="106">
        <v>1.0711818E-2</v>
      </c>
      <c r="K26" s="106">
        <v>7.1679901072141505E-2</v>
      </c>
      <c r="L26" s="576">
        <v>3.59998119015979E-2</v>
      </c>
      <c r="M26" s="576">
        <v>6.1739677411240299E-2</v>
      </c>
      <c r="N26" s="106">
        <v>6.5945508986370194E-2</v>
      </c>
      <c r="O26" s="576">
        <v>2.9999843251331498E-3</v>
      </c>
      <c r="P26" s="576">
        <v>5.5859708133979398E-2</v>
      </c>
      <c r="Q26" s="106">
        <v>1710.7260798814</v>
      </c>
      <c r="R26" s="47">
        <v>1.5235246282551899E-2</v>
      </c>
      <c r="S26" s="80">
        <f>0.000025616*Q26</f>
        <v>4.3821959262241944E-2</v>
      </c>
      <c r="T26" s="50">
        <f>C26*($F26*$G26)/453.59</f>
        <v>0.19094596728925242</v>
      </c>
      <c r="U26" s="50">
        <f>C26*($F26*$H26)/453.59</f>
        <v>0.87678685878586582</v>
      </c>
      <c r="V26" s="50">
        <f>C26*(($F26*$I26))/453.59</f>
        <v>4.6293811724274173E-2</v>
      </c>
      <c r="W26" s="50">
        <f>C26*($F26*$J26)/453.59</f>
        <v>1.8892511739676801E-3</v>
      </c>
      <c r="X26" s="50">
        <f>C26*(($F26*($K26+$L26+$M26)))/453.59</f>
        <v>2.9880621774726907E-2</v>
      </c>
      <c r="Y26" s="50">
        <f>C26*(($F26*($N26+$O26+$P26)))/453.59</f>
        <v>2.2011984646131133E-2</v>
      </c>
      <c r="Z26" s="50">
        <f>C26*(F26)*$B$344</f>
        <v>0</v>
      </c>
      <c r="AA26" s="50">
        <f>Z26*0.21</f>
        <v>0</v>
      </c>
      <c r="AB26" s="50">
        <f>C26*(($F26*($Q26)))/453.59</f>
        <v>301.72200972356535</v>
      </c>
      <c r="AC26" s="50">
        <f>C26*(($F26*($R26)))/453.59</f>
        <v>2.6870515280410772E-3</v>
      </c>
      <c r="AD26" s="50">
        <f>C26*(($F26*($S26)))/453.59</f>
        <v>7.7289110010788503E-3</v>
      </c>
    </row>
    <row r="27" spans="1:30">
      <c r="A27" s="78" t="s">
        <v>112</v>
      </c>
      <c r="B27" s="76" t="s">
        <v>105</v>
      </c>
      <c r="C27" s="77">
        <v>33</v>
      </c>
      <c r="D27" s="77"/>
      <c r="E27" s="77">
        <v>35</v>
      </c>
      <c r="F27" s="77">
        <v>80</v>
      </c>
      <c r="G27" s="106">
        <v>1.08263976628415</v>
      </c>
      <c r="H27" s="106">
        <v>4.9712718909585103</v>
      </c>
      <c r="I27" s="106">
        <v>0.26248012575016899</v>
      </c>
      <c r="J27" s="106">
        <v>1.0711818E-2</v>
      </c>
      <c r="K27" s="106">
        <v>7.1679901072141505E-2</v>
      </c>
      <c r="L27" s="576">
        <v>3.59998119015979E-2</v>
      </c>
      <c r="M27" s="576">
        <v>6.1739677411240299E-2</v>
      </c>
      <c r="N27" s="106">
        <v>6.5945508986370194E-2</v>
      </c>
      <c r="O27" s="576">
        <v>2.9999843251331498E-3</v>
      </c>
      <c r="P27" s="576">
        <v>5.5859708133979398E-2</v>
      </c>
      <c r="Q27" s="106">
        <v>1710.7260798814</v>
      </c>
      <c r="R27" s="47">
        <v>1.5235246282551899E-2</v>
      </c>
      <c r="S27" s="80">
        <f>0.000025616*Q27</f>
        <v>4.3821959262241944E-2</v>
      </c>
      <c r="T27" s="50">
        <f>C27*($F27*$G27)/453.59</f>
        <v>6.3012169205453299</v>
      </c>
      <c r="U27" s="50">
        <f>C27*($F27*$H27)/453.59</f>
        <v>28.933966339933573</v>
      </c>
      <c r="V27" s="50">
        <f>C27*(($F27*$I27))/453.59</f>
        <v>1.5276957869010475</v>
      </c>
      <c r="W27" s="50">
        <f>C27*($F27*$J27)/453.59</f>
        <v>6.2345288740933445E-2</v>
      </c>
      <c r="X27" s="50">
        <f>C27*(($F27*($K27+$L27+$M27)))/453.59</f>
        <v>0.98606051856598786</v>
      </c>
      <c r="Y27" s="50">
        <f>C27*(($F27*($N27+$O27+$P27)))/453.59</f>
        <v>0.72639549332232733</v>
      </c>
      <c r="Z27" s="50">
        <f>C27*(F27)*$B$344</f>
        <v>0</v>
      </c>
      <c r="AA27" s="50">
        <f>Z27*0.21</f>
        <v>0</v>
      </c>
      <c r="AB27" s="50">
        <f>C27*(($F27*($Q27)))/453.59</f>
        <v>9956.8263208776571</v>
      </c>
      <c r="AC27" s="50">
        <f>C27*(($F27*($R27)))/453.59</f>
        <v>8.8672700425355536E-2</v>
      </c>
      <c r="AD27" s="50">
        <f>C27*(($F27*($S27)))/453.59</f>
        <v>0.25505406303560207</v>
      </c>
    </row>
    <row r="28" spans="1:30">
      <c r="A28" s="75" t="s">
        <v>28</v>
      </c>
      <c r="B28" s="74"/>
      <c r="C28" s="112"/>
      <c r="D28" s="112"/>
      <c r="E28" s="74"/>
      <c r="F28" s="74"/>
      <c r="G28" s="577"/>
      <c r="H28" s="41"/>
      <c r="I28" s="41"/>
      <c r="J28" s="41"/>
      <c r="K28" s="574"/>
      <c r="L28" s="574"/>
      <c r="M28" s="574"/>
      <c r="N28" s="574"/>
      <c r="O28" s="574"/>
      <c r="P28" s="574"/>
      <c r="Q28" s="41"/>
      <c r="R28" s="574"/>
      <c r="S28" s="574"/>
      <c r="T28" s="81">
        <f>SUM(T25:T27)</f>
        <v>6.6919454389018727</v>
      </c>
      <c r="U28" s="81">
        <f t="shared" ref="U28:AD28" si="3">SUM(U25:U27)</f>
        <v>30.179571954378876</v>
      </c>
      <c r="V28" s="81">
        <f t="shared" si="3"/>
        <v>1.6190509441512144</v>
      </c>
      <c r="W28" s="81">
        <f t="shared" si="3"/>
        <v>6.7014262596116078E-2</v>
      </c>
      <c r="X28" s="81">
        <f t="shared" si="3"/>
        <v>1.0886800700810171</v>
      </c>
      <c r="Y28" s="81">
        <f t="shared" si="3"/>
        <v>0.79673967593441331</v>
      </c>
      <c r="Z28" s="81">
        <f t="shared" si="3"/>
        <v>0</v>
      </c>
      <c r="AA28" s="81">
        <f t="shared" si="3"/>
        <v>0</v>
      </c>
      <c r="AB28" s="81">
        <f t="shared" si="3"/>
        <v>10452.176541781735</v>
      </c>
      <c r="AC28" s="81">
        <f t="shared" si="3"/>
        <v>0.10242424882488468</v>
      </c>
      <c r="AD28" s="81">
        <f t="shared" si="3"/>
        <v>0.26774295429428097</v>
      </c>
    </row>
    <row r="29" spans="1:30">
      <c r="A29" s="75"/>
      <c r="B29" s="74"/>
      <c r="C29" s="112"/>
      <c r="D29" s="112"/>
      <c r="E29" s="74"/>
      <c r="F29" s="74"/>
      <c r="G29" s="577"/>
      <c r="H29" s="41"/>
      <c r="I29" s="41"/>
      <c r="J29" s="41"/>
      <c r="K29" s="574"/>
      <c r="L29" s="574"/>
      <c r="M29" s="574"/>
      <c r="N29" s="574"/>
      <c r="O29" s="574"/>
      <c r="P29" s="574"/>
      <c r="Q29" s="41"/>
      <c r="R29" s="574"/>
      <c r="S29" s="574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</row>
    <row r="30" spans="1:30">
      <c r="A30" s="75" t="s">
        <v>388</v>
      </c>
      <c r="B30" s="74"/>
      <c r="C30" s="112"/>
      <c r="D30" s="112"/>
      <c r="E30" s="74"/>
      <c r="F30" s="74"/>
      <c r="G30" s="547"/>
      <c r="H30" s="41"/>
      <c r="I30" s="41"/>
      <c r="J30" s="41"/>
      <c r="K30" s="544"/>
      <c r="L30" s="544"/>
      <c r="M30" s="544"/>
      <c r="N30" s="544"/>
      <c r="O30" s="544"/>
      <c r="P30" s="544"/>
      <c r="Q30" s="41"/>
      <c r="R30" s="544"/>
      <c r="S30" s="544"/>
      <c r="T30" s="81">
        <f>T11+T16+T22+T28</f>
        <v>12.056105690557015</v>
      </c>
      <c r="U30" s="81">
        <f t="shared" ref="U30:AD30" si="4">U11+U16+U22+U28</f>
        <v>53.713667794130259</v>
      </c>
      <c r="V30" s="81">
        <f t="shared" si="4"/>
        <v>2.9128127400341279</v>
      </c>
      <c r="W30" s="81">
        <f t="shared" si="4"/>
        <v>0.12169423848170566</v>
      </c>
      <c r="X30" s="81">
        <f t="shared" si="4"/>
        <v>2.0110540957045213</v>
      </c>
      <c r="Y30" s="81">
        <f t="shared" si="4"/>
        <v>1.4657156726657323</v>
      </c>
      <c r="Z30" s="81">
        <f t="shared" si="4"/>
        <v>0</v>
      </c>
      <c r="AA30" s="81">
        <f t="shared" si="4"/>
        <v>0</v>
      </c>
      <c r="AB30" s="81">
        <f t="shared" si="4"/>
        <v>18684.205216955459</v>
      </c>
      <c r="AC30" s="81">
        <f t="shared" si="4"/>
        <v>0.19441658229692882</v>
      </c>
      <c r="AD30" s="81">
        <f t="shared" si="4"/>
        <v>0.47861460083753116</v>
      </c>
    </row>
    <row r="31" spans="1:30">
      <c r="A31" s="370"/>
      <c r="B31" s="371"/>
      <c r="C31" s="372"/>
      <c r="D31" s="372"/>
      <c r="E31" s="371"/>
      <c r="F31" s="371"/>
      <c r="G31" s="373"/>
      <c r="H31" s="373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</row>
    <row r="32" spans="1:30">
      <c r="A32" s="370"/>
      <c r="B32" s="371"/>
      <c r="C32" s="372"/>
      <c r="D32" s="372"/>
      <c r="E32" s="371"/>
      <c r="F32" s="371"/>
      <c r="G32" s="373"/>
      <c r="H32" s="373"/>
      <c r="I32" s="373"/>
      <c r="J32" s="373"/>
      <c r="K32" s="373"/>
      <c r="L32" s="373"/>
      <c r="M32" s="373"/>
      <c r="N32" s="373"/>
      <c r="O32" s="373"/>
      <c r="P32" s="373"/>
      <c r="Q32" s="373"/>
      <c r="R32" s="373"/>
      <c r="S32" s="373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</row>
    <row r="33" spans="1:30">
      <c r="A33" s="370"/>
      <c r="B33" s="371"/>
      <c r="C33" s="372"/>
      <c r="D33" s="372"/>
      <c r="E33" s="371"/>
      <c r="F33" s="371"/>
      <c r="G33" s="373"/>
      <c r="H33" s="373"/>
      <c r="I33" s="373"/>
      <c r="J33" s="373"/>
      <c r="K33" s="373"/>
      <c r="L33" s="373"/>
      <c r="M33" s="373"/>
      <c r="N33" s="373"/>
      <c r="O33" s="373"/>
      <c r="P33" s="373"/>
      <c r="Q33" s="373"/>
      <c r="R33" s="373"/>
      <c r="S33" s="373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</row>
    <row r="34" spans="1:30">
      <c r="A34" s="370"/>
      <c r="B34" s="371"/>
      <c r="C34" s="372"/>
      <c r="D34" s="372"/>
      <c r="E34" s="371"/>
      <c r="F34" s="371"/>
      <c r="G34" s="373"/>
      <c r="H34" s="373"/>
      <c r="I34" s="373"/>
      <c r="J34" s="373"/>
      <c r="K34" s="373"/>
      <c r="L34" s="373"/>
      <c r="M34" s="373"/>
      <c r="N34" s="373"/>
      <c r="O34" s="373"/>
      <c r="P34" s="373"/>
      <c r="Q34" s="373"/>
      <c r="R34" s="373"/>
      <c r="S34" s="373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</row>
    <row r="382" spans="1:1" ht="25.5">
      <c r="A382" s="82" t="s">
        <v>109</v>
      </c>
    </row>
    <row r="384" spans="1:1">
      <c r="A384" s="36" t="s">
        <v>81</v>
      </c>
    </row>
    <row r="385" spans="1:2">
      <c r="A385" s="36" t="s">
        <v>82</v>
      </c>
    </row>
    <row r="386" spans="1:2">
      <c r="A386" s="36" t="s">
        <v>83</v>
      </c>
    </row>
    <row r="387" spans="1:2">
      <c r="A387" s="37" t="s">
        <v>96</v>
      </c>
    </row>
    <row r="388" spans="1:2">
      <c r="A388" s="36" t="s">
        <v>85</v>
      </c>
    </row>
    <row r="389" spans="1:2">
      <c r="A389" s="36" t="s">
        <v>86</v>
      </c>
    </row>
    <row r="390" spans="1:2">
      <c r="A390" s="36" t="s">
        <v>87</v>
      </c>
    </row>
    <row r="391" spans="1:2">
      <c r="A391" s="36" t="s">
        <v>0</v>
      </c>
    </row>
    <row r="392" spans="1:2">
      <c r="A392" s="37" t="s">
        <v>97</v>
      </c>
      <c r="B392" s="36">
        <f>(0.016*(0.03/2)^0.65*(2/3)^1.5)-0.00047</f>
        <v>9.8123053326417428E-5</v>
      </c>
    </row>
    <row r="393" spans="1:2">
      <c r="A393" s="37" t="s">
        <v>98</v>
      </c>
      <c r="B393" s="36">
        <f>(0.016*(0.03/2)^0.65*(13/3)^1.5)-0.00047</f>
        <v>8.9448292388582783E-3</v>
      </c>
    </row>
    <row r="394" spans="1:2">
      <c r="A394" s="37" t="s">
        <v>99</v>
      </c>
      <c r="B394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5"/>
  <sheetViews>
    <sheetView zoomScale="85" zoomScaleNormal="85" workbookViewId="0">
      <selection activeCell="A2" sqref="A2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587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346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7" si="0">0.000049261*AA4</f>
        <v>2.2095931710230707E-2</v>
      </c>
      <c r="AD4" s="49">
        <v>3.2599999999999997E-2</v>
      </c>
      <c r="AE4" s="47">
        <f t="shared" ref="AE4:AE7" si="1">0.000021675*AA4</f>
        <v>9.7222817202097123E-3</v>
      </c>
    </row>
    <row r="5" spans="1:67" ht="25.5">
      <c r="A5" s="44" t="s">
        <v>328</v>
      </c>
      <c r="B5" s="45" t="s">
        <v>102</v>
      </c>
      <c r="C5" s="46">
        <v>3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333</v>
      </c>
      <c r="B6" s="45" t="s">
        <v>102</v>
      </c>
      <c r="C6" s="46">
        <v>12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ref="AC6" si="2">0.000049261*AA6</f>
        <v>2.2095931710230707E-2</v>
      </c>
      <c r="AD6" s="49">
        <v>3.2599999999999997E-2</v>
      </c>
      <c r="AE6" s="47">
        <f t="shared" ref="AE6" si="3">0.000021675*AA6</f>
        <v>9.7222817202097123E-3</v>
      </c>
    </row>
    <row r="7" spans="1:67" ht="25.5">
      <c r="A7" s="44" t="s">
        <v>516</v>
      </c>
      <c r="B7" s="45" t="s">
        <v>102</v>
      </c>
      <c r="C7" s="46">
        <v>10</v>
      </c>
      <c r="D7" s="46">
        <v>35</v>
      </c>
      <c r="E7" s="46">
        <v>80</v>
      </c>
      <c r="F7" s="47">
        <v>2.3611622044318601</v>
      </c>
      <c r="G7" s="48">
        <v>31.4244798871777</v>
      </c>
      <c r="H7" s="48">
        <v>0.22493614397154399</v>
      </c>
      <c r="I7" s="48">
        <v>1.8136819244333999</v>
      </c>
      <c r="J7" s="47">
        <v>5.7965153248686403E-2</v>
      </c>
      <c r="K7" s="48">
        <v>2.3946366793705498</v>
      </c>
      <c r="L7" s="48">
        <v>1.62197187247403</v>
      </c>
      <c r="M7" s="48">
        <v>0.70709499821369304</v>
      </c>
      <c r="N7" s="48">
        <v>0.16038404042738499</v>
      </c>
      <c r="O7" s="48">
        <v>0.71464703099800198</v>
      </c>
      <c r="P7" s="48">
        <v>4.0478385316323803E-3</v>
      </c>
      <c r="Q7" s="48">
        <v>5.8407810191933099E-3</v>
      </c>
      <c r="R7" s="47">
        <v>3.2157701660956101E-3</v>
      </c>
      <c r="S7" s="48">
        <v>2.9198634356063399E-2</v>
      </c>
      <c r="T7" s="48">
        <v>7.9999583995993707E-3</v>
      </c>
      <c r="U7" s="48">
        <v>3.6749815874576097E-2</v>
      </c>
      <c r="V7" s="48">
        <v>2.9606446234606999E-3</v>
      </c>
      <c r="W7" s="48">
        <v>2.6884174180557701E-2</v>
      </c>
      <c r="X7" s="48">
        <v>1.9999896010969099E-3</v>
      </c>
      <c r="Y7" s="48">
        <v>1.57499197860352E-2</v>
      </c>
      <c r="Z7" s="48">
        <v>308.63789988642998</v>
      </c>
      <c r="AA7" s="48">
        <v>448.54817624958298</v>
      </c>
      <c r="AB7" s="47">
        <v>1.77E-2</v>
      </c>
      <c r="AC7" s="47">
        <f t="shared" si="0"/>
        <v>2.2095931710230707E-2</v>
      </c>
      <c r="AD7" s="49">
        <v>3.2599999999999997E-2</v>
      </c>
      <c r="AE7" s="47">
        <f t="shared" si="1"/>
        <v>9.7222817202097123E-3</v>
      </c>
    </row>
    <row r="8" spans="1:67">
      <c r="A8" s="52"/>
      <c r="B8" s="52"/>
      <c r="C8" s="53"/>
      <c r="D8" s="54"/>
      <c r="E8" s="54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</row>
    <row r="9" spans="1:67" ht="25.5">
      <c r="A9" s="55" t="s">
        <v>504</v>
      </c>
      <c r="B9" s="37"/>
      <c r="C9" s="37"/>
    </row>
    <row r="10" spans="1:67">
      <c r="A10" s="55" t="s">
        <v>77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84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</row>
    <row r="11" spans="1:67">
      <c r="A11" s="55" t="s">
        <v>78</v>
      </c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t="38.25" hidden="1">
      <c r="A12" s="55" t="s">
        <v>79</v>
      </c>
      <c r="B12" s="37"/>
      <c r="C12" s="37"/>
      <c r="AA12" s="57"/>
      <c r="AB12" s="58" t="s">
        <v>80</v>
      </c>
      <c r="AC12" s="57"/>
      <c r="AD12" s="57"/>
      <c r="AE12" s="57"/>
      <c r="AF12" s="57" t="e">
        <f>#REF!/60</f>
        <v>#REF!</v>
      </c>
      <c r="AG12" s="57" t="e">
        <f>#REF!/60</f>
        <v>#REF!</v>
      </c>
      <c r="AH12" s="57" t="e">
        <f>#REF!/60</f>
        <v>#REF!</v>
      </c>
      <c r="AI12" s="57" t="e">
        <f>#REF!/60</f>
        <v>#REF!</v>
      </c>
      <c r="AJ12" s="57" t="e">
        <f>#REF!/60</f>
        <v>#REF!</v>
      </c>
      <c r="AK12" s="57" t="e">
        <f>#REF!/60</f>
        <v>#REF!</v>
      </c>
      <c r="AL12" s="57" t="e">
        <f>#REF!/60</f>
        <v>#REF!</v>
      </c>
      <c r="AM12" s="57" t="e">
        <f>#REF!/60</f>
        <v>#REF!</v>
      </c>
      <c r="AN12" s="57" t="e">
        <f>#REF!/60</f>
        <v>#REF!</v>
      </c>
      <c r="AO12" s="57" t="e">
        <f>#REF!/60</f>
        <v>#REF!</v>
      </c>
      <c r="AP12" s="57"/>
      <c r="AQ12" s="57"/>
      <c r="AR12" s="57" t="e">
        <f>#REF!/60</f>
        <v>#REF!</v>
      </c>
      <c r="AS12" s="57" t="e">
        <f>#REF!/60</f>
        <v>#REF!</v>
      </c>
      <c r="AT12" s="57" t="e">
        <f>#REF!/60</f>
        <v>#REF!</v>
      </c>
      <c r="AU12" s="57" t="e">
        <f>#REF!/60</f>
        <v>#REF!</v>
      </c>
      <c r="AV12" s="57" t="e">
        <f>#REF!/60</f>
        <v>#REF!</v>
      </c>
      <c r="AW12" s="57" t="e">
        <f>#REF!/60</f>
        <v>#REF!</v>
      </c>
      <c r="AX12" s="57" t="e">
        <f>#REF!/60</f>
        <v>#REF!</v>
      </c>
      <c r="AY12" s="57" t="e">
        <f>#REF!/60</f>
        <v>#REF!</v>
      </c>
      <c r="AZ12" s="57" t="e">
        <f>#REF!/60</f>
        <v>#REF!</v>
      </c>
      <c r="BA12" s="57" t="e">
        <f>#REF!/60</f>
        <v>#REF!</v>
      </c>
    </row>
    <row r="13" spans="1:67" hidden="1">
      <c r="A13" s="55"/>
      <c r="B13" s="37"/>
      <c r="C13" s="3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9"/>
      <c r="AS13" s="59"/>
      <c r="AT13" s="59"/>
      <c r="AU13" s="59"/>
      <c r="AV13" s="59"/>
      <c r="AW13" s="59"/>
      <c r="AX13" s="59"/>
      <c r="AY13" s="59"/>
      <c r="AZ13" s="60"/>
      <c r="BA13" s="59"/>
    </row>
    <row r="14" spans="1:67" hidden="1">
      <c r="A14" s="37"/>
      <c r="B14" s="37"/>
      <c r="C14" s="37"/>
      <c r="AF14" s="596" t="s">
        <v>64</v>
      </c>
      <c r="AG14" s="596"/>
      <c r="AH14" s="596"/>
      <c r="AI14" s="596"/>
      <c r="AJ14" s="596"/>
      <c r="AK14" s="597"/>
      <c r="AL14" s="597"/>
      <c r="AM14" s="597"/>
      <c r="AN14" s="597"/>
      <c r="AO14" s="597"/>
      <c r="AP14" s="546"/>
      <c r="AQ14" s="56"/>
      <c r="AR14" s="596" t="s">
        <v>65</v>
      </c>
      <c r="AS14" s="596"/>
      <c r="AT14" s="596"/>
      <c r="AU14" s="596"/>
      <c r="AV14" s="596"/>
      <c r="AW14" s="597"/>
      <c r="AX14" s="597"/>
      <c r="AY14" s="597"/>
      <c r="AZ14" s="597"/>
      <c r="BA14" s="597"/>
    </row>
    <row r="15" spans="1:67" ht="63.75" hidden="1">
      <c r="A15" s="37"/>
      <c r="B15" s="37"/>
      <c r="C15" s="37"/>
      <c r="AF15" s="61" t="s">
        <v>55</v>
      </c>
      <c r="AG15" s="61" t="s">
        <v>73</v>
      </c>
      <c r="AH15" s="61" t="s">
        <v>74</v>
      </c>
      <c r="AI15" s="61" t="s">
        <v>58</v>
      </c>
      <c r="AJ15" s="61" t="s">
        <v>59</v>
      </c>
      <c r="AK15" s="61" t="s">
        <v>60</v>
      </c>
      <c r="AL15" s="62" t="s">
        <v>75</v>
      </c>
      <c r="AM15" s="62" t="s">
        <v>76</v>
      </c>
      <c r="AN15" s="62" t="s">
        <v>61</v>
      </c>
      <c r="AO15" s="62" t="s">
        <v>62</v>
      </c>
      <c r="AP15" s="62"/>
      <c r="AQ15" s="43"/>
      <c r="AR15" s="61" t="s">
        <v>55</v>
      </c>
      <c r="AS15" s="61" t="s">
        <v>73</v>
      </c>
      <c r="AT15" s="61" t="s">
        <v>74</v>
      </c>
      <c r="AU15" s="61" t="s">
        <v>58</v>
      </c>
      <c r="AV15" s="61" t="s">
        <v>59</v>
      </c>
      <c r="AW15" s="61" t="s">
        <v>60</v>
      </c>
      <c r="AX15" s="62" t="s">
        <v>75</v>
      </c>
      <c r="AY15" s="62" t="s">
        <v>76</v>
      </c>
      <c r="AZ15" s="63" t="s">
        <v>61</v>
      </c>
      <c r="BA15" s="61" t="s">
        <v>62</v>
      </c>
    </row>
    <row r="16" spans="1:67" hidden="1">
      <c r="A16" s="37" t="s">
        <v>81</v>
      </c>
      <c r="B16" s="37"/>
      <c r="C16" s="37"/>
      <c r="AA16" s="64" t="s">
        <v>29</v>
      </c>
      <c r="AB16" s="65" t="s">
        <v>30</v>
      </c>
      <c r="AC16" s="65" t="s">
        <v>31</v>
      </c>
      <c r="AD16" s="65"/>
      <c r="AE16" s="65"/>
      <c r="AQ16" s="38"/>
    </row>
    <row r="17" spans="1:53" hidden="1">
      <c r="A17" s="37" t="s">
        <v>82</v>
      </c>
      <c r="B17" s="37"/>
      <c r="C17" s="37"/>
      <c r="AA17" s="64"/>
      <c r="AB17" s="65" t="s">
        <v>32</v>
      </c>
      <c r="AC17" s="65">
        <v>13.25</v>
      </c>
      <c r="AD17" s="65"/>
      <c r="AE17" s="65"/>
      <c r="AF17" s="36" t="e">
        <f>AF$12*$AC17</f>
        <v>#REF!</v>
      </c>
      <c r="AG17" s="36" t="e">
        <f t="shared" ref="AG17:AO25" si="4">AG$12*$AC17</f>
        <v>#REF!</v>
      </c>
      <c r="AH17" s="36" t="e">
        <f t="shared" si="4"/>
        <v>#REF!</v>
      </c>
      <c r="AI17" s="36" t="e">
        <f t="shared" si="4"/>
        <v>#REF!</v>
      </c>
      <c r="AJ17" s="36" t="e">
        <f t="shared" si="4"/>
        <v>#REF!</v>
      </c>
      <c r="AK17" s="36" t="e">
        <f t="shared" si="4"/>
        <v>#REF!</v>
      </c>
      <c r="AL17" s="36" t="e">
        <f t="shared" si="4"/>
        <v>#REF!</v>
      </c>
      <c r="AM17" s="36" t="e">
        <f t="shared" si="4"/>
        <v>#REF!</v>
      </c>
      <c r="AN17" s="36" t="e">
        <f t="shared" si="4"/>
        <v>#REF!</v>
      </c>
      <c r="AO17" s="36" t="e">
        <f t="shared" si="4"/>
        <v>#REF!</v>
      </c>
      <c r="AQ17" s="38"/>
      <c r="AR17" s="36" t="e">
        <f>AR$12*$AC17</f>
        <v>#REF!</v>
      </c>
      <c r="AS17" s="36" t="e">
        <f t="shared" ref="AS17:BA25" si="5">AS$12*$AC17</f>
        <v>#REF!</v>
      </c>
      <c r="AT17" s="36" t="e">
        <f t="shared" si="5"/>
        <v>#REF!</v>
      </c>
      <c r="AU17" s="36" t="e">
        <f t="shared" si="5"/>
        <v>#REF!</v>
      </c>
      <c r="AV17" s="36" t="e">
        <f t="shared" si="5"/>
        <v>#REF!</v>
      </c>
      <c r="AW17" s="36" t="e">
        <f t="shared" si="5"/>
        <v>#REF!</v>
      </c>
      <c r="AX17" s="36" t="e">
        <f t="shared" si="5"/>
        <v>#REF!</v>
      </c>
      <c r="AY17" s="36" t="e">
        <f t="shared" si="5"/>
        <v>#REF!</v>
      </c>
      <c r="AZ17" s="36" t="e">
        <f t="shared" si="5"/>
        <v>#REF!</v>
      </c>
      <c r="BA17" s="36" t="e">
        <f t="shared" si="5"/>
        <v>#REF!</v>
      </c>
    </row>
    <row r="18" spans="1:53" hidden="1">
      <c r="A18" s="37" t="s">
        <v>83</v>
      </c>
      <c r="B18" s="37"/>
      <c r="C18" s="37"/>
      <c r="AA18" s="64"/>
      <c r="AB18" s="65" t="s">
        <v>33</v>
      </c>
      <c r="AC18" s="65">
        <v>20.298999999999999</v>
      </c>
      <c r="AD18" s="65"/>
      <c r="AE18" s="65"/>
      <c r="AF18" s="36" t="e">
        <f t="shared" ref="AF18:AF25" si="6">AF$12*$AC18</f>
        <v>#REF!</v>
      </c>
      <c r="AG18" s="36" t="e">
        <f t="shared" si="4"/>
        <v>#REF!</v>
      </c>
      <c r="AH18" s="36" t="e">
        <f t="shared" si="4"/>
        <v>#REF!</v>
      </c>
      <c r="AI18" s="36" t="e">
        <f t="shared" si="4"/>
        <v>#REF!</v>
      </c>
      <c r="AJ18" s="36" t="e">
        <f t="shared" si="4"/>
        <v>#REF!</v>
      </c>
      <c r="AK18" s="36" t="e">
        <f t="shared" si="4"/>
        <v>#REF!</v>
      </c>
      <c r="AL18" s="36" t="e">
        <f t="shared" si="4"/>
        <v>#REF!</v>
      </c>
      <c r="AM18" s="36" t="e">
        <f t="shared" si="4"/>
        <v>#REF!</v>
      </c>
      <c r="AN18" s="36" t="e">
        <f t="shared" si="4"/>
        <v>#REF!</v>
      </c>
      <c r="AO18" s="36" t="e">
        <f t="shared" si="4"/>
        <v>#REF!</v>
      </c>
      <c r="AQ18" s="38"/>
      <c r="AR18" s="36" t="e">
        <f t="shared" ref="AR18:AR25" si="7">AR$12*$AC18</f>
        <v>#REF!</v>
      </c>
      <c r="AS18" s="36" t="e">
        <f t="shared" si="5"/>
        <v>#REF!</v>
      </c>
      <c r="AT18" s="36" t="e">
        <f t="shared" si="5"/>
        <v>#REF!</v>
      </c>
      <c r="AU18" s="36" t="e">
        <f t="shared" si="5"/>
        <v>#REF!</v>
      </c>
      <c r="AV18" s="36" t="e">
        <f t="shared" si="5"/>
        <v>#REF!</v>
      </c>
      <c r="AW18" s="36" t="e">
        <f t="shared" si="5"/>
        <v>#REF!</v>
      </c>
      <c r="AX18" s="36" t="e">
        <f t="shared" si="5"/>
        <v>#REF!</v>
      </c>
      <c r="AY18" s="36" t="e">
        <f t="shared" si="5"/>
        <v>#REF!</v>
      </c>
      <c r="AZ18" s="36" t="e">
        <f t="shared" si="5"/>
        <v>#REF!</v>
      </c>
      <c r="BA18" s="36" t="e">
        <f t="shared" si="5"/>
        <v>#REF!</v>
      </c>
    </row>
    <row r="19" spans="1:53" hidden="1">
      <c r="A19" s="37" t="s">
        <v>84</v>
      </c>
      <c r="B19" s="37"/>
      <c r="C19" s="37"/>
      <c r="AA19" s="64"/>
      <c r="AB19" s="65" t="s">
        <v>34</v>
      </c>
      <c r="AC19" s="65">
        <v>21.68</v>
      </c>
      <c r="AD19" s="65"/>
      <c r="AE19" s="65"/>
      <c r="AF19" s="36" t="e">
        <f t="shared" si="6"/>
        <v>#REF!</v>
      </c>
      <c r="AG19" s="36" t="e">
        <f t="shared" si="4"/>
        <v>#REF!</v>
      </c>
      <c r="AH19" s="36" t="e">
        <f t="shared" si="4"/>
        <v>#REF!</v>
      </c>
      <c r="AI19" s="36" t="e">
        <f t="shared" si="4"/>
        <v>#REF!</v>
      </c>
      <c r="AJ19" s="36" t="e">
        <f t="shared" si="4"/>
        <v>#REF!</v>
      </c>
      <c r="AK19" s="36" t="e">
        <f t="shared" si="4"/>
        <v>#REF!</v>
      </c>
      <c r="AL19" s="36" t="e">
        <f t="shared" si="4"/>
        <v>#REF!</v>
      </c>
      <c r="AM19" s="36" t="e">
        <f t="shared" si="4"/>
        <v>#REF!</v>
      </c>
      <c r="AN19" s="36" t="e">
        <f t="shared" si="4"/>
        <v>#REF!</v>
      </c>
      <c r="AO19" s="36" t="e">
        <f t="shared" si="4"/>
        <v>#REF!</v>
      </c>
      <c r="AQ19" s="38"/>
      <c r="AR19" s="36" t="e">
        <f t="shared" si="7"/>
        <v>#REF!</v>
      </c>
      <c r="AS19" s="36" t="e">
        <f t="shared" si="5"/>
        <v>#REF!</v>
      </c>
      <c r="AT19" s="36" t="e">
        <f t="shared" si="5"/>
        <v>#REF!</v>
      </c>
      <c r="AU19" s="36" t="e">
        <f t="shared" si="5"/>
        <v>#REF!</v>
      </c>
      <c r="AV19" s="36" t="e">
        <f t="shared" si="5"/>
        <v>#REF!</v>
      </c>
      <c r="AW19" s="36" t="e">
        <f t="shared" si="5"/>
        <v>#REF!</v>
      </c>
      <c r="AX19" s="36" t="e">
        <f t="shared" si="5"/>
        <v>#REF!</v>
      </c>
      <c r="AY19" s="36" t="e">
        <f t="shared" si="5"/>
        <v>#REF!</v>
      </c>
      <c r="AZ19" s="36" t="e">
        <f t="shared" si="5"/>
        <v>#REF!</v>
      </c>
      <c r="BA19" s="36" t="e">
        <f t="shared" si="5"/>
        <v>#REF!</v>
      </c>
    </row>
    <row r="20" spans="1:53" hidden="1">
      <c r="A20" s="37" t="s">
        <v>85</v>
      </c>
      <c r="B20" s="37"/>
      <c r="C20" s="37"/>
      <c r="AA20" s="64"/>
      <c r="AB20" s="65" t="s">
        <v>35</v>
      </c>
      <c r="AC20" s="65">
        <v>9.3046500000000005</v>
      </c>
      <c r="AD20" s="65"/>
      <c r="AE20" s="65"/>
      <c r="AF20" s="36" t="e">
        <f t="shared" si="6"/>
        <v>#REF!</v>
      </c>
      <c r="AG20" s="36" t="e">
        <f t="shared" si="4"/>
        <v>#REF!</v>
      </c>
      <c r="AH20" s="36" t="e">
        <f t="shared" si="4"/>
        <v>#REF!</v>
      </c>
      <c r="AI20" s="36" t="e">
        <f t="shared" si="4"/>
        <v>#REF!</v>
      </c>
      <c r="AJ20" s="36" t="e">
        <f t="shared" si="4"/>
        <v>#REF!</v>
      </c>
      <c r="AK20" s="36" t="e">
        <f t="shared" si="4"/>
        <v>#REF!</v>
      </c>
      <c r="AL20" s="36" t="e">
        <f t="shared" si="4"/>
        <v>#REF!</v>
      </c>
      <c r="AM20" s="36" t="e">
        <f t="shared" si="4"/>
        <v>#REF!</v>
      </c>
      <c r="AN20" s="36" t="e">
        <f t="shared" si="4"/>
        <v>#REF!</v>
      </c>
      <c r="AO20" s="36" t="e">
        <f t="shared" si="4"/>
        <v>#REF!</v>
      </c>
      <c r="AQ20" s="38"/>
      <c r="AR20" s="36" t="e">
        <f t="shared" si="7"/>
        <v>#REF!</v>
      </c>
      <c r="AS20" s="36" t="e">
        <f t="shared" si="5"/>
        <v>#REF!</v>
      </c>
      <c r="AT20" s="36" t="e">
        <f t="shared" si="5"/>
        <v>#REF!</v>
      </c>
      <c r="AU20" s="36" t="e">
        <f t="shared" si="5"/>
        <v>#REF!</v>
      </c>
      <c r="AV20" s="36" t="e">
        <f t="shared" si="5"/>
        <v>#REF!</v>
      </c>
      <c r="AW20" s="36" t="e">
        <f t="shared" si="5"/>
        <v>#REF!</v>
      </c>
      <c r="AX20" s="36" t="e">
        <f t="shared" si="5"/>
        <v>#REF!</v>
      </c>
      <c r="AY20" s="36" t="e">
        <f t="shared" si="5"/>
        <v>#REF!</v>
      </c>
      <c r="AZ20" s="36" t="e">
        <f t="shared" si="5"/>
        <v>#REF!</v>
      </c>
      <c r="BA20" s="36" t="e">
        <f t="shared" si="5"/>
        <v>#REF!</v>
      </c>
    </row>
    <row r="21" spans="1:53" hidden="1">
      <c r="A21" s="37" t="s">
        <v>86</v>
      </c>
      <c r="B21" s="37"/>
      <c r="C21" s="37"/>
      <c r="AA21" s="64"/>
      <c r="AB21" s="65" t="s">
        <v>36</v>
      </c>
      <c r="AC21" s="65">
        <v>5.0347999999999997</v>
      </c>
      <c r="AD21" s="65"/>
      <c r="AE21" s="65"/>
      <c r="AF21" s="36" t="e">
        <f t="shared" si="6"/>
        <v>#REF!</v>
      </c>
      <c r="AG21" s="36" t="e">
        <f t="shared" si="4"/>
        <v>#REF!</v>
      </c>
      <c r="AH21" s="36" t="e">
        <f t="shared" si="4"/>
        <v>#REF!</v>
      </c>
      <c r="AI21" s="36" t="e">
        <f t="shared" si="4"/>
        <v>#REF!</v>
      </c>
      <c r="AJ21" s="36" t="e">
        <f t="shared" si="4"/>
        <v>#REF!</v>
      </c>
      <c r="AK21" s="36" t="e">
        <f t="shared" si="4"/>
        <v>#REF!</v>
      </c>
      <c r="AL21" s="36" t="e">
        <f t="shared" si="4"/>
        <v>#REF!</v>
      </c>
      <c r="AM21" s="36" t="e">
        <f t="shared" si="4"/>
        <v>#REF!</v>
      </c>
      <c r="AN21" s="36" t="e">
        <f t="shared" si="4"/>
        <v>#REF!</v>
      </c>
      <c r="AO21" s="36" t="e">
        <f t="shared" si="4"/>
        <v>#REF!</v>
      </c>
      <c r="AQ21" s="38"/>
      <c r="AR21" s="36" t="e">
        <f t="shared" si="7"/>
        <v>#REF!</v>
      </c>
      <c r="AS21" s="36" t="e">
        <f t="shared" si="5"/>
        <v>#REF!</v>
      </c>
      <c r="AT21" s="36" t="e">
        <f t="shared" si="5"/>
        <v>#REF!</v>
      </c>
      <c r="AU21" s="36" t="e">
        <f t="shared" si="5"/>
        <v>#REF!</v>
      </c>
      <c r="AV21" s="36" t="e">
        <f t="shared" si="5"/>
        <v>#REF!</v>
      </c>
      <c r="AW21" s="36" t="e">
        <f t="shared" si="5"/>
        <v>#REF!</v>
      </c>
      <c r="AX21" s="36" t="e">
        <f t="shared" si="5"/>
        <v>#REF!</v>
      </c>
      <c r="AY21" s="36" t="e">
        <f t="shared" si="5"/>
        <v>#REF!</v>
      </c>
      <c r="AZ21" s="36" t="e">
        <f t="shared" si="5"/>
        <v>#REF!</v>
      </c>
      <c r="BA21" s="36" t="e">
        <f t="shared" si="5"/>
        <v>#REF!</v>
      </c>
    </row>
    <row r="22" spans="1:53" hidden="1">
      <c r="A22" s="37" t="s">
        <v>87</v>
      </c>
      <c r="B22" s="37"/>
      <c r="C22" s="37"/>
      <c r="AA22" s="64"/>
      <c r="AB22" s="65" t="s">
        <v>37</v>
      </c>
      <c r="AC22" s="65">
        <v>0</v>
      </c>
      <c r="AD22" s="65"/>
      <c r="AE22" s="65"/>
      <c r="AF22" s="36" t="e">
        <f t="shared" si="6"/>
        <v>#REF!</v>
      </c>
      <c r="AG22" s="36" t="e">
        <f t="shared" si="4"/>
        <v>#REF!</v>
      </c>
      <c r="AH22" s="36" t="e">
        <f t="shared" si="4"/>
        <v>#REF!</v>
      </c>
      <c r="AI22" s="36" t="e">
        <f t="shared" si="4"/>
        <v>#REF!</v>
      </c>
      <c r="AJ22" s="36" t="e">
        <f t="shared" si="4"/>
        <v>#REF!</v>
      </c>
      <c r="AK22" s="36" t="e">
        <f t="shared" si="4"/>
        <v>#REF!</v>
      </c>
      <c r="AL22" s="36" t="e">
        <f t="shared" si="4"/>
        <v>#REF!</v>
      </c>
      <c r="AM22" s="36" t="e">
        <f t="shared" si="4"/>
        <v>#REF!</v>
      </c>
      <c r="AN22" s="36" t="e">
        <f t="shared" si="4"/>
        <v>#REF!</v>
      </c>
      <c r="AO22" s="36" t="e">
        <f t="shared" si="4"/>
        <v>#REF!</v>
      </c>
      <c r="AQ22" s="38"/>
      <c r="AR22" s="36" t="e">
        <f t="shared" si="7"/>
        <v>#REF!</v>
      </c>
      <c r="AS22" s="36" t="e">
        <f t="shared" si="5"/>
        <v>#REF!</v>
      </c>
      <c r="AT22" s="36" t="e">
        <f t="shared" si="5"/>
        <v>#REF!</v>
      </c>
      <c r="AU22" s="36" t="e">
        <f t="shared" si="5"/>
        <v>#REF!</v>
      </c>
      <c r="AV22" s="36" t="e">
        <f t="shared" si="5"/>
        <v>#REF!</v>
      </c>
      <c r="AW22" s="36" t="e">
        <f t="shared" si="5"/>
        <v>#REF!</v>
      </c>
      <c r="AX22" s="36" t="e">
        <f t="shared" si="5"/>
        <v>#REF!</v>
      </c>
      <c r="AY22" s="36" t="e">
        <f t="shared" si="5"/>
        <v>#REF!</v>
      </c>
      <c r="AZ22" s="36" t="e">
        <f t="shared" si="5"/>
        <v>#REF!</v>
      </c>
      <c r="BA22" s="36" t="e">
        <f t="shared" si="5"/>
        <v>#REF!</v>
      </c>
    </row>
    <row r="23" spans="1:53" hidden="1">
      <c r="A23" s="37" t="s">
        <v>0</v>
      </c>
      <c r="B23" s="37"/>
      <c r="C23" s="37"/>
      <c r="AA23" s="64"/>
      <c r="AB23" s="65" t="s">
        <v>38</v>
      </c>
      <c r="AC23" s="65">
        <v>0</v>
      </c>
      <c r="AD23" s="65"/>
      <c r="AE23" s="65"/>
      <c r="AF23" s="36" t="e">
        <f t="shared" si="6"/>
        <v>#REF!</v>
      </c>
      <c r="AG23" s="36" t="e">
        <f t="shared" si="4"/>
        <v>#REF!</v>
      </c>
      <c r="AH23" s="36" t="e">
        <f t="shared" si="4"/>
        <v>#REF!</v>
      </c>
      <c r="AI23" s="36" t="e">
        <f t="shared" si="4"/>
        <v>#REF!</v>
      </c>
      <c r="AJ23" s="36" t="e">
        <f t="shared" si="4"/>
        <v>#REF!</v>
      </c>
      <c r="AK23" s="36" t="e">
        <f t="shared" si="4"/>
        <v>#REF!</v>
      </c>
      <c r="AL23" s="36" t="e">
        <f t="shared" si="4"/>
        <v>#REF!</v>
      </c>
      <c r="AM23" s="36" t="e">
        <f t="shared" si="4"/>
        <v>#REF!</v>
      </c>
      <c r="AN23" s="36" t="e">
        <f t="shared" si="4"/>
        <v>#REF!</v>
      </c>
      <c r="AO23" s="36" t="e">
        <f t="shared" si="4"/>
        <v>#REF!</v>
      </c>
      <c r="AQ23" s="38"/>
      <c r="AR23" s="36" t="e">
        <f t="shared" si="7"/>
        <v>#REF!</v>
      </c>
      <c r="AS23" s="36" t="e">
        <f t="shared" si="5"/>
        <v>#REF!</v>
      </c>
      <c r="AT23" s="36" t="e">
        <f t="shared" si="5"/>
        <v>#REF!</v>
      </c>
      <c r="AU23" s="36" t="e">
        <f t="shared" si="5"/>
        <v>#REF!</v>
      </c>
      <c r="AV23" s="36" t="e">
        <f t="shared" si="5"/>
        <v>#REF!</v>
      </c>
      <c r="AW23" s="36" t="e">
        <f t="shared" si="5"/>
        <v>#REF!</v>
      </c>
      <c r="AX23" s="36" t="e">
        <f t="shared" si="5"/>
        <v>#REF!</v>
      </c>
      <c r="AY23" s="36" t="e">
        <f t="shared" si="5"/>
        <v>#REF!</v>
      </c>
      <c r="AZ23" s="36" t="e">
        <f t="shared" si="5"/>
        <v>#REF!</v>
      </c>
      <c r="BA23" s="36" t="e">
        <f t="shared" si="5"/>
        <v>#REF!</v>
      </c>
    </row>
    <row r="24" spans="1:53" hidden="1">
      <c r="A24" s="37" t="s">
        <v>59</v>
      </c>
      <c r="B24" s="37">
        <f>(0.016*(0.03/2)^0.65*(2/3)^1.5)-0.00047</f>
        <v>9.8123053326417428E-5</v>
      </c>
      <c r="C24" s="37"/>
      <c r="AA24" s="64"/>
      <c r="AB24" s="65" t="s">
        <v>39</v>
      </c>
      <c r="AC24" s="65">
        <v>0</v>
      </c>
      <c r="AD24" s="65"/>
      <c r="AE24" s="65"/>
      <c r="AF24" s="36" t="e">
        <f t="shared" si="6"/>
        <v>#REF!</v>
      </c>
      <c r="AG24" s="36" t="e">
        <f t="shared" si="4"/>
        <v>#REF!</v>
      </c>
      <c r="AH24" s="36" t="e">
        <f t="shared" si="4"/>
        <v>#REF!</v>
      </c>
      <c r="AI24" s="36" t="e">
        <f t="shared" si="4"/>
        <v>#REF!</v>
      </c>
      <c r="AJ24" s="36" t="e">
        <f t="shared" si="4"/>
        <v>#REF!</v>
      </c>
      <c r="AK24" s="36" t="e">
        <f t="shared" si="4"/>
        <v>#REF!</v>
      </c>
      <c r="AL24" s="36" t="e">
        <f t="shared" si="4"/>
        <v>#REF!</v>
      </c>
      <c r="AM24" s="36" t="e">
        <f t="shared" si="4"/>
        <v>#REF!</v>
      </c>
      <c r="AN24" s="36" t="e">
        <f t="shared" si="4"/>
        <v>#REF!</v>
      </c>
      <c r="AO24" s="36" t="e">
        <f t="shared" si="4"/>
        <v>#REF!</v>
      </c>
      <c r="AQ24" s="38"/>
      <c r="AR24" s="36" t="e">
        <f t="shared" si="7"/>
        <v>#REF!</v>
      </c>
      <c r="AS24" s="36" t="e">
        <f t="shared" si="5"/>
        <v>#REF!</v>
      </c>
      <c r="AT24" s="36" t="e">
        <f t="shared" si="5"/>
        <v>#REF!</v>
      </c>
      <c r="AU24" s="36" t="e">
        <f t="shared" si="5"/>
        <v>#REF!</v>
      </c>
      <c r="AV24" s="36" t="e">
        <f t="shared" si="5"/>
        <v>#REF!</v>
      </c>
      <c r="AW24" s="36" t="e">
        <f t="shared" si="5"/>
        <v>#REF!</v>
      </c>
      <c r="AX24" s="36" t="e">
        <f t="shared" si="5"/>
        <v>#REF!</v>
      </c>
      <c r="AY24" s="36" t="e">
        <f t="shared" si="5"/>
        <v>#REF!</v>
      </c>
      <c r="AZ24" s="36" t="e">
        <f t="shared" si="5"/>
        <v>#REF!</v>
      </c>
      <c r="BA24" s="36" t="e">
        <f t="shared" si="5"/>
        <v>#REF!</v>
      </c>
    </row>
    <row r="25" spans="1:53" hidden="1">
      <c r="A25" s="37"/>
      <c r="B25" s="37"/>
      <c r="C25" s="37"/>
      <c r="AA25" s="64"/>
      <c r="AB25" s="65" t="s">
        <v>40</v>
      </c>
      <c r="AC25" s="65">
        <v>0</v>
      </c>
      <c r="AD25" s="65"/>
      <c r="AE25" s="65"/>
      <c r="AF25" s="36" t="e">
        <f t="shared" si="6"/>
        <v>#REF!</v>
      </c>
      <c r="AG25" s="36" t="e">
        <f t="shared" si="4"/>
        <v>#REF!</v>
      </c>
      <c r="AH25" s="36" t="e">
        <f t="shared" si="4"/>
        <v>#REF!</v>
      </c>
      <c r="AI25" s="36" t="e">
        <f t="shared" si="4"/>
        <v>#REF!</v>
      </c>
      <c r="AJ25" s="36" t="e">
        <f t="shared" si="4"/>
        <v>#REF!</v>
      </c>
      <c r="AK25" s="36" t="e">
        <f t="shared" si="4"/>
        <v>#REF!</v>
      </c>
      <c r="AL25" s="36" t="e">
        <f t="shared" si="4"/>
        <v>#REF!</v>
      </c>
      <c r="AM25" s="36" t="e">
        <f t="shared" si="4"/>
        <v>#REF!</v>
      </c>
      <c r="AN25" s="36" t="e">
        <f t="shared" si="4"/>
        <v>#REF!</v>
      </c>
      <c r="AO25" s="36" t="e">
        <f t="shared" si="4"/>
        <v>#REF!</v>
      </c>
      <c r="AQ25" s="38"/>
      <c r="AR25" s="36" t="e">
        <f t="shared" si="7"/>
        <v>#REF!</v>
      </c>
      <c r="AS25" s="36" t="e">
        <f t="shared" si="5"/>
        <v>#REF!</v>
      </c>
      <c r="AT25" s="36" t="e">
        <f t="shared" si="5"/>
        <v>#REF!</v>
      </c>
      <c r="AU25" s="36" t="e">
        <f t="shared" si="5"/>
        <v>#REF!</v>
      </c>
      <c r="AV25" s="36" t="e">
        <f t="shared" si="5"/>
        <v>#REF!</v>
      </c>
      <c r="AW25" s="36" t="e">
        <f t="shared" si="5"/>
        <v>#REF!</v>
      </c>
      <c r="AX25" s="36" t="e">
        <f t="shared" si="5"/>
        <v>#REF!</v>
      </c>
      <c r="AY25" s="36" t="e">
        <f t="shared" si="5"/>
        <v>#REF!</v>
      </c>
      <c r="AZ25" s="36" t="e">
        <f t="shared" si="5"/>
        <v>#REF!</v>
      </c>
      <c r="BA25" s="36" t="e">
        <f t="shared" si="5"/>
        <v>#REF!</v>
      </c>
    </row>
    <row r="26" spans="1:53" hidden="1">
      <c r="A26" s="37"/>
      <c r="B26" s="37"/>
      <c r="C26" s="37"/>
      <c r="AA26" s="64"/>
      <c r="AB26" s="65"/>
      <c r="AC26" s="65"/>
      <c r="AD26" s="65"/>
      <c r="AE26" s="65"/>
      <c r="AQ26" s="38"/>
    </row>
    <row r="27" spans="1:53" hidden="1">
      <c r="A27" s="37"/>
      <c r="B27" s="37"/>
      <c r="C27" s="37"/>
      <c r="AA27" s="64" t="s">
        <v>41</v>
      </c>
      <c r="AB27" s="65" t="s">
        <v>30</v>
      </c>
      <c r="AC27" s="65" t="s">
        <v>31</v>
      </c>
      <c r="AD27" s="65"/>
      <c r="AE27" s="65"/>
      <c r="AQ27" s="38"/>
    </row>
    <row r="28" spans="1:53" hidden="1">
      <c r="A28" s="37" t="s">
        <v>88</v>
      </c>
      <c r="B28" s="37"/>
      <c r="C28" s="37"/>
      <c r="AA28" s="64"/>
      <c r="AB28" s="65" t="s">
        <v>32</v>
      </c>
      <c r="AC28" s="65">
        <v>0</v>
      </c>
      <c r="AD28" s="65"/>
      <c r="AE28" s="65"/>
      <c r="AF28" s="36" t="e">
        <f t="shared" ref="AF28:AO36" si="8">AF$12*$AC28</f>
        <v>#REF!</v>
      </c>
      <c r="AG28" s="36" t="e">
        <f t="shared" si="8"/>
        <v>#REF!</v>
      </c>
      <c r="AH28" s="36" t="e">
        <f t="shared" si="8"/>
        <v>#REF!</v>
      </c>
      <c r="AI28" s="36" t="e">
        <f t="shared" si="8"/>
        <v>#REF!</v>
      </c>
      <c r="AJ28" s="36" t="e">
        <f t="shared" si="8"/>
        <v>#REF!</v>
      </c>
      <c r="AK28" s="36" t="e">
        <f t="shared" si="8"/>
        <v>#REF!</v>
      </c>
      <c r="AL28" s="36" t="e">
        <f t="shared" si="8"/>
        <v>#REF!</v>
      </c>
      <c r="AM28" s="36" t="e">
        <f t="shared" si="8"/>
        <v>#REF!</v>
      </c>
      <c r="AN28" s="36" t="e">
        <f t="shared" si="8"/>
        <v>#REF!</v>
      </c>
      <c r="AO28" s="36" t="e">
        <f t="shared" si="8"/>
        <v>#REF!</v>
      </c>
      <c r="AQ28" s="38"/>
      <c r="AR28" s="36" t="e">
        <f t="shared" ref="AR28:BA36" si="9">AR$12*$AC28</f>
        <v>#REF!</v>
      </c>
      <c r="AS28" s="36" t="e">
        <f t="shared" si="9"/>
        <v>#REF!</v>
      </c>
      <c r="AT28" s="36" t="e">
        <f t="shared" si="9"/>
        <v>#REF!</v>
      </c>
      <c r="AU28" s="36" t="e">
        <f t="shared" si="9"/>
        <v>#REF!</v>
      </c>
      <c r="AV28" s="36" t="e">
        <f t="shared" si="9"/>
        <v>#REF!</v>
      </c>
      <c r="AW28" s="36" t="e">
        <f t="shared" si="9"/>
        <v>#REF!</v>
      </c>
      <c r="AX28" s="36" t="e">
        <f t="shared" si="9"/>
        <v>#REF!</v>
      </c>
      <c r="AY28" s="36" t="e">
        <f t="shared" si="9"/>
        <v>#REF!</v>
      </c>
      <c r="AZ28" s="36" t="e">
        <f t="shared" si="9"/>
        <v>#REF!</v>
      </c>
      <c r="BA28" s="36" t="e">
        <f t="shared" si="9"/>
        <v>#REF!</v>
      </c>
    </row>
    <row r="29" spans="1:53" hidden="1">
      <c r="A29" s="37" t="s">
        <v>89</v>
      </c>
      <c r="B29" s="37"/>
      <c r="C29" s="37"/>
      <c r="AA29" s="64"/>
      <c r="AB29" s="65" t="s">
        <v>33</v>
      </c>
      <c r="AC29" s="65">
        <v>6.2010000000000005</v>
      </c>
      <c r="AD29" s="65"/>
      <c r="AE29" s="65"/>
      <c r="AF29" s="36" t="e">
        <f t="shared" si="8"/>
        <v>#REF!</v>
      </c>
      <c r="AG29" s="36" t="e">
        <f t="shared" si="8"/>
        <v>#REF!</v>
      </c>
      <c r="AH29" s="36" t="e">
        <f t="shared" si="8"/>
        <v>#REF!</v>
      </c>
      <c r="AI29" s="36" t="e">
        <f t="shared" si="8"/>
        <v>#REF!</v>
      </c>
      <c r="AJ29" s="36" t="e">
        <f t="shared" si="8"/>
        <v>#REF!</v>
      </c>
      <c r="AK29" s="36" t="e">
        <f t="shared" si="8"/>
        <v>#REF!</v>
      </c>
      <c r="AL29" s="36" t="e">
        <f t="shared" si="8"/>
        <v>#REF!</v>
      </c>
      <c r="AM29" s="36" t="e">
        <f t="shared" si="8"/>
        <v>#REF!</v>
      </c>
      <c r="AN29" s="36" t="e">
        <f t="shared" si="8"/>
        <v>#REF!</v>
      </c>
      <c r="AO29" s="36" t="e">
        <f t="shared" si="8"/>
        <v>#REF!</v>
      </c>
      <c r="AQ29" s="38"/>
      <c r="AR29" s="36" t="e">
        <f t="shared" si="9"/>
        <v>#REF!</v>
      </c>
      <c r="AS29" s="36" t="e">
        <f t="shared" si="9"/>
        <v>#REF!</v>
      </c>
      <c r="AT29" s="36" t="e">
        <f t="shared" si="9"/>
        <v>#REF!</v>
      </c>
      <c r="AU29" s="36" t="e">
        <f t="shared" si="9"/>
        <v>#REF!</v>
      </c>
      <c r="AV29" s="36" t="e">
        <f t="shared" si="9"/>
        <v>#REF!</v>
      </c>
      <c r="AW29" s="36" t="e">
        <f t="shared" si="9"/>
        <v>#REF!</v>
      </c>
      <c r="AX29" s="36" t="e">
        <f t="shared" si="9"/>
        <v>#REF!</v>
      </c>
      <c r="AY29" s="36" t="e">
        <f t="shared" si="9"/>
        <v>#REF!</v>
      </c>
      <c r="AZ29" s="36" t="e">
        <f t="shared" si="9"/>
        <v>#REF!</v>
      </c>
      <c r="BA29" s="36" t="e">
        <f t="shared" si="9"/>
        <v>#REF!</v>
      </c>
    </row>
    <row r="30" spans="1:53" hidden="1">
      <c r="A30" s="37" t="s">
        <v>90</v>
      </c>
      <c r="B30" s="37"/>
      <c r="C30" s="37"/>
      <c r="AA30" s="64"/>
      <c r="AB30" s="65" t="s">
        <v>34</v>
      </c>
      <c r="AC30" s="65">
        <v>0</v>
      </c>
      <c r="AD30" s="65"/>
      <c r="AE30" s="65"/>
      <c r="AF30" s="36" t="e">
        <f t="shared" si="8"/>
        <v>#REF!</v>
      </c>
      <c r="AG30" s="36" t="e">
        <f t="shared" si="8"/>
        <v>#REF!</v>
      </c>
      <c r="AH30" s="36" t="e">
        <f t="shared" si="8"/>
        <v>#REF!</v>
      </c>
      <c r="AI30" s="36" t="e">
        <f t="shared" si="8"/>
        <v>#REF!</v>
      </c>
      <c r="AJ30" s="36" t="e">
        <f t="shared" si="8"/>
        <v>#REF!</v>
      </c>
      <c r="AK30" s="36" t="e">
        <f t="shared" si="8"/>
        <v>#REF!</v>
      </c>
      <c r="AL30" s="36" t="e">
        <f t="shared" si="8"/>
        <v>#REF!</v>
      </c>
      <c r="AM30" s="36" t="e">
        <f t="shared" si="8"/>
        <v>#REF!</v>
      </c>
      <c r="AN30" s="36" t="e">
        <f t="shared" si="8"/>
        <v>#REF!</v>
      </c>
      <c r="AO30" s="36" t="e">
        <f t="shared" si="8"/>
        <v>#REF!</v>
      </c>
      <c r="AQ30" s="38"/>
      <c r="AR30" s="36" t="e">
        <f t="shared" si="9"/>
        <v>#REF!</v>
      </c>
      <c r="AS30" s="36" t="e">
        <f t="shared" si="9"/>
        <v>#REF!</v>
      </c>
      <c r="AT30" s="36" t="e">
        <f t="shared" si="9"/>
        <v>#REF!</v>
      </c>
      <c r="AU30" s="36" t="e">
        <f t="shared" si="9"/>
        <v>#REF!</v>
      </c>
      <c r="AV30" s="36" t="e">
        <f t="shared" si="9"/>
        <v>#REF!</v>
      </c>
      <c r="AW30" s="36" t="e">
        <f t="shared" si="9"/>
        <v>#REF!</v>
      </c>
      <c r="AX30" s="36" t="e">
        <f t="shared" si="9"/>
        <v>#REF!</v>
      </c>
      <c r="AY30" s="36" t="e">
        <f t="shared" si="9"/>
        <v>#REF!</v>
      </c>
      <c r="AZ30" s="36" t="e">
        <f t="shared" si="9"/>
        <v>#REF!</v>
      </c>
      <c r="BA30" s="36" t="e">
        <f t="shared" si="9"/>
        <v>#REF!</v>
      </c>
    </row>
    <row r="31" spans="1:53" hidden="1">
      <c r="A31" s="37" t="s">
        <v>91</v>
      </c>
      <c r="B31" s="37"/>
      <c r="C31" s="37"/>
      <c r="AA31" s="64"/>
      <c r="AB31" s="65" t="s">
        <v>35</v>
      </c>
      <c r="AC31" s="65">
        <v>9.8037500000000009</v>
      </c>
      <c r="AD31" s="65"/>
      <c r="AE31" s="65"/>
      <c r="AF31" s="36" t="e">
        <f t="shared" si="8"/>
        <v>#REF!</v>
      </c>
      <c r="AG31" s="36" t="e">
        <f t="shared" si="8"/>
        <v>#REF!</v>
      </c>
      <c r="AH31" s="36" t="e">
        <f t="shared" si="8"/>
        <v>#REF!</v>
      </c>
      <c r="AI31" s="36" t="e">
        <f t="shared" si="8"/>
        <v>#REF!</v>
      </c>
      <c r="AJ31" s="36" t="e">
        <f t="shared" si="8"/>
        <v>#REF!</v>
      </c>
      <c r="AK31" s="36" t="e">
        <f t="shared" si="8"/>
        <v>#REF!</v>
      </c>
      <c r="AL31" s="36" t="e">
        <f t="shared" si="8"/>
        <v>#REF!</v>
      </c>
      <c r="AM31" s="36" t="e">
        <f t="shared" si="8"/>
        <v>#REF!</v>
      </c>
      <c r="AN31" s="36" t="e">
        <f t="shared" si="8"/>
        <v>#REF!</v>
      </c>
      <c r="AO31" s="36" t="e">
        <f t="shared" si="8"/>
        <v>#REF!</v>
      </c>
      <c r="AQ31" s="38"/>
      <c r="AR31" s="36" t="e">
        <f t="shared" si="9"/>
        <v>#REF!</v>
      </c>
      <c r="AS31" s="36" t="e">
        <f t="shared" si="9"/>
        <v>#REF!</v>
      </c>
      <c r="AT31" s="36" t="e">
        <f t="shared" si="9"/>
        <v>#REF!</v>
      </c>
      <c r="AU31" s="36" t="e">
        <f t="shared" si="9"/>
        <v>#REF!</v>
      </c>
      <c r="AV31" s="36" t="e">
        <f t="shared" si="9"/>
        <v>#REF!</v>
      </c>
      <c r="AW31" s="36" t="e">
        <f t="shared" si="9"/>
        <v>#REF!</v>
      </c>
      <c r="AX31" s="36" t="e">
        <f t="shared" si="9"/>
        <v>#REF!</v>
      </c>
      <c r="AY31" s="36" t="e">
        <f t="shared" si="9"/>
        <v>#REF!</v>
      </c>
      <c r="AZ31" s="36" t="e">
        <f t="shared" si="9"/>
        <v>#REF!</v>
      </c>
      <c r="BA31" s="36" t="e">
        <f t="shared" si="9"/>
        <v>#REF!</v>
      </c>
    </row>
    <row r="32" spans="1:53" hidden="1">
      <c r="A32" s="37" t="s">
        <v>92</v>
      </c>
      <c r="B32" s="37"/>
      <c r="C32" s="37"/>
      <c r="AA32" s="64"/>
      <c r="AB32" s="65" t="s">
        <v>36</v>
      </c>
      <c r="AC32" s="65">
        <v>7.2451999999999996</v>
      </c>
      <c r="AD32" s="65"/>
      <c r="AE32" s="65"/>
      <c r="AF32" s="36" t="e">
        <f t="shared" si="8"/>
        <v>#REF!</v>
      </c>
      <c r="AG32" s="36" t="e">
        <f t="shared" si="8"/>
        <v>#REF!</v>
      </c>
      <c r="AH32" s="36" t="e">
        <f t="shared" si="8"/>
        <v>#REF!</v>
      </c>
      <c r="AI32" s="36" t="e">
        <f t="shared" si="8"/>
        <v>#REF!</v>
      </c>
      <c r="AJ32" s="36" t="e">
        <f t="shared" si="8"/>
        <v>#REF!</v>
      </c>
      <c r="AK32" s="36" t="e">
        <f t="shared" si="8"/>
        <v>#REF!</v>
      </c>
      <c r="AL32" s="36" t="e">
        <f t="shared" si="8"/>
        <v>#REF!</v>
      </c>
      <c r="AM32" s="36" t="e">
        <f t="shared" si="8"/>
        <v>#REF!</v>
      </c>
      <c r="AN32" s="36" t="e">
        <f t="shared" si="8"/>
        <v>#REF!</v>
      </c>
      <c r="AO32" s="36" t="e">
        <f t="shared" si="8"/>
        <v>#REF!</v>
      </c>
      <c r="AQ32" s="38"/>
      <c r="AR32" s="36" t="e">
        <f t="shared" si="9"/>
        <v>#REF!</v>
      </c>
      <c r="AS32" s="36" t="e">
        <f t="shared" si="9"/>
        <v>#REF!</v>
      </c>
      <c r="AT32" s="36" t="e">
        <f t="shared" si="9"/>
        <v>#REF!</v>
      </c>
      <c r="AU32" s="36" t="e">
        <f t="shared" si="9"/>
        <v>#REF!</v>
      </c>
      <c r="AV32" s="36" t="e">
        <f t="shared" si="9"/>
        <v>#REF!</v>
      </c>
      <c r="AW32" s="36" t="e">
        <f t="shared" si="9"/>
        <v>#REF!</v>
      </c>
      <c r="AX32" s="36" t="e">
        <f t="shared" si="9"/>
        <v>#REF!</v>
      </c>
      <c r="AY32" s="36" t="e">
        <f t="shared" si="9"/>
        <v>#REF!</v>
      </c>
      <c r="AZ32" s="36" t="e">
        <f t="shared" si="9"/>
        <v>#REF!</v>
      </c>
      <c r="BA32" s="36" t="e">
        <f t="shared" si="9"/>
        <v>#REF!</v>
      </c>
    </row>
    <row r="33" spans="1:53" hidden="1">
      <c r="A33" s="37" t="s">
        <v>84</v>
      </c>
      <c r="B33" s="37"/>
      <c r="C33" s="37"/>
      <c r="AA33" s="64"/>
      <c r="AB33" s="65" t="s">
        <v>37</v>
      </c>
      <c r="AC33" s="65">
        <v>3.6</v>
      </c>
      <c r="AD33" s="65"/>
      <c r="AE33" s="65"/>
      <c r="AF33" s="36" t="e">
        <f t="shared" si="8"/>
        <v>#REF!</v>
      </c>
      <c r="AG33" s="36" t="e">
        <f t="shared" si="8"/>
        <v>#REF!</v>
      </c>
      <c r="AH33" s="36" t="e">
        <f t="shared" si="8"/>
        <v>#REF!</v>
      </c>
      <c r="AI33" s="36" t="e">
        <f t="shared" si="8"/>
        <v>#REF!</v>
      </c>
      <c r="AJ33" s="36" t="e">
        <f t="shared" si="8"/>
        <v>#REF!</v>
      </c>
      <c r="AK33" s="36" t="e">
        <f t="shared" si="8"/>
        <v>#REF!</v>
      </c>
      <c r="AL33" s="36" t="e">
        <f t="shared" si="8"/>
        <v>#REF!</v>
      </c>
      <c r="AM33" s="36" t="e">
        <f t="shared" si="8"/>
        <v>#REF!</v>
      </c>
      <c r="AN33" s="36" t="e">
        <f t="shared" si="8"/>
        <v>#REF!</v>
      </c>
      <c r="AO33" s="36" t="e">
        <f t="shared" si="8"/>
        <v>#REF!</v>
      </c>
      <c r="AQ33" s="38"/>
      <c r="AR33" s="36" t="e">
        <f t="shared" si="9"/>
        <v>#REF!</v>
      </c>
      <c r="AS33" s="36" t="e">
        <f t="shared" si="9"/>
        <v>#REF!</v>
      </c>
      <c r="AT33" s="36" t="e">
        <f t="shared" si="9"/>
        <v>#REF!</v>
      </c>
      <c r="AU33" s="36" t="e">
        <f t="shared" si="9"/>
        <v>#REF!</v>
      </c>
      <c r="AV33" s="36" t="e">
        <f t="shared" si="9"/>
        <v>#REF!</v>
      </c>
      <c r="AW33" s="36" t="e">
        <f t="shared" si="9"/>
        <v>#REF!</v>
      </c>
      <c r="AX33" s="36" t="e">
        <f t="shared" si="9"/>
        <v>#REF!</v>
      </c>
      <c r="AY33" s="36" t="e">
        <f t="shared" si="9"/>
        <v>#REF!</v>
      </c>
      <c r="AZ33" s="36" t="e">
        <f t="shared" si="9"/>
        <v>#REF!</v>
      </c>
      <c r="BA33" s="36" t="e">
        <f t="shared" si="9"/>
        <v>#REF!</v>
      </c>
    </row>
    <row r="34" spans="1:53" hidden="1">
      <c r="A34" s="37" t="s">
        <v>93</v>
      </c>
      <c r="B34" s="37"/>
      <c r="C34" s="37"/>
      <c r="AA34" s="64"/>
      <c r="AB34" s="65" t="s">
        <v>38</v>
      </c>
      <c r="AC34" s="65">
        <v>6.1984000000000004</v>
      </c>
      <c r="AD34" s="65"/>
      <c r="AE34" s="65"/>
      <c r="AF34" s="36" t="e">
        <f t="shared" si="8"/>
        <v>#REF!</v>
      </c>
      <c r="AG34" s="36" t="e">
        <f t="shared" si="8"/>
        <v>#REF!</v>
      </c>
      <c r="AH34" s="36" t="e">
        <f t="shared" si="8"/>
        <v>#REF!</v>
      </c>
      <c r="AI34" s="36" t="e">
        <f t="shared" si="8"/>
        <v>#REF!</v>
      </c>
      <c r="AJ34" s="36" t="e">
        <f t="shared" si="8"/>
        <v>#REF!</v>
      </c>
      <c r="AK34" s="36" t="e">
        <f t="shared" si="8"/>
        <v>#REF!</v>
      </c>
      <c r="AL34" s="36" t="e">
        <f t="shared" si="8"/>
        <v>#REF!</v>
      </c>
      <c r="AM34" s="36" t="e">
        <f t="shared" si="8"/>
        <v>#REF!</v>
      </c>
      <c r="AN34" s="36" t="e">
        <f t="shared" si="8"/>
        <v>#REF!</v>
      </c>
      <c r="AO34" s="36" t="e">
        <f t="shared" si="8"/>
        <v>#REF!</v>
      </c>
      <c r="AQ34" s="38"/>
      <c r="AR34" s="36" t="e">
        <f t="shared" si="9"/>
        <v>#REF!</v>
      </c>
      <c r="AS34" s="36" t="e">
        <f t="shared" si="9"/>
        <v>#REF!</v>
      </c>
      <c r="AT34" s="36" t="e">
        <f t="shared" si="9"/>
        <v>#REF!</v>
      </c>
      <c r="AU34" s="36" t="e">
        <f t="shared" si="9"/>
        <v>#REF!</v>
      </c>
      <c r="AV34" s="36" t="e">
        <f t="shared" si="9"/>
        <v>#REF!</v>
      </c>
      <c r="AW34" s="36" t="e">
        <f t="shared" si="9"/>
        <v>#REF!</v>
      </c>
      <c r="AX34" s="36" t="e">
        <f t="shared" si="9"/>
        <v>#REF!</v>
      </c>
      <c r="AY34" s="36" t="e">
        <f t="shared" si="9"/>
        <v>#REF!</v>
      </c>
      <c r="AZ34" s="36" t="e">
        <f t="shared" si="9"/>
        <v>#REF!</v>
      </c>
      <c r="BA34" s="36" t="e">
        <f t="shared" si="9"/>
        <v>#REF!</v>
      </c>
    </row>
    <row r="35" spans="1:53" hidden="1">
      <c r="A35" s="37" t="s">
        <v>94</v>
      </c>
      <c r="B35" s="37"/>
      <c r="C35" s="37"/>
      <c r="AA35" s="64"/>
      <c r="AB35" s="65" t="s">
        <v>39</v>
      </c>
      <c r="AC35" s="65">
        <v>5.1995100000000001</v>
      </c>
      <c r="AD35" s="65"/>
      <c r="AE35" s="65"/>
      <c r="AF35" s="36" t="e">
        <f t="shared" si="8"/>
        <v>#REF!</v>
      </c>
      <c r="AG35" s="36" t="e">
        <f t="shared" si="8"/>
        <v>#REF!</v>
      </c>
      <c r="AH35" s="36" t="e">
        <f t="shared" si="8"/>
        <v>#REF!</v>
      </c>
      <c r="AI35" s="36" t="e">
        <f t="shared" si="8"/>
        <v>#REF!</v>
      </c>
      <c r="AJ35" s="36" t="e">
        <f t="shared" si="8"/>
        <v>#REF!</v>
      </c>
      <c r="AK35" s="36" t="e">
        <f t="shared" si="8"/>
        <v>#REF!</v>
      </c>
      <c r="AL35" s="36" t="e">
        <f t="shared" si="8"/>
        <v>#REF!</v>
      </c>
      <c r="AM35" s="36" t="e">
        <f t="shared" si="8"/>
        <v>#REF!</v>
      </c>
      <c r="AN35" s="36" t="e">
        <f t="shared" si="8"/>
        <v>#REF!</v>
      </c>
      <c r="AO35" s="36" t="e">
        <f t="shared" si="8"/>
        <v>#REF!</v>
      </c>
      <c r="AQ35" s="38"/>
      <c r="AR35" s="36" t="e">
        <f t="shared" si="9"/>
        <v>#REF!</v>
      </c>
      <c r="AS35" s="36" t="e">
        <f t="shared" si="9"/>
        <v>#REF!</v>
      </c>
      <c r="AT35" s="36" t="e">
        <f t="shared" si="9"/>
        <v>#REF!</v>
      </c>
      <c r="AU35" s="36" t="e">
        <f t="shared" si="9"/>
        <v>#REF!</v>
      </c>
      <c r="AV35" s="36" t="e">
        <f t="shared" si="9"/>
        <v>#REF!</v>
      </c>
      <c r="AW35" s="36" t="e">
        <f t="shared" si="9"/>
        <v>#REF!</v>
      </c>
      <c r="AX35" s="36" t="e">
        <f t="shared" si="9"/>
        <v>#REF!</v>
      </c>
      <c r="AY35" s="36" t="e">
        <f t="shared" si="9"/>
        <v>#REF!</v>
      </c>
      <c r="AZ35" s="36" t="e">
        <f t="shared" si="9"/>
        <v>#REF!</v>
      </c>
      <c r="BA35" s="36" t="e">
        <f t="shared" si="9"/>
        <v>#REF!</v>
      </c>
    </row>
    <row r="36" spans="1:53" hidden="1">
      <c r="A36" s="37" t="s">
        <v>0</v>
      </c>
      <c r="B36" s="37"/>
      <c r="C36" s="37"/>
      <c r="AA36" s="64"/>
      <c r="AB36" s="65" t="s">
        <v>40</v>
      </c>
      <c r="AC36" s="65">
        <v>17.71416</v>
      </c>
      <c r="AD36" s="65"/>
      <c r="AE36" s="65"/>
      <c r="AF36" s="36" t="e">
        <f t="shared" si="8"/>
        <v>#REF!</v>
      </c>
      <c r="AG36" s="36" t="e">
        <f t="shared" si="8"/>
        <v>#REF!</v>
      </c>
      <c r="AH36" s="36" t="e">
        <f t="shared" si="8"/>
        <v>#REF!</v>
      </c>
      <c r="AI36" s="36" t="e">
        <f t="shared" si="8"/>
        <v>#REF!</v>
      </c>
      <c r="AJ36" s="36" t="e">
        <f t="shared" si="8"/>
        <v>#REF!</v>
      </c>
      <c r="AK36" s="36" t="e">
        <f t="shared" si="8"/>
        <v>#REF!</v>
      </c>
      <c r="AL36" s="36" t="e">
        <f t="shared" si="8"/>
        <v>#REF!</v>
      </c>
      <c r="AM36" s="36" t="e">
        <f t="shared" si="8"/>
        <v>#REF!</v>
      </c>
      <c r="AN36" s="36" t="e">
        <f t="shared" si="8"/>
        <v>#REF!</v>
      </c>
      <c r="AO36" s="36" t="e">
        <f t="shared" si="8"/>
        <v>#REF!</v>
      </c>
      <c r="AQ36" s="38"/>
      <c r="AR36" s="36" t="e">
        <f t="shared" si="9"/>
        <v>#REF!</v>
      </c>
      <c r="AS36" s="36" t="e">
        <f t="shared" si="9"/>
        <v>#REF!</v>
      </c>
      <c r="AT36" s="36" t="e">
        <f t="shared" si="9"/>
        <v>#REF!</v>
      </c>
      <c r="AU36" s="36" t="e">
        <f t="shared" si="9"/>
        <v>#REF!</v>
      </c>
      <c r="AV36" s="36" t="e">
        <f t="shared" si="9"/>
        <v>#REF!</v>
      </c>
      <c r="AW36" s="36" t="e">
        <f t="shared" si="9"/>
        <v>#REF!</v>
      </c>
      <c r="AX36" s="36" t="e">
        <f t="shared" si="9"/>
        <v>#REF!</v>
      </c>
      <c r="AY36" s="36" t="e">
        <f t="shared" si="9"/>
        <v>#REF!</v>
      </c>
      <c r="AZ36" s="36" t="e">
        <f t="shared" si="9"/>
        <v>#REF!</v>
      </c>
      <c r="BA36" s="36" t="e">
        <f t="shared" si="9"/>
        <v>#REF!</v>
      </c>
    </row>
    <row r="37" spans="1:53" hidden="1">
      <c r="A37" s="37" t="s">
        <v>59</v>
      </c>
      <c r="B37" s="37">
        <f>0.39*1.5*(8.5/12)^0.9*(2/3)^0.45</f>
        <v>0.35737873826145539</v>
      </c>
      <c r="C37" s="37"/>
      <c r="AA37" s="64"/>
      <c r="AB37" s="65"/>
      <c r="AC37" s="65"/>
      <c r="AD37" s="65"/>
      <c r="AE37" s="65"/>
      <c r="AQ37" s="38"/>
    </row>
    <row r="38" spans="1:53" hidden="1">
      <c r="A38" s="37" t="s">
        <v>60</v>
      </c>
      <c r="B38" s="37">
        <f>0.39*0.15*(8.5/12)^0.9*(2/3)^0.45</f>
        <v>3.5737873826145544E-2</v>
      </c>
      <c r="C38" s="37"/>
      <c r="AA38" s="64" t="s">
        <v>42</v>
      </c>
      <c r="AB38" s="65" t="s">
        <v>30</v>
      </c>
      <c r="AC38" s="65" t="s">
        <v>31</v>
      </c>
      <c r="AD38" s="65"/>
      <c r="AE38" s="65"/>
      <c r="AQ38" s="38"/>
    </row>
    <row r="39" spans="1:53" hidden="1">
      <c r="AA39" s="64"/>
      <c r="AB39" s="65" t="s">
        <v>32</v>
      </c>
      <c r="AC39" s="65">
        <v>0</v>
      </c>
      <c r="AD39" s="65"/>
      <c r="AE39" s="65"/>
      <c r="AF39" s="36" t="e">
        <f t="shared" ref="AF39:AO47" si="10">AF$12*$AC39</f>
        <v>#REF!</v>
      </c>
      <c r="AG39" s="36" t="e">
        <f t="shared" si="10"/>
        <v>#REF!</v>
      </c>
      <c r="AH39" s="36" t="e">
        <f t="shared" si="10"/>
        <v>#REF!</v>
      </c>
      <c r="AI39" s="36" t="e">
        <f t="shared" si="10"/>
        <v>#REF!</v>
      </c>
      <c r="AJ39" s="36" t="e">
        <f t="shared" si="10"/>
        <v>#REF!</v>
      </c>
      <c r="AK39" s="36" t="e">
        <f t="shared" si="10"/>
        <v>#REF!</v>
      </c>
      <c r="AL39" s="36" t="e">
        <f t="shared" si="10"/>
        <v>#REF!</v>
      </c>
      <c r="AM39" s="36" t="e">
        <f t="shared" si="10"/>
        <v>#REF!</v>
      </c>
      <c r="AN39" s="36" t="e">
        <f t="shared" si="10"/>
        <v>#REF!</v>
      </c>
      <c r="AO39" s="36" t="e">
        <f t="shared" si="10"/>
        <v>#REF!</v>
      </c>
      <c r="AQ39" s="38"/>
      <c r="AR39" s="36" t="e">
        <f t="shared" ref="AR39:BA47" si="11">AR$12*$AC39</f>
        <v>#REF!</v>
      </c>
      <c r="AS39" s="36" t="e">
        <f t="shared" si="11"/>
        <v>#REF!</v>
      </c>
      <c r="AT39" s="36" t="e">
        <f t="shared" si="11"/>
        <v>#REF!</v>
      </c>
      <c r="AU39" s="36" t="e">
        <f t="shared" si="11"/>
        <v>#REF!</v>
      </c>
      <c r="AV39" s="36" t="e">
        <f t="shared" si="11"/>
        <v>#REF!</v>
      </c>
      <c r="AW39" s="36" t="e">
        <f t="shared" si="11"/>
        <v>#REF!</v>
      </c>
      <c r="AX39" s="36" t="e">
        <f t="shared" si="11"/>
        <v>#REF!</v>
      </c>
      <c r="AY39" s="36" t="e">
        <f t="shared" si="11"/>
        <v>#REF!</v>
      </c>
      <c r="AZ39" s="36" t="e">
        <f t="shared" si="11"/>
        <v>#REF!</v>
      </c>
      <c r="BA39" s="36" t="e">
        <f t="shared" si="11"/>
        <v>#REF!</v>
      </c>
    </row>
    <row r="40" spans="1:53" hidden="1">
      <c r="AA40" s="64"/>
      <c r="AB40" s="65" t="s">
        <v>33</v>
      </c>
      <c r="AC40" s="65">
        <v>0</v>
      </c>
      <c r="AD40" s="65"/>
      <c r="AE40" s="65"/>
      <c r="AF40" s="36" t="e">
        <f t="shared" si="10"/>
        <v>#REF!</v>
      </c>
      <c r="AG40" s="36" t="e">
        <f t="shared" si="10"/>
        <v>#REF!</v>
      </c>
      <c r="AH40" s="36" t="e">
        <f t="shared" si="10"/>
        <v>#REF!</v>
      </c>
      <c r="AI40" s="36" t="e">
        <f t="shared" si="10"/>
        <v>#REF!</v>
      </c>
      <c r="AJ40" s="36" t="e">
        <f t="shared" si="10"/>
        <v>#REF!</v>
      </c>
      <c r="AK40" s="36" t="e">
        <f t="shared" si="10"/>
        <v>#REF!</v>
      </c>
      <c r="AL40" s="36" t="e">
        <f t="shared" si="10"/>
        <v>#REF!</v>
      </c>
      <c r="AM40" s="36" t="e">
        <f t="shared" si="10"/>
        <v>#REF!</v>
      </c>
      <c r="AN40" s="36" t="e">
        <f t="shared" si="10"/>
        <v>#REF!</v>
      </c>
      <c r="AO40" s="36" t="e">
        <f t="shared" si="10"/>
        <v>#REF!</v>
      </c>
      <c r="AQ40" s="38"/>
      <c r="AR40" s="36" t="e">
        <f t="shared" si="11"/>
        <v>#REF!</v>
      </c>
      <c r="AS40" s="36" t="e">
        <f t="shared" si="11"/>
        <v>#REF!</v>
      </c>
      <c r="AT40" s="36" t="e">
        <f t="shared" si="11"/>
        <v>#REF!</v>
      </c>
      <c r="AU40" s="36" t="e">
        <f t="shared" si="11"/>
        <v>#REF!</v>
      </c>
      <c r="AV40" s="36" t="e">
        <f t="shared" si="11"/>
        <v>#REF!</v>
      </c>
      <c r="AW40" s="36" t="e">
        <f t="shared" si="11"/>
        <v>#REF!</v>
      </c>
      <c r="AX40" s="36" t="e">
        <f t="shared" si="11"/>
        <v>#REF!</v>
      </c>
      <c r="AY40" s="36" t="e">
        <f t="shared" si="11"/>
        <v>#REF!</v>
      </c>
      <c r="AZ40" s="36" t="e">
        <f t="shared" si="11"/>
        <v>#REF!</v>
      </c>
      <c r="BA40" s="36" t="e">
        <f t="shared" si="11"/>
        <v>#REF!</v>
      </c>
    </row>
    <row r="41" spans="1:53" hidden="1">
      <c r="AA41" s="64"/>
      <c r="AB41" s="65" t="s">
        <v>34</v>
      </c>
      <c r="AC41" s="65">
        <v>0</v>
      </c>
      <c r="AD41" s="65"/>
      <c r="AE41" s="65"/>
      <c r="AF41" s="36" t="e">
        <f t="shared" si="10"/>
        <v>#REF!</v>
      </c>
      <c r="AG41" s="36" t="e">
        <f t="shared" si="10"/>
        <v>#REF!</v>
      </c>
      <c r="AH41" s="36" t="e">
        <f t="shared" si="10"/>
        <v>#REF!</v>
      </c>
      <c r="AI41" s="36" t="e">
        <f t="shared" si="10"/>
        <v>#REF!</v>
      </c>
      <c r="AJ41" s="36" t="e">
        <f t="shared" si="10"/>
        <v>#REF!</v>
      </c>
      <c r="AK41" s="36" t="e">
        <f t="shared" si="10"/>
        <v>#REF!</v>
      </c>
      <c r="AL41" s="36" t="e">
        <f t="shared" si="10"/>
        <v>#REF!</v>
      </c>
      <c r="AM41" s="36" t="e">
        <f t="shared" si="10"/>
        <v>#REF!</v>
      </c>
      <c r="AN41" s="36" t="e">
        <f t="shared" si="10"/>
        <v>#REF!</v>
      </c>
      <c r="AO41" s="36" t="e">
        <f t="shared" si="10"/>
        <v>#REF!</v>
      </c>
      <c r="AQ41" s="38"/>
      <c r="AR41" s="36" t="e">
        <f t="shared" si="11"/>
        <v>#REF!</v>
      </c>
      <c r="AS41" s="36" t="e">
        <f t="shared" si="11"/>
        <v>#REF!</v>
      </c>
      <c r="AT41" s="36" t="e">
        <f t="shared" si="11"/>
        <v>#REF!</v>
      </c>
      <c r="AU41" s="36" t="e">
        <f t="shared" si="11"/>
        <v>#REF!</v>
      </c>
      <c r="AV41" s="36" t="e">
        <f t="shared" si="11"/>
        <v>#REF!</v>
      </c>
      <c r="AW41" s="36" t="e">
        <f t="shared" si="11"/>
        <v>#REF!</v>
      </c>
      <c r="AX41" s="36" t="e">
        <f t="shared" si="11"/>
        <v>#REF!</v>
      </c>
      <c r="AY41" s="36" t="e">
        <f t="shared" si="11"/>
        <v>#REF!</v>
      </c>
      <c r="AZ41" s="36" t="e">
        <f t="shared" si="11"/>
        <v>#REF!</v>
      </c>
      <c r="BA41" s="36" t="e">
        <f t="shared" si="11"/>
        <v>#REF!</v>
      </c>
    </row>
    <row r="42" spans="1:53" hidden="1">
      <c r="AA42" s="64"/>
      <c r="AB42" s="65" t="s">
        <v>35</v>
      </c>
      <c r="AC42" s="65">
        <v>16.541599999999999</v>
      </c>
      <c r="AD42" s="65"/>
      <c r="AE42" s="65"/>
      <c r="AF42" s="36" t="e">
        <f t="shared" si="10"/>
        <v>#REF!</v>
      </c>
      <c r="AG42" s="36" t="e">
        <f t="shared" si="10"/>
        <v>#REF!</v>
      </c>
      <c r="AH42" s="36" t="e">
        <f t="shared" si="10"/>
        <v>#REF!</v>
      </c>
      <c r="AI42" s="36" t="e">
        <f t="shared" si="10"/>
        <v>#REF!</v>
      </c>
      <c r="AJ42" s="36" t="e">
        <f t="shared" si="10"/>
        <v>#REF!</v>
      </c>
      <c r="AK42" s="36" t="e">
        <f t="shared" si="10"/>
        <v>#REF!</v>
      </c>
      <c r="AL42" s="36" t="e">
        <f t="shared" si="10"/>
        <v>#REF!</v>
      </c>
      <c r="AM42" s="36" t="e">
        <f t="shared" si="10"/>
        <v>#REF!</v>
      </c>
      <c r="AN42" s="36" t="e">
        <f t="shared" si="10"/>
        <v>#REF!</v>
      </c>
      <c r="AO42" s="36" t="e">
        <f t="shared" si="10"/>
        <v>#REF!</v>
      </c>
      <c r="AQ42" s="38"/>
      <c r="AR42" s="36" t="e">
        <f t="shared" si="11"/>
        <v>#REF!</v>
      </c>
      <c r="AS42" s="36" t="e">
        <f t="shared" si="11"/>
        <v>#REF!</v>
      </c>
      <c r="AT42" s="36" t="e">
        <f t="shared" si="11"/>
        <v>#REF!</v>
      </c>
      <c r="AU42" s="36" t="e">
        <f t="shared" si="11"/>
        <v>#REF!</v>
      </c>
      <c r="AV42" s="36" t="e">
        <f t="shared" si="11"/>
        <v>#REF!</v>
      </c>
      <c r="AW42" s="36" t="e">
        <f t="shared" si="11"/>
        <v>#REF!</v>
      </c>
      <c r="AX42" s="36" t="e">
        <f t="shared" si="11"/>
        <v>#REF!</v>
      </c>
      <c r="AY42" s="36" t="e">
        <f t="shared" si="11"/>
        <v>#REF!</v>
      </c>
      <c r="AZ42" s="36" t="e">
        <f t="shared" si="11"/>
        <v>#REF!</v>
      </c>
      <c r="BA42" s="36" t="e">
        <f t="shared" si="11"/>
        <v>#REF!</v>
      </c>
    </row>
    <row r="43" spans="1:53" hidden="1">
      <c r="AA43" s="64"/>
      <c r="AB43" s="65" t="s">
        <v>36</v>
      </c>
      <c r="AC43" s="65">
        <v>0</v>
      </c>
      <c r="AD43" s="65"/>
      <c r="AE43" s="65"/>
      <c r="AF43" s="36" t="e">
        <f t="shared" si="10"/>
        <v>#REF!</v>
      </c>
      <c r="AG43" s="36" t="e">
        <f t="shared" si="10"/>
        <v>#REF!</v>
      </c>
      <c r="AH43" s="36" t="e">
        <f t="shared" si="10"/>
        <v>#REF!</v>
      </c>
      <c r="AI43" s="36" t="e">
        <f t="shared" si="10"/>
        <v>#REF!</v>
      </c>
      <c r="AJ43" s="36" t="e">
        <f t="shared" si="10"/>
        <v>#REF!</v>
      </c>
      <c r="AK43" s="36" t="e">
        <f t="shared" si="10"/>
        <v>#REF!</v>
      </c>
      <c r="AL43" s="36" t="e">
        <f t="shared" si="10"/>
        <v>#REF!</v>
      </c>
      <c r="AM43" s="36" t="e">
        <f t="shared" si="10"/>
        <v>#REF!</v>
      </c>
      <c r="AN43" s="36" t="e">
        <f t="shared" si="10"/>
        <v>#REF!</v>
      </c>
      <c r="AO43" s="36" t="e">
        <f t="shared" si="10"/>
        <v>#REF!</v>
      </c>
      <c r="AQ43" s="38"/>
      <c r="AR43" s="36" t="e">
        <f t="shared" si="11"/>
        <v>#REF!</v>
      </c>
      <c r="AS43" s="36" t="e">
        <f t="shared" si="11"/>
        <v>#REF!</v>
      </c>
      <c r="AT43" s="36" t="e">
        <f t="shared" si="11"/>
        <v>#REF!</v>
      </c>
      <c r="AU43" s="36" t="e">
        <f t="shared" si="11"/>
        <v>#REF!</v>
      </c>
      <c r="AV43" s="36" t="e">
        <f t="shared" si="11"/>
        <v>#REF!</v>
      </c>
      <c r="AW43" s="36" t="e">
        <f t="shared" si="11"/>
        <v>#REF!</v>
      </c>
      <c r="AX43" s="36" t="e">
        <f t="shared" si="11"/>
        <v>#REF!</v>
      </c>
      <c r="AY43" s="36" t="e">
        <f t="shared" si="11"/>
        <v>#REF!</v>
      </c>
      <c r="AZ43" s="36" t="e">
        <f t="shared" si="11"/>
        <v>#REF!</v>
      </c>
      <c r="BA43" s="36" t="e">
        <f t="shared" si="11"/>
        <v>#REF!</v>
      </c>
    </row>
    <row r="44" spans="1:53" hidden="1">
      <c r="AA44" s="64"/>
      <c r="AB44" s="65" t="s">
        <v>37</v>
      </c>
      <c r="AC44" s="65">
        <v>0</v>
      </c>
      <c r="AD44" s="65"/>
      <c r="AE44" s="65"/>
      <c r="AF44" s="36" t="e">
        <f t="shared" si="10"/>
        <v>#REF!</v>
      </c>
      <c r="AG44" s="36" t="e">
        <f t="shared" si="10"/>
        <v>#REF!</v>
      </c>
      <c r="AH44" s="36" t="e">
        <f t="shared" si="10"/>
        <v>#REF!</v>
      </c>
      <c r="AI44" s="36" t="e">
        <f t="shared" si="10"/>
        <v>#REF!</v>
      </c>
      <c r="AJ44" s="36" t="e">
        <f t="shared" si="10"/>
        <v>#REF!</v>
      </c>
      <c r="AK44" s="36" t="e">
        <f t="shared" si="10"/>
        <v>#REF!</v>
      </c>
      <c r="AL44" s="36" t="e">
        <f t="shared" si="10"/>
        <v>#REF!</v>
      </c>
      <c r="AM44" s="36" t="e">
        <f t="shared" si="10"/>
        <v>#REF!</v>
      </c>
      <c r="AN44" s="36" t="e">
        <f t="shared" si="10"/>
        <v>#REF!</v>
      </c>
      <c r="AO44" s="36" t="e">
        <f t="shared" si="10"/>
        <v>#REF!</v>
      </c>
      <c r="AQ44" s="38"/>
      <c r="AR44" s="36" t="e">
        <f t="shared" si="11"/>
        <v>#REF!</v>
      </c>
      <c r="AS44" s="36" t="e">
        <f t="shared" si="11"/>
        <v>#REF!</v>
      </c>
      <c r="AT44" s="36" t="e">
        <f t="shared" si="11"/>
        <v>#REF!</v>
      </c>
      <c r="AU44" s="36" t="e">
        <f t="shared" si="11"/>
        <v>#REF!</v>
      </c>
      <c r="AV44" s="36" t="e">
        <f t="shared" si="11"/>
        <v>#REF!</v>
      </c>
      <c r="AW44" s="36" t="e">
        <f t="shared" si="11"/>
        <v>#REF!</v>
      </c>
      <c r="AX44" s="36" t="e">
        <f t="shared" si="11"/>
        <v>#REF!</v>
      </c>
      <c r="AY44" s="36" t="e">
        <f t="shared" si="11"/>
        <v>#REF!</v>
      </c>
      <c r="AZ44" s="36" t="e">
        <f t="shared" si="11"/>
        <v>#REF!</v>
      </c>
      <c r="BA44" s="36" t="e">
        <f t="shared" si="11"/>
        <v>#REF!</v>
      </c>
    </row>
    <row r="45" spans="1:53" hidden="1">
      <c r="AA45" s="64"/>
      <c r="AB45" s="65" t="s">
        <v>38</v>
      </c>
      <c r="AC45" s="65">
        <v>14.601599999999999</v>
      </c>
      <c r="AD45" s="65"/>
      <c r="AE45" s="65"/>
      <c r="AF45" s="36" t="e">
        <f t="shared" si="10"/>
        <v>#REF!</v>
      </c>
      <c r="AG45" s="36" t="e">
        <f t="shared" si="10"/>
        <v>#REF!</v>
      </c>
      <c r="AH45" s="36" t="e">
        <f t="shared" si="10"/>
        <v>#REF!</v>
      </c>
      <c r="AI45" s="36" t="e">
        <f t="shared" si="10"/>
        <v>#REF!</v>
      </c>
      <c r="AJ45" s="36" t="e">
        <f t="shared" si="10"/>
        <v>#REF!</v>
      </c>
      <c r="AK45" s="36" t="e">
        <f t="shared" si="10"/>
        <v>#REF!</v>
      </c>
      <c r="AL45" s="36" t="e">
        <f t="shared" si="10"/>
        <v>#REF!</v>
      </c>
      <c r="AM45" s="36" t="e">
        <f t="shared" si="10"/>
        <v>#REF!</v>
      </c>
      <c r="AN45" s="36" t="e">
        <f t="shared" si="10"/>
        <v>#REF!</v>
      </c>
      <c r="AO45" s="36" t="e">
        <f t="shared" si="10"/>
        <v>#REF!</v>
      </c>
      <c r="AQ45" s="38"/>
      <c r="AR45" s="36" t="e">
        <f t="shared" si="11"/>
        <v>#REF!</v>
      </c>
      <c r="AS45" s="36" t="e">
        <f t="shared" si="11"/>
        <v>#REF!</v>
      </c>
      <c r="AT45" s="36" t="e">
        <f t="shared" si="11"/>
        <v>#REF!</v>
      </c>
      <c r="AU45" s="36" t="e">
        <f t="shared" si="11"/>
        <v>#REF!</v>
      </c>
      <c r="AV45" s="36" t="e">
        <f t="shared" si="11"/>
        <v>#REF!</v>
      </c>
      <c r="AW45" s="36" t="e">
        <f t="shared" si="11"/>
        <v>#REF!</v>
      </c>
      <c r="AX45" s="36" t="e">
        <f t="shared" si="11"/>
        <v>#REF!</v>
      </c>
      <c r="AY45" s="36" t="e">
        <f t="shared" si="11"/>
        <v>#REF!</v>
      </c>
      <c r="AZ45" s="36" t="e">
        <f t="shared" si="11"/>
        <v>#REF!</v>
      </c>
      <c r="BA45" s="36" t="e">
        <f t="shared" si="11"/>
        <v>#REF!</v>
      </c>
    </row>
    <row r="46" spans="1:53" hidden="1">
      <c r="AA46" s="64"/>
      <c r="AB46" s="65" t="s">
        <v>39</v>
      </c>
      <c r="AC46" s="65">
        <v>14.570489999999999</v>
      </c>
      <c r="AD46" s="65"/>
      <c r="AE46" s="65"/>
      <c r="AF46" s="36" t="e">
        <f t="shared" si="10"/>
        <v>#REF!</v>
      </c>
      <c r="AG46" s="36" t="e">
        <f t="shared" si="10"/>
        <v>#REF!</v>
      </c>
      <c r="AH46" s="36" t="e">
        <f t="shared" si="10"/>
        <v>#REF!</v>
      </c>
      <c r="AI46" s="36" t="e">
        <f t="shared" si="10"/>
        <v>#REF!</v>
      </c>
      <c r="AJ46" s="36" t="e">
        <f t="shared" si="10"/>
        <v>#REF!</v>
      </c>
      <c r="AK46" s="36" t="e">
        <f t="shared" si="10"/>
        <v>#REF!</v>
      </c>
      <c r="AL46" s="36" t="e">
        <f t="shared" si="10"/>
        <v>#REF!</v>
      </c>
      <c r="AM46" s="36" t="e">
        <f t="shared" si="10"/>
        <v>#REF!</v>
      </c>
      <c r="AN46" s="36" t="e">
        <f t="shared" si="10"/>
        <v>#REF!</v>
      </c>
      <c r="AO46" s="36" t="e">
        <f t="shared" si="10"/>
        <v>#REF!</v>
      </c>
      <c r="AQ46" s="38"/>
      <c r="AR46" s="36" t="e">
        <f t="shared" si="11"/>
        <v>#REF!</v>
      </c>
      <c r="AS46" s="36" t="e">
        <f t="shared" si="11"/>
        <v>#REF!</v>
      </c>
      <c r="AT46" s="36" t="e">
        <f t="shared" si="11"/>
        <v>#REF!</v>
      </c>
      <c r="AU46" s="36" t="e">
        <f t="shared" si="11"/>
        <v>#REF!</v>
      </c>
      <c r="AV46" s="36" t="e">
        <f t="shared" si="11"/>
        <v>#REF!</v>
      </c>
      <c r="AW46" s="36" t="e">
        <f t="shared" si="11"/>
        <v>#REF!</v>
      </c>
      <c r="AX46" s="36" t="e">
        <f t="shared" si="11"/>
        <v>#REF!</v>
      </c>
      <c r="AY46" s="36" t="e">
        <f t="shared" si="11"/>
        <v>#REF!</v>
      </c>
      <c r="AZ46" s="36" t="e">
        <f t="shared" si="11"/>
        <v>#REF!</v>
      </c>
      <c r="BA46" s="36" t="e">
        <f t="shared" si="11"/>
        <v>#REF!</v>
      </c>
    </row>
    <row r="47" spans="1:53" hidden="1">
      <c r="AA47" s="64"/>
      <c r="AB47" s="65" t="s">
        <v>40</v>
      </c>
      <c r="AC47" s="65">
        <v>14.14584</v>
      </c>
      <c r="AD47" s="65"/>
      <c r="AE47" s="65"/>
      <c r="AF47" s="36" t="e">
        <f t="shared" si="10"/>
        <v>#REF!</v>
      </c>
      <c r="AG47" s="36" t="e">
        <f t="shared" si="10"/>
        <v>#REF!</v>
      </c>
      <c r="AH47" s="36" t="e">
        <f t="shared" si="10"/>
        <v>#REF!</v>
      </c>
      <c r="AI47" s="36" t="e">
        <f t="shared" si="10"/>
        <v>#REF!</v>
      </c>
      <c r="AJ47" s="36" t="e">
        <f t="shared" si="10"/>
        <v>#REF!</v>
      </c>
      <c r="AK47" s="36" t="e">
        <f t="shared" si="10"/>
        <v>#REF!</v>
      </c>
      <c r="AL47" s="36" t="e">
        <f t="shared" si="10"/>
        <v>#REF!</v>
      </c>
      <c r="AM47" s="36" t="e">
        <f t="shared" si="10"/>
        <v>#REF!</v>
      </c>
      <c r="AN47" s="36" t="e">
        <f t="shared" si="10"/>
        <v>#REF!</v>
      </c>
      <c r="AO47" s="36" t="e">
        <f t="shared" si="10"/>
        <v>#REF!</v>
      </c>
      <c r="AQ47" s="38"/>
      <c r="AR47" s="36" t="e">
        <f t="shared" si="11"/>
        <v>#REF!</v>
      </c>
      <c r="AS47" s="36" t="e">
        <f t="shared" si="11"/>
        <v>#REF!</v>
      </c>
      <c r="AT47" s="36" t="e">
        <f t="shared" si="11"/>
        <v>#REF!</v>
      </c>
      <c r="AU47" s="36" t="e">
        <f t="shared" si="11"/>
        <v>#REF!</v>
      </c>
      <c r="AV47" s="36" t="e">
        <f t="shared" si="11"/>
        <v>#REF!</v>
      </c>
      <c r="AW47" s="36" t="e">
        <f t="shared" si="11"/>
        <v>#REF!</v>
      </c>
      <c r="AX47" s="36" t="e">
        <f t="shared" si="11"/>
        <v>#REF!</v>
      </c>
      <c r="AY47" s="36" t="e">
        <f t="shared" si="11"/>
        <v>#REF!</v>
      </c>
      <c r="AZ47" s="36" t="e">
        <f t="shared" si="11"/>
        <v>#REF!</v>
      </c>
      <c r="BA47" s="36" t="e">
        <f t="shared" si="11"/>
        <v>#REF!</v>
      </c>
    </row>
    <row r="48" spans="1:53" hidden="1">
      <c r="AQ48" s="38"/>
    </row>
    <row r="49" spans="27:53" hidden="1">
      <c r="AQ49" s="38"/>
    </row>
    <row r="50" spans="27:53" ht="63.75" hidden="1">
      <c r="AA50" s="66" t="s">
        <v>43</v>
      </c>
      <c r="AB50" s="67"/>
      <c r="AC50" s="68"/>
      <c r="AD50" s="68"/>
      <c r="AE50" s="68"/>
      <c r="AF50" s="61" t="s">
        <v>55</v>
      </c>
      <c r="AG50" s="61" t="s">
        <v>73</v>
      </c>
      <c r="AH50" s="61" t="s">
        <v>57</v>
      </c>
      <c r="AI50" s="61" t="s">
        <v>58</v>
      </c>
      <c r="AJ50" s="61" t="s">
        <v>59</v>
      </c>
      <c r="AK50" s="61" t="s">
        <v>60</v>
      </c>
      <c r="AL50" s="62" t="s">
        <v>75</v>
      </c>
      <c r="AM50" s="62" t="s">
        <v>76</v>
      </c>
      <c r="AN50" s="62" t="s">
        <v>61</v>
      </c>
      <c r="AO50" s="62" t="s">
        <v>62</v>
      </c>
      <c r="AP50" s="62"/>
      <c r="AQ50" s="43"/>
      <c r="AR50" s="61" t="s">
        <v>55</v>
      </c>
      <c r="AS50" s="61" t="s">
        <v>73</v>
      </c>
      <c r="AT50" s="61" t="s">
        <v>74</v>
      </c>
      <c r="AU50" s="61" t="s">
        <v>58</v>
      </c>
      <c r="AV50" s="61" t="s">
        <v>59</v>
      </c>
      <c r="AW50" s="61" t="s">
        <v>60</v>
      </c>
      <c r="AX50" s="62" t="s">
        <v>75</v>
      </c>
      <c r="AY50" s="62" t="s">
        <v>76</v>
      </c>
      <c r="AZ50" s="63" t="s">
        <v>61</v>
      </c>
      <c r="BA50" s="61" t="s">
        <v>62</v>
      </c>
    </row>
    <row r="51" spans="27:53" hidden="1">
      <c r="AA51" s="69" t="s">
        <v>44</v>
      </c>
      <c r="AB51" s="35"/>
      <c r="AG51" s="70"/>
      <c r="AQ51" s="38"/>
    </row>
    <row r="52" spans="27:53" hidden="1">
      <c r="AA52" s="71" t="s">
        <v>29</v>
      </c>
      <c r="AB52" s="35"/>
      <c r="AF52" s="70" t="e">
        <f t="shared" ref="AF52:AO52" si="12">AF17+AF19+AF20</f>
        <v>#REF!</v>
      </c>
      <c r="AG52" s="70" t="e">
        <f t="shared" si="12"/>
        <v>#REF!</v>
      </c>
      <c r="AH52" s="70" t="e">
        <f t="shared" si="12"/>
        <v>#REF!</v>
      </c>
      <c r="AI52" s="70" t="e">
        <f t="shared" si="12"/>
        <v>#REF!</v>
      </c>
      <c r="AJ52" s="70" t="e">
        <f t="shared" si="12"/>
        <v>#REF!</v>
      </c>
      <c r="AK52" s="70" t="e">
        <f t="shared" si="12"/>
        <v>#REF!</v>
      </c>
      <c r="AL52" s="70" t="e">
        <f t="shared" si="12"/>
        <v>#REF!</v>
      </c>
      <c r="AM52" s="70" t="e">
        <f t="shared" si="12"/>
        <v>#REF!</v>
      </c>
      <c r="AN52" s="70" t="e">
        <f t="shared" si="12"/>
        <v>#REF!</v>
      </c>
      <c r="AO52" s="70" t="e">
        <f t="shared" si="12"/>
        <v>#REF!</v>
      </c>
      <c r="AP52" s="70"/>
      <c r="AQ52" s="70"/>
      <c r="AR52" s="70" t="e">
        <f t="shared" ref="AR52:BA52" si="13">AR17+AR19+AR20</f>
        <v>#REF!</v>
      </c>
      <c r="AS52" s="70" t="e">
        <f t="shared" si="13"/>
        <v>#REF!</v>
      </c>
      <c r="AT52" s="70" t="e">
        <f t="shared" si="13"/>
        <v>#REF!</v>
      </c>
      <c r="AU52" s="70" t="e">
        <f t="shared" si="13"/>
        <v>#REF!</v>
      </c>
      <c r="AV52" s="70" t="e">
        <f t="shared" si="13"/>
        <v>#REF!</v>
      </c>
      <c r="AW52" s="70" t="e">
        <f t="shared" si="13"/>
        <v>#REF!</v>
      </c>
      <c r="AX52" s="70" t="e">
        <f t="shared" si="13"/>
        <v>#REF!</v>
      </c>
      <c r="AY52" s="70" t="e">
        <f t="shared" si="13"/>
        <v>#REF!</v>
      </c>
      <c r="AZ52" s="70" t="e">
        <f t="shared" si="13"/>
        <v>#REF!</v>
      </c>
      <c r="BA52" s="70" t="e">
        <f t="shared" si="13"/>
        <v>#REF!</v>
      </c>
    </row>
    <row r="53" spans="27:53" hidden="1">
      <c r="AA53" s="71" t="s">
        <v>41</v>
      </c>
      <c r="AB53" s="35"/>
      <c r="AF53" s="70" t="e">
        <f t="shared" ref="AF53:AO53" si="14">AF28+AF30+AF31</f>
        <v>#REF!</v>
      </c>
      <c r="AG53" s="70" t="e">
        <f t="shared" si="14"/>
        <v>#REF!</v>
      </c>
      <c r="AH53" s="70" t="e">
        <f t="shared" si="14"/>
        <v>#REF!</v>
      </c>
      <c r="AI53" s="70" t="e">
        <f t="shared" si="14"/>
        <v>#REF!</v>
      </c>
      <c r="AJ53" s="70" t="e">
        <f t="shared" si="14"/>
        <v>#REF!</v>
      </c>
      <c r="AK53" s="70" t="e">
        <f t="shared" si="14"/>
        <v>#REF!</v>
      </c>
      <c r="AL53" s="70" t="e">
        <f t="shared" si="14"/>
        <v>#REF!</v>
      </c>
      <c r="AM53" s="70" t="e">
        <f t="shared" si="14"/>
        <v>#REF!</v>
      </c>
      <c r="AN53" s="70" t="e">
        <f t="shared" si="14"/>
        <v>#REF!</v>
      </c>
      <c r="AO53" s="70" t="e">
        <f t="shared" si="14"/>
        <v>#REF!</v>
      </c>
      <c r="AP53" s="70"/>
      <c r="AQ53" s="70"/>
      <c r="AR53" s="70" t="e">
        <f t="shared" ref="AR53:BA53" si="15">AR28+AR30+AR31</f>
        <v>#REF!</v>
      </c>
      <c r="AS53" s="70" t="e">
        <f t="shared" si="15"/>
        <v>#REF!</v>
      </c>
      <c r="AT53" s="70" t="e">
        <f t="shared" si="15"/>
        <v>#REF!</v>
      </c>
      <c r="AU53" s="70" t="e">
        <f t="shared" si="15"/>
        <v>#REF!</v>
      </c>
      <c r="AV53" s="70" t="e">
        <f t="shared" si="15"/>
        <v>#REF!</v>
      </c>
      <c r="AW53" s="70" t="e">
        <f t="shared" si="15"/>
        <v>#REF!</v>
      </c>
      <c r="AX53" s="70" t="e">
        <f t="shared" si="15"/>
        <v>#REF!</v>
      </c>
      <c r="AY53" s="70" t="e">
        <f t="shared" si="15"/>
        <v>#REF!</v>
      </c>
      <c r="AZ53" s="70" t="e">
        <f t="shared" si="15"/>
        <v>#REF!</v>
      </c>
      <c r="BA53" s="70" t="e">
        <f t="shared" si="15"/>
        <v>#REF!</v>
      </c>
    </row>
    <row r="54" spans="27:53" hidden="1">
      <c r="AA54" s="71" t="s">
        <v>42</v>
      </c>
      <c r="AB54" s="35"/>
      <c r="AF54" s="70" t="e">
        <f t="shared" ref="AF54:AO54" si="16">AF39+AF41+AF42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AR39+AR41+AR42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69" t="s">
        <v>45</v>
      </c>
      <c r="AB55" s="35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</row>
    <row r="56" spans="27:53" hidden="1">
      <c r="AA56" s="71" t="s">
        <v>29</v>
      </c>
      <c r="AB56" s="35"/>
      <c r="AF56" s="70" t="e">
        <f t="shared" ref="AF56:AO56" si="18">AF17+AF19+AF21+AF23</f>
        <v>#REF!</v>
      </c>
      <c r="AG56" s="70" t="e">
        <f t="shared" si="18"/>
        <v>#REF!</v>
      </c>
      <c r="AH56" s="70" t="e">
        <f t="shared" si="18"/>
        <v>#REF!</v>
      </c>
      <c r="AI56" s="70" t="e">
        <f t="shared" si="18"/>
        <v>#REF!</v>
      </c>
      <c r="AJ56" s="70" t="e">
        <f t="shared" si="18"/>
        <v>#REF!</v>
      </c>
      <c r="AK56" s="70" t="e">
        <f t="shared" si="18"/>
        <v>#REF!</v>
      </c>
      <c r="AL56" s="70" t="e">
        <f t="shared" si="18"/>
        <v>#REF!</v>
      </c>
      <c r="AM56" s="70" t="e">
        <f t="shared" si="18"/>
        <v>#REF!</v>
      </c>
      <c r="AN56" s="70" t="e">
        <f t="shared" si="18"/>
        <v>#REF!</v>
      </c>
      <c r="AO56" s="70" t="e">
        <f t="shared" si="18"/>
        <v>#REF!</v>
      </c>
      <c r="AP56" s="70"/>
      <c r="AQ56" s="70"/>
      <c r="AR56" s="70" t="e">
        <f t="shared" ref="AR56:BA56" si="19">AR17+AR19+AR21+AR23</f>
        <v>#REF!</v>
      </c>
      <c r="AS56" s="70" t="e">
        <f t="shared" si="19"/>
        <v>#REF!</v>
      </c>
      <c r="AT56" s="70" t="e">
        <f t="shared" si="19"/>
        <v>#REF!</v>
      </c>
      <c r="AU56" s="70" t="e">
        <f t="shared" si="19"/>
        <v>#REF!</v>
      </c>
      <c r="AV56" s="70" t="e">
        <f t="shared" si="19"/>
        <v>#REF!</v>
      </c>
      <c r="AW56" s="70" t="e">
        <f t="shared" si="19"/>
        <v>#REF!</v>
      </c>
      <c r="AX56" s="70" t="e">
        <f t="shared" si="19"/>
        <v>#REF!</v>
      </c>
      <c r="AY56" s="70" t="e">
        <f t="shared" si="19"/>
        <v>#REF!</v>
      </c>
      <c r="AZ56" s="70" t="e">
        <f t="shared" si="19"/>
        <v>#REF!</v>
      </c>
      <c r="BA56" s="70" t="e">
        <f t="shared" si="19"/>
        <v>#REF!</v>
      </c>
    </row>
    <row r="57" spans="27:53" hidden="1">
      <c r="AA57" s="71" t="s">
        <v>41</v>
      </c>
      <c r="AB57" s="35"/>
      <c r="AF57" s="70" t="e">
        <f t="shared" ref="AF57:AO57" si="20">AF28+AF30+AF32+AF34</f>
        <v>#REF!</v>
      </c>
      <c r="AG57" s="70" t="e">
        <f t="shared" si="20"/>
        <v>#REF!</v>
      </c>
      <c r="AH57" s="70" t="e">
        <f t="shared" si="20"/>
        <v>#REF!</v>
      </c>
      <c r="AI57" s="70" t="e">
        <f t="shared" si="20"/>
        <v>#REF!</v>
      </c>
      <c r="AJ57" s="70" t="e">
        <f t="shared" si="20"/>
        <v>#REF!</v>
      </c>
      <c r="AK57" s="70" t="e">
        <f t="shared" si="20"/>
        <v>#REF!</v>
      </c>
      <c r="AL57" s="70" t="e">
        <f t="shared" si="20"/>
        <v>#REF!</v>
      </c>
      <c r="AM57" s="70" t="e">
        <f t="shared" si="20"/>
        <v>#REF!</v>
      </c>
      <c r="AN57" s="70" t="e">
        <f t="shared" si="20"/>
        <v>#REF!</v>
      </c>
      <c r="AO57" s="70" t="e">
        <f t="shared" si="20"/>
        <v>#REF!</v>
      </c>
      <c r="AP57" s="70"/>
      <c r="AQ57" s="70"/>
      <c r="AR57" s="70" t="e">
        <f t="shared" ref="AR57:BA57" si="21">AR28+AR30+AR32+AR34</f>
        <v>#REF!</v>
      </c>
      <c r="AS57" s="70" t="e">
        <f t="shared" si="21"/>
        <v>#REF!</v>
      </c>
      <c r="AT57" s="70" t="e">
        <f t="shared" si="21"/>
        <v>#REF!</v>
      </c>
      <c r="AU57" s="70" t="e">
        <f t="shared" si="21"/>
        <v>#REF!</v>
      </c>
      <c r="AV57" s="70" t="e">
        <f t="shared" si="21"/>
        <v>#REF!</v>
      </c>
      <c r="AW57" s="70" t="e">
        <f t="shared" si="21"/>
        <v>#REF!</v>
      </c>
      <c r="AX57" s="70" t="e">
        <f t="shared" si="21"/>
        <v>#REF!</v>
      </c>
      <c r="AY57" s="70" t="e">
        <f t="shared" si="21"/>
        <v>#REF!</v>
      </c>
      <c r="AZ57" s="70" t="e">
        <f t="shared" si="21"/>
        <v>#REF!</v>
      </c>
      <c r="BA57" s="70" t="e">
        <f t="shared" si="21"/>
        <v>#REF!</v>
      </c>
    </row>
    <row r="58" spans="27:53" hidden="1">
      <c r="AA58" s="71" t="s">
        <v>42</v>
      </c>
      <c r="AB58" s="35"/>
      <c r="AF58" s="70" t="e">
        <f t="shared" ref="AF58:AO58" si="22">AF39+AF41+AF43+AF45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AR39+AR41+AR43+AR45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69" t="s">
        <v>46</v>
      </c>
      <c r="AB59" s="35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</row>
    <row r="60" spans="27:53" hidden="1">
      <c r="AA60" s="71" t="s">
        <v>29</v>
      </c>
      <c r="AB60" s="35"/>
      <c r="AF60" s="70" t="e">
        <f t="shared" ref="AF60:AO60" si="24">AF17+AF19+AF21+AF22+AF24</f>
        <v>#REF!</v>
      </c>
      <c r="AG60" s="70" t="e">
        <f t="shared" si="24"/>
        <v>#REF!</v>
      </c>
      <c r="AH60" s="70" t="e">
        <f t="shared" si="24"/>
        <v>#REF!</v>
      </c>
      <c r="AI60" s="70" t="e">
        <f t="shared" si="24"/>
        <v>#REF!</v>
      </c>
      <c r="AJ60" s="70" t="e">
        <f t="shared" si="24"/>
        <v>#REF!</v>
      </c>
      <c r="AK60" s="70" t="e">
        <f t="shared" si="24"/>
        <v>#REF!</v>
      </c>
      <c r="AL60" s="70" t="e">
        <f t="shared" si="24"/>
        <v>#REF!</v>
      </c>
      <c r="AM60" s="70" t="e">
        <f t="shared" si="24"/>
        <v>#REF!</v>
      </c>
      <c r="AN60" s="70" t="e">
        <f t="shared" si="24"/>
        <v>#REF!</v>
      </c>
      <c r="AO60" s="70" t="e">
        <f t="shared" si="24"/>
        <v>#REF!</v>
      </c>
      <c r="AP60" s="70"/>
      <c r="AQ60" s="70"/>
      <c r="AR60" s="70" t="e">
        <f t="shared" ref="AR60:BA60" si="25">AR17+AR19+AR21+AR22+AR24</f>
        <v>#REF!</v>
      </c>
      <c r="AS60" s="70" t="e">
        <f t="shared" si="25"/>
        <v>#REF!</v>
      </c>
      <c r="AT60" s="70" t="e">
        <f t="shared" si="25"/>
        <v>#REF!</v>
      </c>
      <c r="AU60" s="70" t="e">
        <f t="shared" si="25"/>
        <v>#REF!</v>
      </c>
      <c r="AV60" s="70" t="e">
        <f t="shared" si="25"/>
        <v>#REF!</v>
      </c>
      <c r="AW60" s="70" t="e">
        <f t="shared" si="25"/>
        <v>#REF!</v>
      </c>
      <c r="AX60" s="70" t="e">
        <f t="shared" si="25"/>
        <v>#REF!</v>
      </c>
      <c r="AY60" s="70" t="e">
        <f t="shared" si="25"/>
        <v>#REF!</v>
      </c>
      <c r="AZ60" s="70" t="e">
        <f t="shared" si="25"/>
        <v>#REF!</v>
      </c>
      <c r="BA60" s="70" t="e">
        <f t="shared" si="25"/>
        <v>#REF!</v>
      </c>
    </row>
    <row r="61" spans="27:53" hidden="1">
      <c r="AA61" s="71" t="s">
        <v>41</v>
      </c>
      <c r="AB61" s="35"/>
      <c r="AF61" s="70" t="e">
        <f t="shared" ref="AF61:AO61" si="26">AF28+AF30+AF32+AF33+AF35</f>
        <v>#REF!</v>
      </c>
      <c r="AG61" s="70" t="e">
        <f t="shared" si="26"/>
        <v>#REF!</v>
      </c>
      <c r="AH61" s="70" t="e">
        <f t="shared" si="26"/>
        <v>#REF!</v>
      </c>
      <c r="AI61" s="70" t="e">
        <f t="shared" si="26"/>
        <v>#REF!</v>
      </c>
      <c r="AJ61" s="70" t="e">
        <f t="shared" si="26"/>
        <v>#REF!</v>
      </c>
      <c r="AK61" s="70" t="e">
        <f t="shared" si="26"/>
        <v>#REF!</v>
      </c>
      <c r="AL61" s="70" t="e">
        <f t="shared" si="26"/>
        <v>#REF!</v>
      </c>
      <c r="AM61" s="70" t="e">
        <f t="shared" si="26"/>
        <v>#REF!</v>
      </c>
      <c r="AN61" s="70" t="e">
        <f t="shared" si="26"/>
        <v>#REF!</v>
      </c>
      <c r="AO61" s="70" t="e">
        <f t="shared" si="26"/>
        <v>#REF!</v>
      </c>
      <c r="AP61" s="70"/>
      <c r="AQ61" s="70"/>
      <c r="AR61" s="70" t="e">
        <f t="shared" ref="AR61:BA61" si="27">AR28+AR30+AR32+AR33+AR35</f>
        <v>#REF!</v>
      </c>
      <c r="AS61" s="70" t="e">
        <f t="shared" si="27"/>
        <v>#REF!</v>
      </c>
      <c r="AT61" s="70" t="e">
        <f t="shared" si="27"/>
        <v>#REF!</v>
      </c>
      <c r="AU61" s="70" t="e">
        <f t="shared" si="27"/>
        <v>#REF!</v>
      </c>
      <c r="AV61" s="70" t="e">
        <f t="shared" si="27"/>
        <v>#REF!</v>
      </c>
      <c r="AW61" s="70" t="e">
        <f t="shared" si="27"/>
        <v>#REF!</v>
      </c>
      <c r="AX61" s="70" t="e">
        <f t="shared" si="27"/>
        <v>#REF!</v>
      </c>
      <c r="AY61" s="70" t="e">
        <f t="shared" si="27"/>
        <v>#REF!</v>
      </c>
      <c r="AZ61" s="70" t="e">
        <f t="shared" si="27"/>
        <v>#REF!</v>
      </c>
      <c r="BA61" s="70" t="e">
        <f t="shared" si="27"/>
        <v>#REF!</v>
      </c>
    </row>
    <row r="62" spans="27:53" hidden="1">
      <c r="AA62" s="71" t="s">
        <v>42</v>
      </c>
      <c r="AB62" s="35"/>
      <c r="AF62" s="70" t="e">
        <f t="shared" ref="AF62:AO62" si="28">AF39+AF41+AF43+AF44+AF46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AR39+AR41+AR43+AR44+AR46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69" t="s">
        <v>47</v>
      </c>
      <c r="AB63" s="35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</row>
    <row r="64" spans="27:53" hidden="1">
      <c r="AA64" s="71" t="s">
        <v>29</v>
      </c>
      <c r="AB64" s="35"/>
      <c r="AF64" s="70" t="e">
        <f t="shared" ref="AF64:AO64" si="30">AF17+AF19+AF21+AF22+AF25</f>
        <v>#REF!</v>
      </c>
      <c r="AG64" s="70" t="e">
        <f t="shared" si="30"/>
        <v>#REF!</v>
      </c>
      <c r="AH64" s="70" t="e">
        <f t="shared" si="30"/>
        <v>#REF!</v>
      </c>
      <c r="AI64" s="70" t="e">
        <f t="shared" si="30"/>
        <v>#REF!</v>
      </c>
      <c r="AJ64" s="70" t="e">
        <f t="shared" si="30"/>
        <v>#REF!</v>
      </c>
      <c r="AK64" s="70" t="e">
        <f t="shared" si="30"/>
        <v>#REF!</v>
      </c>
      <c r="AL64" s="70" t="e">
        <f t="shared" si="30"/>
        <v>#REF!</v>
      </c>
      <c r="AM64" s="70" t="e">
        <f t="shared" si="30"/>
        <v>#REF!</v>
      </c>
      <c r="AN64" s="70" t="e">
        <f t="shared" si="30"/>
        <v>#REF!</v>
      </c>
      <c r="AO64" s="70" t="e">
        <f t="shared" si="30"/>
        <v>#REF!</v>
      </c>
      <c r="AP64" s="70"/>
      <c r="AQ64" s="70"/>
      <c r="AR64" s="70" t="e">
        <f t="shared" ref="AR64:BA64" si="31">AR17+AR19+AR21+AR22+AR25</f>
        <v>#REF!</v>
      </c>
      <c r="AS64" s="70" t="e">
        <f t="shared" si="31"/>
        <v>#REF!</v>
      </c>
      <c r="AT64" s="70" t="e">
        <f t="shared" si="31"/>
        <v>#REF!</v>
      </c>
      <c r="AU64" s="70" t="e">
        <f t="shared" si="31"/>
        <v>#REF!</v>
      </c>
      <c r="AV64" s="70" t="e">
        <f t="shared" si="31"/>
        <v>#REF!</v>
      </c>
      <c r="AW64" s="70" t="e">
        <f t="shared" si="31"/>
        <v>#REF!</v>
      </c>
      <c r="AX64" s="70" t="e">
        <f t="shared" si="31"/>
        <v>#REF!</v>
      </c>
      <c r="AY64" s="70" t="e">
        <f t="shared" si="31"/>
        <v>#REF!</v>
      </c>
      <c r="AZ64" s="70" t="e">
        <f t="shared" si="31"/>
        <v>#REF!</v>
      </c>
      <c r="BA64" s="70" t="e">
        <f t="shared" si="31"/>
        <v>#REF!</v>
      </c>
    </row>
    <row r="65" spans="27:53" hidden="1">
      <c r="AA65" s="71" t="s">
        <v>41</v>
      </c>
      <c r="AB65" s="35"/>
      <c r="AF65" s="70" t="e">
        <f t="shared" ref="AF65:AO65" si="32">AF28+AF30+AF32+AF33+AF36</f>
        <v>#REF!</v>
      </c>
      <c r="AG65" s="70" t="e">
        <f t="shared" si="32"/>
        <v>#REF!</v>
      </c>
      <c r="AH65" s="70" t="e">
        <f t="shared" si="32"/>
        <v>#REF!</v>
      </c>
      <c r="AI65" s="70" t="e">
        <f t="shared" si="32"/>
        <v>#REF!</v>
      </c>
      <c r="AJ65" s="70" t="e">
        <f t="shared" si="32"/>
        <v>#REF!</v>
      </c>
      <c r="AK65" s="70" t="e">
        <f t="shared" si="32"/>
        <v>#REF!</v>
      </c>
      <c r="AL65" s="70" t="e">
        <f t="shared" si="32"/>
        <v>#REF!</v>
      </c>
      <c r="AM65" s="70" t="e">
        <f t="shared" si="32"/>
        <v>#REF!</v>
      </c>
      <c r="AN65" s="70" t="e">
        <f t="shared" si="32"/>
        <v>#REF!</v>
      </c>
      <c r="AO65" s="70" t="e">
        <f t="shared" si="32"/>
        <v>#REF!</v>
      </c>
      <c r="AP65" s="70"/>
      <c r="AQ65" s="70"/>
      <c r="AR65" s="70" t="e">
        <f t="shared" ref="AR65:BA65" si="33">AR28+AR30+AR32+AR33+AR36</f>
        <v>#REF!</v>
      </c>
      <c r="AS65" s="70" t="e">
        <f t="shared" si="33"/>
        <v>#REF!</v>
      </c>
      <c r="AT65" s="70" t="e">
        <f t="shared" si="33"/>
        <v>#REF!</v>
      </c>
      <c r="AU65" s="70" t="e">
        <f t="shared" si="33"/>
        <v>#REF!</v>
      </c>
      <c r="AV65" s="70" t="e">
        <f t="shared" si="33"/>
        <v>#REF!</v>
      </c>
      <c r="AW65" s="70" t="e">
        <f t="shared" si="33"/>
        <v>#REF!</v>
      </c>
      <c r="AX65" s="70" t="e">
        <f t="shared" si="33"/>
        <v>#REF!</v>
      </c>
      <c r="AY65" s="70" t="e">
        <f t="shared" si="33"/>
        <v>#REF!</v>
      </c>
      <c r="AZ65" s="70" t="e">
        <f t="shared" si="33"/>
        <v>#REF!</v>
      </c>
      <c r="BA65" s="70" t="e">
        <f t="shared" si="33"/>
        <v>#REF!</v>
      </c>
    </row>
    <row r="66" spans="27:53" hidden="1">
      <c r="AA66" s="71" t="s">
        <v>42</v>
      </c>
      <c r="AB66" s="35"/>
      <c r="AF66" s="70" t="e">
        <f t="shared" ref="AF66:AO66" si="34">AF39+AF41+AF43+AF44+AF47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AR39+AR41+AR43+AR44+AR47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69" t="s">
        <v>48</v>
      </c>
      <c r="AB67" s="35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</row>
    <row r="68" spans="27:53" hidden="1">
      <c r="AA68" s="71" t="s">
        <v>29</v>
      </c>
      <c r="AB68" s="35"/>
      <c r="AF68" s="70" t="e">
        <f t="shared" ref="AF68:AO68" si="36">AF17+AF18+AF23</f>
        <v>#REF!</v>
      </c>
      <c r="AG68" s="70" t="e">
        <f t="shared" si="36"/>
        <v>#REF!</v>
      </c>
      <c r="AH68" s="70" t="e">
        <f t="shared" si="36"/>
        <v>#REF!</v>
      </c>
      <c r="AI68" s="70" t="e">
        <f t="shared" si="36"/>
        <v>#REF!</v>
      </c>
      <c r="AJ68" s="70" t="e">
        <f t="shared" si="36"/>
        <v>#REF!</v>
      </c>
      <c r="AK68" s="70" t="e">
        <f t="shared" si="36"/>
        <v>#REF!</v>
      </c>
      <c r="AL68" s="70" t="e">
        <f t="shared" si="36"/>
        <v>#REF!</v>
      </c>
      <c r="AM68" s="70" t="e">
        <f t="shared" si="36"/>
        <v>#REF!</v>
      </c>
      <c r="AN68" s="70" t="e">
        <f t="shared" si="36"/>
        <v>#REF!</v>
      </c>
      <c r="AO68" s="70" t="e">
        <f t="shared" si="36"/>
        <v>#REF!</v>
      </c>
      <c r="AP68" s="70"/>
      <c r="AQ68" s="70"/>
      <c r="AR68" s="70" t="e">
        <f t="shared" ref="AR68:BA68" si="37">AR17+AR18+AR23</f>
        <v>#REF!</v>
      </c>
      <c r="AS68" s="70" t="e">
        <f t="shared" si="37"/>
        <v>#REF!</v>
      </c>
      <c r="AT68" s="70" t="e">
        <f t="shared" si="37"/>
        <v>#REF!</v>
      </c>
      <c r="AU68" s="70" t="e">
        <f t="shared" si="37"/>
        <v>#REF!</v>
      </c>
      <c r="AV68" s="70" t="e">
        <f t="shared" si="37"/>
        <v>#REF!</v>
      </c>
      <c r="AW68" s="70" t="e">
        <f t="shared" si="37"/>
        <v>#REF!</v>
      </c>
      <c r="AX68" s="70" t="e">
        <f t="shared" si="37"/>
        <v>#REF!</v>
      </c>
      <c r="AY68" s="70" t="e">
        <f t="shared" si="37"/>
        <v>#REF!</v>
      </c>
      <c r="AZ68" s="70" t="e">
        <f t="shared" si="37"/>
        <v>#REF!</v>
      </c>
      <c r="BA68" s="70" t="e">
        <f t="shared" si="37"/>
        <v>#REF!</v>
      </c>
    </row>
    <row r="69" spans="27:53" hidden="1">
      <c r="AA69" s="71" t="s">
        <v>41</v>
      </c>
      <c r="AB69" s="35"/>
      <c r="AF69" s="70" t="e">
        <f t="shared" ref="AF69:AO69" si="38">AF28+AF29+AF34</f>
        <v>#REF!</v>
      </c>
      <c r="AG69" s="70" t="e">
        <f t="shared" si="38"/>
        <v>#REF!</v>
      </c>
      <c r="AH69" s="70" t="e">
        <f t="shared" si="38"/>
        <v>#REF!</v>
      </c>
      <c r="AI69" s="70" t="e">
        <f t="shared" si="38"/>
        <v>#REF!</v>
      </c>
      <c r="AJ69" s="70" t="e">
        <f t="shared" si="38"/>
        <v>#REF!</v>
      </c>
      <c r="AK69" s="70" t="e">
        <f t="shared" si="38"/>
        <v>#REF!</v>
      </c>
      <c r="AL69" s="70" t="e">
        <f t="shared" si="38"/>
        <v>#REF!</v>
      </c>
      <c r="AM69" s="70" t="e">
        <f t="shared" si="38"/>
        <v>#REF!</v>
      </c>
      <c r="AN69" s="70" t="e">
        <f t="shared" si="38"/>
        <v>#REF!</v>
      </c>
      <c r="AO69" s="70" t="e">
        <f t="shared" si="38"/>
        <v>#REF!</v>
      </c>
      <c r="AP69" s="70"/>
      <c r="AQ69" s="70"/>
      <c r="AR69" s="70" t="e">
        <f t="shared" ref="AR69:BA69" si="39">AR28+AR29+AR34</f>
        <v>#REF!</v>
      </c>
      <c r="AS69" s="70" t="e">
        <f t="shared" si="39"/>
        <v>#REF!</v>
      </c>
      <c r="AT69" s="70" t="e">
        <f t="shared" si="39"/>
        <v>#REF!</v>
      </c>
      <c r="AU69" s="70" t="e">
        <f t="shared" si="39"/>
        <v>#REF!</v>
      </c>
      <c r="AV69" s="70" t="e">
        <f t="shared" si="39"/>
        <v>#REF!</v>
      </c>
      <c r="AW69" s="70" t="e">
        <f t="shared" si="39"/>
        <v>#REF!</v>
      </c>
      <c r="AX69" s="70" t="e">
        <f t="shared" si="39"/>
        <v>#REF!</v>
      </c>
      <c r="AY69" s="70" t="e">
        <f t="shared" si="39"/>
        <v>#REF!</v>
      </c>
      <c r="AZ69" s="70" t="e">
        <f t="shared" si="39"/>
        <v>#REF!</v>
      </c>
      <c r="BA69" s="70" t="e">
        <f t="shared" si="39"/>
        <v>#REF!</v>
      </c>
    </row>
    <row r="70" spans="27:53" hidden="1">
      <c r="AA70" s="71" t="s">
        <v>42</v>
      </c>
      <c r="AB70" s="35"/>
      <c r="AF70" s="70" t="e">
        <f t="shared" ref="AF70:AO70" si="40">AF39+AF40+AF45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AR39+AR40+AR45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2" t="s">
        <v>49</v>
      </c>
      <c r="AB71" s="35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</row>
    <row r="72" spans="27:53" hidden="1">
      <c r="AA72" s="71" t="s">
        <v>29</v>
      </c>
      <c r="AB72" s="35"/>
      <c r="AF72" s="70" t="e">
        <f t="shared" ref="AF72:AO72" si="42">AF17+AF18+AF22+AF24</f>
        <v>#REF!</v>
      </c>
      <c r="AG72" s="70" t="e">
        <f t="shared" si="42"/>
        <v>#REF!</v>
      </c>
      <c r="AH72" s="70" t="e">
        <f t="shared" si="42"/>
        <v>#REF!</v>
      </c>
      <c r="AI72" s="70" t="e">
        <f t="shared" si="42"/>
        <v>#REF!</v>
      </c>
      <c r="AJ72" s="70" t="e">
        <f t="shared" si="42"/>
        <v>#REF!</v>
      </c>
      <c r="AK72" s="70" t="e">
        <f t="shared" si="42"/>
        <v>#REF!</v>
      </c>
      <c r="AL72" s="70" t="e">
        <f t="shared" si="42"/>
        <v>#REF!</v>
      </c>
      <c r="AM72" s="70" t="e">
        <f t="shared" si="42"/>
        <v>#REF!</v>
      </c>
      <c r="AN72" s="70" t="e">
        <f t="shared" si="42"/>
        <v>#REF!</v>
      </c>
      <c r="AO72" s="70" t="e">
        <f t="shared" si="42"/>
        <v>#REF!</v>
      </c>
      <c r="AP72" s="70"/>
      <c r="AQ72" s="70"/>
      <c r="AR72" s="70" t="e">
        <f t="shared" ref="AR72:BA72" si="43">AR17+AR18+AR22+AR24</f>
        <v>#REF!</v>
      </c>
      <c r="AS72" s="70" t="e">
        <f t="shared" si="43"/>
        <v>#REF!</v>
      </c>
      <c r="AT72" s="70" t="e">
        <f t="shared" si="43"/>
        <v>#REF!</v>
      </c>
      <c r="AU72" s="70" t="e">
        <f t="shared" si="43"/>
        <v>#REF!</v>
      </c>
      <c r="AV72" s="70" t="e">
        <f t="shared" si="43"/>
        <v>#REF!</v>
      </c>
      <c r="AW72" s="70" t="e">
        <f t="shared" si="43"/>
        <v>#REF!</v>
      </c>
      <c r="AX72" s="70" t="e">
        <f t="shared" si="43"/>
        <v>#REF!</v>
      </c>
      <c r="AY72" s="70" t="e">
        <f t="shared" si="43"/>
        <v>#REF!</v>
      </c>
      <c r="AZ72" s="70" t="e">
        <f t="shared" si="43"/>
        <v>#REF!</v>
      </c>
      <c r="BA72" s="70" t="e">
        <f t="shared" si="43"/>
        <v>#REF!</v>
      </c>
    </row>
    <row r="73" spans="27:53" hidden="1">
      <c r="AA73" s="71" t="s">
        <v>41</v>
      </c>
      <c r="AB73" s="35"/>
      <c r="AF73" s="70" t="e">
        <f t="shared" ref="AF73:AO73" si="44">AF28+AF29+AF33+AF35</f>
        <v>#REF!</v>
      </c>
      <c r="AG73" s="70" t="e">
        <f t="shared" si="44"/>
        <v>#REF!</v>
      </c>
      <c r="AH73" s="70" t="e">
        <f t="shared" si="44"/>
        <v>#REF!</v>
      </c>
      <c r="AI73" s="70" t="e">
        <f t="shared" si="44"/>
        <v>#REF!</v>
      </c>
      <c r="AJ73" s="70" t="e">
        <f t="shared" si="44"/>
        <v>#REF!</v>
      </c>
      <c r="AK73" s="70" t="e">
        <f t="shared" si="44"/>
        <v>#REF!</v>
      </c>
      <c r="AL73" s="70" t="e">
        <f t="shared" si="44"/>
        <v>#REF!</v>
      </c>
      <c r="AM73" s="70" t="e">
        <f t="shared" si="44"/>
        <v>#REF!</v>
      </c>
      <c r="AN73" s="70" t="e">
        <f t="shared" si="44"/>
        <v>#REF!</v>
      </c>
      <c r="AO73" s="70" t="e">
        <f t="shared" si="44"/>
        <v>#REF!</v>
      </c>
      <c r="AP73" s="70"/>
      <c r="AQ73" s="70"/>
      <c r="AR73" s="70" t="e">
        <f t="shared" ref="AR73:BA73" si="45">AR28+AR29+AR33+AR35</f>
        <v>#REF!</v>
      </c>
      <c r="AS73" s="70" t="e">
        <f t="shared" si="45"/>
        <v>#REF!</v>
      </c>
      <c r="AT73" s="70" t="e">
        <f t="shared" si="45"/>
        <v>#REF!</v>
      </c>
      <c r="AU73" s="70" t="e">
        <f t="shared" si="45"/>
        <v>#REF!</v>
      </c>
      <c r="AV73" s="70" t="e">
        <f t="shared" si="45"/>
        <v>#REF!</v>
      </c>
      <c r="AW73" s="70" t="e">
        <f t="shared" si="45"/>
        <v>#REF!</v>
      </c>
      <c r="AX73" s="70" t="e">
        <f t="shared" si="45"/>
        <v>#REF!</v>
      </c>
      <c r="AY73" s="70" t="e">
        <f t="shared" si="45"/>
        <v>#REF!</v>
      </c>
      <c r="AZ73" s="70" t="e">
        <f t="shared" si="45"/>
        <v>#REF!</v>
      </c>
      <c r="BA73" s="70" t="e">
        <f t="shared" si="45"/>
        <v>#REF!</v>
      </c>
    </row>
    <row r="74" spans="27:53" hidden="1">
      <c r="AA74" s="71" t="s">
        <v>42</v>
      </c>
      <c r="AB74" s="35"/>
      <c r="AF74" s="70" t="e">
        <f t="shared" ref="AF74:AO74" si="46">AF39+AF40+AF44+AF46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AR39+AR40+AR44+AR46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69" t="s">
        <v>50</v>
      </c>
      <c r="AB75" s="35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</row>
    <row r="76" spans="27:53" hidden="1">
      <c r="AA76" s="71" t="s">
        <v>29</v>
      </c>
      <c r="AB76" s="35"/>
      <c r="AF76" s="70" t="e">
        <f t="shared" ref="AF76:AO76" si="48">AF17+AF18+AF22+AF25</f>
        <v>#REF!</v>
      </c>
      <c r="AG76" s="70" t="e">
        <f t="shared" si="48"/>
        <v>#REF!</v>
      </c>
      <c r="AH76" s="70" t="e">
        <f t="shared" si="48"/>
        <v>#REF!</v>
      </c>
      <c r="AI76" s="70" t="e">
        <f t="shared" si="48"/>
        <v>#REF!</v>
      </c>
      <c r="AJ76" s="70" t="e">
        <f t="shared" si="48"/>
        <v>#REF!</v>
      </c>
      <c r="AK76" s="70" t="e">
        <f t="shared" si="48"/>
        <v>#REF!</v>
      </c>
      <c r="AL76" s="70" t="e">
        <f t="shared" si="48"/>
        <v>#REF!</v>
      </c>
      <c r="AM76" s="70" t="e">
        <f t="shared" si="48"/>
        <v>#REF!</v>
      </c>
      <c r="AN76" s="70" t="e">
        <f t="shared" si="48"/>
        <v>#REF!</v>
      </c>
      <c r="AO76" s="70" t="e">
        <f t="shared" si="48"/>
        <v>#REF!</v>
      </c>
      <c r="AP76" s="70"/>
      <c r="AQ76" s="70"/>
      <c r="AR76" s="70" t="e">
        <f t="shared" ref="AR76:BA76" si="49">AR17+AR18+AR22+AR25</f>
        <v>#REF!</v>
      </c>
      <c r="AS76" s="70" t="e">
        <f t="shared" si="49"/>
        <v>#REF!</v>
      </c>
      <c r="AT76" s="70" t="e">
        <f t="shared" si="49"/>
        <v>#REF!</v>
      </c>
      <c r="AU76" s="70" t="e">
        <f t="shared" si="49"/>
        <v>#REF!</v>
      </c>
      <c r="AV76" s="70" t="e">
        <f t="shared" si="49"/>
        <v>#REF!</v>
      </c>
      <c r="AW76" s="70" t="e">
        <f t="shared" si="49"/>
        <v>#REF!</v>
      </c>
      <c r="AX76" s="70" t="e">
        <f t="shared" si="49"/>
        <v>#REF!</v>
      </c>
      <c r="AY76" s="70" t="e">
        <f t="shared" si="49"/>
        <v>#REF!</v>
      </c>
      <c r="AZ76" s="70" t="e">
        <f t="shared" si="49"/>
        <v>#REF!</v>
      </c>
      <c r="BA76" s="70" t="e">
        <f t="shared" si="49"/>
        <v>#REF!</v>
      </c>
    </row>
    <row r="77" spans="27:53" hidden="1">
      <c r="AA77" s="71" t="s">
        <v>41</v>
      </c>
      <c r="AB77" s="35"/>
      <c r="AF77" s="70" t="e">
        <f t="shared" ref="AF77:AO77" si="50">AF28+AF29+AF33+AF36</f>
        <v>#REF!</v>
      </c>
      <c r="AG77" s="70" t="e">
        <f t="shared" si="50"/>
        <v>#REF!</v>
      </c>
      <c r="AH77" s="70" t="e">
        <f t="shared" si="50"/>
        <v>#REF!</v>
      </c>
      <c r="AI77" s="70" t="e">
        <f t="shared" si="50"/>
        <v>#REF!</v>
      </c>
      <c r="AJ77" s="70" t="e">
        <f t="shared" si="50"/>
        <v>#REF!</v>
      </c>
      <c r="AK77" s="70" t="e">
        <f t="shared" si="50"/>
        <v>#REF!</v>
      </c>
      <c r="AL77" s="70" t="e">
        <f t="shared" si="50"/>
        <v>#REF!</v>
      </c>
      <c r="AM77" s="70" t="e">
        <f t="shared" si="50"/>
        <v>#REF!</v>
      </c>
      <c r="AN77" s="70" t="e">
        <f t="shared" si="50"/>
        <v>#REF!</v>
      </c>
      <c r="AO77" s="70" t="e">
        <f t="shared" si="50"/>
        <v>#REF!</v>
      </c>
      <c r="AP77" s="70"/>
      <c r="AQ77" s="70"/>
      <c r="AR77" s="70" t="e">
        <f t="shared" ref="AR77:BA77" si="51">AR28+AR29+AR33+AR36</f>
        <v>#REF!</v>
      </c>
      <c r="AS77" s="70" t="e">
        <f t="shared" si="51"/>
        <v>#REF!</v>
      </c>
      <c r="AT77" s="70" t="e">
        <f t="shared" si="51"/>
        <v>#REF!</v>
      </c>
      <c r="AU77" s="70" t="e">
        <f t="shared" si="51"/>
        <v>#REF!</v>
      </c>
      <c r="AV77" s="70" t="e">
        <f t="shared" si="51"/>
        <v>#REF!</v>
      </c>
      <c r="AW77" s="70" t="e">
        <f t="shared" si="51"/>
        <v>#REF!</v>
      </c>
      <c r="AX77" s="70" t="e">
        <f t="shared" si="51"/>
        <v>#REF!</v>
      </c>
      <c r="AY77" s="70" t="e">
        <f t="shared" si="51"/>
        <v>#REF!</v>
      </c>
      <c r="AZ77" s="70" t="e">
        <f t="shared" si="51"/>
        <v>#REF!</v>
      </c>
      <c r="BA77" s="70" t="e">
        <f t="shared" si="51"/>
        <v>#REF!</v>
      </c>
    </row>
    <row r="78" spans="27:53" hidden="1">
      <c r="AA78" s="71" t="s">
        <v>42</v>
      </c>
      <c r="AB78" s="35"/>
      <c r="AF78" s="70" t="e">
        <f t="shared" ref="AF78:AO78" si="52">AF39+AF40+AF44+AF47</f>
        <v>#REF!</v>
      </c>
      <c r="AG78" s="70" t="e">
        <f t="shared" si="52"/>
        <v>#REF!</v>
      </c>
      <c r="AH78" s="70" t="e">
        <f t="shared" si="52"/>
        <v>#REF!</v>
      </c>
      <c r="AI78" s="70" t="e">
        <f t="shared" si="52"/>
        <v>#REF!</v>
      </c>
      <c r="AJ78" s="70" t="e">
        <f t="shared" si="52"/>
        <v>#REF!</v>
      </c>
      <c r="AK78" s="70" t="e">
        <f t="shared" si="52"/>
        <v>#REF!</v>
      </c>
      <c r="AL78" s="70" t="e">
        <f t="shared" si="52"/>
        <v>#REF!</v>
      </c>
      <c r="AM78" s="70" t="e">
        <f t="shared" si="52"/>
        <v>#REF!</v>
      </c>
      <c r="AN78" s="70" t="e">
        <f t="shared" si="52"/>
        <v>#REF!</v>
      </c>
      <c r="AO78" s="70" t="e">
        <f t="shared" si="52"/>
        <v>#REF!</v>
      </c>
      <c r="AP78" s="70"/>
      <c r="AQ78" s="70"/>
      <c r="AR78" s="70" t="e">
        <f t="shared" ref="AR78:BA78" si="53">AR39+AR40+AR44+AR47</f>
        <v>#REF!</v>
      </c>
      <c r="AS78" s="70" t="e">
        <f t="shared" si="53"/>
        <v>#REF!</v>
      </c>
      <c r="AT78" s="70" t="e">
        <f t="shared" si="53"/>
        <v>#REF!</v>
      </c>
      <c r="AU78" s="70" t="e">
        <f t="shared" si="53"/>
        <v>#REF!</v>
      </c>
      <c r="AV78" s="70" t="e">
        <f t="shared" si="53"/>
        <v>#REF!</v>
      </c>
      <c r="AW78" s="70" t="e">
        <f t="shared" si="53"/>
        <v>#REF!</v>
      </c>
      <c r="AX78" s="70" t="e">
        <f t="shared" si="53"/>
        <v>#REF!</v>
      </c>
      <c r="AY78" s="70" t="e">
        <f t="shared" si="53"/>
        <v>#REF!</v>
      </c>
      <c r="AZ78" s="70" t="e">
        <f t="shared" si="53"/>
        <v>#REF!</v>
      </c>
      <c r="BA78" s="70" t="e">
        <f t="shared" si="53"/>
        <v>#REF!</v>
      </c>
    </row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7" spans="1:52" hidden="1"/>
    <row r="89" spans="1:52">
      <c r="A89" s="598" t="s">
        <v>108</v>
      </c>
      <c r="B89" s="598" t="s">
        <v>52</v>
      </c>
      <c r="C89" s="39" t="s">
        <v>101</v>
      </c>
      <c r="D89" s="39" t="s">
        <v>53</v>
      </c>
      <c r="E89" s="39" t="s">
        <v>54</v>
      </c>
      <c r="F89" s="587" t="s">
        <v>64</v>
      </c>
      <c r="G89" s="600"/>
      <c r="H89" s="600"/>
      <c r="I89" s="600"/>
      <c r="J89" s="600"/>
      <c r="K89" s="600"/>
      <c r="L89" s="600"/>
      <c r="M89" s="600"/>
      <c r="N89" s="600"/>
      <c r="O89" s="600"/>
      <c r="P89" s="590"/>
      <c r="AN89" s="38"/>
      <c r="AZ89" s="36"/>
    </row>
    <row r="90" spans="1:52" ht="63.75">
      <c r="A90" s="599"/>
      <c r="B90" s="599"/>
      <c r="C90" s="41" t="s">
        <v>66</v>
      </c>
      <c r="D90" s="41" t="s">
        <v>67</v>
      </c>
      <c r="E90" s="41" t="s">
        <v>68</v>
      </c>
      <c r="F90" s="545" t="s">
        <v>55</v>
      </c>
      <c r="G90" s="545" t="s">
        <v>73</v>
      </c>
      <c r="H90" s="545" t="s">
        <v>74</v>
      </c>
      <c r="I90" s="545" t="s">
        <v>58</v>
      </c>
      <c r="J90" s="545" t="s">
        <v>59</v>
      </c>
      <c r="K90" s="545" t="s">
        <v>60</v>
      </c>
      <c r="L90" s="544" t="s">
        <v>75</v>
      </c>
      <c r="M90" s="544" t="s">
        <v>76</v>
      </c>
      <c r="N90" s="544" t="s">
        <v>61</v>
      </c>
      <c r="O90" s="544" t="s">
        <v>62</v>
      </c>
      <c r="P90" s="544" t="s">
        <v>63</v>
      </c>
      <c r="AN90" s="38"/>
      <c r="AZ90" s="36"/>
    </row>
    <row r="91" spans="1:52" ht="25.5">
      <c r="A91" s="44" t="str">
        <f t="shared" ref="A91:C93" si="54">A4</f>
        <v>General Construction</v>
      </c>
      <c r="B91" s="45" t="str">
        <f t="shared" si="54"/>
        <v>Light-Duty Truck, catalyst</v>
      </c>
      <c r="C91" s="46">
        <f t="shared" si="54"/>
        <v>3</v>
      </c>
      <c r="D91" s="46">
        <v>35</v>
      </c>
      <c r="E91" s="46">
        <v>80</v>
      </c>
      <c r="F91" s="50">
        <f>C4*($E4*$F4+($G4))/453.59</f>
        <v>1.4571581576427601</v>
      </c>
      <c r="G91" s="50">
        <f>C4*($E4*$H4+($I4))/453.59</f>
        <v>0.13101197188313402</v>
      </c>
      <c r="H91" s="50">
        <f>C4*(($E4*$J4)+($K4)+($L4)+($E4*$N4)+(($M4+$O4)))/453.59</f>
        <v>0.15149994097185998</v>
      </c>
      <c r="I91" s="50">
        <f>C4*($E4*$P4+($Q4))/453.59</f>
        <v>2.1803910814818476E-3</v>
      </c>
      <c r="J91" s="50">
        <f>C4*(($E4*($R4+$T4+$U4))+($S4))/453.59</f>
        <v>2.5572271365623688E-2</v>
      </c>
      <c r="K91" s="50">
        <f>$C4*(($E4*($V4+$X4+$Y4))+($W4))/453.59</f>
        <v>1.1136015972759426E-2</v>
      </c>
      <c r="L91" s="50">
        <f>$B$24*C4*(E4+6)</f>
        <v>2.5315747758215698E-2</v>
      </c>
      <c r="M91" s="50">
        <f t="shared" ref="M91:M92" si="55">0.41*L91</f>
        <v>1.0379456580868435E-2</v>
      </c>
      <c r="N91" s="50">
        <f>C4*($E4*$Z4+($AA4))/453.59</f>
        <v>166.27073017811671</v>
      </c>
      <c r="O91" s="50">
        <f>C4*($E4*$AB4+($AC4))/453.59</f>
        <v>9.5114261670907474E-3</v>
      </c>
      <c r="P91" s="50">
        <f>C4*($E4*$AD4+($AE4))/453.59</f>
        <v>1.7313359741530081E-2</v>
      </c>
      <c r="AN91" s="38"/>
      <c r="AZ91" s="36"/>
    </row>
    <row r="92" spans="1:52" ht="25.5">
      <c r="A92" s="44" t="str">
        <f t="shared" si="54"/>
        <v>Substation General Construction</v>
      </c>
      <c r="B92" s="45" t="str">
        <f t="shared" si="54"/>
        <v>Light-Duty Truck, catalyst</v>
      </c>
      <c r="C92" s="46">
        <f t="shared" si="54"/>
        <v>3</v>
      </c>
      <c r="D92" s="46">
        <v>35</v>
      </c>
      <c r="E92" s="46">
        <v>80</v>
      </c>
      <c r="F92" s="50">
        <f>C5*($E5*$F5+($G5))/453.59</f>
        <v>1.4571581576427601</v>
      </c>
      <c r="G92" s="50">
        <f>C5*($E5*$H5+($I5))/453.59</f>
        <v>0.13101197188313402</v>
      </c>
      <c r="H92" s="50">
        <f>C5*(($E5*$J5)+($K5)+($L5)+($E5*$N5)+(($M5+$O5)))/453.59</f>
        <v>0.15149994097185998</v>
      </c>
      <c r="I92" s="50">
        <f>C5*($E5*$P5+($Q5))/453.59</f>
        <v>2.1803910814818476E-3</v>
      </c>
      <c r="J92" s="50">
        <f>C5*(($E5*($R5+$T5+$U5))+($S5))/453.59</f>
        <v>2.5572271365623688E-2</v>
      </c>
      <c r="K92" s="50">
        <f>$C5*(($E5*($V5+$X5+$Y5))+($W5))/453.59</f>
        <v>1.1136015972759426E-2</v>
      </c>
      <c r="L92" s="50">
        <f>$B$24*C5*(E5+6)</f>
        <v>2.5315747758215698E-2</v>
      </c>
      <c r="M92" s="50">
        <f t="shared" si="55"/>
        <v>1.0379456580868435E-2</v>
      </c>
      <c r="N92" s="50">
        <f>C5*($E5*$Z5+($AA5))/453.59</f>
        <v>166.27073017811671</v>
      </c>
      <c r="O92" s="50">
        <f>C5*($E5*$AB5+($AC5))/453.59</f>
        <v>9.5114261670907474E-3</v>
      </c>
      <c r="P92" s="50">
        <f>C5*($E5*$AD5+($AE5))/453.59</f>
        <v>1.7313359741530081E-2</v>
      </c>
      <c r="AN92" s="38"/>
      <c r="AZ92" s="36"/>
    </row>
    <row r="93" spans="1:52" ht="25.5">
      <c r="A93" s="44" t="str">
        <f t="shared" si="54"/>
        <v>Substation CMU Wall</v>
      </c>
      <c r="B93" s="45" t="str">
        <f t="shared" si="54"/>
        <v>Light-Duty Truck, catalyst</v>
      </c>
      <c r="C93" s="46">
        <f t="shared" si="54"/>
        <v>12</v>
      </c>
      <c r="D93" s="46">
        <v>35</v>
      </c>
      <c r="E93" s="46">
        <v>80</v>
      </c>
      <c r="F93" s="50">
        <f>C6*($E6*$F6+($G6))/453.59</f>
        <v>5.8286326305710405</v>
      </c>
      <c r="G93" s="50">
        <f>C6*($E6*$H6+($I6))/453.59</f>
        <v>0.52404788753253606</v>
      </c>
      <c r="H93" s="50">
        <f>C6*(($E6*$J6)+($K6)+($L6)+($E6*$N6)+(($M6+$O6)))/453.59</f>
        <v>0.60599976388743992</v>
      </c>
      <c r="I93" s="50">
        <f>C6*($E6*$P6+($Q6))/453.59</f>
        <v>8.7215643259273903E-3</v>
      </c>
      <c r="J93" s="50">
        <f>C6*(($E6*($R6+$T6+$U6))+($S6))/453.59</f>
        <v>0.10228908546249475</v>
      </c>
      <c r="K93" s="50">
        <f>$C6*(($E6*($V6+$X6+$Y6))+($W6))/453.59</f>
        <v>4.4544063891037704E-2</v>
      </c>
      <c r="L93" s="50">
        <f>$B$24*C6*(E6+6)</f>
        <v>0.10126299103286279</v>
      </c>
      <c r="M93" s="50">
        <f t="shared" ref="M93" si="56">0.41*L93</f>
        <v>4.1517826323473742E-2</v>
      </c>
      <c r="N93" s="50">
        <f>C6*($E6*$Z6+($AA6))/453.59</f>
        <v>665.08292071246683</v>
      </c>
      <c r="O93" s="50">
        <f>C6*($E6*$AB6+($AC6))/453.59</f>
        <v>3.804570466836299E-2</v>
      </c>
      <c r="P93" s="50">
        <f>C6*($E6*$AD6+($AE6))/453.59</f>
        <v>6.9253438966120323E-2</v>
      </c>
      <c r="AN93" s="38"/>
      <c r="AZ93" s="36"/>
    </row>
    <row r="94" spans="1:52" ht="25.5">
      <c r="A94" s="44" t="str">
        <f t="shared" ref="A94:C94" si="57">A7</f>
        <v>Substation Below Grade</v>
      </c>
      <c r="B94" s="45" t="str">
        <f t="shared" si="57"/>
        <v>Light-Duty Truck, catalyst</v>
      </c>
      <c r="C94" s="46">
        <f t="shared" si="57"/>
        <v>10</v>
      </c>
      <c r="D94" s="46">
        <v>35</v>
      </c>
      <c r="E94" s="46">
        <v>80</v>
      </c>
      <c r="F94" s="50">
        <f>C7*($E7*$F7+($G7))/453.59</f>
        <v>4.8571938588092012</v>
      </c>
      <c r="G94" s="50">
        <f>C7*($E7*$H7+($I7))/453.59</f>
        <v>0.43670657294378012</v>
      </c>
      <c r="H94" s="50">
        <f>C7*(($E7*$J7)+($K7)+($L7)+($E7*$N7)+(($M7+$O7)))/453.59</f>
        <v>0.50499980323953331</v>
      </c>
      <c r="I94" s="50">
        <f>C7*($E7*$P7+($Q7))/453.59</f>
        <v>7.2679702716061598E-3</v>
      </c>
      <c r="J94" s="50">
        <f>C7*(($E7*($R7+$T7+$U7))+($S7))/453.59</f>
        <v>8.5240904552078958E-2</v>
      </c>
      <c r="K94" s="50">
        <f>$C7*(($E7*($V7+$X7+$Y7))+($W7))/453.59</f>
        <v>3.7120053242531412E-2</v>
      </c>
      <c r="L94" s="50">
        <f>$B$24*C7*(E7+6)</f>
        <v>8.438582586071898E-2</v>
      </c>
      <c r="M94" s="50">
        <f t="shared" ref="M94" si="58">0.41*L94</f>
        <v>3.4598188602894778E-2</v>
      </c>
      <c r="N94" s="50">
        <f>C7*($E7*$Z7+($AA7))/453.59</f>
        <v>554.23576726038891</v>
      </c>
      <c r="O94" s="50">
        <f>C7*($E7*$AB7+($AC7))/453.59</f>
        <v>3.1704753890302494E-2</v>
      </c>
      <c r="P94" s="50">
        <f>C7*($E7*$AD7+($AE7))/453.59</f>
        <v>5.7711199138433596E-2</v>
      </c>
      <c r="AN94" s="38"/>
      <c r="AZ94" s="36"/>
    </row>
    <row r="95" spans="1:52">
      <c r="A95" s="61" t="s">
        <v>389</v>
      </c>
      <c r="B95" s="40"/>
      <c r="C95" s="40"/>
      <c r="D95" s="40"/>
      <c r="E95" s="40"/>
      <c r="F95" s="81">
        <f>SUM(F91:F94)</f>
        <v>13.600142804665762</v>
      </c>
      <c r="G95" s="81">
        <f t="shared" ref="G95:P95" si="59">SUM(G91:G94)</f>
        <v>1.2227784042425842</v>
      </c>
      <c r="H95" s="81">
        <f t="shared" si="59"/>
        <v>1.4139994490706931</v>
      </c>
      <c r="I95" s="81">
        <f t="shared" si="59"/>
        <v>2.0350316760497245E-2</v>
      </c>
      <c r="J95" s="81">
        <f t="shared" si="59"/>
        <v>0.23867453274582107</v>
      </c>
      <c r="K95" s="81">
        <f t="shared" si="59"/>
        <v>0.10393614907908796</v>
      </c>
      <c r="L95" s="81">
        <f t="shared" si="59"/>
        <v>0.23628031241001318</v>
      </c>
      <c r="M95" s="81">
        <f t="shared" si="59"/>
        <v>9.6874928088105383E-2</v>
      </c>
      <c r="N95" s="81">
        <f t="shared" si="59"/>
        <v>1551.860148329089</v>
      </c>
      <c r="O95" s="81">
        <f t="shared" si="59"/>
        <v>8.8773310892846985E-2</v>
      </c>
      <c r="P95" s="81">
        <f t="shared" si="59"/>
        <v>0.16159135758761409</v>
      </c>
      <c r="AN95" s="38"/>
      <c r="AZ95" s="36"/>
    </row>
  </sheetData>
  <mergeCells count="16">
    <mergeCell ref="AR14:BA14"/>
    <mergeCell ref="A89:A90"/>
    <mergeCell ref="B89:B90"/>
    <mergeCell ref="F89:P89"/>
    <mergeCell ref="R2:U2"/>
    <mergeCell ref="V2:Y2"/>
    <mergeCell ref="Z2:AA2"/>
    <mergeCell ref="AB2:AC2"/>
    <mergeCell ref="AD2:AE2"/>
    <mergeCell ref="AF14:AO14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41"/>
  <sheetViews>
    <sheetView zoomScale="75" zoomScaleNormal="75" workbookViewId="0">
      <selection activeCell="A41" sqref="A41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525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64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314</v>
      </c>
      <c r="B7" s="571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8</v>
      </c>
      <c r="P8" s="88">
        <v>125</v>
      </c>
      <c r="Q8" s="34">
        <f t="shared" ref="Q8:Y10" si="2">(E8*$N8*$O8)</f>
        <v>0.49946184642775621</v>
      </c>
      <c r="R8" s="26">
        <f t="shared" si="2"/>
        <v>2.4431746031746027</v>
      </c>
      <c r="S8" s="26">
        <f t="shared" si="2"/>
        <v>3.1176888888888881</v>
      </c>
      <c r="T8" s="26">
        <f t="shared" si="2"/>
        <v>4.4060015200662857E-3</v>
      </c>
      <c r="U8" s="26">
        <f t="shared" si="2"/>
        <v>0.19809523809523807</v>
      </c>
      <c r="V8" s="26">
        <f t="shared" si="2"/>
        <v>0.17630476190476188</v>
      </c>
      <c r="W8" s="26">
        <f t="shared" si="2"/>
        <v>375.60183859341714</v>
      </c>
      <c r="X8" s="26">
        <f t="shared" si="2"/>
        <v>5.4697471816927752E-2</v>
      </c>
      <c r="Y8" s="26">
        <f t="shared" si="2"/>
        <v>0.29618044444444436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9</v>
      </c>
      <c r="P9" s="363">
        <v>125</v>
      </c>
      <c r="Q9" s="34">
        <f t="shared" si="2"/>
        <v>1.0612998664693185</v>
      </c>
      <c r="R9" s="26">
        <f t="shared" si="2"/>
        <v>3.2860974016937274</v>
      </c>
      <c r="S9" s="26">
        <f t="shared" si="2"/>
        <v>7.8103317854039886</v>
      </c>
      <c r="T9" s="26">
        <f t="shared" si="2"/>
        <v>1.6865295748293957E-2</v>
      </c>
      <c r="U9" s="26">
        <f t="shared" si="2"/>
        <v>0.26137541066030878</v>
      </c>
      <c r="V9" s="26">
        <f t="shared" si="2"/>
        <v>0.23262411548767484</v>
      </c>
      <c r="W9" s="26">
        <f t="shared" si="2"/>
        <v>1498.908740620727</v>
      </c>
      <c r="X9" s="26">
        <f t="shared" si="2"/>
        <v>9.5759396799267066E-2</v>
      </c>
      <c r="Y9" s="26">
        <f t="shared" si="2"/>
        <v>0.74198151961337888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3</v>
      </c>
      <c r="P10" s="363">
        <v>125</v>
      </c>
      <c r="Q10" s="34">
        <f t="shared" si="2"/>
        <v>3.9051121312432671E-2</v>
      </c>
      <c r="R10" s="26">
        <f t="shared" si="2"/>
        <v>0.1468253968253968</v>
      </c>
      <c r="S10" s="26">
        <f t="shared" si="2"/>
        <v>0.13018518518518515</v>
      </c>
      <c r="T10" s="26">
        <f t="shared" si="2"/>
        <v>4.7652059865273245E-4</v>
      </c>
      <c r="U10" s="26">
        <f t="shared" si="2"/>
        <v>1.4682539682539681E-2</v>
      </c>
      <c r="V10" s="26">
        <f t="shared" si="2"/>
        <v>1.3067460317460314E-2</v>
      </c>
      <c r="W10" s="26">
        <f t="shared" si="2"/>
        <v>30.622980859093083</v>
      </c>
      <c r="X10" s="26">
        <f t="shared" si="2"/>
        <v>3.8388136396804665E-3</v>
      </c>
      <c r="Y10" s="26">
        <f t="shared" si="2"/>
        <v>1.236759259259259E-2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1.5998128342095075</v>
      </c>
      <c r="R11" s="101">
        <f t="shared" ref="R11:Y11" si="3">SUM(R8:R10)</f>
        <v>5.8760974016937269</v>
      </c>
      <c r="S11" s="101">
        <f t="shared" si="3"/>
        <v>11.058205859478063</v>
      </c>
      <c r="T11" s="101">
        <f t="shared" si="3"/>
        <v>2.1747817867012974E-2</v>
      </c>
      <c r="U11" s="101">
        <f t="shared" si="3"/>
        <v>0.47415318843808657</v>
      </c>
      <c r="V11" s="101">
        <f t="shared" si="3"/>
        <v>0.42199633770989703</v>
      </c>
      <c r="W11" s="101">
        <f t="shared" si="3"/>
        <v>1905.1335600732373</v>
      </c>
      <c r="X11" s="101">
        <f t="shared" si="3"/>
        <v>0.15429568225587528</v>
      </c>
      <c r="Y11" s="101">
        <f t="shared" si="3"/>
        <v>1.0505295566504158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87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7" t="s">
        <v>277</v>
      </c>
      <c r="B13" s="571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30"/>
      <c r="O13" s="30"/>
      <c r="P13" s="30"/>
      <c r="Q13" s="20"/>
      <c r="R13" s="20"/>
      <c r="S13" s="20"/>
      <c r="T13" s="20"/>
      <c r="U13" s="20"/>
      <c r="V13" s="20"/>
      <c r="W13" s="21"/>
      <c r="X13" s="20"/>
      <c r="Y13" s="20"/>
    </row>
    <row r="14" spans="1:25" s="3" customFormat="1">
      <c r="A14" s="24" t="s">
        <v>128</v>
      </c>
      <c r="B14" s="29" t="s">
        <v>27</v>
      </c>
      <c r="C14" s="22">
        <v>157</v>
      </c>
      <c r="D14" s="22">
        <v>0.38</v>
      </c>
      <c r="E14" s="550">
        <v>9.7211873502789536E-2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0.48664462081128745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0.54103044532627864</v>
      </c>
      <c r="H14" s="550">
        <v>2.2941884589860436E-3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2.8935626102292767E-2</v>
      </c>
      <c r="J14" s="551">
        <f t="shared" ref="J14:J17" si="4">0.89*I14</f>
        <v>2.5752707231040561E-2</v>
      </c>
      <c r="K14" s="552">
        <v>233.73537145870978</v>
      </c>
      <c r="L14" s="111">
        <v>9.4890670020510905E-3</v>
      </c>
      <c r="M14" s="553">
        <f t="shared" ref="M14:M17" si="5">0.095*G14</f>
        <v>5.1397892305996472E-2</v>
      </c>
      <c r="N14" s="98">
        <v>1</v>
      </c>
      <c r="O14" s="87">
        <v>8</v>
      </c>
      <c r="P14" s="363">
        <v>15</v>
      </c>
      <c r="Q14" s="34">
        <f t="shared" ref="Q14:Y19" si="6">(E14*$N14*$O14)</f>
        <v>0.77769498802231629</v>
      </c>
      <c r="R14" s="26">
        <f t="shared" si="6"/>
        <v>3.8931569664902996</v>
      </c>
      <c r="S14" s="26">
        <f t="shared" si="6"/>
        <v>4.3282435626102291</v>
      </c>
      <c r="T14" s="26">
        <f t="shared" si="6"/>
        <v>1.8353507671888349E-2</v>
      </c>
      <c r="U14" s="26">
        <f t="shared" si="6"/>
        <v>0.23148500881834214</v>
      </c>
      <c r="V14" s="26">
        <f t="shared" si="6"/>
        <v>0.20602165784832449</v>
      </c>
      <c r="W14" s="26">
        <f t="shared" si="6"/>
        <v>1869.8829716696782</v>
      </c>
      <c r="X14" s="26">
        <f t="shared" si="6"/>
        <v>7.5912536016408724E-2</v>
      </c>
      <c r="Y14" s="26">
        <f t="shared" si="6"/>
        <v>0.41118313844797177</v>
      </c>
    </row>
    <row r="15" spans="1:25" s="3" customFormat="1">
      <c r="A15" s="24" t="s">
        <v>278</v>
      </c>
      <c r="B15" s="29" t="s">
        <v>27</v>
      </c>
      <c r="C15" s="22">
        <v>157</v>
      </c>
      <c r="D15" s="22">
        <v>0.38</v>
      </c>
      <c r="E15" s="550">
        <v>9.7211873502789536E-2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0.48664462081128745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0.54103044532627864</v>
      </c>
      <c r="H15" s="550">
        <v>2.2941884589860436E-3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2.8935626102292767E-2</v>
      </c>
      <c r="J15" s="551">
        <f t="shared" si="4"/>
        <v>2.5752707231040561E-2</v>
      </c>
      <c r="K15" s="552">
        <v>233.73537145870978</v>
      </c>
      <c r="L15" s="111">
        <v>9.4890670020510905E-3</v>
      </c>
      <c r="M15" s="553">
        <f t="shared" si="5"/>
        <v>5.1397892305996472E-2</v>
      </c>
      <c r="N15" s="98">
        <v>1</v>
      </c>
      <c r="O15" s="87">
        <v>8</v>
      </c>
      <c r="P15" s="363">
        <v>15</v>
      </c>
      <c r="Q15" s="34">
        <f t="shared" si="6"/>
        <v>0.77769498802231629</v>
      </c>
      <c r="R15" s="26">
        <f t="shared" si="6"/>
        <v>3.8931569664902996</v>
      </c>
      <c r="S15" s="26">
        <f t="shared" si="6"/>
        <v>4.3282435626102291</v>
      </c>
      <c r="T15" s="26">
        <f t="shared" si="6"/>
        <v>1.8353507671888349E-2</v>
      </c>
      <c r="U15" s="26">
        <f t="shared" si="6"/>
        <v>0.23148500881834214</v>
      </c>
      <c r="V15" s="26">
        <f t="shared" si="6"/>
        <v>0.20602165784832449</v>
      </c>
      <c r="W15" s="26">
        <f t="shared" si="6"/>
        <v>1869.8829716696782</v>
      </c>
      <c r="X15" s="26">
        <f t="shared" si="6"/>
        <v>7.5912536016408724E-2</v>
      </c>
      <c r="Y15" s="26">
        <f t="shared" si="6"/>
        <v>0.41118313844797177</v>
      </c>
    </row>
    <row r="16" spans="1:25" s="3" customFormat="1">
      <c r="A16" s="24" t="s">
        <v>124</v>
      </c>
      <c r="B16" s="29" t="s">
        <v>27</v>
      </c>
      <c r="C16" s="97">
        <v>87</v>
      </c>
      <c r="D16" s="22">
        <v>0.37</v>
      </c>
      <c r="E16" s="102">
        <v>7.7253202863558038E-2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0.26257275132275132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0.33506412037037031</v>
      </c>
      <c r="H16" s="102">
        <v>6.910856115004858E-4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2.1289682539682539E-2</v>
      </c>
      <c r="J16" s="100">
        <f t="shared" si="4"/>
        <v>1.894781746031746E-2</v>
      </c>
      <c r="K16" s="103">
        <v>58.913505111712794</v>
      </c>
      <c r="L16" s="102">
        <v>7.5344751889799754E-3</v>
      </c>
      <c r="M16" s="102">
        <f t="shared" si="5"/>
        <v>3.1831091435185178E-2</v>
      </c>
      <c r="N16" s="98">
        <v>1</v>
      </c>
      <c r="O16" s="87">
        <v>8</v>
      </c>
      <c r="P16" s="363">
        <v>15</v>
      </c>
      <c r="Q16" s="34">
        <f t="shared" si="6"/>
        <v>0.6180256229084643</v>
      </c>
      <c r="R16" s="26">
        <f t="shared" si="6"/>
        <v>2.1005820105820106</v>
      </c>
      <c r="S16" s="26">
        <f t="shared" si="6"/>
        <v>2.6805129629629625</v>
      </c>
      <c r="T16" s="26">
        <f t="shared" si="6"/>
        <v>5.5286848920038864E-3</v>
      </c>
      <c r="U16" s="26">
        <f t="shared" si="6"/>
        <v>0.17031746031746031</v>
      </c>
      <c r="V16" s="26">
        <f t="shared" si="6"/>
        <v>0.15158253968253968</v>
      </c>
      <c r="W16" s="26">
        <f t="shared" si="6"/>
        <v>471.30804089370235</v>
      </c>
      <c r="X16" s="26">
        <f t="shared" si="6"/>
        <v>6.0275801511839804E-2</v>
      </c>
      <c r="Y16" s="26">
        <f t="shared" si="6"/>
        <v>0.25464873148148143</v>
      </c>
    </row>
    <row r="17" spans="1:25" s="3" customFormat="1">
      <c r="A17" s="24" t="s">
        <v>279</v>
      </c>
      <c r="B17" s="29" t="s">
        <v>27</v>
      </c>
      <c r="C17" s="97">
        <v>37</v>
      </c>
      <c r="D17" s="22">
        <v>0.37</v>
      </c>
      <c r="E17" s="102">
        <v>3.2313389441625637E-2</v>
      </c>
      <c r="F17" s="397">
        <f>IF($C17&lt;11,'Offroad Tiers EF (2)'!$AN$4*$C17*$D17,IF($C17&lt;25,'Offroad Tiers EF (2)'!$AN$5*$C17*$D17,IF($C17&lt;50,'Offroad Tiers EF (2)'!$AN$6*$C17*$D17,IF($C17&lt;75,'Offroad Tiers EF (2)'!$AN$7*$C17*$D17,IF($C17&lt;100,'Offroad Tiers EF (2)'!$AN$8*$C17*$D17,IF($C17&lt;175,'Offroad Tiers EF (2)'!$AN$9*$C17*$D17,IF($C17&lt;300,'Offroad Tiers EF (2)'!$AN$10*$C17*$D17,IF($C17&lt;600,'Offroad Tiers EF (2)'!$AN$11*$C17*$D17,"!"))))))))</f>
        <v>0.12374118165784832</v>
      </c>
      <c r="G17" s="397">
        <f>IF($C17&lt;11,'Offroad Tiers EF (2)'!$AM$4*$C17*$D17,IF($C17&lt;25,'Offroad Tiers EF (2)'!$AM$5*$C17*$D17,IF($C17&lt;50,'Offroad Tiers EF (2)'!$AM$6*$C17*$D17,IF($C17&lt;75,'Offroad Tiers EF (2)'!$AM$7*$C17*$D17,IF($C17&lt;100,'Offroad Tiers EF (2)'!$AM$8*$C17*$D17,IF($C17&lt;175,'Offroad Tiers EF (2)'!$AM$9*$C17*$D17,IF($C17&lt;300,'Offroad Tiers EF (2)'!$AM$10*$C17*$D17,IF($C17&lt;600,'Offroad Tiers EF (2)'!$AM$11*$C17*$D17,"!"))))))))</f>
        <v>0.16056172839506169</v>
      </c>
      <c r="H17" s="102">
        <v>3.2989906092678058E-4</v>
      </c>
      <c r="I17" s="397">
        <f>IF($C17&lt;11,'Offroad Tiers EF (2)'!$AO$4*$C17*$D17,IF($C17&lt;25,'Offroad Tiers EF (2)'!$AO$5*$C17*$D17,IF($C17&lt;50,'Offroad Tiers EF (2)'!$AO$6*$C17*$D17,IF($C17&lt;75,'Offroad Tiers EF (2)'!$AO$7*$C17*$D17,IF($C17&lt;100,'Offroad Tiers EF (2)'!$AO$8*$C17*$D17,IF($C17&lt;175,'Offroad Tiers EF (2)'!$AO$9*$C17*$D17,IF($C17&lt;300,'Offroad Tiers EF (2)'!$AO$10*$C17*$D17,IF($C17&lt;600,'Offroad Tiers EF (2)'!$AO$11*$C17*$D17,"!"))))))))</f>
        <v>1.3581349206349205E-2</v>
      </c>
      <c r="J17" s="100">
        <f t="shared" si="4"/>
        <v>1.2087400793650793E-2</v>
      </c>
      <c r="K17" s="103">
        <v>25.519156990664225</v>
      </c>
      <c r="L17" s="102">
        <v>3.413848047070189E-3</v>
      </c>
      <c r="M17" s="104">
        <f t="shared" si="5"/>
        <v>1.5253364197530862E-2</v>
      </c>
      <c r="N17" s="87">
        <v>1</v>
      </c>
      <c r="O17" s="87">
        <v>8</v>
      </c>
      <c r="P17" s="363">
        <v>15</v>
      </c>
      <c r="Q17" s="34">
        <f t="shared" si="6"/>
        <v>0.25850711553300509</v>
      </c>
      <c r="R17" s="26">
        <f t="shared" si="6"/>
        <v>0.98992945326278659</v>
      </c>
      <c r="S17" s="26">
        <f t="shared" si="6"/>
        <v>1.2844938271604935</v>
      </c>
      <c r="T17" s="26">
        <f t="shared" si="6"/>
        <v>2.6391924874142447E-3</v>
      </c>
      <c r="U17" s="26">
        <f t="shared" si="6"/>
        <v>0.10865079365079364</v>
      </c>
      <c r="V17" s="26">
        <f t="shared" si="6"/>
        <v>9.669920634920634E-2</v>
      </c>
      <c r="W17" s="26">
        <f t="shared" si="6"/>
        <v>204.1532559253138</v>
      </c>
      <c r="X17" s="26">
        <f t="shared" si="6"/>
        <v>2.7310784376561512E-2</v>
      </c>
      <c r="Y17" s="26">
        <f t="shared" si="6"/>
        <v>0.12202691358024689</v>
      </c>
    </row>
    <row r="18" spans="1:25" s="3" customFormat="1">
      <c r="A18" s="24" t="s">
        <v>280</v>
      </c>
      <c r="B18" s="29" t="s">
        <v>27</v>
      </c>
      <c r="C18" s="22">
        <v>87</v>
      </c>
      <c r="D18" s="22">
        <v>0.36</v>
      </c>
      <c r="E18" s="108">
        <v>5.2437519504869065E-2</v>
      </c>
      <c r="F18" s="397">
        <f>IF($C18&lt;11,'Offroad Tiers EF (2)'!$AN$4*$C18*$D18,IF($C18&lt;25,'Offroad Tiers EF (2)'!$AN$5*$C18*$D18,IF($C18&lt;50,'Offroad Tiers EF (2)'!$AN$6*$C18*$D18,IF($C18&lt;75,'Offroad Tiers EF (2)'!$AN$7*$C18*$D18,IF($C18&lt;100,'Offroad Tiers EF (2)'!$AN$8*$C18*$D18,IF($C18&lt;175,'Offroad Tiers EF (2)'!$AN$9*$C18*$D18,IF($C18&lt;300,'Offroad Tiers EF (2)'!$AN$10*$C18*$D18,IF($C18&lt;600,'Offroad Tiers EF (2)'!$AN$11*$C18*$D18,"!"))))))))</f>
        <v>0.25547619047619047</v>
      </c>
      <c r="G18" s="397">
        <f>IF($C18&lt;11,'Offroad Tiers EF (2)'!$AM$4*$C18*$D18,IF($C18&lt;25,'Offroad Tiers EF (2)'!$AM$5*$C18*$D18,IF($C18&lt;50,'Offroad Tiers EF (2)'!$AM$6*$C18*$D18,IF($C18&lt;75,'Offroad Tiers EF (2)'!$AM$7*$C18*$D18,IF($C18&lt;100,'Offroad Tiers EF (2)'!$AM$8*$C18*$D18,IF($C18&lt;175,'Offroad Tiers EF (2)'!$AM$9*$C18*$D18,IF($C18&lt;300,'Offroad Tiers EF (2)'!$AM$10*$C18*$D18,IF($C18&lt;600,'Offroad Tiers EF (2)'!$AM$11*$C18*$D18,"!"))))))))</f>
        <v>0.32600833333333323</v>
      </c>
      <c r="H18" s="108">
        <v>6.0679618797898508E-4</v>
      </c>
      <c r="I18" s="397">
        <f>IF($C18&lt;11,'Offroad Tiers EF (2)'!$AO$4*$C18*$D18,IF($C18&lt;25,'Offroad Tiers EF (2)'!$AO$5*$C18*$D18,IF($C18&lt;50,'Offroad Tiers EF (2)'!$AO$6*$C18*$D18,IF($C18&lt;75,'Offroad Tiers EF (2)'!$AO$7*$C18*$D18,IF($C18&lt;100,'Offroad Tiers EF (2)'!$AO$8*$C18*$D18,IF($C18&lt;175,'Offroad Tiers EF (2)'!$AO$9*$C18*$D18,IF($C18&lt;300,'Offroad Tiers EF (2)'!$AO$10*$C18*$D18,IF($C18&lt;600,'Offroad Tiers EF (2)'!$AO$11*$C18*$D18,"!"))))))))</f>
        <v>2.0714285714285713E-2</v>
      </c>
      <c r="J18" s="100">
        <v>1.8435714285714284E-2</v>
      </c>
      <c r="K18" s="108">
        <v>51.728016924248784</v>
      </c>
      <c r="L18" s="108">
        <v>5.2037096026823848E-3</v>
      </c>
      <c r="M18" s="102">
        <v>3.0970791666666657E-2</v>
      </c>
      <c r="N18" s="98">
        <v>1</v>
      </c>
      <c r="O18" s="87">
        <v>8</v>
      </c>
      <c r="P18" s="363">
        <v>15</v>
      </c>
      <c r="Q18" s="34">
        <f t="shared" si="6"/>
        <v>0.41950015603895252</v>
      </c>
      <c r="R18" s="26">
        <f t="shared" si="6"/>
        <v>2.0438095238095237</v>
      </c>
      <c r="S18" s="26">
        <f t="shared" si="6"/>
        <v>2.6080666666666659</v>
      </c>
      <c r="T18" s="26">
        <f t="shared" si="6"/>
        <v>4.8543695038318806E-3</v>
      </c>
      <c r="U18" s="26">
        <f t="shared" si="6"/>
        <v>0.1657142857142857</v>
      </c>
      <c r="V18" s="26">
        <f t="shared" si="6"/>
        <v>0.14748571428571428</v>
      </c>
      <c r="W18" s="26">
        <f t="shared" si="6"/>
        <v>413.82413539399028</v>
      </c>
      <c r="X18" s="26">
        <f t="shared" si="6"/>
        <v>4.1629676821459079E-2</v>
      </c>
      <c r="Y18" s="26">
        <f t="shared" si="6"/>
        <v>0.24776633333333326</v>
      </c>
    </row>
    <row r="19" spans="1:25" s="3" customFormat="1">
      <c r="A19" s="24" t="s">
        <v>126</v>
      </c>
      <c r="B19" s="29" t="s">
        <v>27</v>
      </c>
      <c r="C19" s="22">
        <v>175</v>
      </c>
      <c r="D19" s="22"/>
      <c r="E19" s="102">
        <v>0.11792220738547983</v>
      </c>
      <c r="F19" s="102">
        <v>0.36512193352152528</v>
      </c>
      <c r="G19" s="102">
        <v>0.86781464282266541</v>
      </c>
      <c r="H19" s="102">
        <v>1.8739217498104396E-3</v>
      </c>
      <c r="I19" s="102">
        <v>2.9041712295589866E-2</v>
      </c>
      <c r="J19" s="100">
        <f t="shared" ref="J19" si="7">0.89*I19</f>
        <v>2.5847123943074982E-2</v>
      </c>
      <c r="K19" s="103">
        <v>166.54541562452522</v>
      </c>
      <c r="L19" s="102">
        <v>1.063993297769634E-2</v>
      </c>
      <c r="M19" s="104">
        <f t="shared" ref="M19" si="8">0.095*G19</f>
        <v>8.2442391068153209E-2</v>
      </c>
      <c r="N19" s="98">
        <v>2</v>
      </c>
      <c r="O19" s="87">
        <v>8</v>
      </c>
      <c r="P19" s="363">
        <v>15</v>
      </c>
      <c r="Q19" s="34">
        <f t="shared" si="6"/>
        <v>1.8867553181676773</v>
      </c>
      <c r="R19" s="26">
        <f t="shared" si="6"/>
        <v>5.8419509363444044</v>
      </c>
      <c r="S19" s="26">
        <f t="shared" si="6"/>
        <v>13.885034285162646</v>
      </c>
      <c r="T19" s="26">
        <f t="shared" si="6"/>
        <v>2.9982747996967034E-2</v>
      </c>
      <c r="U19" s="26">
        <f t="shared" si="6"/>
        <v>0.46466739672943785</v>
      </c>
      <c r="V19" s="26">
        <f t="shared" si="6"/>
        <v>0.41355398308919972</v>
      </c>
      <c r="W19" s="26">
        <f t="shared" si="6"/>
        <v>2664.7266499924035</v>
      </c>
      <c r="X19" s="26">
        <f t="shared" si="6"/>
        <v>0.17023892764314144</v>
      </c>
      <c r="Y19" s="26">
        <f t="shared" si="6"/>
        <v>1.3190782570904513</v>
      </c>
    </row>
    <row r="20" spans="1:25" s="3" customFormat="1">
      <c r="A20" s="17" t="s">
        <v>28</v>
      </c>
      <c r="B20" s="571"/>
      <c r="C20" s="18"/>
      <c r="D20" s="22"/>
      <c r="E20" s="19"/>
      <c r="F20" s="19"/>
      <c r="G20" s="19"/>
      <c r="H20" s="19"/>
      <c r="I20" s="19"/>
      <c r="J20" s="19"/>
      <c r="K20" s="19"/>
      <c r="L20" s="19"/>
      <c r="M20" s="19"/>
      <c r="N20" s="30"/>
      <c r="O20" s="30"/>
      <c r="P20" s="30"/>
      <c r="Q20" s="20">
        <f t="shared" ref="Q20:Y20" si="9">SUM(Q14:Q19)</f>
        <v>4.7381781886927321</v>
      </c>
      <c r="R20" s="20">
        <f t="shared" si="9"/>
        <v>18.762585856979324</v>
      </c>
      <c r="S20" s="20">
        <f t="shared" si="9"/>
        <v>29.114594867173228</v>
      </c>
      <c r="T20" s="20">
        <f t="shared" si="9"/>
        <v>7.971201022399374E-2</v>
      </c>
      <c r="U20" s="20">
        <f t="shared" si="9"/>
        <v>1.3723199540486619</v>
      </c>
      <c r="V20" s="20">
        <f t="shared" si="9"/>
        <v>1.221364759103309</v>
      </c>
      <c r="W20" s="20">
        <f t="shared" si="9"/>
        <v>7493.778025544766</v>
      </c>
      <c r="X20" s="20">
        <f t="shared" si="9"/>
        <v>0.45128026238581931</v>
      </c>
      <c r="Y20" s="20">
        <f t="shared" si="9"/>
        <v>2.7658865123814564</v>
      </c>
    </row>
    <row r="21" spans="1:25" s="3" customFormat="1">
      <c r="A21" s="24"/>
      <c r="B21" s="29"/>
      <c r="C21" s="22"/>
      <c r="D21" s="22"/>
      <c r="E21" s="108"/>
      <c r="F21" s="108"/>
      <c r="G21" s="108"/>
      <c r="H21" s="108"/>
      <c r="I21" s="108"/>
      <c r="J21" s="100"/>
      <c r="K21" s="365"/>
      <c r="L21" s="110"/>
      <c r="M21" s="102"/>
      <c r="N21" s="98"/>
      <c r="O21" s="98"/>
      <c r="P21" s="363"/>
      <c r="Q21" s="34"/>
      <c r="R21" s="26"/>
      <c r="S21" s="26"/>
      <c r="T21" s="26"/>
      <c r="U21" s="26"/>
      <c r="V21" s="26"/>
      <c r="W21" s="26"/>
      <c r="X21" s="26"/>
      <c r="Y21" s="26"/>
    </row>
    <row r="22" spans="1:25" s="3" customFormat="1">
      <c r="A22" s="17" t="s">
        <v>281</v>
      </c>
      <c r="B22" s="90"/>
      <c r="C22" s="18"/>
      <c r="D22" s="22"/>
      <c r="E22" s="19"/>
      <c r="F22" s="19"/>
      <c r="G22" s="19"/>
      <c r="H22" s="19"/>
      <c r="I22" s="19"/>
      <c r="J22" s="19"/>
      <c r="K22" s="19"/>
      <c r="L22" s="19"/>
      <c r="M22" s="19"/>
      <c r="N22" s="30"/>
      <c r="O22" s="30"/>
      <c r="P22" s="30"/>
      <c r="Q22" s="20"/>
      <c r="R22" s="20"/>
      <c r="S22" s="27"/>
      <c r="T22" s="20"/>
      <c r="U22" s="20"/>
      <c r="V22" s="20"/>
      <c r="W22" s="21"/>
      <c r="X22" s="20"/>
      <c r="Y22" s="20"/>
    </row>
    <row r="23" spans="1:25" s="3" customFormat="1">
      <c r="A23" s="100" t="s">
        <v>120</v>
      </c>
      <c r="B23" s="29" t="s">
        <v>27</v>
      </c>
      <c r="C23" s="22">
        <v>358</v>
      </c>
      <c r="D23" s="22">
        <v>0.4</v>
      </c>
      <c r="E23" s="108">
        <v>0.27937428148624566</v>
      </c>
      <c r="F23" s="397">
        <f>IF($C23&lt;11,'Offroad Tiers EF (2)'!$AN$4*$C23*$D23,IF($C23&lt;25,'Offroad Tiers EF (2)'!$AN$5*$C23*$D23,IF($C23&lt;50,'Offroad Tiers EF (2)'!$AN$6*$C23*$D23,IF($C23&lt;75,'Offroad Tiers EF (2)'!$AN$7*$C23*$D23,IF($C23&lt;100,'Offroad Tiers EF (2)'!$AN$8*$C23*$D23,IF($C23&lt;175,'Offroad Tiers EF (2)'!$AN$9*$C23*$D23,IF($C23&lt;300,'Offroad Tiers EF (2)'!$AN$10*$C23*$D23,IF($C23&lt;600,'Offroad Tiers EF (2)'!$AN$11*$C23*$D23,"!"))))))))</f>
        <v>0.82081128747795418</v>
      </c>
      <c r="G23" s="397">
        <f>IF($C23&lt;11,'Offroad Tiers EF (2)'!$AM$4*$C23*$D23,IF($C23&lt;25,'Offroad Tiers EF (2)'!$AM$5*$C23*$D23,IF($C23&lt;50,'Offroad Tiers EF (2)'!$AM$6*$C23*$D23,IF($C23&lt;75,'Offroad Tiers EF (2)'!$AM$7*$C23*$D23,IF($C23&lt;100,'Offroad Tiers EF (2)'!$AM$8*$C23*$D23,IF($C23&lt;175,'Offroad Tiers EF (2)'!$AM$9*$C23*$D23,IF($C23&lt;300,'Offroad Tiers EF (2)'!$AM$10*$C23*$D23,IF($C23&lt;600,'Offroad Tiers EF (2)'!$AM$11*$C23*$D23,"!"))))))))</f>
        <v>1.2776243386243384</v>
      </c>
      <c r="H23" s="108">
        <v>2.5998088533883764E-3</v>
      </c>
      <c r="I23" s="397">
        <f>IF($C23&lt;11,'Offroad Tiers EF (2)'!$AO$4*$C23*$D23,IF($C23&lt;25,'Offroad Tiers EF (2)'!$AO$5*$C23*$D23,IF($C23&lt;50,'Offroad Tiers EF (2)'!$AO$6*$C23*$D23,IF($C23&lt;75,'Offroad Tiers EF (2)'!$AO$7*$C23*$D23,IF($C23&lt;100,'Offroad Tiers EF (2)'!$AO$8*$C23*$D23,IF($C23&lt;175,'Offroad Tiers EF (2)'!$AO$9*$C23*$D23,IF($C23&lt;300,'Offroad Tiers EF (2)'!$AO$10*$C23*$D23,IF($C23&lt;600,'Offroad Tiers EF (2)'!$AO$11*$C23*$D23,"!"))))))))</f>
        <v>4.735449735449735E-2</v>
      </c>
      <c r="J23" s="100">
        <f t="shared" ref="J23:J28" si="10">0.89*I23</f>
        <v>4.2145502645502646E-2</v>
      </c>
      <c r="K23" s="108">
        <v>264.8725636721183</v>
      </c>
      <c r="L23" s="108">
        <v>2.6451144743432839E-2</v>
      </c>
      <c r="M23" s="102">
        <f t="shared" ref="M23:M28" si="11">0.095*G23</f>
        <v>0.12137431216931216</v>
      </c>
      <c r="N23" s="98">
        <v>1</v>
      </c>
      <c r="O23" s="87">
        <v>8</v>
      </c>
      <c r="P23" s="363">
        <v>75</v>
      </c>
      <c r="Q23" s="34">
        <f t="shared" ref="Q23:Y28" si="12">(E23*$N23*$O23)</f>
        <v>2.2349942518899653</v>
      </c>
      <c r="R23" s="26">
        <f t="shared" si="12"/>
        <v>6.5664902998236334</v>
      </c>
      <c r="S23" s="26">
        <f t="shared" si="12"/>
        <v>10.220994708994708</v>
      </c>
      <c r="T23" s="26">
        <f t="shared" si="12"/>
        <v>2.0798470827107011E-2</v>
      </c>
      <c r="U23" s="26">
        <f t="shared" si="12"/>
        <v>0.3788359788359788</v>
      </c>
      <c r="V23" s="26">
        <f t="shared" si="12"/>
        <v>0.33716402116402117</v>
      </c>
      <c r="W23" s="26">
        <f t="shared" si="12"/>
        <v>2118.9805093769464</v>
      </c>
      <c r="X23" s="26">
        <f t="shared" si="12"/>
        <v>0.21160915794746271</v>
      </c>
      <c r="Y23" s="26">
        <f t="shared" si="12"/>
        <v>0.97099449735449728</v>
      </c>
    </row>
    <row r="24" spans="1:25" s="3" customFormat="1">
      <c r="A24" s="100" t="s">
        <v>121</v>
      </c>
      <c r="B24" s="29" t="s">
        <v>27</v>
      </c>
      <c r="C24" s="22">
        <v>162</v>
      </c>
      <c r="D24" s="22">
        <v>0.41</v>
      </c>
      <c r="E24" s="108">
        <v>0.12153885438656534</v>
      </c>
      <c r="F24" s="397">
        <f>IF($C24&lt;11,'Offroad Tiers EF (2)'!$AN$4*$C24*$D24,IF($C24&lt;25,'Offroad Tiers EF (2)'!$AN$5*$C24*$D24,IF($C24&lt;50,'Offroad Tiers EF (2)'!$AN$6*$C24*$D24,IF($C24&lt;75,'Offroad Tiers EF (2)'!$AN$7*$C24*$D24,IF($C24&lt;100,'Offroad Tiers EF (2)'!$AN$8*$C24*$D24,IF($C24&lt;175,'Offroad Tiers EF (2)'!$AN$9*$C24*$D24,IF($C24&lt;300,'Offroad Tiers EF (2)'!$AN$10*$C24*$D24,IF($C24&lt;600,'Offroad Tiers EF (2)'!$AN$11*$C24*$D24,"!"))))))))</f>
        <v>0.5417857142857142</v>
      </c>
      <c r="G24" s="397">
        <f>IF($C24&lt;11,'Offroad Tiers EF (2)'!$AM$4*$C24*$D24,IF($C24&lt;25,'Offroad Tiers EF (2)'!$AM$5*$C24*$D24,IF($C24&lt;50,'Offroad Tiers EF (2)'!$AM$6*$C24*$D24,IF($C24&lt;75,'Offroad Tiers EF (2)'!$AM$7*$C24*$D24,IF($C24&lt;100,'Offroad Tiers EF (2)'!$AM$8*$C24*$D24,IF($C24&lt;175,'Offroad Tiers EF (2)'!$AM$9*$C24*$D24,IF($C24&lt;300,'Offroad Tiers EF (2)'!$AM$10*$C24*$D24,IF($C24&lt;600,'Offroad Tiers EF (2)'!$AM$11*$C24*$D24,"!"))))))))</f>
        <v>0.60233392857142853</v>
      </c>
      <c r="H24" s="108">
        <v>1.3943296443626662E-3</v>
      </c>
      <c r="I24" s="397">
        <f>IF($C24&lt;11,'Offroad Tiers EF (2)'!$AO$4*$C24*$D24,IF($C24&lt;25,'Offroad Tiers EF (2)'!$AO$5*$C24*$D24,IF($C24&lt;50,'Offroad Tiers EF (2)'!$AO$6*$C24*$D24,IF($C24&lt;75,'Offroad Tiers EF (2)'!$AO$7*$C24*$D24,IF($C24&lt;100,'Offroad Tiers EF (2)'!$AO$8*$C24*$D24,IF($C24&lt;175,'Offroad Tiers EF (2)'!$AO$9*$C24*$D24,IF($C24&lt;300,'Offroad Tiers EF (2)'!$AO$10*$C24*$D24,IF($C24&lt;600,'Offroad Tiers EF (2)'!$AO$11*$C24*$D24,"!"))))))))</f>
        <v>3.2214285714285709E-2</v>
      </c>
      <c r="J24" s="100">
        <f t="shared" si="10"/>
        <v>2.8670714285714282E-2</v>
      </c>
      <c r="K24" s="365">
        <v>123.92149503712022</v>
      </c>
      <c r="L24" s="23">
        <v>1.1720218383966691E-2</v>
      </c>
      <c r="M24" s="102">
        <f t="shared" si="11"/>
        <v>5.7221723214285709E-2</v>
      </c>
      <c r="N24" s="98">
        <v>1</v>
      </c>
      <c r="O24" s="87">
        <v>8</v>
      </c>
      <c r="P24" s="363">
        <v>75</v>
      </c>
      <c r="Q24" s="34">
        <f t="shared" si="12"/>
        <v>0.9723108350925227</v>
      </c>
      <c r="R24" s="26">
        <f t="shared" si="12"/>
        <v>4.3342857142857136</v>
      </c>
      <c r="S24" s="26">
        <f t="shared" si="12"/>
        <v>4.8186714285714283</v>
      </c>
      <c r="T24" s="26">
        <f t="shared" si="12"/>
        <v>1.115463715490133E-2</v>
      </c>
      <c r="U24" s="26">
        <f t="shared" si="12"/>
        <v>0.25771428571428567</v>
      </c>
      <c r="V24" s="26">
        <f t="shared" si="12"/>
        <v>0.22936571428571426</v>
      </c>
      <c r="W24" s="26">
        <f t="shared" si="12"/>
        <v>991.37196029696179</v>
      </c>
      <c r="X24" s="26">
        <f t="shared" si="12"/>
        <v>9.3761747071733528E-2</v>
      </c>
      <c r="Y24" s="26">
        <f t="shared" si="12"/>
        <v>0.45777378571428567</v>
      </c>
    </row>
    <row r="25" spans="1:25" s="3" customFormat="1">
      <c r="A25" s="100" t="s">
        <v>122</v>
      </c>
      <c r="B25" s="29" t="s">
        <v>27</v>
      </c>
      <c r="C25" s="22">
        <v>356</v>
      </c>
      <c r="D25" s="22">
        <v>0.48</v>
      </c>
      <c r="E25" s="108">
        <v>0.27361983606105278</v>
      </c>
      <c r="F25" s="397">
        <f>IF($C25&lt;11,'Offroad Tiers EF (2)'!$AN$4*$C25*$D25,IF($C25&lt;25,'Offroad Tiers EF (2)'!$AN$5*$C25*$D25,IF($C25&lt;50,'Offroad Tiers EF (2)'!$AN$6*$C25*$D25,IF($C25&lt;75,'Offroad Tiers EF (2)'!$AN$7*$C25*$D25,IF($C25&lt;100,'Offroad Tiers EF (2)'!$AN$8*$C25*$D25,IF($C25&lt;175,'Offroad Tiers EF (2)'!$AN$9*$C25*$D25,IF($C25&lt;300,'Offroad Tiers EF (2)'!$AN$10*$C25*$D25,IF($C25&lt;600,'Offroad Tiers EF (2)'!$AN$11*$C25*$D25,"!"))))))))</f>
        <v>0.97947089947089949</v>
      </c>
      <c r="G25" s="397">
        <f>IF($C25&lt;11,'Offroad Tiers EF (2)'!$AM$4*$C25*$D25,IF($C25&lt;25,'Offroad Tiers EF (2)'!$AM$5*$C25*$D25,IF($C25&lt;50,'Offroad Tiers EF (2)'!$AM$6*$C25*$D25,IF($C25&lt;75,'Offroad Tiers EF (2)'!$AM$7*$C25*$D25,IF($C25&lt;100,'Offroad Tiers EF (2)'!$AM$8*$C25*$D25,IF($C25&lt;175,'Offroad Tiers EF (2)'!$AM$9*$C25*$D25,IF($C25&lt;300,'Offroad Tiers EF (2)'!$AM$10*$C25*$D25,IF($C25&lt;600,'Offroad Tiers EF (2)'!$AM$11*$C25*$D25,"!"))))))))</f>
        <v>1.5245841269841265</v>
      </c>
      <c r="H25" s="108">
        <v>3.1549250027299411E-3</v>
      </c>
      <c r="I25" s="397">
        <f>IF($C25&lt;11,'Offroad Tiers EF (2)'!$AO$4*$C25*$D25,IF($C25&lt;25,'Offroad Tiers EF (2)'!$AO$5*$C25*$D25,IF($C25&lt;50,'Offroad Tiers EF (2)'!$AO$6*$C25*$D25,IF($C25&lt;75,'Offroad Tiers EF (2)'!$AO$7*$C25*$D25,IF($C25&lt;100,'Offroad Tiers EF (2)'!$AO$8*$C25*$D25,IF($C25&lt;175,'Offroad Tiers EF (2)'!$AO$9*$C25*$D25,IF($C25&lt;300,'Offroad Tiers EF (2)'!$AO$10*$C25*$D25,IF($C25&lt;600,'Offroad Tiers EF (2)'!$AO$11*$C25*$D25,"!"))))))))</f>
        <v>5.65079365079365E-2</v>
      </c>
      <c r="J25" s="100">
        <f t="shared" si="10"/>
        <v>5.0292063492063485E-2</v>
      </c>
      <c r="K25" s="108">
        <v>321.42842594638495</v>
      </c>
      <c r="L25" s="108">
        <v>2.6010420981454316E-2</v>
      </c>
      <c r="M25" s="102">
        <f t="shared" si="11"/>
        <v>0.14483549206349203</v>
      </c>
      <c r="N25" s="98">
        <v>2</v>
      </c>
      <c r="O25" s="98">
        <v>8</v>
      </c>
      <c r="P25" s="99">
        <f>2*22</f>
        <v>44</v>
      </c>
      <c r="Q25" s="34">
        <f t="shared" si="12"/>
        <v>4.3779173769768445</v>
      </c>
      <c r="R25" s="26">
        <f t="shared" si="12"/>
        <v>15.671534391534392</v>
      </c>
      <c r="S25" s="26">
        <f t="shared" si="12"/>
        <v>24.393346031746024</v>
      </c>
      <c r="T25" s="26">
        <f t="shared" si="12"/>
        <v>5.0478800043679058E-2</v>
      </c>
      <c r="U25" s="26">
        <f t="shared" si="12"/>
        <v>0.904126984126984</v>
      </c>
      <c r="V25" s="26">
        <f t="shared" si="12"/>
        <v>0.80467301587301576</v>
      </c>
      <c r="W25" s="26">
        <f t="shared" si="12"/>
        <v>5142.8548151421592</v>
      </c>
      <c r="X25" s="26">
        <f t="shared" si="12"/>
        <v>0.41616673570326906</v>
      </c>
      <c r="Y25" s="26">
        <f t="shared" si="12"/>
        <v>2.3173678730158724</v>
      </c>
    </row>
    <row r="26" spans="1:25" s="3" customFormat="1">
      <c r="A26" s="100" t="s">
        <v>123</v>
      </c>
      <c r="B26" s="29" t="s">
        <v>27</v>
      </c>
      <c r="C26" s="22">
        <v>84</v>
      </c>
      <c r="D26" s="22">
        <v>0.38</v>
      </c>
      <c r="E26" s="102">
        <v>7.9534395197012789E-2</v>
      </c>
      <c r="F26" s="397">
        <f>IF($C26&lt;11,'Offroad Tiers EF (2)'!$AN$4*$C26*$D26,IF($C26&lt;25,'Offroad Tiers EF (2)'!$AN$5*$C26*$D26,IF($C26&lt;50,'Offroad Tiers EF (2)'!$AN$6*$C26*$D26,IF($C26&lt;75,'Offroad Tiers EF (2)'!$AN$7*$C26*$D26,IF($C26&lt;100,'Offroad Tiers EF (2)'!$AN$8*$C26*$D26,IF($C26&lt;175,'Offroad Tiers EF (2)'!$AN$9*$C26*$D26,IF($C26&lt;300,'Offroad Tiers EF (2)'!$AN$10*$C26*$D26,IF($C26&lt;600,'Offroad Tiers EF (2)'!$AN$11*$C26*$D26,"!"))))))))</f>
        <v>0.26037037037037036</v>
      </c>
      <c r="G26" s="397">
        <f>IF($C26&lt;11,'Offroad Tiers EF (2)'!$AM$4*$C26*$D26,IF($C26&lt;25,'Offroad Tiers EF (2)'!$AM$5*$C26*$D26,IF($C26&lt;50,'Offroad Tiers EF (2)'!$AM$6*$C26*$D26,IF($C26&lt;75,'Offroad Tiers EF (2)'!$AM$7*$C26*$D26,IF($C26&lt;100,'Offroad Tiers EF (2)'!$AM$8*$C26*$D26,IF($C26&lt;175,'Offroad Tiers EF (2)'!$AM$9*$C26*$D26,IF($C26&lt;300,'Offroad Tiers EF (2)'!$AM$10*$C26*$D26,IF($C26&lt;600,'Offroad Tiers EF (2)'!$AM$11*$C26*$D26,"!"))))))))</f>
        <v>0.33225370370370361</v>
      </c>
      <c r="H26" s="102">
        <v>6.9196834691909377E-4</v>
      </c>
      <c r="I26" s="397">
        <f>IF($C26&lt;11,'Offroad Tiers EF (2)'!$AO$4*$C26*$D26,IF($C26&lt;25,'Offroad Tiers EF (2)'!$AO$5*$C26*$D26,IF($C26&lt;50,'Offroad Tiers EF (2)'!$AO$6*$C26*$D26,IF($C26&lt;75,'Offroad Tiers EF (2)'!$AO$7*$C26*$D26,IF($C26&lt;100,'Offroad Tiers EF (2)'!$AO$8*$C26*$D26,IF($C26&lt;175,'Offroad Tiers EF (2)'!$AO$9*$C26*$D26,IF($C26&lt;300,'Offroad Tiers EF (2)'!$AO$10*$C26*$D26,IF($C26&lt;600,'Offroad Tiers EF (2)'!$AO$11*$C26*$D26,"!"))))))))</f>
        <v>2.1111111111111112E-2</v>
      </c>
      <c r="J26" s="100">
        <f t="shared" si="10"/>
        <v>1.878888888888889E-2</v>
      </c>
      <c r="K26" s="103">
        <v>58.988746640295226</v>
      </c>
      <c r="L26" s="102">
        <v>7.7311979659905822E-3</v>
      </c>
      <c r="M26" s="102">
        <f t="shared" si="11"/>
        <v>3.1564101851851843E-2</v>
      </c>
      <c r="N26" s="363">
        <v>1</v>
      </c>
      <c r="O26" s="87">
        <v>8</v>
      </c>
      <c r="P26" s="363">
        <v>75</v>
      </c>
      <c r="Q26" s="34">
        <f t="shared" si="12"/>
        <v>0.63627516157610231</v>
      </c>
      <c r="R26" s="26">
        <f t="shared" si="12"/>
        <v>2.0829629629629629</v>
      </c>
      <c r="S26" s="26">
        <f t="shared" si="12"/>
        <v>2.6580296296296289</v>
      </c>
      <c r="T26" s="26">
        <f t="shared" si="12"/>
        <v>5.5357467753527501E-3</v>
      </c>
      <c r="U26" s="26">
        <f t="shared" si="12"/>
        <v>0.16888888888888889</v>
      </c>
      <c r="V26" s="26">
        <f t="shared" si="12"/>
        <v>0.15031111111111112</v>
      </c>
      <c r="W26" s="26">
        <f t="shared" si="12"/>
        <v>471.90997312236181</v>
      </c>
      <c r="X26" s="26">
        <f t="shared" si="12"/>
        <v>6.1849583727924658E-2</v>
      </c>
      <c r="Y26" s="26">
        <f t="shared" si="12"/>
        <v>0.25251281481481475</v>
      </c>
    </row>
    <row r="27" spans="1:25" s="3" customFormat="1">
      <c r="A27" s="100" t="s">
        <v>282</v>
      </c>
      <c r="B27" s="29" t="s">
        <v>27</v>
      </c>
      <c r="C27" s="97">
        <v>37</v>
      </c>
      <c r="D27" s="22">
        <v>0.37</v>
      </c>
      <c r="E27" s="102">
        <v>3.2313389441625637E-2</v>
      </c>
      <c r="F27" s="397">
        <f>IF($C27&lt;11,'Offroad Tiers EF (2)'!$AN$4*$C27*$D27,IF($C27&lt;25,'Offroad Tiers EF (2)'!$AN$5*$C27*$D27,IF($C27&lt;50,'Offroad Tiers EF (2)'!$AN$6*$C27*$D27,IF($C27&lt;75,'Offroad Tiers EF (2)'!$AN$7*$C27*$D27,IF($C27&lt;100,'Offroad Tiers EF (2)'!$AN$8*$C27*$D27,IF($C27&lt;175,'Offroad Tiers EF (2)'!$AN$9*$C27*$D27,IF($C27&lt;300,'Offroad Tiers EF (2)'!$AN$10*$C27*$D27,IF($C27&lt;600,'Offroad Tiers EF (2)'!$AN$11*$C27*$D27,"!"))))))))</f>
        <v>0.12374118165784832</v>
      </c>
      <c r="G27" s="397">
        <f>IF($C27&lt;11,'Offroad Tiers EF (2)'!$AM$4*$C27*$D27,IF($C27&lt;25,'Offroad Tiers EF (2)'!$AM$5*$C27*$D27,IF($C27&lt;50,'Offroad Tiers EF (2)'!$AM$6*$C27*$D27,IF($C27&lt;75,'Offroad Tiers EF (2)'!$AM$7*$C27*$D27,IF($C27&lt;100,'Offroad Tiers EF (2)'!$AM$8*$C27*$D27,IF($C27&lt;175,'Offroad Tiers EF (2)'!$AM$9*$C27*$D27,IF($C27&lt;300,'Offroad Tiers EF (2)'!$AM$10*$C27*$D27,IF($C27&lt;600,'Offroad Tiers EF (2)'!$AM$11*$C27*$D27,"!"))))))))</f>
        <v>0.16056172839506169</v>
      </c>
      <c r="H27" s="102">
        <v>3.2989906092678058E-4</v>
      </c>
      <c r="I27" s="397">
        <f>IF($C27&lt;11,'Offroad Tiers EF (2)'!$AO$4*$C27*$D27,IF($C27&lt;25,'Offroad Tiers EF (2)'!$AO$5*$C27*$D27,IF($C27&lt;50,'Offroad Tiers EF (2)'!$AO$6*$C27*$D27,IF($C27&lt;75,'Offroad Tiers EF (2)'!$AO$7*$C27*$D27,IF($C27&lt;100,'Offroad Tiers EF (2)'!$AO$8*$C27*$D27,IF($C27&lt;175,'Offroad Tiers EF (2)'!$AO$9*$C27*$D27,IF($C27&lt;300,'Offroad Tiers EF (2)'!$AO$10*$C27*$D27,IF($C27&lt;600,'Offroad Tiers EF (2)'!$AO$11*$C27*$D27,"!"))))))))</f>
        <v>1.3581349206349205E-2</v>
      </c>
      <c r="J27" s="100">
        <f t="shared" si="10"/>
        <v>1.2087400793650793E-2</v>
      </c>
      <c r="K27" s="103">
        <v>25.519156990664225</v>
      </c>
      <c r="L27" s="102">
        <v>3.413848047070189E-3</v>
      </c>
      <c r="M27" s="104">
        <f t="shared" si="11"/>
        <v>1.5253364197530862E-2</v>
      </c>
      <c r="N27" s="87">
        <v>1</v>
      </c>
      <c r="O27" s="87">
        <v>8</v>
      </c>
      <c r="P27" s="363">
        <v>75</v>
      </c>
      <c r="Q27" s="34">
        <f t="shared" si="12"/>
        <v>0.25850711553300509</v>
      </c>
      <c r="R27" s="26">
        <f t="shared" si="12"/>
        <v>0.98992945326278659</v>
      </c>
      <c r="S27" s="26">
        <f t="shared" si="12"/>
        <v>1.2844938271604935</v>
      </c>
      <c r="T27" s="26">
        <f t="shared" si="12"/>
        <v>2.6391924874142447E-3</v>
      </c>
      <c r="U27" s="26">
        <f t="shared" si="12"/>
        <v>0.10865079365079364</v>
      </c>
      <c r="V27" s="26">
        <f t="shared" si="12"/>
        <v>9.669920634920634E-2</v>
      </c>
      <c r="W27" s="26">
        <f t="shared" si="12"/>
        <v>204.1532559253138</v>
      </c>
      <c r="X27" s="26">
        <f t="shared" si="12"/>
        <v>2.7310784376561512E-2</v>
      </c>
      <c r="Y27" s="26">
        <f t="shared" si="12"/>
        <v>0.12202691358024689</v>
      </c>
    </row>
    <row r="28" spans="1:25" s="3" customFormat="1">
      <c r="A28" s="100" t="s">
        <v>126</v>
      </c>
      <c r="B28" s="29" t="s">
        <v>27</v>
      </c>
      <c r="C28" s="22">
        <v>175</v>
      </c>
      <c r="D28" s="22"/>
      <c r="E28" s="102">
        <v>0.11792220738547983</v>
      </c>
      <c r="F28" s="102">
        <v>0.36512193352152528</v>
      </c>
      <c r="G28" s="102">
        <v>0.86781464282266541</v>
      </c>
      <c r="H28" s="102">
        <v>1.8739217498104396E-3</v>
      </c>
      <c r="I28" s="102">
        <v>2.9041712295589866E-2</v>
      </c>
      <c r="J28" s="100">
        <f t="shared" si="10"/>
        <v>2.5847123943074982E-2</v>
      </c>
      <c r="K28" s="103">
        <v>166.54541562452522</v>
      </c>
      <c r="L28" s="102">
        <v>1.063993297769634E-2</v>
      </c>
      <c r="M28" s="104">
        <f t="shared" si="11"/>
        <v>8.2442391068153209E-2</v>
      </c>
      <c r="N28" s="98">
        <v>2</v>
      </c>
      <c r="O28" s="87">
        <v>8</v>
      </c>
      <c r="P28" s="363">
        <v>75</v>
      </c>
      <c r="Q28" s="34">
        <f t="shared" si="12"/>
        <v>1.8867553181676773</v>
      </c>
      <c r="R28" s="26">
        <f t="shared" si="12"/>
        <v>5.8419509363444044</v>
      </c>
      <c r="S28" s="26">
        <f t="shared" si="12"/>
        <v>13.885034285162646</v>
      </c>
      <c r="T28" s="26">
        <f t="shared" si="12"/>
        <v>2.9982747996967034E-2</v>
      </c>
      <c r="U28" s="26">
        <f t="shared" si="12"/>
        <v>0.46466739672943785</v>
      </c>
      <c r="V28" s="26">
        <f t="shared" si="12"/>
        <v>0.41355398308919972</v>
      </c>
      <c r="W28" s="26">
        <f t="shared" si="12"/>
        <v>2664.7266499924035</v>
      </c>
      <c r="X28" s="26">
        <f t="shared" si="12"/>
        <v>0.17023892764314144</v>
      </c>
      <c r="Y28" s="26">
        <f t="shared" si="12"/>
        <v>1.3190782570904513</v>
      </c>
    </row>
    <row r="29" spans="1:25" s="3" customFormat="1">
      <c r="A29" s="11" t="s">
        <v>28</v>
      </c>
      <c r="B29" s="571"/>
      <c r="C29" s="18"/>
      <c r="D29" s="22"/>
      <c r="E29" s="19"/>
      <c r="F29" s="19"/>
      <c r="G29" s="19"/>
      <c r="H29" s="19"/>
      <c r="I29" s="19"/>
      <c r="J29" s="19"/>
      <c r="K29" s="19"/>
      <c r="L29" s="19"/>
      <c r="M29" s="19"/>
      <c r="N29" s="30"/>
      <c r="O29" s="30"/>
      <c r="P29" s="364"/>
      <c r="Q29" s="20">
        <f t="shared" ref="Q29:Y29" si="13">SUM(Q23:Q28)</f>
        <v>10.366760059236118</v>
      </c>
      <c r="R29" s="20">
        <f t="shared" si="13"/>
        <v>35.487153758213893</v>
      </c>
      <c r="S29" s="27">
        <f t="shared" si="13"/>
        <v>57.260569911264938</v>
      </c>
      <c r="T29" s="20">
        <f t="shared" si="13"/>
        <v>0.12058959528542143</v>
      </c>
      <c r="U29" s="20">
        <f t="shared" si="13"/>
        <v>2.2828843279463689</v>
      </c>
      <c r="V29" s="20">
        <f t="shared" si="13"/>
        <v>2.0317670518722681</v>
      </c>
      <c r="W29" s="20">
        <f t="shared" si="13"/>
        <v>11593.997163856147</v>
      </c>
      <c r="X29" s="20">
        <f t="shared" si="13"/>
        <v>0.98093693647009295</v>
      </c>
      <c r="Y29" s="20">
        <f t="shared" si="13"/>
        <v>5.4397541415701678</v>
      </c>
    </row>
    <row r="30" spans="1:25" s="3" customFormat="1">
      <c r="A30" s="11"/>
      <c r="B30" s="571"/>
      <c r="C30" s="18"/>
      <c r="D30" s="22"/>
      <c r="E30" s="19"/>
      <c r="F30" s="19"/>
      <c r="G30" s="19"/>
      <c r="H30" s="19"/>
      <c r="I30" s="19"/>
      <c r="J30" s="19"/>
      <c r="K30" s="19"/>
      <c r="L30" s="19"/>
      <c r="M30" s="19"/>
      <c r="N30" s="30"/>
      <c r="O30" s="375"/>
      <c r="P30" s="364"/>
      <c r="Q30" s="20"/>
      <c r="R30" s="20"/>
      <c r="S30" s="27"/>
      <c r="T30" s="20"/>
      <c r="U30" s="20"/>
      <c r="V30" s="20"/>
      <c r="W30" s="21"/>
      <c r="X30" s="20"/>
      <c r="Y30" s="20"/>
    </row>
    <row r="31" spans="1:25" s="3" customFormat="1">
      <c r="A31" s="11" t="s">
        <v>275</v>
      </c>
      <c r="B31" s="90"/>
      <c r="C31" s="18"/>
      <c r="D31" s="22"/>
      <c r="E31" s="19"/>
      <c r="F31" s="19"/>
      <c r="G31" s="19"/>
      <c r="H31" s="19"/>
      <c r="I31" s="19"/>
      <c r="J31" s="19"/>
      <c r="K31" s="19"/>
      <c r="L31" s="19"/>
      <c r="M31" s="19"/>
      <c r="N31" s="30"/>
      <c r="O31" s="87"/>
      <c r="P31" s="363"/>
      <c r="Q31" s="20"/>
      <c r="R31" s="20"/>
      <c r="S31" s="27"/>
      <c r="T31" s="20"/>
      <c r="U31" s="20"/>
      <c r="V31" s="20"/>
      <c r="W31" s="21"/>
      <c r="X31" s="20"/>
      <c r="Y31" s="20"/>
    </row>
    <row r="32" spans="1:25" s="3" customFormat="1">
      <c r="A32" s="100" t="s">
        <v>120</v>
      </c>
      <c r="B32" s="29" t="s">
        <v>27</v>
      </c>
      <c r="C32" s="22">
        <v>358</v>
      </c>
      <c r="D32" s="22">
        <v>0.4</v>
      </c>
      <c r="E32" s="108">
        <v>0.27937428148624566</v>
      </c>
      <c r="F32" s="397">
        <f>IF($C32&lt;11,'Offroad Tiers EF (2)'!$AN$4*$C32*$D32,IF($C32&lt;25,'Offroad Tiers EF (2)'!$AN$5*$C32*$D32,IF($C32&lt;50,'Offroad Tiers EF (2)'!$AN$6*$C32*$D32,IF($C32&lt;75,'Offroad Tiers EF (2)'!$AN$7*$C32*$D32,IF($C32&lt;100,'Offroad Tiers EF (2)'!$AN$8*$C32*$D32,IF($C32&lt;175,'Offroad Tiers EF (2)'!$AN$9*$C32*$D32,IF($C32&lt;300,'Offroad Tiers EF (2)'!$AN$10*$C32*$D32,IF($C32&lt;600,'Offroad Tiers EF (2)'!$AN$11*$C32*$D32,"!"))))))))</f>
        <v>0.82081128747795418</v>
      </c>
      <c r="G32" s="397">
        <f>IF($C32&lt;11,'Offroad Tiers EF (2)'!$AM$4*$C32*$D32,IF($C32&lt;25,'Offroad Tiers EF (2)'!$AM$5*$C32*$D32,IF($C32&lt;50,'Offroad Tiers EF (2)'!$AM$6*$C32*$D32,IF($C32&lt;75,'Offroad Tiers EF (2)'!$AM$7*$C32*$D32,IF($C32&lt;100,'Offroad Tiers EF (2)'!$AM$8*$C32*$D32,IF($C32&lt;175,'Offroad Tiers EF (2)'!$AM$9*$C32*$D32,IF($C32&lt;300,'Offroad Tiers EF (2)'!$AM$10*$C32*$D32,IF($C32&lt;600,'Offroad Tiers EF (2)'!$AM$11*$C32*$D32,"!"))))))))</f>
        <v>1.2776243386243384</v>
      </c>
      <c r="H32" s="108">
        <v>2.5998088533883764E-3</v>
      </c>
      <c r="I32" s="397">
        <f>IF($C32&lt;11,'Offroad Tiers EF (2)'!$AO$4*$C32*$D32,IF($C32&lt;25,'Offroad Tiers EF (2)'!$AO$5*$C32*$D32,IF($C32&lt;50,'Offroad Tiers EF (2)'!$AO$6*$C32*$D32,IF($C32&lt;75,'Offroad Tiers EF (2)'!$AO$7*$C32*$D32,IF($C32&lt;100,'Offroad Tiers EF (2)'!$AO$8*$C32*$D32,IF($C32&lt;175,'Offroad Tiers EF (2)'!$AO$9*$C32*$D32,IF($C32&lt;300,'Offroad Tiers EF (2)'!$AO$10*$C32*$D32,IF($C32&lt;600,'Offroad Tiers EF (2)'!$AO$11*$C32*$D32,"!"))))))))</f>
        <v>4.735449735449735E-2</v>
      </c>
      <c r="J32" s="100">
        <f t="shared" ref="J32:J39" si="14">0.89*I32</f>
        <v>4.2145502645502646E-2</v>
      </c>
      <c r="K32" s="108">
        <v>264.8725636721183</v>
      </c>
      <c r="L32" s="108">
        <v>2.6451144743432839E-2</v>
      </c>
      <c r="M32" s="102">
        <f t="shared" ref="M32:M39" si="15">0.095*G32</f>
        <v>0.12137431216931216</v>
      </c>
      <c r="N32" s="88">
        <v>1</v>
      </c>
      <c r="O32" s="88">
        <v>8</v>
      </c>
      <c r="P32" s="367">
        <v>30</v>
      </c>
      <c r="Q32" s="26">
        <f t="shared" ref="Q32:Y39" si="16">(E32*$N32*$O32)</f>
        <v>2.2349942518899653</v>
      </c>
      <c r="R32" s="26">
        <f t="shared" si="16"/>
        <v>6.5664902998236334</v>
      </c>
      <c r="S32" s="26">
        <f t="shared" si="16"/>
        <v>10.220994708994708</v>
      </c>
      <c r="T32" s="26">
        <f t="shared" si="16"/>
        <v>2.0798470827107011E-2</v>
      </c>
      <c r="U32" s="26">
        <f t="shared" si="16"/>
        <v>0.3788359788359788</v>
      </c>
      <c r="V32" s="26">
        <f t="shared" si="16"/>
        <v>0.33716402116402117</v>
      </c>
      <c r="W32" s="26">
        <f t="shared" si="16"/>
        <v>2118.9805093769464</v>
      </c>
      <c r="X32" s="26">
        <f t="shared" si="16"/>
        <v>0.21160915794746271</v>
      </c>
      <c r="Y32" s="26">
        <f t="shared" si="16"/>
        <v>0.97099449735449728</v>
      </c>
    </row>
    <row r="33" spans="1:32" s="3" customFormat="1">
      <c r="A33" s="100" t="s">
        <v>121</v>
      </c>
      <c r="B33" s="29" t="s">
        <v>27</v>
      </c>
      <c r="C33" s="22">
        <v>162</v>
      </c>
      <c r="D33" s="22">
        <v>0.41</v>
      </c>
      <c r="E33" s="108">
        <v>0.12153885438656534</v>
      </c>
      <c r="F33" s="397">
        <f>IF($C33&lt;11,'Offroad Tiers EF (2)'!$AN$4*$C33*$D33,IF($C33&lt;25,'Offroad Tiers EF (2)'!$AN$5*$C33*$D33,IF($C33&lt;50,'Offroad Tiers EF (2)'!$AN$6*$C33*$D33,IF($C33&lt;75,'Offroad Tiers EF (2)'!$AN$7*$C33*$D33,IF($C33&lt;100,'Offroad Tiers EF (2)'!$AN$8*$C33*$D33,IF($C33&lt;175,'Offroad Tiers EF (2)'!$AN$9*$C33*$D33,IF($C33&lt;300,'Offroad Tiers EF (2)'!$AN$10*$C33*$D33,IF($C33&lt;600,'Offroad Tiers EF (2)'!$AN$11*$C33*$D33,"!"))))))))</f>
        <v>0.5417857142857142</v>
      </c>
      <c r="G33" s="397">
        <f>IF($C33&lt;11,'Offroad Tiers EF (2)'!$AM$4*$C33*$D33,IF($C33&lt;25,'Offroad Tiers EF (2)'!$AM$5*$C33*$D33,IF($C33&lt;50,'Offroad Tiers EF (2)'!$AM$6*$C33*$D33,IF($C33&lt;75,'Offroad Tiers EF (2)'!$AM$7*$C33*$D33,IF($C33&lt;100,'Offroad Tiers EF (2)'!$AM$8*$C33*$D33,IF($C33&lt;175,'Offroad Tiers EF (2)'!$AM$9*$C33*$D33,IF($C33&lt;300,'Offroad Tiers EF (2)'!$AM$10*$C33*$D33,IF($C33&lt;600,'Offroad Tiers EF (2)'!$AM$11*$C33*$D33,"!"))))))))</f>
        <v>0.60233392857142853</v>
      </c>
      <c r="H33" s="108">
        <v>1.3943296443626662E-3</v>
      </c>
      <c r="I33" s="397">
        <f>IF($C33&lt;11,'Offroad Tiers EF (2)'!$AO$4*$C33*$D33,IF($C33&lt;25,'Offroad Tiers EF (2)'!$AO$5*$C33*$D33,IF($C33&lt;50,'Offroad Tiers EF (2)'!$AO$6*$C33*$D33,IF($C33&lt;75,'Offroad Tiers EF (2)'!$AO$7*$C33*$D33,IF($C33&lt;100,'Offroad Tiers EF (2)'!$AO$8*$C33*$D33,IF($C33&lt;175,'Offroad Tiers EF (2)'!$AO$9*$C33*$D33,IF($C33&lt;300,'Offroad Tiers EF (2)'!$AO$10*$C33*$D33,IF($C33&lt;600,'Offroad Tiers EF (2)'!$AO$11*$C33*$D33,"!"))))))))</f>
        <v>3.2214285714285709E-2</v>
      </c>
      <c r="J33" s="100">
        <f t="shared" si="14"/>
        <v>2.8670714285714282E-2</v>
      </c>
      <c r="K33" s="365">
        <v>123.92149503712022</v>
      </c>
      <c r="L33" s="23">
        <v>1.1720218383966691E-2</v>
      </c>
      <c r="M33" s="102">
        <f t="shared" si="15"/>
        <v>5.7221723214285709E-2</v>
      </c>
      <c r="N33" s="88">
        <v>1</v>
      </c>
      <c r="O33" s="88">
        <v>8</v>
      </c>
      <c r="P33" s="367">
        <v>30</v>
      </c>
      <c r="Q33" s="26">
        <f t="shared" si="16"/>
        <v>0.9723108350925227</v>
      </c>
      <c r="R33" s="26">
        <f t="shared" si="16"/>
        <v>4.3342857142857136</v>
      </c>
      <c r="S33" s="26">
        <f t="shared" si="16"/>
        <v>4.8186714285714283</v>
      </c>
      <c r="T33" s="26">
        <f t="shared" si="16"/>
        <v>1.115463715490133E-2</v>
      </c>
      <c r="U33" s="26">
        <f t="shared" si="16"/>
        <v>0.25771428571428567</v>
      </c>
      <c r="V33" s="26">
        <f t="shared" si="16"/>
        <v>0.22936571428571426</v>
      </c>
      <c r="W33" s="26">
        <f t="shared" si="16"/>
        <v>991.37196029696179</v>
      </c>
      <c r="X33" s="26">
        <f t="shared" si="16"/>
        <v>9.3761747071733528E-2</v>
      </c>
      <c r="Y33" s="26">
        <f t="shared" si="16"/>
        <v>0.45777378571428567</v>
      </c>
    </row>
    <row r="34" spans="1:32" s="3" customFormat="1">
      <c r="A34" s="100" t="s">
        <v>124</v>
      </c>
      <c r="B34" s="29" t="s">
        <v>27</v>
      </c>
      <c r="C34" s="97">
        <v>87</v>
      </c>
      <c r="D34" s="22">
        <v>0.37</v>
      </c>
      <c r="E34" s="102">
        <v>7.7253202863558038E-2</v>
      </c>
      <c r="F34" s="397">
        <f>IF($C34&lt;11,'Offroad Tiers EF (2)'!$AN$4*$C34*$D34,IF($C34&lt;25,'Offroad Tiers EF (2)'!$AN$5*$C34*$D34,IF($C34&lt;50,'Offroad Tiers EF (2)'!$AN$6*$C34*$D34,IF($C34&lt;75,'Offroad Tiers EF (2)'!$AN$7*$C34*$D34,IF($C34&lt;100,'Offroad Tiers EF (2)'!$AN$8*$C34*$D34,IF($C34&lt;175,'Offroad Tiers EF (2)'!$AN$9*$C34*$D34,IF($C34&lt;300,'Offroad Tiers EF (2)'!$AN$10*$C34*$D34,IF($C34&lt;600,'Offroad Tiers EF (2)'!$AN$11*$C34*$D34,"!"))))))))</f>
        <v>0.26257275132275132</v>
      </c>
      <c r="G34" s="397">
        <f>IF($C34&lt;11,'Offroad Tiers EF (2)'!$AM$4*$C34*$D34,IF($C34&lt;25,'Offroad Tiers EF (2)'!$AM$5*$C34*$D34,IF($C34&lt;50,'Offroad Tiers EF (2)'!$AM$6*$C34*$D34,IF($C34&lt;75,'Offroad Tiers EF (2)'!$AM$7*$C34*$D34,IF($C34&lt;100,'Offroad Tiers EF (2)'!$AM$8*$C34*$D34,IF($C34&lt;175,'Offroad Tiers EF (2)'!$AM$9*$C34*$D34,IF($C34&lt;300,'Offroad Tiers EF (2)'!$AM$10*$C34*$D34,IF($C34&lt;600,'Offroad Tiers EF (2)'!$AM$11*$C34*$D34,"!"))))))))</f>
        <v>0.33506412037037031</v>
      </c>
      <c r="H34" s="102">
        <v>6.910856115004858E-4</v>
      </c>
      <c r="I34" s="397">
        <f>IF($C34&lt;11,'Offroad Tiers EF (2)'!$AO$4*$C34*$D34,IF($C34&lt;25,'Offroad Tiers EF (2)'!$AO$5*$C34*$D34,IF($C34&lt;50,'Offroad Tiers EF (2)'!$AO$6*$C34*$D34,IF($C34&lt;75,'Offroad Tiers EF (2)'!$AO$7*$C34*$D34,IF($C34&lt;100,'Offroad Tiers EF (2)'!$AO$8*$C34*$D34,IF($C34&lt;175,'Offroad Tiers EF (2)'!$AO$9*$C34*$D34,IF($C34&lt;300,'Offroad Tiers EF (2)'!$AO$10*$C34*$D34,IF($C34&lt;600,'Offroad Tiers EF (2)'!$AO$11*$C34*$D34,"!"))))))))</f>
        <v>2.1289682539682539E-2</v>
      </c>
      <c r="J34" s="100">
        <f t="shared" si="14"/>
        <v>1.894781746031746E-2</v>
      </c>
      <c r="K34" s="103">
        <v>58.913505111712794</v>
      </c>
      <c r="L34" s="102">
        <v>7.5344751889799754E-3</v>
      </c>
      <c r="M34" s="102">
        <f t="shared" si="15"/>
        <v>3.1831091435185178E-2</v>
      </c>
      <c r="N34" s="88">
        <v>1</v>
      </c>
      <c r="O34" s="88">
        <v>8</v>
      </c>
      <c r="P34" s="367">
        <v>30</v>
      </c>
      <c r="Q34" s="26">
        <f t="shared" si="16"/>
        <v>0.6180256229084643</v>
      </c>
      <c r="R34" s="26">
        <f t="shared" si="16"/>
        <v>2.1005820105820106</v>
      </c>
      <c r="S34" s="26">
        <f t="shared" si="16"/>
        <v>2.6805129629629625</v>
      </c>
      <c r="T34" s="26">
        <f t="shared" si="16"/>
        <v>5.5286848920038864E-3</v>
      </c>
      <c r="U34" s="26">
        <f t="shared" si="16"/>
        <v>0.17031746031746031</v>
      </c>
      <c r="V34" s="26">
        <f t="shared" si="16"/>
        <v>0.15158253968253968</v>
      </c>
      <c r="W34" s="26">
        <f t="shared" si="16"/>
        <v>471.30804089370235</v>
      </c>
      <c r="X34" s="26">
        <f t="shared" si="16"/>
        <v>6.0275801511839804E-2</v>
      </c>
      <c r="Y34" s="26">
        <f t="shared" si="16"/>
        <v>0.25464873148148143</v>
      </c>
    </row>
    <row r="35" spans="1:32" s="3" customFormat="1">
      <c r="A35" s="100" t="s">
        <v>122</v>
      </c>
      <c r="B35" s="29" t="s">
        <v>27</v>
      </c>
      <c r="C35" s="22">
        <v>356</v>
      </c>
      <c r="D35" s="22">
        <v>0.48</v>
      </c>
      <c r="E35" s="108">
        <v>0.27361983606105278</v>
      </c>
      <c r="F35" s="397">
        <f>IF($C35&lt;11,'Offroad Tiers EF (2)'!$AN$4*$C35*$D35,IF($C35&lt;25,'Offroad Tiers EF (2)'!$AN$5*$C35*$D35,IF($C35&lt;50,'Offroad Tiers EF (2)'!$AN$6*$C35*$D35,IF($C35&lt;75,'Offroad Tiers EF (2)'!$AN$7*$C35*$D35,IF($C35&lt;100,'Offroad Tiers EF (2)'!$AN$8*$C35*$D35,IF($C35&lt;175,'Offroad Tiers EF (2)'!$AN$9*$C35*$D35,IF($C35&lt;300,'Offroad Tiers EF (2)'!$AN$10*$C35*$D35,IF($C35&lt;600,'Offroad Tiers EF (2)'!$AN$11*$C35*$D35,"!"))))))))</f>
        <v>0.97947089947089949</v>
      </c>
      <c r="G35" s="397">
        <f>IF($C35&lt;11,'Offroad Tiers EF (2)'!$AM$4*$C35*$D35,IF($C35&lt;25,'Offroad Tiers EF (2)'!$AM$5*$C35*$D35,IF($C35&lt;50,'Offroad Tiers EF (2)'!$AM$6*$C35*$D35,IF($C35&lt;75,'Offroad Tiers EF (2)'!$AM$7*$C35*$D35,IF($C35&lt;100,'Offroad Tiers EF (2)'!$AM$8*$C35*$D35,IF($C35&lt;175,'Offroad Tiers EF (2)'!$AM$9*$C35*$D35,IF($C35&lt;300,'Offroad Tiers EF (2)'!$AM$10*$C35*$D35,IF($C35&lt;600,'Offroad Tiers EF (2)'!$AM$11*$C35*$D35,"!"))))))))</f>
        <v>1.5245841269841265</v>
      </c>
      <c r="H35" s="108">
        <v>3.1549250027299411E-3</v>
      </c>
      <c r="I35" s="397">
        <f>IF($C35&lt;11,'Offroad Tiers EF (2)'!$AO$4*$C35*$D35,IF($C35&lt;25,'Offroad Tiers EF (2)'!$AO$5*$C35*$D35,IF($C35&lt;50,'Offroad Tiers EF (2)'!$AO$6*$C35*$D35,IF($C35&lt;75,'Offroad Tiers EF (2)'!$AO$7*$C35*$D35,IF($C35&lt;100,'Offroad Tiers EF (2)'!$AO$8*$C35*$D35,IF($C35&lt;175,'Offroad Tiers EF (2)'!$AO$9*$C35*$D35,IF($C35&lt;300,'Offroad Tiers EF (2)'!$AO$10*$C35*$D35,IF($C35&lt;600,'Offroad Tiers EF (2)'!$AO$11*$C35*$D35,"!"))))))))</f>
        <v>5.65079365079365E-2</v>
      </c>
      <c r="J35" s="100">
        <f t="shared" si="14"/>
        <v>5.0292063492063485E-2</v>
      </c>
      <c r="K35" s="108">
        <v>321.42842594638495</v>
      </c>
      <c r="L35" s="108">
        <v>2.6010420981454316E-2</v>
      </c>
      <c r="M35" s="102">
        <f t="shared" si="15"/>
        <v>0.14483549206349203</v>
      </c>
      <c r="N35" s="98">
        <v>2</v>
      </c>
      <c r="O35" s="98">
        <v>8</v>
      </c>
      <c r="P35" s="99">
        <f>2*22</f>
        <v>44</v>
      </c>
      <c r="Q35" s="34">
        <f t="shared" si="16"/>
        <v>4.3779173769768445</v>
      </c>
      <c r="R35" s="26">
        <f t="shared" si="16"/>
        <v>15.671534391534392</v>
      </c>
      <c r="S35" s="26">
        <f t="shared" si="16"/>
        <v>24.393346031746024</v>
      </c>
      <c r="T35" s="26">
        <f t="shared" si="16"/>
        <v>5.0478800043679058E-2</v>
      </c>
      <c r="U35" s="26">
        <f t="shared" si="16"/>
        <v>0.904126984126984</v>
      </c>
      <c r="V35" s="26">
        <f t="shared" si="16"/>
        <v>0.80467301587301576</v>
      </c>
      <c r="W35" s="26">
        <f t="shared" si="16"/>
        <v>5142.8548151421592</v>
      </c>
      <c r="X35" s="26">
        <f t="shared" si="16"/>
        <v>0.41616673570326906</v>
      </c>
      <c r="Y35" s="26">
        <f t="shared" si="16"/>
        <v>2.3173678730158724</v>
      </c>
    </row>
    <row r="36" spans="1:32" s="3" customFormat="1">
      <c r="A36" s="100" t="s">
        <v>123</v>
      </c>
      <c r="B36" s="29" t="s">
        <v>27</v>
      </c>
      <c r="C36" s="22">
        <v>84</v>
      </c>
      <c r="D36" s="22">
        <v>0.38</v>
      </c>
      <c r="E36" s="102">
        <v>7.9534395197012789E-2</v>
      </c>
      <c r="F36" s="397">
        <f>IF($C36&lt;11,'Offroad Tiers EF (2)'!$AN$4*$C36*$D36,IF($C36&lt;25,'Offroad Tiers EF (2)'!$AN$5*$C36*$D36,IF($C36&lt;50,'Offroad Tiers EF (2)'!$AN$6*$C36*$D36,IF($C36&lt;75,'Offroad Tiers EF (2)'!$AN$7*$C36*$D36,IF($C36&lt;100,'Offroad Tiers EF (2)'!$AN$8*$C36*$D36,IF($C36&lt;175,'Offroad Tiers EF (2)'!$AN$9*$C36*$D36,IF($C36&lt;300,'Offroad Tiers EF (2)'!$AN$10*$C36*$D36,IF($C36&lt;600,'Offroad Tiers EF (2)'!$AN$11*$C36*$D36,"!"))))))))</f>
        <v>0.26037037037037036</v>
      </c>
      <c r="G36" s="397">
        <f>IF($C36&lt;11,'Offroad Tiers EF (2)'!$AM$4*$C36*$D36,IF($C36&lt;25,'Offroad Tiers EF (2)'!$AM$5*$C36*$D36,IF($C36&lt;50,'Offroad Tiers EF (2)'!$AM$6*$C36*$D36,IF($C36&lt;75,'Offroad Tiers EF (2)'!$AM$7*$C36*$D36,IF($C36&lt;100,'Offroad Tiers EF (2)'!$AM$8*$C36*$D36,IF($C36&lt;175,'Offroad Tiers EF (2)'!$AM$9*$C36*$D36,IF($C36&lt;300,'Offroad Tiers EF (2)'!$AM$10*$C36*$D36,IF($C36&lt;600,'Offroad Tiers EF (2)'!$AM$11*$C36*$D36,"!"))))))))</f>
        <v>0.33225370370370361</v>
      </c>
      <c r="H36" s="102">
        <v>6.9196834691909377E-4</v>
      </c>
      <c r="I36" s="397">
        <f>IF($C36&lt;11,'Offroad Tiers EF (2)'!$AO$4*$C36*$D36,IF($C36&lt;25,'Offroad Tiers EF (2)'!$AO$5*$C36*$D36,IF($C36&lt;50,'Offroad Tiers EF (2)'!$AO$6*$C36*$D36,IF($C36&lt;75,'Offroad Tiers EF (2)'!$AO$7*$C36*$D36,IF($C36&lt;100,'Offroad Tiers EF (2)'!$AO$8*$C36*$D36,IF($C36&lt;175,'Offroad Tiers EF (2)'!$AO$9*$C36*$D36,IF($C36&lt;300,'Offroad Tiers EF (2)'!$AO$10*$C36*$D36,IF($C36&lt;600,'Offroad Tiers EF (2)'!$AO$11*$C36*$D36,"!"))))))))</f>
        <v>2.1111111111111112E-2</v>
      </c>
      <c r="J36" s="100">
        <f t="shared" si="14"/>
        <v>1.878888888888889E-2</v>
      </c>
      <c r="K36" s="103">
        <v>58.988746640295226</v>
      </c>
      <c r="L36" s="102">
        <v>7.7311979659905822E-3</v>
      </c>
      <c r="M36" s="102">
        <f t="shared" si="15"/>
        <v>3.1564101851851843E-2</v>
      </c>
      <c r="N36" s="363">
        <v>1</v>
      </c>
      <c r="O36" s="87">
        <v>8</v>
      </c>
      <c r="P36" s="363">
        <v>75</v>
      </c>
      <c r="Q36" s="34">
        <f t="shared" si="16"/>
        <v>0.63627516157610231</v>
      </c>
      <c r="R36" s="26">
        <f t="shared" si="16"/>
        <v>2.0829629629629629</v>
      </c>
      <c r="S36" s="26">
        <f t="shared" si="16"/>
        <v>2.6580296296296289</v>
      </c>
      <c r="T36" s="26">
        <f t="shared" si="16"/>
        <v>5.5357467753527501E-3</v>
      </c>
      <c r="U36" s="26">
        <f t="shared" si="16"/>
        <v>0.16888888888888889</v>
      </c>
      <c r="V36" s="26">
        <f t="shared" si="16"/>
        <v>0.15031111111111112</v>
      </c>
      <c r="W36" s="26">
        <f t="shared" si="16"/>
        <v>471.90997312236181</v>
      </c>
      <c r="X36" s="26">
        <f t="shared" si="16"/>
        <v>6.1849583727924658E-2</v>
      </c>
      <c r="Y36" s="26">
        <f t="shared" si="16"/>
        <v>0.25251281481481475</v>
      </c>
    </row>
    <row r="37" spans="1:32" s="3" customFormat="1">
      <c r="A37" s="100" t="s">
        <v>126</v>
      </c>
      <c r="B37" s="29" t="s">
        <v>27</v>
      </c>
      <c r="C37" s="22">
        <v>175</v>
      </c>
      <c r="D37" s="22"/>
      <c r="E37" s="102">
        <v>0.11792220738547983</v>
      </c>
      <c r="F37" s="102">
        <v>0.36512193352152528</v>
      </c>
      <c r="G37" s="102">
        <v>0.86781464282266541</v>
      </c>
      <c r="H37" s="102">
        <v>1.8739217498104396E-3</v>
      </c>
      <c r="I37" s="102">
        <v>2.9041712295589866E-2</v>
      </c>
      <c r="J37" s="100">
        <f t="shared" si="14"/>
        <v>2.5847123943074982E-2</v>
      </c>
      <c r="K37" s="103">
        <v>166.54541562452522</v>
      </c>
      <c r="L37" s="102">
        <v>1.063993297769634E-2</v>
      </c>
      <c r="M37" s="104">
        <f t="shared" si="15"/>
        <v>8.2442391068153209E-2</v>
      </c>
      <c r="N37" s="88">
        <v>1</v>
      </c>
      <c r="O37" s="88">
        <v>8</v>
      </c>
      <c r="P37" s="367">
        <v>30</v>
      </c>
      <c r="Q37" s="26">
        <f t="shared" si="16"/>
        <v>0.94337765908383864</v>
      </c>
      <c r="R37" s="26">
        <f t="shared" si="16"/>
        <v>2.9209754681722022</v>
      </c>
      <c r="S37" s="26">
        <f t="shared" si="16"/>
        <v>6.9425171425813232</v>
      </c>
      <c r="T37" s="26">
        <f t="shared" si="16"/>
        <v>1.4991373998483517E-2</v>
      </c>
      <c r="U37" s="26">
        <f t="shared" si="16"/>
        <v>0.23233369836471893</v>
      </c>
      <c r="V37" s="26">
        <f t="shared" si="16"/>
        <v>0.20677699154459986</v>
      </c>
      <c r="W37" s="26">
        <f t="shared" si="16"/>
        <v>1332.3633249962018</v>
      </c>
      <c r="X37" s="26">
        <f t="shared" si="16"/>
        <v>8.5119463821570721E-2</v>
      </c>
      <c r="Y37" s="26">
        <f t="shared" si="16"/>
        <v>0.65953912854522567</v>
      </c>
    </row>
    <row r="38" spans="1:32" s="3" customFormat="1">
      <c r="A38" s="24" t="s">
        <v>280</v>
      </c>
      <c r="B38" s="29" t="s">
        <v>27</v>
      </c>
      <c r="C38" s="22">
        <v>87</v>
      </c>
      <c r="D38" s="22">
        <v>0.36</v>
      </c>
      <c r="E38" s="108">
        <v>5.2437519504869065E-2</v>
      </c>
      <c r="F38" s="397">
        <f>IF($C38&lt;11,'Offroad Tiers EF (2)'!$AN$4*$C38*$D38,IF($C38&lt;25,'Offroad Tiers EF (2)'!$AN$5*$C38*$D38,IF($C38&lt;50,'Offroad Tiers EF (2)'!$AN$6*$C38*$D38,IF($C38&lt;75,'Offroad Tiers EF (2)'!$AN$7*$C38*$D38,IF($C38&lt;100,'Offroad Tiers EF (2)'!$AN$8*$C38*$D38,IF($C38&lt;175,'Offroad Tiers EF (2)'!$AN$9*$C38*$D38,IF($C38&lt;300,'Offroad Tiers EF (2)'!$AN$10*$C38*$D38,IF($C38&lt;600,'Offroad Tiers EF (2)'!$AN$11*$C38*$D38,"!"))))))))</f>
        <v>0.25547619047619047</v>
      </c>
      <c r="G38" s="397">
        <f>IF($C38&lt;11,'Offroad Tiers EF (2)'!$AM$4*$C38*$D38,IF($C38&lt;25,'Offroad Tiers EF (2)'!$AM$5*$C38*$D38,IF($C38&lt;50,'Offroad Tiers EF (2)'!$AM$6*$C38*$D38,IF($C38&lt;75,'Offroad Tiers EF (2)'!$AM$7*$C38*$D38,IF($C38&lt;100,'Offroad Tiers EF (2)'!$AM$8*$C38*$D38,IF($C38&lt;175,'Offroad Tiers EF (2)'!$AM$9*$C38*$D38,IF($C38&lt;300,'Offroad Tiers EF (2)'!$AM$10*$C38*$D38,IF($C38&lt;600,'Offroad Tiers EF (2)'!$AM$11*$C38*$D38,"!"))))))))</f>
        <v>0.32600833333333323</v>
      </c>
      <c r="H38" s="108">
        <v>6.0679618797898508E-4</v>
      </c>
      <c r="I38" s="397">
        <f>IF($C38&lt;11,'Offroad Tiers EF (2)'!$AO$4*$C38*$D38,IF($C38&lt;25,'Offroad Tiers EF (2)'!$AO$5*$C38*$D38,IF($C38&lt;50,'Offroad Tiers EF (2)'!$AO$6*$C38*$D38,IF($C38&lt;75,'Offroad Tiers EF (2)'!$AO$7*$C38*$D38,IF($C38&lt;100,'Offroad Tiers EF (2)'!$AO$8*$C38*$D38,IF($C38&lt;175,'Offroad Tiers EF (2)'!$AO$9*$C38*$D38,IF($C38&lt;300,'Offroad Tiers EF (2)'!$AO$10*$C38*$D38,IF($C38&lt;600,'Offroad Tiers EF (2)'!$AO$11*$C38*$D38,"!"))))))))</f>
        <v>2.0714285714285713E-2</v>
      </c>
      <c r="J38" s="100">
        <v>1.8435714285714284E-2</v>
      </c>
      <c r="K38" s="108">
        <v>51.728016924248784</v>
      </c>
      <c r="L38" s="108">
        <v>5.2037096026823848E-3</v>
      </c>
      <c r="M38" s="102">
        <v>3.0970791666666657E-2</v>
      </c>
      <c r="N38" s="98">
        <v>1</v>
      </c>
      <c r="O38" s="87">
        <v>8</v>
      </c>
      <c r="P38" s="363">
        <v>15</v>
      </c>
      <c r="Q38" s="34">
        <f t="shared" si="16"/>
        <v>0.41950015603895252</v>
      </c>
      <c r="R38" s="26">
        <f t="shared" si="16"/>
        <v>2.0438095238095237</v>
      </c>
      <c r="S38" s="26">
        <f t="shared" si="16"/>
        <v>2.6080666666666659</v>
      </c>
      <c r="T38" s="26">
        <f t="shared" si="16"/>
        <v>4.8543695038318806E-3</v>
      </c>
      <c r="U38" s="26">
        <f t="shared" si="16"/>
        <v>0.1657142857142857</v>
      </c>
      <c r="V38" s="26">
        <f t="shared" si="16"/>
        <v>0.14748571428571428</v>
      </c>
      <c r="W38" s="26">
        <f t="shared" si="16"/>
        <v>413.82413539399028</v>
      </c>
      <c r="X38" s="26">
        <f t="shared" si="16"/>
        <v>4.1629676821459079E-2</v>
      </c>
      <c r="Y38" s="26">
        <f t="shared" si="16"/>
        <v>0.24776633333333326</v>
      </c>
    </row>
    <row r="39" spans="1:32" s="6" customFormat="1">
      <c r="A39" s="100" t="s">
        <v>293</v>
      </c>
      <c r="B39" s="29" t="s">
        <v>27</v>
      </c>
      <c r="C39" s="97">
        <v>157</v>
      </c>
      <c r="D39" s="22">
        <v>0.38</v>
      </c>
      <c r="E39" s="550">
        <v>9.7211873502789536E-2</v>
      </c>
      <c r="F39" s="397">
        <f>IF($C39&lt;11,'Offroad Tiers EF (2)'!$AN$4*$C39*$D39,IF($C39&lt;25,'Offroad Tiers EF (2)'!$AN$5*$C39*$D39,IF($C39&lt;50,'Offroad Tiers EF (2)'!$AN$6*$C39*$D39,IF($C39&lt;75,'Offroad Tiers EF (2)'!$AN$7*$C39*$D39,IF($C39&lt;100,'Offroad Tiers EF (2)'!$AN$8*$C39*$D39,IF($C39&lt;175,'Offroad Tiers EF (2)'!$AN$9*$C39*$D39,IF($C39&lt;300,'Offroad Tiers EF (2)'!$AN$10*$C39*$D39,IF($C39&lt;600,'Offroad Tiers EF (2)'!$AN$11*$C39*$D39,"!"))))))))</f>
        <v>0.48664462081128745</v>
      </c>
      <c r="G39" s="397">
        <f>IF($C39&lt;11,'Offroad Tiers EF (2)'!$AM$4*$C39*$D39,IF($C39&lt;25,'Offroad Tiers EF (2)'!$AM$5*$C39*$D39,IF($C39&lt;50,'Offroad Tiers EF (2)'!$AM$6*$C39*$D39,IF($C39&lt;75,'Offroad Tiers EF (2)'!$AM$7*$C39*$D39,IF($C39&lt;100,'Offroad Tiers EF (2)'!$AM$8*$C39*$D39,IF($C39&lt;175,'Offroad Tiers EF (2)'!$AM$9*$C39*$D39,IF($C39&lt;300,'Offroad Tiers EF (2)'!$AM$10*$C39*$D39,IF($C39&lt;600,'Offroad Tiers EF (2)'!$AM$11*$C39*$D39,"!"))))))))</f>
        <v>0.54103044532627864</v>
      </c>
      <c r="H39" s="550">
        <v>1.2626852382997586E-3</v>
      </c>
      <c r="I39" s="397">
        <f>IF($C39&lt;11,'Offroad Tiers EF (2)'!$AO$4*$C39*$D39,IF($C39&lt;25,'Offroad Tiers EF (2)'!$AO$5*$C39*$D39,IF($C39&lt;50,'Offroad Tiers EF (2)'!$AO$6*$C39*$D39,IF($C39&lt;75,'Offroad Tiers EF (2)'!$AO$7*$C39*$D39,IF($C39&lt;100,'Offroad Tiers EF (2)'!$AO$8*$C39*$D39,IF($C39&lt;175,'Offroad Tiers EF (2)'!$AO$9*$C39*$D39,IF($C39&lt;300,'Offroad Tiers EF (2)'!$AO$10*$C39*$D39,IF($C39&lt;600,'Offroad Tiers EF (2)'!$AO$11*$C39*$D39,"!"))))))))</f>
        <v>2.8935626102292767E-2</v>
      </c>
      <c r="J39" s="551">
        <f t="shared" si="14"/>
        <v>2.5752707231040561E-2</v>
      </c>
      <c r="K39" s="552">
        <v>112.22156581723891</v>
      </c>
      <c r="L39" s="111">
        <v>9.4890670020510905E-3</v>
      </c>
      <c r="M39" s="553">
        <f t="shared" si="15"/>
        <v>5.1397892305996472E-2</v>
      </c>
      <c r="N39" s="554">
        <v>2</v>
      </c>
      <c r="O39" s="88">
        <v>2</v>
      </c>
      <c r="P39" s="88">
        <v>15</v>
      </c>
      <c r="Q39" s="26">
        <f t="shared" si="16"/>
        <v>0.38884749401115815</v>
      </c>
      <c r="R39" s="26">
        <f t="shared" si="16"/>
        <v>1.9465784832451498</v>
      </c>
      <c r="S39" s="26">
        <f t="shared" si="16"/>
        <v>2.1641217813051146</v>
      </c>
      <c r="T39" s="26">
        <f t="shared" si="16"/>
        <v>5.0507409531990342E-3</v>
      </c>
      <c r="U39" s="26">
        <f t="shared" si="16"/>
        <v>0.11574250440917107</v>
      </c>
      <c r="V39" s="26">
        <f t="shared" si="16"/>
        <v>0.10301082892416225</v>
      </c>
      <c r="W39" s="26">
        <f t="shared" si="16"/>
        <v>448.88626326895564</v>
      </c>
      <c r="X39" s="26">
        <f t="shared" si="16"/>
        <v>3.7956268008204362E-2</v>
      </c>
      <c r="Y39" s="26">
        <f t="shared" si="16"/>
        <v>0.20559156922398589</v>
      </c>
      <c r="AF39" s="7"/>
    </row>
    <row r="40" spans="1:32">
      <c r="A40" s="17" t="s">
        <v>28</v>
      </c>
      <c r="B40" s="29"/>
      <c r="C40" s="22"/>
      <c r="D40" s="22"/>
      <c r="E40" s="23"/>
      <c r="F40" s="23"/>
      <c r="G40" s="23"/>
      <c r="H40" s="23"/>
      <c r="I40" s="23"/>
      <c r="J40" s="100"/>
      <c r="K40" s="365"/>
      <c r="L40" s="23"/>
      <c r="M40" s="102"/>
      <c r="N40" s="30"/>
      <c r="O40" s="98"/>
      <c r="P40" s="363"/>
      <c r="Q40" s="101">
        <f t="shared" ref="Q40:Y40" si="17">SUM(Q31:Q39)</f>
        <v>10.591248557577847</v>
      </c>
      <c r="R40" s="101">
        <f t="shared" si="17"/>
        <v>37.667218854415587</v>
      </c>
      <c r="S40" s="101">
        <f t="shared" si="17"/>
        <v>56.486260352457855</v>
      </c>
      <c r="T40" s="101">
        <f t="shared" si="17"/>
        <v>0.11839282414855846</v>
      </c>
      <c r="U40" s="101">
        <f t="shared" si="17"/>
        <v>2.3936740863717731</v>
      </c>
      <c r="V40" s="101">
        <f t="shared" si="17"/>
        <v>2.1303699368708786</v>
      </c>
      <c r="W40" s="101">
        <f t="shared" si="17"/>
        <v>11391.49902249128</v>
      </c>
      <c r="X40" s="101">
        <f t="shared" si="17"/>
        <v>1.008368434613464</v>
      </c>
      <c r="Y40" s="101">
        <f t="shared" si="17"/>
        <v>5.3661947334834963</v>
      </c>
    </row>
    <row r="41" spans="1:32">
      <c r="A41" s="17" t="s">
        <v>365</v>
      </c>
      <c r="B41" s="571"/>
      <c r="C41" s="18"/>
      <c r="D41" s="22"/>
      <c r="E41" s="19"/>
      <c r="F41" s="19"/>
      <c r="G41" s="19"/>
      <c r="H41" s="19"/>
      <c r="I41" s="19"/>
      <c r="J41" s="19"/>
      <c r="K41" s="19"/>
      <c r="L41" s="19"/>
      <c r="M41" s="19"/>
      <c r="N41" s="30"/>
      <c r="O41" s="30"/>
      <c r="P41" s="364"/>
      <c r="Q41" s="20">
        <f t="shared" ref="Q41:Y41" si="18">Q11+Q20+Q29+Q40</f>
        <v>27.295999639716207</v>
      </c>
      <c r="R41" s="20">
        <f t="shared" si="18"/>
        <v>97.793055871302528</v>
      </c>
      <c r="S41" s="20">
        <f t="shared" si="18"/>
        <v>153.91963099037409</v>
      </c>
      <c r="T41" s="20">
        <f t="shared" si="18"/>
        <v>0.34044224752498659</v>
      </c>
      <c r="U41" s="20">
        <f t="shared" si="18"/>
        <v>6.5230315568048898</v>
      </c>
      <c r="V41" s="20">
        <f t="shared" si="18"/>
        <v>5.8054980855563532</v>
      </c>
      <c r="W41" s="20">
        <f t="shared" si="18"/>
        <v>32384.407771965431</v>
      </c>
      <c r="X41" s="20">
        <f t="shared" si="18"/>
        <v>2.5948813157252513</v>
      </c>
      <c r="Y41" s="20">
        <f t="shared" si="18"/>
        <v>14.622364944085536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9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588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314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8</v>
      </c>
      <c r="P8" s="88">
        <v>125</v>
      </c>
      <c r="Q8" s="34">
        <f t="shared" ref="Q8:Y10" si="2">(E8*$N8*$O8)</f>
        <v>0.49946184642775621</v>
      </c>
      <c r="R8" s="26">
        <f t="shared" si="2"/>
        <v>2.4431746031746027</v>
      </c>
      <c r="S8" s="26">
        <f t="shared" si="2"/>
        <v>3.1176888888888881</v>
      </c>
      <c r="T8" s="26">
        <f t="shared" si="2"/>
        <v>4.4060015200662857E-3</v>
      </c>
      <c r="U8" s="26">
        <f t="shared" si="2"/>
        <v>0.19809523809523807</v>
      </c>
      <c r="V8" s="26">
        <f t="shared" si="2"/>
        <v>0.17630476190476188</v>
      </c>
      <c r="W8" s="26">
        <f t="shared" si="2"/>
        <v>375.60183859341714</v>
      </c>
      <c r="X8" s="26">
        <f t="shared" si="2"/>
        <v>5.4697471816927752E-2</v>
      </c>
      <c r="Y8" s="26">
        <f t="shared" si="2"/>
        <v>0.29618044444444436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9</v>
      </c>
      <c r="P9" s="363">
        <v>125</v>
      </c>
      <c r="Q9" s="34">
        <f t="shared" si="2"/>
        <v>1.0612998664693185</v>
      </c>
      <c r="R9" s="26">
        <f t="shared" si="2"/>
        <v>3.2860974016937274</v>
      </c>
      <c r="S9" s="26">
        <f t="shared" si="2"/>
        <v>7.8103317854039886</v>
      </c>
      <c r="T9" s="26">
        <f t="shared" si="2"/>
        <v>1.6865295748293957E-2</v>
      </c>
      <c r="U9" s="26">
        <f t="shared" si="2"/>
        <v>0.26137541066030878</v>
      </c>
      <c r="V9" s="26">
        <f t="shared" si="2"/>
        <v>0.23262411548767484</v>
      </c>
      <c r="W9" s="26">
        <f t="shared" si="2"/>
        <v>1498.908740620727</v>
      </c>
      <c r="X9" s="26">
        <f t="shared" si="2"/>
        <v>9.5759396799267066E-2</v>
      </c>
      <c r="Y9" s="26">
        <f t="shared" si="2"/>
        <v>0.74198151961337888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3</v>
      </c>
      <c r="P10" s="363">
        <v>125</v>
      </c>
      <c r="Q10" s="34">
        <f t="shared" si="2"/>
        <v>3.9051121312432671E-2</v>
      </c>
      <c r="R10" s="26">
        <f t="shared" si="2"/>
        <v>0.1468253968253968</v>
      </c>
      <c r="S10" s="26">
        <f t="shared" si="2"/>
        <v>0.13018518518518515</v>
      </c>
      <c r="T10" s="26">
        <f t="shared" si="2"/>
        <v>4.7652059865273245E-4</v>
      </c>
      <c r="U10" s="26">
        <f t="shared" si="2"/>
        <v>1.4682539682539681E-2</v>
      </c>
      <c r="V10" s="26">
        <f t="shared" si="2"/>
        <v>1.3067460317460314E-2</v>
      </c>
      <c r="W10" s="26">
        <f t="shared" si="2"/>
        <v>30.622980859093083</v>
      </c>
      <c r="X10" s="26">
        <f t="shared" si="2"/>
        <v>3.8388136396804665E-3</v>
      </c>
      <c r="Y10" s="26">
        <f t="shared" si="2"/>
        <v>1.236759259259259E-2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1.5998128342095075</v>
      </c>
      <c r="R11" s="101">
        <f t="shared" ref="R11:Y11" si="3">SUM(R8:R10)</f>
        <v>5.8760974016937269</v>
      </c>
      <c r="S11" s="101">
        <f t="shared" si="3"/>
        <v>11.058205859478063</v>
      </c>
      <c r="T11" s="101">
        <f t="shared" si="3"/>
        <v>2.1747817867012974E-2</v>
      </c>
      <c r="U11" s="101">
        <f t="shared" si="3"/>
        <v>0.47415318843808657</v>
      </c>
      <c r="V11" s="101">
        <f t="shared" si="3"/>
        <v>0.42199633770989703</v>
      </c>
      <c r="W11" s="101">
        <f t="shared" si="3"/>
        <v>1905.1335600732373</v>
      </c>
      <c r="X11" s="101">
        <f t="shared" si="3"/>
        <v>0.15429568225587528</v>
      </c>
      <c r="Y11" s="101">
        <f t="shared" si="3"/>
        <v>1.0505295566504158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87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7" t="s">
        <v>315</v>
      </c>
      <c r="B13" s="579"/>
      <c r="C13" s="18"/>
      <c r="D13" s="18"/>
      <c r="E13" s="19"/>
      <c r="F13" s="19"/>
      <c r="G13" s="19"/>
      <c r="H13" s="19"/>
      <c r="I13" s="19"/>
      <c r="J13" s="19"/>
      <c r="K13" s="19"/>
      <c r="L13" s="19"/>
      <c r="M13" s="19"/>
      <c r="N13" s="30"/>
      <c r="O13" s="30"/>
      <c r="P13" s="30"/>
      <c r="Q13" s="20"/>
      <c r="R13" s="20"/>
      <c r="S13" s="20"/>
      <c r="T13" s="20"/>
      <c r="U13" s="20"/>
      <c r="V13" s="20"/>
      <c r="W13" s="21"/>
      <c r="X13" s="20"/>
      <c r="Y13" s="20"/>
    </row>
    <row r="14" spans="1:25" s="3" customFormat="1">
      <c r="A14" s="24" t="s">
        <v>119</v>
      </c>
      <c r="B14" s="90" t="s">
        <v>27</v>
      </c>
      <c r="C14" s="22">
        <v>78</v>
      </c>
      <c r="D14" s="22">
        <f>VLOOKUP(A14,'Offroad Tiers LF'!$B$6:$C$40,2,FALSE)</f>
        <v>0.48</v>
      </c>
      <c r="E14" s="102">
        <v>6.2432730803469526E-2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0.30539682539682533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0.38971111111111101</v>
      </c>
      <c r="H14" s="102">
        <v>5.5075019000828571E-4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2.4761904761904759E-2</v>
      </c>
      <c r="J14" s="100">
        <f t="shared" ref="J14:J16" si="4">0.89*I14</f>
        <v>2.2038095238095235E-2</v>
      </c>
      <c r="K14" s="103">
        <v>46.950229824177143</v>
      </c>
      <c r="L14" s="102">
        <v>6.837183977115969E-3</v>
      </c>
      <c r="M14" s="104">
        <f t="shared" ref="M14:M16" si="5">0.095*G14</f>
        <v>3.7022555555555545E-2</v>
      </c>
      <c r="N14" s="98">
        <v>1</v>
      </c>
      <c r="O14" s="98">
        <v>6</v>
      </c>
      <c r="P14" s="88">
        <v>125</v>
      </c>
      <c r="Q14" s="34">
        <f t="shared" ref="Q14:Y16" si="6">(E14*$N14*$O14)</f>
        <v>0.37459638482081714</v>
      </c>
      <c r="R14" s="26">
        <f t="shared" si="6"/>
        <v>1.832380952380952</v>
      </c>
      <c r="S14" s="26">
        <f t="shared" si="6"/>
        <v>2.3382666666666658</v>
      </c>
      <c r="T14" s="26">
        <f t="shared" si="6"/>
        <v>3.3045011400497145E-3</v>
      </c>
      <c r="U14" s="26">
        <f t="shared" si="6"/>
        <v>0.14857142857142855</v>
      </c>
      <c r="V14" s="26">
        <f t="shared" si="6"/>
        <v>0.13222857142857142</v>
      </c>
      <c r="W14" s="26">
        <f t="shared" si="6"/>
        <v>281.70137894506286</v>
      </c>
      <c r="X14" s="26">
        <f t="shared" si="6"/>
        <v>4.1023103862695816E-2</v>
      </c>
      <c r="Y14" s="26">
        <f t="shared" si="6"/>
        <v>0.22213533333333327</v>
      </c>
    </row>
    <row r="15" spans="1:25" s="3" customFormat="1">
      <c r="A15" s="24" t="s">
        <v>305</v>
      </c>
      <c r="B15" s="29" t="s">
        <v>27</v>
      </c>
      <c r="C15" s="22">
        <v>175</v>
      </c>
      <c r="D15" s="22"/>
      <c r="E15" s="102">
        <v>0.11792220738547983</v>
      </c>
      <c r="F15" s="102">
        <v>0.36512193352152528</v>
      </c>
      <c r="G15" s="102">
        <v>0.86781464282266541</v>
      </c>
      <c r="H15" s="102">
        <v>1.8739217498104396E-3</v>
      </c>
      <c r="I15" s="102">
        <v>2.9041712295589866E-2</v>
      </c>
      <c r="J15" s="100">
        <f t="shared" si="4"/>
        <v>2.5847123943074982E-2</v>
      </c>
      <c r="K15" s="103">
        <v>166.54541562452522</v>
      </c>
      <c r="L15" s="102">
        <v>1.063993297769634E-2</v>
      </c>
      <c r="M15" s="104">
        <f t="shared" si="5"/>
        <v>8.2442391068153209E-2</v>
      </c>
      <c r="N15" s="98">
        <v>1</v>
      </c>
      <c r="O15" s="87">
        <v>2</v>
      </c>
      <c r="P15" s="363">
        <v>125</v>
      </c>
      <c r="Q15" s="34">
        <f t="shared" si="6"/>
        <v>0.23584441477095966</v>
      </c>
      <c r="R15" s="26">
        <f t="shared" si="6"/>
        <v>0.73024386704305055</v>
      </c>
      <c r="S15" s="26">
        <f t="shared" si="6"/>
        <v>1.7356292856453308</v>
      </c>
      <c r="T15" s="26">
        <f t="shared" si="6"/>
        <v>3.7478434996208792E-3</v>
      </c>
      <c r="U15" s="26">
        <f t="shared" si="6"/>
        <v>5.8083424591179732E-2</v>
      </c>
      <c r="V15" s="26">
        <f t="shared" si="6"/>
        <v>5.1694247886149965E-2</v>
      </c>
      <c r="W15" s="26">
        <f t="shared" si="6"/>
        <v>333.09083124905044</v>
      </c>
      <c r="X15" s="26">
        <f t="shared" si="6"/>
        <v>2.127986595539268E-2</v>
      </c>
      <c r="Y15" s="26">
        <f t="shared" si="6"/>
        <v>0.16488478213630642</v>
      </c>
    </row>
    <row r="16" spans="1:25" s="3" customFormat="1">
      <c r="A16" s="24" t="s">
        <v>368</v>
      </c>
      <c r="B16" s="29" t="s">
        <v>27</v>
      </c>
      <c r="C16" s="22">
        <v>5</v>
      </c>
      <c r="D16" s="22">
        <v>0.74</v>
      </c>
      <c r="E16" s="102">
        <v>1.3017040437477556E-2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4.8941798941798939E-2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4.3395061728395051E-2</v>
      </c>
      <c r="H16" s="102">
        <v>1.5884019955091081E-4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4.8941798941798936E-3</v>
      </c>
      <c r="J16" s="100">
        <f t="shared" si="4"/>
        <v>4.3558201058201051E-3</v>
      </c>
      <c r="K16" s="103">
        <v>10.20766028636436</v>
      </c>
      <c r="L16" s="102">
        <v>1.2796045465601556E-3</v>
      </c>
      <c r="M16" s="104">
        <f t="shared" si="5"/>
        <v>4.1225308641975296E-3</v>
      </c>
      <c r="N16" s="98">
        <v>1</v>
      </c>
      <c r="O16" s="87">
        <v>8</v>
      </c>
      <c r="P16" s="363">
        <v>125</v>
      </c>
      <c r="Q16" s="34">
        <f t="shared" si="6"/>
        <v>0.10413632349982045</v>
      </c>
      <c r="R16" s="26">
        <f t="shared" si="6"/>
        <v>0.39153439153439151</v>
      </c>
      <c r="S16" s="26">
        <f t="shared" si="6"/>
        <v>0.34716049382716041</v>
      </c>
      <c r="T16" s="26">
        <f t="shared" si="6"/>
        <v>1.2707215964072865E-3</v>
      </c>
      <c r="U16" s="26">
        <f t="shared" si="6"/>
        <v>3.9153439153439148E-2</v>
      </c>
      <c r="V16" s="26">
        <f t="shared" si="6"/>
        <v>3.4846560846560841E-2</v>
      </c>
      <c r="W16" s="26">
        <f t="shared" si="6"/>
        <v>81.661282290914883</v>
      </c>
      <c r="X16" s="26">
        <f t="shared" si="6"/>
        <v>1.0236836372481245E-2</v>
      </c>
      <c r="Y16" s="26">
        <f t="shared" si="6"/>
        <v>3.2980246913580237E-2</v>
      </c>
    </row>
    <row r="17" spans="1:25" s="3" customFormat="1">
      <c r="A17" s="17" t="s">
        <v>28</v>
      </c>
      <c r="B17" s="29"/>
      <c r="C17" s="22"/>
      <c r="D17" s="22"/>
      <c r="E17" s="108"/>
      <c r="F17" s="108"/>
      <c r="G17" s="108"/>
      <c r="H17" s="108"/>
      <c r="I17" s="108"/>
      <c r="J17" s="100"/>
      <c r="K17" s="365"/>
      <c r="L17" s="110"/>
      <c r="M17" s="102"/>
      <c r="N17" s="98"/>
      <c r="O17" s="87"/>
      <c r="P17" s="363"/>
      <c r="Q17" s="101">
        <f>SUM(Q14:Q16)</f>
        <v>0.71457712309159727</v>
      </c>
      <c r="R17" s="101">
        <f t="shared" ref="R17:Y17" si="7">SUM(R14:R16)</f>
        <v>2.9541592109583941</v>
      </c>
      <c r="S17" s="101">
        <f t="shared" si="7"/>
        <v>4.4210564461391568</v>
      </c>
      <c r="T17" s="101">
        <f t="shared" si="7"/>
        <v>8.32306623607788E-3</v>
      </c>
      <c r="U17" s="101">
        <f t="shared" si="7"/>
        <v>0.24580829231604745</v>
      </c>
      <c r="V17" s="101">
        <f t="shared" si="7"/>
        <v>0.21876938016128222</v>
      </c>
      <c r="W17" s="101">
        <f t="shared" si="7"/>
        <v>696.45349248502816</v>
      </c>
      <c r="X17" s="101">
        <f t="shared" si="7"/>
        <v>7.2539806190569739E-2</v>
      </c>
      <c r="Y17" s="101">
        <f t="shared" si="7"/>
        <v>0.42000036238321992</v>
      </c>
    </row>
    <row r="18" spans="1:25" s="3" customFormat="1">
      <c r="A18" s="24"/>
      <c r="B18" s="29"/>
      <c r="C18" s="22"/>
      <c r="D18" s="22"/>
      <c r="E18" s="108"/>
      <c r="F18" s="108"/>
      <c r="G18" s="108"/>
      <c r="H18" s="108"/>
      <c r="I18" s="108"/>
      <c r="J18" s="100"/>
      <c r="K18" s="365"/>
      <c r="L18" s="110"/>
      <c r="M18" s="102"/>
      <c r="N18" s="98"/>
      <c r="O18" s="98"/>
      <c r="P18" s="363"/>
      <c r="Q18" s="34"/>
      <c r="R18" s="26"/>
      <c r="S18" s="26"/>
      <c r="T18" s="26"/>
      <c r="U18" s="26"/>
      <c r="V18" s="26"/>
      <c r="W18" s="26"/>
      <c r="X18" s="26"/>
      <c r="Y18" s="26"/>
    </row>
    <row r="19" spans="1:25" s="3" customFormat="1">
      <c r="A19" s="17" t="s">
        <v>289</v>
      </c>
      <c r="B19" s="22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11"/>
      <c r="O19" s="11"/>
      <c r="P19" s="11"/>
      <c r="Q19" s="27"/>
      <c r="R19" s="27"/>
      <c r="S19" s="27"/>
      <c r="T19" s="27"/>
      <c r="U19" s="27"/>
      <c r="V19" s="27"/>
      <c r="W19" s="28"/>
      <c r="X19" s="27"/>
      <c r="Y19" s="27"/>
    </row>
    <row r="20" spans="1:25" s="3" customFormat="1">
      <c r="A20" s="100" t="s">
        <v>126</v>
      </c>
      <c r="B20" s="22" t="s">
        <v>27</v>
      </c>
      <c r="C20" s="22">
        <v>175</v>
      </c>
      <c r="D20" s="22"/>
      <c r="E20" s="102">
        <v>0.11792220738547983</v>
      </c>
      <c r="F20" s="102">
        <v>0.36512193352152528</v>
      </c>
      <c r="G20" s="102">
        <v>0.86781464282266541</v>
      </c>
      <c r="H20" s="102">
        <v>1.8739217498104396E-3</v>
      </c>
      <c r="I20" s="102">
        <v>2.9041712295589866E-2</v>
      </c>
      <c r="J20" s="100">
        <f t="shared" ref="J20" si="8">0.89*I20</f>
        <v>2.5847123943074982E-2</v>
      </c>
      <c r="K20" s="103">
        <v>166.54541562452522</v>
      </c>
      <c r="L20" s="102">
        <v>1.063993297769634E-2</v>
      </c>
      <c r="M20" s="104">
        <f t="shared" ref="M20" si="9">0.095*G20</f>
        <v>8.2442391068153209E-2</v>
      </c>
      <c r="N20" s="88">
        <v>1</v>
      </c>
      <c r="O20" s="88">
        <v>3</v>
      </c>
      <c r="P20" s="367">
        <v>40</v>
      </c>
      <c r="Q20" s="26">
        <f t="shared" ref="Q20:Y20" si="10">(E20*$N20*$O20)</f>
        <v>0.3537666221564395</v>
      </c>
      <c r="R20" s="26">
        <f t="shared" si="10"/>
        <v>1.0953658005645759</v>
      </c>
      <c r="S20" s="26">
        <f t="shared" si="10"/>
        <v>2.6034439284679962</v>
      </c>
      <c r="T20" s="26">
        <f t="shared" si="10"/>
        <v>5.6217652494313184E-3</v>
      </c>
      <c r="U20" s="26">
        <f t="shared" si="10"/>
        <v>8.7125136886769594E-2</v>
      </c>
      <c r="V20" s="26">
        <f t="shared" si="10"/>
        <v>7.754137182922495E-2</v>
      </c>
      <c r="W20" s="26">
        <f t="shared" si="10"/>
        <v>499.63624687357566</v>
      </c>
      <c r="X20" s="26">
        <f t="shared" si="10"/>
        <v>3.1919798933089022E-2</v>
      </c>
      <c r="Y20" s="26">
        <f t="shared" si="10"/>
        <v>0.24732717320445963</v>
      </c>
    </row>
    <row r="21" spans="1:25" s="3" customFormat="1">
      <c r="A21" s="17" t="s">
        <v>28</v>
      </c>
      <c r="B21" s="97"/>
      <c r="C21" s="22"/>
      <c r="D21" s="22"/>
      <c r="E21" s="23"/>
      <c r="F21" s="23"/>
      <c r="G21" s="23"/>
      <c r="H21" s="23"/>
      <c r="I21" s="23"/>
      <c r="J21" s="24"/>
      <c r="K21" s="25"/>
      <c r="L21" s="23"/>
      <c r="M21" s="23"/>
      <c r="N21" s="88"/>
      <c r="O21" s="88"/>
      <c r="P21" s="88"/>
      <c r="Q21" s="27">
        <f t="shared" ref="Q21:Y21" si="11">SUM(Q20:Q20)</f>
        <v>0.3537666221564395</v>
      </c>
      <c r="R21" s="27">
        <f t="shared" si="11"/>
        <v>1.0953658005645759</v>
      </c>
      <c r="S21" s="27">
        <f t="shared" si="11"/>
        <v>2.6034439284679962</v>
      </c>
      <c r="T21" s="27">
        <f t="shared" si="11"/>
        <v>5.6217652494313184E-3</v>
      </c>
      <c r="U21" s="27">
        <f t="shared" si="11"/>
        <v>8.7125136886769594E-2</v>
      </c>
      <c r="V21" s="27">
        <f t="shared" si="11"/>
        <v>7.754137182922495E-2</v>
      </c>
      <c r="W21" s="27">
        <f t="shared" si="11"/>
        <v>499.63624687357566</v>
      </c>
      <c r="X21" s="27">
        <f t="shared" si="11"/>
        <v>3.1919798933089022E-2</v>
      </c>
      <c r="Y21" s="27">
        <f t="shared" si="11"/>
        <v>0.24732717320445963</v>
      </c>
    </row>
    <row r="22" spans="1:25" s="3" customFormat="1">
      <c r="A22" s="11"/>
      <c r="B22" s="579"/>
      <c r="C22" s="18"/>
      <c r="D22" s="22"/>
      <c r="E22" s="19"/>
      <c r="F22" s="19"/>
      <c r="G22" s="19"/>
      <c r="H22" s="19"/>
      <c r="I22" s="19"/>
      <c r="J22" s="19"/>
      <c r="K22" s="19"/>
      <c r="L22" s="19"/>
      <c r="M22" s="19"/>
      <c r="N22" s="30"/>
      <c r="O22" s="30"/>
      <c r="P22" s="364"/>
      <c r="Q22" s="20"/>
      <c r="R22" s="20"/>
      <c r="S22" s="27"/>
      <c r="T22" s="20"/>
      <c r="U22" s="20"/>
      <c r="V22" s="20"/>
      <c r="W22" s="20"/>
      <c r="X22" s="20"/>
      <c r="Y22" s="20"/>
    </row>
    <row r="23" spans="1:25" s="3" customFormat="1">
      <c r="A23" s="11" t="s">
        <v>398</v>
      </c>
      <c r="B23" s="22"/>
      <c r="C23" s="18"/>
      <c r="D23" s="22"/>
      <c r="E23" s="19"/>
      <c r="F23" s="19"/>
      <c r="G23" s="19"/>
      <c r="H23" s="19"/>
      <c r="I23" s="19"/>
      <c r="J23" s="19"/>
      <c r="K23" s="19"/>
      <c r="L23" s="19"/>
      <c r="M23" s="19"/>
      <c r="N23" s="11"/>
      <c r="O23" s="11"/>
      <c r="P23" s="11"/>
      <c r="Q23" s="27"/>
      <c r="R23" s="27"/>
      <c r="S23" s="27"/>
      <c r="T23" s="27"/>
      <c r="U23" s="27"/>
      <c r="V23" s="27"/>
      <c r="W23" s="28"/>
      <c r="X23" s="27"/>
      <c r="Y23" s="27"/>
    </row>
    <row r="24" spans="1:25" s="3" customFormat="1">
      <c r="A24" s="100" t="s">
        <v>125</v>
      </c>
      <c r="B24" s="97" t="s">
        <v>27</v>
      </c>
      <c r="C24" s="22">
        <v>87</v>
      </c>
      <c r="D24" s="22">
        <v>0.37</v>
      </c>
      <c r="E24" s="108">
        <v>5.2437519504869065E-2</v>
      </c>
      <c r="F24" s="397">
        <f>IF($C24&lt;11,'Offroad Tiers EF (2)'!$AN$4*$C24*$D24,IF($C24&lt;25,'Offroad Tiers EF (2)'!$AN$5*$C24*$D24,IF($C24&lt;50,'Offroad Tiers EF (2)'!$AN$6*$C24*$D24,IF($C24&lt;75,'Offroad Tiers EF (2)'!$AN$7*$C24*$D24,IF($C24&lt;100,'Offroad Tiers EF (2)'!$AN$8*$C24*$D24,IF($C24&lt;175,'Offroad Tiers EF (2)'!$AN$9*$C24*$D24,IF($C24&lt;300,'Offroad Tiers EF (2)'!$AN$10*$C24*$D24,IF($C24&lt;600,'Offroad Tiers EF (2)'!$AN$11*$C24*$D24,"!"))))))))</f>
        <v>0.26257275132275132</v>
      </c>
      <c r="G24" s="397">
        <f>IF($C24&lt;11,'Offroad Tiers EF (2)'!$AM$4*$C24*$D24,IF($C24&lt;25,'Offroad Tiers EF (2)'!$AM$5*$C24*$D24,IF($C24&lt;50,'Offroad Tiers EF (2)'!$AM$6*$C24*$D24,IF($C24&lt;75,'Offroad Tiers EF (2)'!$AM$7*$C24*$D24,IF($C24&lt;100,'Offroad Tiers EF (2)'!$AM$8*$C24*$D24,IF($C24&lt;175,'Offroad Tiers EF (2)'!$AM$9*$C24*$D24,IF($C24&lt;300,'Offroad Tiers EF (2)'!$AM$10*$C24*$D24,IF($C24&lt;600,'Offroad Tiers EF (2)'!$AM$11*$C24*$D24,"!"))))))))</f>
        <v>0.33506412037037031</v>
      </c>
      <c r="H24" s="108">
        <v>6.0679618797898508E-4</v>
      </c>
      <c r="I24" s="397">
        <f>IF($C24&lt;11,'Offroad Tiers EF (2)'!$AO$4*$C24*$D24,IF($C24&lt;25,'Offroad Tiers EF (2)'!$AO$5*$C24*$D24,IF($C24&lt;50,'Offroad Tiers EF (2)'!$AO$6*$C24*$D24,IF($C24&lt;75,'Offroad Tiers EF (2)'!$AO$7*$C24*$D24,IF($C24&lt;100,'Offroad Tiers EF (2)'!$AO$8*$C24*$D24,IF($C24&lt;175,'Offroad Tiers EF (2)'!$AO$9*$C24*$D24,IF($C24&lt;300,'Offroad Tiers EF (2)'!$AO$10*$C24*$D24,IF($C24&lt;600,'Offroad Tiers EF (2)'!$AO$11*$C24*$D24,"!"))))))))</f>
        <v>2.1289682539682539E-2</v>
      </c>
      <c r="J24" s="100">
        <f t="shared" ref="J24:J27" si="12">0.89*I24</f>
        <v>1.894781746031746E-2</v>
      </c>
      <c r="K24" s="108">
        <v>51.728016924248784</v>
      </c>
      <c r="L24" s="108">
        <v>5.2037096026823848E-3</v>
      </c>
      <c r="M24" s="102">
        <f t="shared" ref="M24:M27" si="13">0.095*G24</f>
        <v>3.1831091435185178E-2</v>
      </c>
      <c r="N24" s="88">
        <v>1</v>
      </c>
      <c r="O24" s="88">
        <v>6</v>
      </c>
      <c r="P24" s="367">
        <v>15</v>
      </c>
      <c r="Q24" s="26">
        <f t="shared" ref="Q24:Y27" si="14">(E24*$N24*$O24)</f>
        <v>0.31462511702921436</v>
      </c>
      <c r="R24" s="26">
        <f t="shared" si="14"/>
        <v>1.5754365079365078</v>
      </c>
      <c r="S24" s="26">
        <f t="shared" si="14"/>
        <v>2.0103847222222218</v>
      </c>
      <c r="T24" s="26">
        <f t="shared" si="14"/>
        <v>3.6407771278739107E-3</v>
      </c>
      <c r="U24" s="26">
        <f t="shared" si="14"/>
        <v>0.12773809523809523</v>
      </c>
      <c r="V24" s="26">
        <f t="shared" si="14"/>
        <v>0.11368690476190477</v>
      </c>
      <c r="W24" s="26">
        <f t="shared" si="14"/>
        <v>310.36810154549272</v>
      </c>
      <c r="X24" s="26">
        <f t="shared" si="14"/>
        <v>3.1222257616094311E-2</v>
      </c>
      <c r="Y24" s="26">
        <f t="shared" si="14"/>
        <v>0.19098654861111108</v>
      </c>
    </row>
    <row r="25" spans="1:25" s="3" customFormat="1">
      <c r="A25" s="100" t="s">
        <v>287</v>
      </c>
      <c r="B25" s="97" t="s">
        <v>27</v>
      </c>
      <c r="C25" s="97">
        <v>37</v>
      </c>
      <c r="D25" s="22">
        <v>0.37</v>
      </c>
      <c r="E25" s="102">
        <v>3.2313389441625637E-2</v>
      </c>
      <c r="F25" s="397">
        <f>IF($C25&lt;11,'Offroad Tiers EF (2)'!$AN$4*$C25*$D25,IF($C25&lt;25,'Offroad Tiers EF (2)'!$AN$5*$C25*$D25,IF($C25&lt;50,'Offroad Tiers EF (2)'!$AN$6*$C25*$D25,IF($C25&lt;75,'Offroad Tiers EF (2)'!$AN$7*$C25*$D25,IF($C25&lt;100,'Offroad Tiers EF (2)'!$AN$8*$C25*$D25,IF($C25&lt;175,'Offroad Tiers EF (2)'!$AN$9*$C25*$D25,IF($C25&lt;300,'Offroad Tiers EF (2)'!$AN$10*$C25*$D25,IF($C25&lt;600,'Offroad Tiers EF (2)'!$AN$11*$C25*$D25,"!"))))))))</f>
        <v>0.12374118165784832</v>
      </c>
      <c r="G25" s="397">
        <f>IF($C25&lt;11,'Offroad Tiers EF (2)'!$AM$4*$C25*$D25,IF($C25&lt;25,'Offroad Tiers EF (2)'!$AM$5*$C25*$D25,IF($C25&lt;50,'Offroad Tiers EF (2)'!$AM$6*$C25*$D25,IF($C25&lt;75,'Offroad Tiers EF (2)'!$AM$7*$C25*$D25,IF($C25&lt;100,'Offroad Tiers EF (2)'!$AM$8*$C25*$D25,IF($C25&lt;175,'Offroad Tiers EF (2)'!$AM$9*$C25*$D25,IF($C25&lt;300,'Offroad Tiers EF (2)'!$AM$10*$C25*$D25,IF($C25&lt;600,'Offroad Tiers EF (2)'!$AM$11*$C25*$D25,"!"))))))))</f>
        <v>0.16056172839506169</v>
      </c>
      <c r="H25" s="102">
        <v>3.2989906092678058E-4</v>
      </c>
      <c r="I25" s="397">
        <f>IF($C25&lt;11,'Offroad Tiers EF (2)'!$AO$4*$C25*$D25,IF($C25&lt;25,'Offroad Tiers EF (2)'!$AO$5*$C25*$D25,IF($C25&lt;50,'Offroad Tiers EF (2)'!$AO$6*$C25*$D25,IF($C25&lt;75,'Offroad Tiers EF (2)'!$AO$7*$C25*$D25,IF($C25&lt;100,'Offroad Tiers EF (2)'!$AO$8*$C25*$D25,IF($C25&lt;175,'Offroad Tiers EF (2)'!$AO$9*$C25*$D25,IF($C25&lt;300,'Offroad Tiers EF (2)'!$AO$10*$C25*$D25,IF($C25&lt;600,'Offroad Tiers EF (2)'!$AO$11*$C25*$D25,"!"))))))))</f>
        <v>1.3581349206349205E-2</v>
      </c>
      <c r="J25" s="100">
        <f t="shared" si="12"/>
        <v>1.2087400793650793E-2</v>
      </c>
      <c r="K25" s="103">
        <v>25.519156990664225</v>
      </c>
      <c r="L25" s="102">
        <v>3.413848047070189E-3</v>
      </c>
      <c r="M25" s="104">
        <f t="shared" si="13"/>
        <v>1.5253364197530862E-2</v>
      </c>
      <c r="N25" s="88">
        <v>1</v>
      </c>
      <c r="O25" s="88">
        <v>1</v>
      </c>
      <c r="P25" s="367">
        <v>75</v>
      </c>
      <c r="Q25" s="26">
        <f t="shared" si="14"/>
        <v>3.2313389441625637E-2</v>
      </c>
      <c r="R25" s="26">
        <f t="shared" si="14"/>
        <v>0.12374118165784832</v>
      </c>
      <c r="S25" s="26">
        <f t="shared" si="14"/>
        <v>0.16056172839506169</v>
      </c>
      <c r="T25" s="26">
        <f t="shared" si="14"/>
        <v>3.2989906092678058E-4</v>
      </c>
      <c r="U25" s="26">
        <f t="shared" si="14"/>
        <v>1.3581349206349205E-2</v>
      </c>
      <c r="V25" s="26">
        <f t="shared" si="14"/>
        <v>1.2087400793650793E-2</v>
      </c>
      <c r="W25" s="26">
        <f t="shared" si="14"/>
        <v>25.519156990664225</v>
      </c>
      <c r="X25" s="26">
        <f t="shared" si="14"/>
        <v>3.413848047070189E-3</v>
      </c>
      <c r="Y25" s="26">
        <f t="shared" si="14"/>
        <v>1.5253364197530862E-2</v>
      </c>
    </row>
    <row r="26" spans="1:25" s="3" customFormat="1">
      <c r="A26" s="100" t="s">
        <v>292</v>
      </c>
      <c r="B26" s="22" t="s">
        <v>27</v>
      </c>
      <c r="C26" s="97">
        <v>69</v>
      </c>
      <c r="D26" s="22">
        <v>0.5</v>
      </c>
      <c r="E26" s="102">
        <v>0.10796897189848784</v>
      </c>
      <c r="F26" s="397">
        <f>IF($C26&lt;11,'Offroad Tiers EF (2)'!$AN$4*$C26*$D26,IF($C26&lt;25,'Offroad Tiers EF (2)'!$AN$5*$C26*$D26,IF($C26&lt;50,'Offroad Tiers EF (2)'!$AN$6*$C26*$D26,IF($C26&lt;75,'Offroad Tiers EF (2)'!$AN$7*$C26*$D26,IF($C26&lt;100,'Offroad Tiers EF (2)'!$AN$8*$C26*$D26,IF($C26&lt;175,'Offroad Tiers EF (2)'!$AN$9*$C26*$D26,IF($C26&lt;300,'Offroad Tiers EF (2)'!$AN$10*$C26*$D26,IF($C26&lt;600,'Offroad Tiers EF (2)'!$AN$11*$C26*$D26,"!"))))))))</f>
        <v>0.2814153439153439</v>
      </c>
      <c r="G26" s="397">
        <f>IF($C26&lt;11,'Offroad Tiers EF (2)'!$AM$4*$C26*$D26,IF($C26&lt;25,'Offroad Tiers EF (2)'!$AM$5*$C26*$D26,IF($C26&lt;50,'Offroad Tiers EF (2)'!$AM$6*$C26*$D26,IF($C26&lt;75,'Offroad Tiers EF (2)'!$AM$7*$C26*$D26,IF($C26&lt;100,'Offroad Tiers EF (2)'!$AM$8*$C26*$D26,IF($C26&lt;175,'Offroad Tiers EF (2)'!$AM$9*$C26*$D26,IF($C26&lt;300,'Offroad Tiers EF (2)'!$AM$10*$C26*$D26,IF($C26&lt;600,'Offroad Tiers EF (2)'!$AM$11*$C26*$D26,"!"))))))))</f>
        <v>0.40462962962962956</v>
      </c>
      <c r="H26" s="102">
        <v>7.6125329247041284E-4</v>
      </c>
      <c r="I26" s="397">
        <f>IF($C26&lt;11,'Offroad Tiers EF (2)'!$AO$4*$C26*$D26,IF($C26&lt;25,'Offroad Tiers EF (2)'!$AO$5*$C26*$D26,IF($C26&lt;50,'Offroad Tiers EF (2)'!$AO$6*$C26*$D26,IF($C26&lt;75,'Offroad Tiers EF (2)'!$AO$7*$C26*$D26,IF($C26&lt;100,'Offroad Tiers EF (2)'!$AO$8*$C26*$D26,IF($C26&lt;175,'Offroad Tiers EF (2)'!$AO$9*$C26*$D26,IF($C26&lt;300,'Offroad Tiers EF (2)'!$AO$10*$C26*$D26,IF($C26&lt;600,'Offroad Tiers EF (2)'!$AO$11*$C26*$D26,"!"))))))))</f>
        <v>2.2817460317460316E-2</v>
      </c>
      <c r="J26" s="100">
        <f t="shared" si="12"/>
        <v>2.030753968253968E-2</v>
      </c>
      <c r="K26" s="103">
        <v>64.895144949977833</v>
      </c>
      <c r="L26" s="102">
        <v>1.0324742188913067E-2</v>
      </c>
      <c r="M26" s="104">
        <f t="shared" si="13"/>
        <v>3.8439814814814809E-2</v>
      </c>
      <c r="N26" s="87">
        <v>1</v>
      </c>
      <c r="O26" s="87">
        <v>6</v>
      </c>
      <c r="P26" s="88">
        <f>8*22</f>
        <v>176</v>
      </c>
      <c r="Q26" s="34">
        <f t="shared" si="14"/>
        <v>0.64781383139092696</v>
      </c>
      <c r="R26" s="26">
        <f t="shared" si="14"/>
        <v>1.6884920634920633</v>
      </c>
      <c r="S26" s="26">
        <f t="shared" si="14"/>
        <v>2.4277777777777771</v>
      </c>
      <c r="T26" s="26">
        <f t="shared" si="14"/>
        <v>4.567519754822477E-3</v>
      </c>
      <c r="U26" s="26">
        <f t="shared" si="14"/>
        <v>0.13690476190476189</v>
      </c>
      <c r="V26" s="26">
        <f t="shared" si="14"/>
        <v>0.12184523809523809</v>
      </c>
      <c r="W26" s="26">
        <f t="shared" si="14"/>
        <v>389.370869699867</v>
      </c>
      <c r="X26" s="26">
        <f t="shared" si="14"/>
        <v>6.1948453133478402E-2</v>
      </c>
      <c r="Y26" s="26">
        <f t="shared" si="14"/>
        <v>0.23063888888888884</v>
      </c>
    </row>
    <row r="27" spans="1:25" s="3" customFormat="1">
      <c r="A27" s="100" t="s">
        <v>126</v>
      </c>
      <c r="B27" s="22" t="s">
        <v>27</v>
      </c>
      <c r="C27" s="22">
        <v>175</v>
      </c>
      <c r="D27" s="22"/>
      <c r="E27" s="102">
        <v>0.11792220738547983</v>
      </c>
      <c r="F27" s="102">
        <v>0.36512193352152528</v>
      </c>
      <c r="G27" s="102">
        <v>0.86781464282266541</v>
      </c>
      <c r="H27" s="102">
        <v>1.8739217498104396E-3</v>
      </c>
      <c r="I27" s="102">
        <v>2.9041712295589866E-2</v>
      </c>
      <c r="J27" s="100">
        <f t="shared" si="12"/>
        <v>2.5847123943074982E-2</v>
      </c>
      <c r="K27" s="103">
        <v>166.54541562452522</v>
      </c>
      <c r="L27" s="102">
        <v>1.063993297769634E-2</v>
      </c>
      <c r="M27" s="104">
        <f t="shared" si="13"/>
        <v>8.2442391068153209E-2</v>
      </c>
      <c r="N27" s="88">
        <v>1</v>
      </c>
      <c r="O27" s="88">
        <v>3</v>
      </c>
      <c r="P27" s="367">
        <v>40</v>
      </c>
      <c r="Q27" s="26">
        <f t="shared" si="14"/>
        <v>0.3537666221564395</v>
      </c>
      <c r="R27" s="26">
        <f t="shared" si="14"/>
        <v>1.0953658005645759</v>
      </c>
      <c r="S27" s="26">
        <f t="shared" si="14"/>
        <v>2.6034439284679962</v>
      </c>
      <c r="T27" s="26">
        <f t="shared" si="14"/>
        <v>5.6217652494313184E-3</v>
      </c>
      <c r="U27" s="26">
        <f t="shared" si="14"/>
        <v>8.7125136886769594E-2</v>
      </c>
      <c r="V27" s="26">
        <f t="shared" si="14"/>
        <v>7.754137182922495E-2</v>
      </c>
      <c r="W27" s="26">
        <f t="shared" si="14"/>
        <v>499.63624687357566</v>
      </c>
      <c r="X27" s="26">
        <f t="shared" si="14"/>
        <v>3.1919798933089022E-2</v>
      </c>
      <c r="Y27" s="26">
        <f t="shared" si="14"/>
        <v>0.24732717320445963</v>
      </c>
    </row>
    <row r="28" spans="1:25" s="3" customFormat="1">
      <c r="A28" s="17" t="s">
        <v>28</v>
      </c>
      <c r="B28" s="97"/>
      <c r="C28" s="22"/>
      <c r="D28" s="22"/>
      <c r="E28" s="23"/>
      <c r="F28" s="23"/>
      <c r="G28" s="23"/>
      <c r="H28" s="23"/>
      <c r="I28" s="23"/>
      <c r="J28" s="24"/>
      <c r="K28" s="25"/>
      <c r="L28" s="23"/>
      <c r="M28" s="23"/>
      <c r="N28" s="88"/>
      <c r="O28" s="88"/>
      <c r="P28" s="88"/>
      <c r="Q28" s="27">
        <f t="shared" ref="Q28:Y28" si="15">SUM(Q24:Q27)</f>
        <v>1.3485189600182066</v>
      </c>
      <c r="R28" s="27">
        <f t="shared" si="15"/>
        <v>4.4830355536509954</v>
      </c>
      <c r="S28" s="27">
        <f t="shared" si="15"/>
        <v>7.2021681568630562</v>
      </c>
      <c r="T28" s="27">
        <f t="shared" si="15"/>
        <v>1.4159961193054486E-2</v>
      </c>
      <c r="U28" s="27">
        <f t="shared" si="15"/>
        <v>0.3653493432359759</v>
      </c>
      <c r="V28" s="27">
        <f t="shared" si="15"/>
        <v>0.32516091548001858</v>
      </c>
      <c r="W28" s="27">
        <f t="shared" si="15"/>
        <v>1224.8943751095997</v>
      </c>
      <c r="X28" s="27">
        <f t="shared" si="15"/>
        <v>0.12850435772973193</v>
      </c>
      <c r="Y28" s="27">
        <f t="shared" si="15"/>
        <v>0.68420597490199042</v>
      </c>
    </row>
    <row r="29" spans="1:25">
      <c r="A29" s="17" t="s">
        <v>387</v>
      </c>
      <c r="B29" s="549"/>
      <c r="C29" s="18"/>
      <c r="D29" s="22"/>
      <c r="E29" s="19"/>
      <c r="F29" s="19"/>
      <c r="G29" s="19"/>
      <c r="H29" s="19"/>
      <c r="I29" s="19"/>
      <c r="J29" s="19"/>
      <c r="K29" s="19"/>
      <c r="L29" s="19"/>
      <c r="M29" s="19"/>
      <c r="N29" s="30"/>
      <c r="O29" s="30"/>
      <c r="P29" s="364"/>
      <c r="Q29" s="20">
        <f>Q11+Q17+Q21+Q28</f>
        <v>4.0166755394757505</v>
      </c>
      <c r="R29" s="20">
        <f t="shared" ref="R29:Y29" si="16">R11+R17+R21+R28</f>
        <v>14.408657966867693</v>
      </c>
      <c r="S29" s="20">
        <f t="shared" si="16"/>
        <v>25.284874390948271</v>
      </c>
      <c r="T29" s="20">
        <f t="shared" si="16"/>
        <v>4.9852610545576659E-2</v>
      </c>
      <c r="U29" s="20">
        <f t="shared" si="16"/>
        <v>1.1724359608768795</v>
      </c>
      <c r="V29" s="20">
        <f t="shared" si="16"/>
        <v>1.0434680051804226</v>
      </c>
      <c r="W29" s="20">
        <f t="shared" si="16"/>
        <v>4326.1176745414405</v>
      </c>
      <c r="X29" s="20">
        <f t="shared" si="16"/>
        <v>0.38725964510926592</v>
      </c>
      <c r="Y29" s="20">
        <f t="shared" si="16"/>
        <v>2.4020630671400856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92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589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C9*(F9)*$B$211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C10*(F10)*$B$211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 ht="25.5">
      <c r="A13" s="114" t="s">
        <v>315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326</v>
      </c>
      <c r="B14" s="76" t="s">
        <v>95</v>
      </c>
      <c r="C14" s="79">
        <v>3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9.9891275533645019E-2</v>
      </c>
      <c r="U14" s="50">
        <f>C14*($F14*$H14)/453.59</f>
        <v>0.18440937782971867</v>
      </c>
      <c r="V14" s="50">
        <f>C14*(($F14*$I14))/453.59</f>
        <v>2.253067276294635E-2</v>
      </c>
      <c r="W14" s="50">
        <f>C14*($F14*$J14)/453.59</f>
        <v>1.3898613406074772E-3</v>
      </c>
      <c r="X14" s="50">
        <f>C14*(($F14*($K14+$L14+$M14)))/453.59</f>
        <v>3.6369464870151122E-2</v>
      </c>
      <c r="Y14" s="50">
        <f>C14*(($F14*($N14+$O14+$P14)))/453.59</f>
        <v>2.4166098982977401E-2</v>
      </c>
      <c r="Z14" s="50">
        <f>C14*(F14)*$B$211</f>
        <v>0</v>
      </c>
      <c r="AA14" s="50">
        <f>Z14*0.21</f>
        <v>0</v>
      </c>
      <c r="AB14" s="50">
        <f>C14*(($F14*($Q14)))/453.59</f>
        <v>96.814105590256631</v>
      </c>
      <c r="AC14" s="50">
        <f>C14*(($F14*($R14)))/453.59</f>
        <v>5.5322484357440338E-3</v>
      </c>
      <c r="AD14" s="50">
        <f>C14*(($F14*($S14)))/453.59</f>
        <v>2.4799901288000137E-3</v>
      </c>
    </row>
    <row r="15" spans="1:30">
      <c r="A15" s="78" t="s">
        <v>327</v>
      </c>
      <c r="B15" s="76" t="s">
        <v>105</v>
      </c>
      <c r="C15" s="374">
        <v>1</v>
      </c>
      <c r="D15" s="77"/>
      <c r="E15" s="77">
        <v>35</v>
      </c>
      <c r="F15" s="77">
        <v>80</v>
      </c>
      <c r="G15" s="106">
        <v>1.08263976628415</v>
      </c>
      <c r="H15" s="106">
        <v>4.9712718909585103</v>
      </c>
      <c r="I15" s="106">
        <v>0.26248012575016899</v>
      </c>
      <c r="J15" s="106">
        <v>1.0711818E-2</v>
      </c>
      <c r="K15" s="106">
        <v>7.1679901072141505E-2</v>
      </c>
      <c r="L15" s="576">
        <v>3.59998119015979E-2</v>
      </c>
      <c r="M15" s="576">
        <v>6.1739677411240299E-2</v>
      </c>
      <c r="N15" s="106">
        <v>6.5945508986370194E-2</v>
      </c>
      <c r="O15" s="576">
        <v>2.9999843251331498E-3</v>
      </c>
      <c r="P15" s="576">
        <v>5.5859708133979398E-2</v>
      </c>
      <c r="Q15" s="106">
        <v>1710.7260798814</v>
      </c>
      <c r="R15" s="47">
        <v>1.5235246282551899E-2</v>
      </c>
      <c r="S15" s="80">
        <f>0.000025616*Q15</f>
        <v>4.3821959262241944E-2</v>
      </c>
      <c r="T15" s="50">
        <f>C15*($F15*$G15)/453.59</f>
        <v>0.19094596728925242</v>
      </c>
      <c r="U15" s="50">
        <f>C15*($F15*$H15)/453.59</f>
        <v>0.87678685878586582</v>
      </c>
      <c r="V15" s="50">
        <f>C15*(($F15*$I15))/453.59</f>
        <v>4.6293811724274173E-2</v>
      </c>
      <c r="W15" s="50">
        <f>C15*($F15*$J15)/453.59</f>
        <v>1.8892511739676801E-3</v>
      </c>
      <c r="X15" s="50">
        <f>C15*(($F15*($K15+$L15+$M15)))/453.59</f>
        <v>2.9880621774726907E-2</v>
      </c>
      <c r="Y15" s="50">
        <f>C15*(($F15*($N15+$O15+$P15)))/453.59</f>
        <v>2.2011984646131133E-2</v>
      </c>
      <c r="Z15" s="50">
        <f>C15*(F15)*$B$211</f>
        <v>0</v>
      </c>
      <c r="AA15" s="50">
        <f>Z15*0.21</f>
        <v>0</v>
      </c>
      <c r="AB15" s="50">
        <f>C15*(($F15*($Q15)))/453.59</f>
        <v>301.72200972356535</v>
      </c>
      <c r="AC15" s="50">
        <f>C15*(($F15*($R15)))/453.59</f>
        <v>2.6870515280410772E-3</v>
      </c>
      <c r="AD15" s="50">
        <f>C15*(($F15*($S15)))/453.59</f>
        <v>7.7289110010788503E-3</v>
      </c>
    </row>
    <row r="16" spans="1:30">
      <c r="A16" s="75" t="s">
        <v>28</v>
      </c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>
        <f t="shared" ref="T16:AD16" si="1">SUM(T14:T15)</f>
        <v>0.29083724282289747</v>
      </c>
      <c r="U16" s="81">
        <f t="shared" si="1"/>
        <v>1.0611962366155845</v>
      </c>
      <c r="V16" s="81">
        <f t="shared" si="1"/>
        <v>6.8824484487220519E-2</v>
      </c>
      <c r="W16" s="81">
        <f t="shared" si="1"/>
        <v>3.2791125145751575E-3</v>
      </c>
      <c r="X16" s="81">
        <f t="shared" si="1"/>
        <v>6.6250086644878026E-2</v>
      </c>
      <c r="Y16" s="81">
        <f t="shared" si="1"/>
        <v>4.6178083629108538E-2</v>
      </c>
      <c r="Z16" s="81">
        <f t="shared" si="1"/>
        <v>0</v>
      </c>
      <c r="AA16" s="81">
        <f t="shared" si="1"/>
        <v>0</v>
      </c>
      <c r="AB16" s="81">
        <f t="shared" si="1"/>
        <v>398.53611531382199</v>
      </c>
      <c r="AC16" s="81">
        <f t="shared" si="1"/>
        <v>8.2192999637851101E-3</v>
      </c>
      <c r="AD16" s="81">
        <f t="shared" si="1"/>
        <v>1.0208901129878864E-2</v>
      </c>
    </row>
    <row r="17" spans="1:30">
      <c r="A17" s="75"/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</row>
    <row r="18" spans="1:30">
      <c r="A18" s="114" t="s">
        <v>333</v>
      </c>
      <c r="B18" s="74"/>
      <c r="C18" s="112"/>
      <c r="D18" s="112"/>
      <c r="E18" s="74"/>
      <c r="F18" s="74"/>
      <c r="G18" s="577"/>
      <c r="H18" s="41"/>
      <c r="I18" s="41"/>
      <c r="J18" s="41"/>
      <c r="K18" s="574"/>
      <c r="L18" s="574"/>
      <c r="M18" s="574"/>
      <c r="N18" s="574"/>
      <c r="O18" s="574"/>
      <c r="P18" s="574"/>
      <c r="Q18" s="41"/>
      <c r="R18" s="574"/>
      <c r="S18" s="574"/>
      <c r="T18" s="61"/>
      <c r="U18" s="61"/>
      <c r="V18" s="61"/>
      <c r="W18" s="61"/>
      <c r="X18" s="61"/>
      <c r="Y18" s="61"/>
      <c r="Z18" s="62"/>
      <c r="AA18" s="62"/>
      <c r="AB18" s="62"/>
      <c r="AC18" s="62"/>
      <c r="AD18" s="62"/>
    </row>
    <row r="19" spans="1:30">
      <c r="A19" s="78" t="s">
        <v>320</v>
      </c>
      <c r="B19" s="76" t="s">
        <v>95</v>
      </c>
      <c r="C19" s="79">
        <v>6</v>
      </c>
      <c r="D19" s="77"/>
      <c r="E19" s="77">
        <v>35</v>
      </c>
      <c r="F19" s="77">
        <v>60</v>
      </c>
      <c r="G19" s="106">
        <v>0.25172046482947802</v>
      </c>
      <c r="H19" s="106">
        <v>0.464701387165456</v>
      </c>
      <c r="I19" s="106">
        <v>5.6776043658582402E-2</v>
      </c>
      <c r="J19" s="106">
        <v>3.5023733638119199E-3</v>
      </c>
      <c r="K19" s="106">
        <v>4.6899256897933901E-2</v>
      </c>
      <c r="L19" s="47">
        <v>7.99995847163921E-3</v>
      </c>
      <c r="M19" s="47">
        <v>3.6749815577381599E-2</v>
      </c>
      <c r="N19" s="106">
        <v>4.3147317248333997E-2</v>
      </c>
      <c r="O19" s="47">
        <v>1.9999896145790402E-3</v>
      </c>
      <c r="P19" s="47">
        <v>1.57499200131354E-2</v>
      </c>
      <c r="Q19" s="106">
        <v>243.966167526025</v>
      </c>
      <c r="R19" s="47">
        <f>0.000057143*Q19</f>
        <v>1.3940958710939646E-2</v>
      </c>
      <c r="S19" s="80">
        <f>0.000025616*Q19</f>
        <v>6.2494373473466567E-3</v>
      </c>
      <c r="T19" s="50">
        <f>C19*($F19*$G19)/453.59</f>
        <v>0.19978255106729004</v>
      </c>
      <c r="U19" s="50">
        <f>C19*($F19*$H19)/453.59</f>
        <v>0.36881875565943734</v>
      </c>
      <c r="V19" s="50">
        <f>C19*(($F19*$I19))/453.59</f>
        <v>4.50613455258927E-2</v>
      </c>
      <c r="W19" s="50">
        <f>C19*($F19*$J19)/453.59</f>
        <v>2.7797226812149543E-3</v>
      </c>
      <c r="X19" s="50">
        <f>C19*(($F19*($K19+$L19+$M19)))/453.59</f>
        <v>7.2738929740302244E-2</v>
      </c>
      <c r="Y19" s="50">
        <f>C19*(($F19*($N19+$O19+$P19)))/453.59</f>
        <v>4.8332197965954803E-2</v>
      </c>
      <c r="Z19" s="50">
        <f>C19*(F19)*$B$342</f>
        <v>0</v>
      </c>
      <c r="AA19" s="50">
        <f>Z19*0.21</f>
        <v>0</v>
      </c>
      <c r="AB19" s="50">
        <f>C19*(($F19*($Q19)))/453.59</f>
        <v>193.62821118051326</v>
      </c>
      <c r="AC19" s="50">
        <f>C19*(($F19*($R19)))/453.59</f>
        <v>1.1064496871488068E-2</v>
      </c>
      <c r="AD19" s="50">
        <f>C19*(($F19*($S19)))/453.59</f>
        <v>4.9599802576000274E-3</v>
      </c>
    </row>
    <row r="20" spans="1:30">
      <c r="A20" s="78" t="s">
        <v>112</v>
      </c>
      <c r="B20" s="76" t="s">
        <v>105</v>
      </c>
      <c r="C20" s="77">
        <v>10</v>
      </c>
      <c r="D20" s="77"/>
      <c r="E20" s="77">
        <v>35</v>
      </c>
      <c r="F20" s="77">
        <v>80</v>
      </c>
      <c r="G20" s="106">
        <v>1.08263976628415</v>
      </c>
      <c r="H20" s="106">
        <v>4.9712718909585103</v>
      </c>
      <c r="I20" s="106">
        <v>0.26248012575016899</v>
      </c>
      <c r="J20" s="106">
        <v>1.0711818E-2</v>
      </c>
      <c r="K20" s="106">
        <v>7.1679901072141505E-2</v>
      </c>
      <c r="L20" s="576">
        <v>3.59998119015979E-2</v>
      </c>
      <c r="M20" s="576">
        <v>6.1739677411240299E-2</v>
      </c>
      <c r="N20" s="106">
        <v>6.5945508986370194E-2</v>
      </c>
      <c r="O20" s="576">
        <v>2.9999843251331498E-3</v>
      </c>
      <c r="P20" s="576">
        <v>5.5859708133979398E-2</v>
      </c>
      <c r="Q20" s="106">
        <v>1710.7260798814</v>
      </c>
      <c r="R20" s="47">
        <v>1.5235246282551899E-2</v>
      </c>
      <c r="S20" s="80">
        <f>0.000025616*Q20</f>
        <v>4.3821959262241944E-2</v>
      </c>
      <c r="T20" s="50">
        <f>C20*($F20*$G20)/453.59</f>
        <v>1.9094596728925244</v>
      </c>
      <c r="U20" s="50">
        <f>C20*($F20*$H20)/453.59</f>
        <v>8.7678685878586577</v>
      </c>
      <c r="V20" s="50">
        <f>C20*(($F20*$I20))/453.59</f>
        <v>0.4629381172427417</v>
      </c>
      <c r="W20" s="50">
        <f>C20*($F20*$J20)/453.59</f>
        <v>1.88925117396768E-2</v>
      </c>
      <c r="X20" s="50">
        <f>C20*(($F20*($K20+$L20+$M20)))/453.59</f>
        <v>0.29880621774726907</v>
      </c>
      <c r="Y20" s="50">
        <f>C20*(($F20*($N20+$O20+$P20)))/453.59</f>
        <v>0.22011984646131133</v>
      </c>
      <c r="Z20" s="50">
        <f>C20*(F20)*$B$313</f>
        <v>0</v>
      </c>
      <c r="AA20" s="50">
        <f>Z20*0.21</f>
        <v>0</v>
      </c>
      <c r="AB20" s="50">
        <f>C20*(($F20*($Q20)))/453.59</f>
        <v>3017.2200972356541</v>
      </c>
      <c r="AC20" s="50">
        <f>C20*(($F20*($R20)))/453.59</f>
        <v>2.6870515280410772E-2</v>
      </c>
      <c r="AD20" s="50">
        <f>C20*(($F20*($S20)))/453.59</f>
        <v>7.7289110010788503E-2</v>
      </c>
    </row>
    <row r="21" spans="1:30">
      <c r="A21" s="75" t="s">
        <v>28</v>
      </c>
      <c r="B21" s="74"/>
      <c r="C21" s="112"/>
      <c r="D21" s="112"/>
      <c r="E21" s="74"/>
      <c r="F21" s="74"/>
      <c r="G21" s="577"/>
      <c r="H21" s="41"/>
      <c r="I21" s="41"/>
      <c r="J21" s="41"/>
      <c r="K21" s="574"/>
      <c r="L21" s="574"/>
      <c r="M21" s="574"/>
      <c r="N21" s="574"/>
      <c r="O21" s="574"/>
      <c r="P21" s="574"/>
      <c r="Q21" s="41"/>
      <c r="R21" s="574"/>
      <c r="S21" s="574"/>
      <c r="T21" s="81">
        <f t="shared" ref="T21:AD21" si="2">SUM(T19:T20)</f>
        <v>2.1092422239598143</v>
      </c>
      <c r="U21" s="81">
        <f t="shared" si="2"/>
        <v>9.1366873435180942</v>
      </c>
      <c r="V21" s="81">
        <f t="shared" si="2"/>
        <v>0.50799946276863439</v>
      </c>
      <c r="W21" s="81">
        <f t="shared" si="2"/>
        <v>2.1672234420891754E-2</v>
      </c>
      <c r="X21" s="81">
        <f t="shared" si="2"/>
        <v>0.37154514748757128</v>
      </c>
      <c r="Y21" s="81">
        <f t="shared" si="2"/>
        <v>0.26845204442726611</v>
      </c>
      <c r="Z21" s="81">
        <f t="shared" si="2"/>
        <v>0</v>
      </c>
      <c r="AA21" s="81">
        <f t="shared" si="2"/>
        <v>0</v>
      </c>
      <c r="AB21" s="81">
        <f t="shared" si="2"/>
        <v>3210.8483084161671</v>
      </c>
      <c r="AC21" s="81">
        <f t="shared" si="2"/>
        <v>3.7935012151898838E-2</v>
      </c>
      <c r="AD21" s="81">
        <f t="shared" si="2"/>
        <v>8.2249090268388531E-2</v>
      </c>
    </row>
    <row r="22" spans="1:30">
      <c r="A22" s="75"/>
      <c r="B22" s="74"/>
      <c r="C22" s="112"/>
      <c r="D22" s="112"/>
      <c r="E22" s="74"/>
      <c r="F22" s="74"/>
      <c r="G22" s="577"/>
      <c r="H22" s="41"/>
      <c r="I22" s="41"/>
      <c r="J22" s="41"/>
      <c r="K22" s="574"/>
      <c r="L22" s="574"/>
      <c r="M22" s="574"/>
      <c r="N22" s="574"/>
      <c r="O22" s="574"/>
      <c r="P22" s="574"/>
      <c r="Q22" s="41"/>
      <c r="R22" s="574"/>
      <c r="S22" s="574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</row>
    <row r="23" spans="1:30">
      <c r="A23" s="114" t="s">
        <v>334</v>
      </c>
      <c r="B23" s="74"/>
      <c r="C23" s="112"/>
      <c r="D23" s="112"/>
      <c r="E23" s="74"/>
      <c r="F23" s="74"/>
      <c r="G23" s="577"/>
      <c r="H23" s="41"/>
      <c r="I23" s="41"/>
      <c r="J23" s="41"/>
      <c r="K23" s="574"/>
      <c r="L23" s="574"/>
      <c r="M23" s="574"/>
      <c r="N23" s="574"/>
      <c r="O23" s="574"/>
      <c r="P23" s="574"/>
      <c r="Q23" s="41"/>
      <c r="R23" s="574"/>
      <c r="S23" s="574"/>
      <c r="T23" s="61"/>
      <c r="U23" s="61"/>
      <c r="V23" s="61"/>
      <c r="W23" s="61"/>
      <c r="X23" s="61"/>
      <c r="Y23" s="61"/>
      <c r="Z23" s="62"/>
      <c r="AA23" s="62"/>
      <c r="AB23" s="62"/>
      <c r="AC23" s="62"/>
      <c r="AD23" s="62"/>
    </row>
    <row r="24" spans="1:30">
      <c r="A24" s="78" t="s">
        <v>320</v>
      </c>
      <c r="B24" s="76" t="s">
        <v>95</v>
      </c>
      <c r="C24" s="79">
        <v>6</v>
      </c>
      <c r="D24" s="77"/>
      <c r="E24" s="77">
        <v>35</v>
      </c>
      <c r="F24" s="77">
        <v>60</v>
      </c>
      <c r="G24" s="106">
        <v>0.25172046482947802</v>
      </c>
      <c r="H24" s="106">
        <v>0.464701387165456</v>
      </c>
      <c r="I24" s="106">
        <v>5.6776043658582402E-2</v>
      </c>
      <c r="J24" s="106">
        <v>3.5023733638119199E-3</v>
      </c>
      <c r="K24" s="106">
        <v>4.6899256897933901E-2</v>
      </c>
      <c r="L24" s="47">
        <v>7.99995847163921E-3</v>
      </c>
      <c r="M24" s="47">
        <v>3.6749815577381599E-2</v>
      </c>
      <c r="N24" s="106">
        <v>4.3147317248333997E-2</v>
      </c>
      <c r="O24" s="47">
        <v>1.9999896145790402E-3</v>
      </c>
      <c r="P24" s="47">
        <v>1.57499200131354E-2</v>
      </c>
      <c r="Q24" s="106">
        <v>243.966167526025</v>
      </c>
      <c r="R24" s="47">
        <f>0.000057143*Q24</f>
        <v>1.3940958710939646E-2</v>
      </c>
      <c r="S24" s="80">
        <f>0.000025616*Q24</f>
        <v>6.2494373473466567E-3</v>
      </c>
      <c r="T24" s="50">
        <f>C24*($F24*$G24)/453.59</f>
        <v>0.19978255106729004</v>
      </c>
      <c r="U24" s="50">
        <f>C24*($F24*$H24)/453.59</f>
        <v>0.36881875565943734</v>
      </c>
      <c r="V24" s="50">
        <f>C24*(($F24*$I24))/453.59</f>
        <v>4.50613455258927E-2</v>
      </c>
      <c r="W24" s="50">
        <f>C24*($F24*$J24)/453.59</f>
        <v>2.7797226812149543E-3</v>
      </c>
      <c r="X24" s="50">
        <f>C24*(($F24*($K24+$L24+$M24)))/453.59</f>
        <v>7.2738929740302244E-2</v>
      </c>
      <c r="Y24" s="50">
        <f>C24*(($F24*($N24+$O24+$P24)))/453.59</f>
        <v>4.8332197965954803E-2</v>
      </c>
      <c r="Z24" s="50">
        <f>C24*(F24)*$B$313</f>
        <v>0</v>
      </c>
      <c r="AA24" s="50">
        <f>Z24*0.21</f>
        <v>0</v>
      </c>
      <c r="AB24" s="50">
        <f>C24*(($F24*($Q24)))/453.59</f>
        <v>193.62821118051326</v>
      </c>
      <c r="AC24" s="50">
        <f>C24*(($F24*($R24)))/453.59</f>
        <v>1.1064496871488068E-2</v>
      </c>
      <c r="AD24" s="50">
        <f>C24*(($F24*($S24)))/453.59</f>
        <v>4.9599802576000274E-3</v>
      </c>
    </row>
    <row r="25" spans="1:30">
      <c r="A25" s="78" t="s">
        <v>318</v>
      </c>
      <c r="B25" s="76" t="s">
        <v>105</v>
      </c>
      <c r="C25" s="77">
        <v>1</v>
      </c>
      <c r="D25" s="77"/>
      <c r="E25" s="77">
        <v>35</v>
      </c>
      <c r="F25" s="77">
        <v>80</v>
      </c>
      <c r="G25" s="106">
        <v>1.08263976628415</v>
      </c>
      <c r="H25" s="106">
        <v>4.9712718909585103</v>
      </c>
      <c r="I25" s="106">
        <v>0.26248012575016899</v>
      </c>
      <c r="J25" s="106">
        <v>1.0711818E-2</v>
      </c>
      <c r="K25" s="106">
        <v>7.1679901072141505E-2</v>
      </c>
      <c r="L25" s="576">
        <v>3.59998119015979E-2</v>
      </c>
      <c r="M25" s="576">
        <v>6.1739677411240299E-2</v>
      </c>
      <c r="N25" s="106">
        <v>6.5945508986370194E-2</v>
      </c>
      <c r="O25" s="576">
        <v>2.9999843251331498E-3</v>
      </c>
      <c r="P25" s="576">
        <v>5.5859708133979398E-2</v>
      </c>
      <c r="Q25" s="106">
        <v>1710.7260798814</v>
      </c>
      <c r="R25" s="47">
        <v>1.5235246282551899E-2</v>
      </c>
      <c r="S25" s="80">
        <f>0.000025616*Q25</f>
        <v>4.3821959262241944E-2</v>
      </c>
      <c r="T25" s="50">
        <f>C25*($F25*$G25)/453.59</f>
        <v>0.19094596728925242</v>
      </c>
      <c r="U25" s="50">
        <f>C25*($F25*$H25)/453.59</f>
        <v>0.87678685878586582</v>
      </c>
      <c r="V25" s="50">
        <f>C25*(($F25*$I25))/453.59</f>
        <v>4.6293811724274173E-2</v>
      </c>
      <c r="W25" s="50">
        <f>C25*($F25*$J25)/453.59</f>
        <v>1.8892511739676801E-3</v>
      </c>
      <c r="X25" s="50">
        <f>C25*(($F25*($K25+$L25+$M25)))/453.59</f>
        <v>2.9880621774726907E-2</v>
      </c>
      <c r="Y25" s="50">
        <f>C25*(($F25*($N25+$O25+$P25)))/453.59</f>
        <v>2.2011984646131133E-2</v>
      </c>
      <c r="Z25" s="50">
        <f>C25*(F25)*$B$313</f>
        <v>0</v>
      </c>
      <c r="AA25" s="50">
        <f>Z25*0.21</f>
        <v>0</v>
      </c>
      <c r="AB25" s="50">
        <f>C25*(($F25*($Q25)))/453.59</f>
        <v>301.72200972356535</v>
      </c>
      <c r="AC25" s="50">
        <f>C25*(($F25*($R25)))/453.59</f>
        <v>2.6870515280410772E-3</v>
      </c>
      <c r="AD25" s="50">
        <f>C25*(($F25*($S25)))/453.59</f>
        <v>7.7289110010788503E-3</v>
      </c>
    </row>
    <row r="26" spans="1:30">
      <c r="A26" s="78" t="s">
        <v>112</v>
      </c>
      <c r="B26" s="76" t="s">
        <v>105</v>
      </c>
      <c r="C26" s="77">
        <v>33</v>
      </c>
      <c r="D26" s="77"/>
      <c r="E26" s="77">
        <v>35</v>
      </c>
      <c r="F26" s="77">
        <v>80</v>
      </c>
      <c r="G26" s="106">
        <v>1.08263976628415</v>
      </c>
      <c r="H26" s="106">
        <v>4.9712718909585103</v>
      </c>
      <c r="I26" s="106">
        <v>0.26248012575016899</v>
      </c>
      <c r="J26" s="106">
        <v>1.0711818E-2</v>
      </c>
      <c r="K26" s="106">
        <v>7.1679901072141505E-2</v>
      </c>
      <c r="L26" s="576">
        <v>3.59998119015979E-2</v>
      </c>
      <c r="M26" s="576">
        <v>6.1739677411240299E-2</v>
      </c>
      <c r="N26" s="106">
        <v>6.5945508986370194E-2</v>
      </c>
      <c r="O26" s="576">
        <v>2.9999843251331498E-3</v>
      </c>
      <c r="P26" s="576">
        <v>5.5859708133979398E-2</v>
      </c>
      <c r="Q26" s="106">
        <v>1710.7260798814</v>
      </c>
      <c r="R26" s="47">
        <v>1.5235246282551899E-2</v>
      </c>
      <c r="S26" s="80">
        <f>0.000025616*Q26</f>
        <v>4.3821959262241944E-2</v>
      </c>
      <c r="T26" s="50">
        <f>C26*($F26*$G26)/453.59</f>
        <v>6.3012169205453299</v>
      </c>
      <c r="U26" s="50">
        <f>C26*($F26*$H26)/453.59</f>
        <v>28.933966339933573</v>
      </c>
      <c r="V26" s="50">
        <f>C26*(($F26*$I26))/453.59</f>
        <v>1.5276957869010475</v>
      </c>
      <c r="W26" s="50">
        <f>C26*($F26*$J26)/453.59</f>
        <v>6.2345288740933445E-2</v>
      </c>
      <c r="X26" s="50">
        <f>C26*(($F26*($K26+$L26+$M26)))/453.59</f>
        <v>0.98606051856598786</v>
      </c>
      <c r="Y26" s="50">
        <f>C26*(($F26*($N26+$O26+$P26)))/453.59</f>
        <v>0.72639549332232733</v>
      </c>
      <c r="Z26" s="50">
        <f>C26*(F26)*$B$313</f>
        <v>0</v>
      </c>
      <c r="AA26" s="50">
        <f>Z26*0.21</f>
        <v>0</v>
      </c>
      <c r="AB26" s="50">
        <f>C26*(($F26*($Q26)))/453.59</f>
        <v>9956.8263208776571</v>
      </c>
      <c r="AC26" s="50">
        <f>C26*(($F26*($R26)))/453.59</f>
        <v>8.8672700425355536E-2</v>
      </c>
      <c r="AD26" s="50">
        <f>C26*(($F26*($S26)))/453.59</f>
        <v>0.25505406303560207</v>
      </c>
    </row>
    <row r="27" spans="1:30">
      <c r="A27" s="75" t="s">
        <v>28</v>
      </c>
      <c r="B27" s="74"/>
      <c r="C27" s="112"/>
      <c r="D27" s="112"/>
      <c r="E27" s="74"/>
      <c r="F27" s="74"/>
      <c r="G27" s="577"/>
      <c r="H27" s="41"/>
      <c r="I27" s="41"/>
      <c r="J27" s="41"/>
      <c r="K27" s="574"/>
      <c r="L27" s="574"/>
      <c r="M27" s="574"/>
      <c r="N27" s="574"/>
      <c r="O27" s="574"/>
      <c r="P27" s="574"/>
      <c r="Q27" s="41"/>
      <c r="R27" s="574"/>
      <c r="S27" s="574"/>
      <c r="T27" s="81">
        <f>SUM(T24:T26)</f>
        <v>6.6919454389018727</v>
      </c>
      <c r="U27" s="81">
        <f t="shared" ref="U27:AD27" si="3">SUM(U24:U26)</f>
        <v>30.179571954378876</v>
      </c>
      <c r="V27" s="81">
        <f t="shared" si="3"/>
        <v>1.6190509441512144</v>
      </c>
      <c r="W27" s="81">
        <f t="shared" si="3"/>
        <v>6.7014262596116078E-2</v>
      </c>
      <c r="X27" s="81">
        <f t="shared" si="3"/>
        <v>1.0886800700810171</v>
      </c>
      <c r="Y27" s="81">
        <f t="shared" si="3"/>
        <v>0.79673967593441331</v>
      </c>
      <c r="Z27" s="81">
        <f t="shared" si="3"/>
        <v>0</v>
      </c>
      <c r="AA27" s="81">
        <f t="shared" si="3"/>
        <v>0</v>
      </c>
      <c r="AB27" s="81">
        <f t="shared" si="3"/>
        <v>10452.176541781735</v>
      </c>
      <c r="AC27" s="81">
        <f t="shared" si="3"/>
        <v>0.10242424882488468</v>
      </c>
      <c r="AD27" s="81">
        <f t="shared" si="3"/>
        <v>0.26774295429428097</v>
      </c>
    </row>
    <row r="28" spans="1:30">
      <c r="A28" s="75" t="s">
        <v>388</v>
      </c>
      <c r="B28" s="74"/>
      <c r="C28" s="112"/>
      <c r="D28" s="112"/>
      <c r="E28" s="74"/>
      <c r="F28" s="74"/>
      <c r="G28" s="547"/>
      <c r="H28" s="41"/>
      <c r="I28" s="41"/>
      <c r="J28" s="41"/>
      <c r="K28" s="544"/>
      <c r="L28" s="544"/>
      <c r="M28" s="544"/>
      <c r="N28" s="544"/>
      <c r="O28" s="544"/>
      <c r="P28" s="544"/>
      <c r="Q28" s="41"/>
      <c r="R28" s="544"/>
      <c r="S28" s="544"/>
      <c r="T28" s="81">
        <f>T11+T16+T21+T27</f>
        <v>9.3828621485074812</v>
      </c>
      <c r="U28" s="81">
        <f t="shared" ref="U28:AD28" si="4">U11+U16+U21+U27</f>
        <v>41.438651771128136</v>
      </c>
      <c r="V28" s="81">
        <f t="shared" si="4"/>
        <v>2.2646993758942897</v>
      </c>
      <c r="W28" s="81">
        <f t="shared" si="4"/>
        <v>9.5244722046158151E-2</v>
      </c>
      <c r="X28" s="81">
        <f t="shared" si="4"/>
        <v>1.5927253908583445</v>
      </c>
      <c r="Y28" s="81">
        <f t="shared" si="4"/>
        <v>1.1575478876198964</v>
      </c>
      <c r="Z28" s="81">
        <f t="shared" si="4"/>
        <v>0</v>
      </c>
      <c r="AA28" s="81">
        <f t="shared" si="4"/>
        <v>0</v>
      </c>
      <c r="AB28" s="81">
        <f t="shared" si="4"/>
        <v>14460.097080825546</v>
      </c>
      <c r="AC28" s="81">
        <f t="shared" si="4"/>
        <v>0.15679786090435374</v>
      </c>
      <c r="AD28" s="81">
        <f t="shared" si="4"/>
        <v>0.37040984682242722</v>
      </c>
    </row>
    <row r="29" spans="1:30">
      <c r="A29" s="370"/>
      <c r="B29" s="371"/>
      <c r="C29" s="372"/>
      <c r="D29" s="372"/>
      <c r="E29" s="371"/>
      <c r="F29" s="371"/>
      <c r="G29" s="373"/>
      <c r="H29" s="373"/>
      <c r="I29" s="373"/>
      <c r="J29" s="373"/>
      <c r="K29" s="373"/>
      <c r="L29" s="373"/>
      <c r="M29" s="373"/>
      <c r="N29" s="373"/>
      <c r="O29" s="373"/>
      <c r="P29" s="373"/>
      <c r="Q29" s="373"/>
      <c r="R29" s="373"/>
      <c r="S29" s="373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</row>
    <row r="30" spans="1:30">
      <c r="A30" s="370"/>
      <c r="B30" s="371"/>
      <c r="C30" s="372"/>
      <c r="D30" s="372"/>
      <c r="E30" s="371"/>
      <c r="F30" s="371"/>
      <c r="G30" s="373"/>
      <c r="H30" s="373"/>
      <c r="I30" s="373"/>
      <c r="J30" s="373"/>
      <c r="K30" s="373"/>
      <c r="L30" s="373"/>
      <c r="M30" s="373"/>
      <c r="N30" s="373"/>
      <c r="O30" s="373"/>
      <c r="P30" s="373"/>
      <c r="Q30" s="373"/>
      <c r="R30" s="373"/>
      <c r="S30" s="373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</row>
    <row r="31" spans="1:30">
      <c r="A31" s="370"/>
      <c r="B31" s="371"/>
      <c r="C31" s="372"/>
      <c r="D31" s="372"/>
      <c r="E31" s="371"/>
      <c r="F31" s="371"/>
      <c r="G31" s="373"/>
      <c r="H31" s="373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</row>
    <row r="32" spans="1:30">
      <c r="A32" s="370"/>
      <c r="B32" s="371"/>
      <c r="C32" s="372"/>
      <c r="D32" s="372"/>
      <c r="E32" s="371"/>
      <c r="F32" s="371"/>
      <c r="G32" s="373"/>
      <c r="H32" s="373"/>
      <c r="I32" s="373"/>
      <c r="J32" s="373"/>
      <c r="K32" s="373"/>
      <c r="L32" s="373"/>
      <c r="M32" s="373"/>
      <c r="N32" s="373"/>
      <c r="O32" s="373"/>
      <c r="P32" s="373"/>
      <c r="Q32" s="373"/>
      <c r="R32" s="373"/>
      <c r="S32" s="373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</row>
    <row r="380" spans="1:1" ht="25.5">
      <c r="A380" s="82" t="s">
        <v>109</v>
      </c>
    </row>
    <row r="382" spans="1:1">
      <c r="A382" s="36" t="s">
        <v>81</v>
      </c>
    </row>
    <row r="383" spans="1:1">
      <c r="A383" s="36" t="s">
        <v>82</v>
      </c>
    </row>
    <row r="384" spans="1:1">
      <c r="A384" s="36" t="s">
        <v>83</v>
      </c>
    </row>
    <row r="385" spans="1:2">
      <c r="A385" s="37" t="s">
        <v>96</v>
      </c>
    </row>
    <row r="386" spans="1:2">
      <c r="A386" s="36" t="s">
        <v>85</v>
      </c>
    </row>
    <row r="387" spans="1:2">
      <c r="A387" s="36" t="s">
        <v>86</v>
      </c>
    </row>
    <row r="388" spans="1:2">
      <c r="A388" s="36" t="s">
        <v>87</v>
      </c>
    </row>
    <row r="389" spans="1:2">
      <c r="A389" s="36" t="s">
        <v>0</v>
      </c>
    </row>
    <row r="390" spans="1:2">
      <c r="A390" s="37" t="s">
        <v>97</v>
      </c>
      <c r="B390" s="36">
        <f>(0.016*(0.03/2)^0.65*(2/3)^1.5)-0.00047</f>
        <v>9.8123053326417428E-5</v>
      </c>
    </row>
    <row r="391" spans="1:2">
      <c r="A391" s="37" t="s">
        <v>98</v>
      </c>
      <c r="B391" s="36">
        <f>(0.016*(0.03/2)^0.65*(13/3)^1.5)-0.00047</f>
        <v>8.9448292388582783E-3</v>
      </c>
    </row>
    <row r="392" spans="1:2">
      <c r="A392" s="37" t="s">
        <v>99</v>
      </c>
      <c r="B392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5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590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346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7" si="0">0.000049261*AA4</f>
        <v>2.2095931710230707E-2</v>
      </c>
      <c r="AD4" s="49">
        <v>3.2599999999999997E-2</v>
      </c>
      <c r="AE4" s="47">
        <f t="shared" ref="AE4:AE7" si="1">0.000021675*AA4</f>
        <v>9.7222817202097123E-3</v>
      </c>
    </row>
    <row r="5" spans="1:67" ht="25.5">
      <c r="A5" s="44" t="s">
        <v>328</v>
      </c>
      <c r="B5" s="45" t="s">
        <v>102</v>
      </c>
      <c r="C5" s="46">
        <v>3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333</v>
      </c>
      <c r="B6" s="45" t="s">
        <v>102</v>
      </c>
      <c r="C6" s="46">
        <v>7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 ht="25.5">
      <c r="A7" s="44" t="s">
        <v>516</v>
      </c>
      <c r="B7" s="45" t="s">
        <v>102</v>
      </c>
      <c r="C7" s="46">
        <v>10</v>
      </c>
      <c r="D7" s="46">
        <v>35</v>
      </c>
      <c r="E7" s="46">
        <v>80</v>
      </c>
      <c r="F7" s="47">
        <v>2.3611622044318601</v>
      </c>
      <c r="G7" s="48">
        <v>31.4244798871777</v>
      </c>
      <c r="H7" s="48">
        <v>0.22493614397154399</v>
      </c>
      <c r="I7" s="48">
        <v>1.8136819244333999</v>
      </c>
      <c r="J7" s="47">
        <v>5.7965153248686403E-2</v>
      </c>
      <c r="K7" s="48">
        <v>2.3946366793705498</v>
      </c>
      <c r="L7" s="48">
        <v>1.62197187247403</v>
      </c>
      <c r="M7" s="48">
        <v>0.70709499821369304</v>
      </c>
      <c r="N7" s="48">
        <v>0.16038404042738499</v>
      </c>
      <c r="O7" s="48">
        <v>0.71464703099800198</v>
      </c>
      <c r="P7" s="48">
        <v>4.0478385316323803E-3</v>
      </c>
      <c r="Q7" s="48">
        <v>5.8407810191933099E-3</v>
      </c>
      <c r="R7" s="47">
        <v>3.2157701660956101E-3</v>
      </c>
      <c r="S7" s="48">
        <v>2.9198634356063399E-2</v>
      </c>
      <c r="T7" s="48">
        <v>7.9999583995993707E-3</v>
      </c>
      <c r="U7" s="48">
        <v>3.6749815874576097E-2</v>
      </c>
      <c r="V7" s="48">
        <v>2.9606446234606999E-3</v>
      </c>
      <c r="W7" s="48">
        <v>2.6884174180557701E-2</v>
      </c>
      <c r="X7" s="48">
        <v>1.9999896010969099E-3</v>
      </c>
      <c r="Y7" s="48">
        <v>1.57499197860352E-2</v>
      </c>
      <c r="Z7" s="48">
        <v>308.63789988642998</v>
      </c>
      <c r="AA7" s="48">
        <v>448.54817624958298</v>
      </c>
      <c r="AB7" s="47">
        <v>1.77E-2</v>
      </c>
      <c r="AC7" s="47">
        <f t="shared" si="0"/>
        <v>2.2095931710230707E-2</v>
      </c>
      <c r="AD7" s="49">
        <v>3.2599999999999997E-2</v>
      </c>
      <c r="AE7" s="47">
        <f t="shared" si="1"/>
        <v>9.7222817202097123E-3</v>
      </c>
    </row>
    <row r="8" spans="1:67">
      <c r="A8" s="52"/>
      <c r="B8" s="52"/>
      <c r="C8" s="53"/>
      <c r="D8" s="54"/>
      <c r="E8" s="54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</row>
    <row r="9" spans="1:67" ht="25.5">
      <c r="A9" s="55" t="s">
        <v>504</v>
      </c>
      <c r="B9" s="37"/>
      <c r="C9" s="37"/>
    </row>
    <row r="10" spans="1:67">
      <c r="A10" s="55" t="s">
        <v>77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84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</row>
    <row r="11" spans="1:67">
      <c r="A11" s="55" t="s">
        <v>78</v>
      </c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t="38.25" hidden="1">
      <c r="A12" s="55" t="s">
        <v>79</v>
      </c>
      <c r="B12" s="37"/>
      <c r="C12" s="37"/>
      <c r="AA12" s="57"/>
      <c r="AB12" s="58" t="s">
        <v>80</v>
      </c>
      <c r="AC12" s="57"/>
      <c r="AD12" s="57"/>
      <c r="AE12" s="57"/>
      <c r="AF12" s="57" t="e">
        <f>#REF!/60</f>
        <v>#REF!</v>
      </c>
      <c r="AG12" s="57" t="e">
        <f>#REF!/60</f>
        <v>#REF!</v>
      </c>
      <c r="AH12" s="57" t="e">
        <f>#REF!/60</f>
        <v>#REF!</v>
      </c>
      <c r="AI12" s="57" t="e">
        <f>#REF!/60</f>
        <v>#REF!</v>
      </c>
      <c r="AJ12" s="57" t="e">
        <f>#REF!/60</f>
        <v>#REF!</v>
      </c>
      <c r="AK12" s="57" t="e">
        <f>#REF!/60</f>
        <v>#REF!</v>
      </c>
      <c r="AL12" s="57" t="e">
        <f>#REF!/60</f>
        <v>#REF!</v>
      </c>
      <c r="AM12" s="57" t="e">
        <f>#REF!/60</f>
        <v>#REF!</v>
      </c>
      <c r="AN12" s="57" t="e">
        <f>#REF!/60</f>
        <v>#REF!</v>
      </c>
      <c r="AO12" s="57" t="e">
        <f>#REF!/60</f>
        <v>#REF!</v>
      </c>
      <c r="AP12" s="57"/>
      <c r="AQ12" s="57"/>
      <c r="AR12" s="57" t="e">
        <f>#REF!/60</f>
        <v>#REF!</v>
      </c>
      <c r="AS12" s="57" t="e">
        <f>#REF!/60</f>
        <v>#REF!</v>
      </c>
      <c r="AT12" s="57" t="e">
        <f>#REF!/60</f>
        <v>#REF!</v>
      </c>
      <c r="AU12" s="57" t="e">
        <f>#REF!/60</f>
        <v>#REF!</v>
      </c>
      <c r="AV12" s="57" t="e">
        <f>#REF!/60</f>
        <v>#REF!</v>
      </c>
      <c r="AW12" s="57" t="e">
        <f>#REF!/60</f>
        <v>#REF!</v>
      </c>
      <c r="AX12" s="57" t="e">
        <f>#REF!/60</f>
        <v>#REF!</v>
      </c>
      <c r="AY12" s="57" t="e">
        <f>#REF!/60</f>
        <v>#REF!</v>
      </c>
      <c r="AZ12" s="57" t="e">
        <f>#REF!/60</f>
        <v>#REF!</v>
      </c>
      <c r="BA12" s="57" t="e">
        <f>#REF!/60</f>
        <v>#REF!</v>
      </c>
    </row>
    <row r="13" spans="1:67" hidden="1">
      <c r="A13" s="55"/>
      <c r="B13" s="37"/>
      <c r="C13" s="3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9"/>
      <c r="AS13" s="59"/>
      <c r="AT13" s="59"/>
      <c r="AU13" s="59"/>
      <c r="AV13" s="59"/>
      <c r="AW13" s="59"/>
      <c r="AX13" s="59"/>
      <c r="AY13" s="59"/>
      <c r="AZ13" s="60"/>
      <c r="BA13" s="59"/>
    </row>
    <row r="14" spans="1:67" hidden="1">
      <c r="A14" s="37"/>
      <c r="B14" s="37"/>
      <c r="C14" s="37"/>
      <c r="AF14" s="596" t="s">
        <v>64</v>
      </c>
      <c r="AG14" s="596"/>
      <c r="AH14" s="596"/>
      <c r="AI14" s="596"/>
      <c r="AJ14" s="596"/>
      <c r="AK14" s="597"/>
      <c r="AL14" s="597"/>
      <c r="AM14" s="597"/>
      <c r="AN14" s="597"/>
      <c r="AO14" s="597"/>
      <c r="AP14" s="546"/>
      <c r="AQ14" s="56"/>
      <c r="AR14" s="596" t="s">
        <v>65</v>
      </c>
      <c r="AS14" s="596"/>
      <c r="AT14" s="596"/>
      <c r="AU14" s="596"/>
      <c r="AV14" s="596"/>
      <c r="AW14" s="597"/>
      <c r="AX14" s="597"/>
      <c r="AY14" s="597"/>
      <c r="AZ14" s="597"/>
      <c r="BA14" s="597"/>
    </row>
    <row r="15" spans="1:67" ht="63.75" hidden="1">
      <c r="A15" s="37"/>
      <c r="B15" s="37"/>
      <c r="C15" s="37"/>
      <c r="AF15" s="61" t="s">
        <v>55</v>
      </c>
      <c r="AG15" s="61" t="s">
        <v>73</v>
      </c>
      <c r="AH15" s="61" t="s">
        <v>74</v>
      </c>
      <c r="AI15" s="61" t="s">
        <v>58</v>
      </c>
      <c r="AJ15" s="61" t="s">
        <v>59</v>
      </c>
      <c r="AK15" s="61" t="s">
        <v>60</v>
      </c>
      <c r="AL15" s="62" t="s">
        <v>75</v>
      </c>
      <c r="AM15" s="62" t="s">
        <v>76</v>
      </c>
      <c r="AN15" s="62" t="s">
        <v>61</v>
      </c>
      <c r="AO15" s="62" t="s">
        <v>62</v>
      </c>
      <c r="AP15" s="62"/>
      <c r="AQ15" s="43"/>
      <c r="AR15" s="61" t="s">
        <v>55</v>
      </c>
      <c r="AS15" s="61" t="s">
        <v>73</v>
      </c>
      <c r="AT15" s="61" t="s">
        <v>74</v>
      </c>
      <c r="AU15" s="61" t="s">
        <v>58</v>
      </c>
      <c r="AV15" s="61" t="s">
        <v>59</v>
      </c>
      <c r="AW15" s="61" t="s">
        <v>60</v>
      </c>
      <c r="AX15" s="62" t="s">
        <v>75</v>
      </c>
      <c r="AY15" s="62" t="s">
        <v>76</v>
      </c>
      <c r="AZ15" s="63" t="s">
        <v>61</v>
      </c>
      <c r="BA15" s="61" t="s">
        <v>62</v>
      </c>
    </row>
    <row r="16" spans="1:67" hidden="1">
      <c r="A16" s="37" t="s">
        <v>81</v>
      </c>
      <c r="B16" s="37"/>
      <c r="C16" s="37"/>
      <c r="AA16" s="64" t="s">
        <v>29</v>
      </c>
      <c r="AB16" s="65" t="s">
        <v>30</v>
      </c>
      <c r="AC16" s="65" t="s">
        <v>31</v>
      </c>
      <c r="AD16" s="65"/>
      <c r="AE16" s="65"/>
      <c r="AQ16" s="38"/>
    </row>
    <row r="17" spans="1:53" hidden="1">
      <c r="A17" s="37" t="s">
        <v>82</v>
      </c>
      <c r="B17" s="37"/>
      <c r="C17" s="37"/>
      <c r="AA17" s="64"/>
      <c r="AB17" s="65" t="s">
        <v>32</v>
      </c>
      <c r="AC17" s="65">
        <v>13.25</v>
      </c>
      <c r="AD17" s="65"/>
      <c r="AE17" s="65"/>
      <c r="AF17" s="36" t="e">
        <f>AF$12*$AC17</f>
        <v>#REF!</v>
      </c>
      <c r="AG17" s="36" t="e">
        <f t="shared" ref="AG17:AO25" si="2">AG$12*$AC17</f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>AR$12*$AC17</f>
        <v>#REF!</v>
      </c>
      <c r="AS17" s="36" t="e">
        <f t="shared" ref="AS17:BA25" si="3">AS$12*$AC17</f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83</v>
      </c>
      <c r="B18" s="37"/>
      <c r="C18" s="37"/>
      <c r="AA18" s="64"/>
      <c r="AB18" s="65" t="s">
        <v>33</v>
      </c>
      <c r="AC18" s="65">
        <v>20.298999999999999</v>
      </c>
      <c r="AD18" s="65"/>
      <c r="AE18" s="65"/>
      <c r="AF18" s="36" t="e">
        <f t="shared" ref="AF18:AF25" si="4">AF$12*$AC18</f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ref="AR18:AR25" si="5">AR$12*$AC18</f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84</v>
      </c>
      <c r="B19" s="37"/>
      <c r="C19" s="37"/>
      <c r="AA19" s="64"/>
      <c r="AB19" s="65" t="s">
        <v>34</v>
      </c>
      <c r="AC19" s="65">
        <v>21.68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85</v>
      </c>
      <c r="B20" s="37"/>
      <c r="C20" s="37"/>
      <c r="AA20" s="64"/>
      <c r="AB20" s="65" t="s">
        <v>35</v>
      </c>
      <c r="AC20" s="65">
        <v>9.3046500000000005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86</v>
      </c>
      <c r="B21" s="37"/>
      <c r="C21" s="37"/>
      <c r="AA21" s="64"/>
      <c r="AB21" s="65" t="s">
        <v>36</v>
      </c>
      <c r="AC21" s="65">
        <v>5.0347999999999997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87</v>
      </c>
      <c r="B22" s="37"/>
      <c r="C22" s="37"/>
      <c r="AA22" s="64"/>
      <c r="AB22" s="65" t="s">
        <v>37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0</v>
      </c>
      <c r="B23" s="37"/>
      <c r="C23" s="37"/>
      <c r="AA23" s="64"/>
      <c r="AB23" s="65" t="s">
        <v>38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 t="s">
        <v>59</v>
      </c>
      <c r="B24" s="37">
        <f>(0.016*(0.03/2)^0.65*(2/3)^1.5)-0.00047</f>
        <v>9.8123053326417428E-5</v>
      </c>
      <c r="C24" s="37"/>
      <c r="AA24" s="64"/>
      <c r="AB24" s="65" t="s">
        <v>39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 t="s">
        <v>40</v>
      </c>
      <c r="AC25" s="65">
        <v>0</v>
      </c>
      <c r="AD25" s="65"/>
      <c r="AE25" s="65"/>
      <c r="AF25" s="36" t="e">
        <f t="shared" si="4"/>
        <v>#REF!</v>
      </c>
      <c r="AG25" s="36" t="e">
        <f t="shared" si="2"/>
        <v>#REF!</v>
      </c>
      <c r="AH25" s="36" t="e">
        <f t="shared" si="2"/>
        <v>#REF!</v>
      </c>
      <c r="AI25" s="36" t="e">
        <f t="shared" si="2"/>
        <v>#REF!</v>
      </c>
      <c r="AJ25" s="36" t="e">
        <f t="shared" si="2"/>
        <v>#REF!</v>
      </c>
      <c r="AK25" s="36" t="e">
        <f t="shared" si="2"/>
        <v>#REF!</v>
      </c>
      <c r="AL25" s="36" t="e">
        <f t="shared" si="2"/>
        <v>#REF!</v>
      </c>
      <c r="AM25" s="36" t="e">
        <f t="shared" si="2"/>
        <v>#REF!</v>
      </c>
      <c r="AN25" s="36" t="e">
        <f t="shared" si="2"/>
        <v>#REF!</v>
      </c>
      <c r="AO25" s="36" t="e">
        <f t="shared" si="2"/>
        <v>#REF!</v>
      </c>
      <c r="AQ25" s="38"/>
      <c r="AR25" s="36" t="e">
        <f t="shared" si="5"/>
        <v>#REF!</v>
      </c>
      <c r="AS25" s="36" t="e">
        <f t="shared" si="3"/>
        <v>#REF!</v>
      </c>
      <c r="AT25" s="36" t="e">
        <f t="shared" si="3"/>
        <v>#REF!</v>
      </c>
      <c r="AU25" s="36" t="e">
        <f t="shared" si="3"/>
        <v>#REF!</v>
      </c>
      <c r="AV25" s="36" t="e">
        <f t="shared" si="3"/>
        <v>#REF!</v>
      </c>
      <c r="AW25" s="36" t="e">
        <f t="shared" si="3"/>
        <v>#REF!</v>
      </c>
      <c r="AX25" s="36" t="e">
        <f t="shared" si="3"/>
        <v>#REF!</v>
      </c>
      <c r="AY25" s="36" t="e">
        <f t="shared" si="3"/>
        <v>#REF!</v>
      </c>
      <c r="AZ25" s="36" t="e">
        <f t="shared" si="3"/>
        <v>#REF!</v>
      </c>
      <c r="BA25" s="36" t="e">
        <f t="shared" si="3"/>
        <v>#REF!</v>
      </c>
    </row>
    <row r="26" spans="1:53" hidden="1">
      <c r="A26" s="37"/>
      <c r="B26" s="37"/>
      <c r="C26" s="37"/>
      <c r="AA26" s="64"/>
      <c r="AB26" s="65"/>
      <c r="AC26" s="65"/>
      <c r="AD26" s="65"/>
      <c r="AE26" s="65"/>
      <c r="AQ26" s="38"/>
    </row>
    <row r="27" spans="1:53" hidden="1">
      <c r="A27" s="37"/>
      <c r="B27" s="37"/>
      <c r="C27" s="37"/>
      <c r="AA27" s="64" t="s">
        <v>41</v>
      </c>
      <c r="AB27" s="65" t="s">
        <v>30</v>
      </c>
      <c r="AC27" s="65" t="s">
        <v>31</v>
      </c>
      <c r="AD27" s="65"/>
      <c r="AE27" s="65"/>
      <c r="AQ27" s="38"/>
    </row>
    <row r="28" spans="1:53" hidden="1">
      <c r="A28" s="37" t="s">
        <v>88</v>
      </c>
      <c r="B28" s="37"/>
      <c r="C28" s="37"/>
      <c r="AA28" s="64"/>
      <c r="AB28" s="65" t="s">
        <v>32</v>
      </c>
      <c r="AC28" s="65">
        <v>0</v>
      </c>
      <c r="AD28" s="65"/>
      <c r="AE28" s="65"/>
      <c r="AF28" s="36" t="e">
        <f t="shared" ref="AF28:AO36" si="6">AF$12*$AC28</f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ref="AR28:BA36" si="7">AR$12*$AC28</f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89</v>
      </c>
      <c r="B29" s="37"/>
      <c r="C29" s="37"/>
      <c r="AA29" s="64"/>
      <c r="AB29" s="65" t="s">
        <v>33</v>
      </c>
      <c r="AC29" s="65">
        <v>6.2010000000000005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90</v>
      </c>
      <c r="B30" s="37"/>
      <c r="C30" s="37"/>
      <c r="AA30" s="64"/>
      <c r="AB30" s="65" t="s">
        <v>34</v>
      </c>
      <c r="AC30" s="65">
        <v>0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91</v>
      </c>
      <c r="B31" s="37"/>
      <c r="C31" s="37"/>
      <c r="AA31" s="64"/>
      <c r="AB31" s="65" t="s">
        <v>35</v>
      </c>
      <c r="AC31" s="65">
        <v>9.8037500000000009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92</v>
      </c>
      <c r="B32" s="37"/>
      <c r="C32" s="37"/>
      <c r="AA32" s="64"/>
      <c r="AB32" s="65" t="s">
        <v>36</v>
      </c>
      <c r="AC32" s="65">
        <v>7.2451999999999996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84</v>
      </c>
      <c r="B33" s="37"/>
      <c r="C33" s="37"/>
      <c r="AA33" s="64"/>
      <c r="AB33" s="65" t="s">
        <v>37</v>
      </c>
      <c r="AC33" s="65">
        <v>3.6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93</v>
      </c>
      <c r="B34" s="37"/>
      <c r="C34" s="37"/>
      <c r="AA34" s="64"/>
      <c r="AB34" s="65" t="s">
        <v>38</v>
      </c>
      <c r="AC34" s="65">
        <v>6.1984000000000004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94</v>
      </c>
      <c r="B35" s="37"/>
      <c r="C35" s="37"/>
      <c r="AA35" s="64"/>
      <c r="AB35" s="65" t="s">
        <v>39</v>
      </c>
      <c r="AC35" s="65">
        <v>5.1995100000000001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0</v>
      </c>
      <c r="B36" s="37"/>
      <c r="C36" s="37"/>
      <c r="AA36" s="64"/>
      <c r="AB36" s="65" t="s">
        <v>40</v>
      </c>
      <c r="AC36" s="65">
        <v>17.71416</v>
      </c>
      <c r="AD36" s="65"/>
      <c r="AE36" s="65"/>
      <c r="AF36" s="36" t="e">
        <f t="shared" si="6"/>
        <v>#REF!</v>
      </c>
      <c r="AG36" s="36" t="e">
        <f t="shared" si="6"/>
        <v>#REF!</v>
      </c>
      <c r="AH36" s="36" t="e">
        <f t="shared" si="6"/>
        <v>#REF!</v>
      </c>
      <c r="AI36" s="36" t="e">
        <f t="shared" si="6"/>
        <v>#REF!</v>
      </c>
      <c r="AJ36" s="36" t="e">
        <f t="shared" si="6"/>
        <v>#REF!</v>
      </c>
      <c r="AK36" s="36" t="e">
        <f t="shared" si="6"/>
        <v>#REF!</v>
      </c>
      <c r="AL36" s="36" t="e">
        <f t="shared" si="6"/>
        <v>#REF!</v>
      </c>
      <c r="AM36" s="36" t="e">
        <f t="shared" si="6"/>
        <v>#REF!</v>
      </c>
      <c r="AN36" s="36" t="e">
        <f t="shared" si="6"/>
        <v>#REF!</v>
      </c>
      <c r="AO36" s="36" t="e">
        <f t="shared" si="6"/>
        <v>#REF!</v>
      </c>
      <c r="AQ36" s="38"/>
      <c r="AR36" s="36" t="e">
        <f t="shared" si="7"/>
        <v>#REF!</v>
      </c>
      <c r="AS36" s="36" t="e">
        <f t="shared" si="7"/>
        <v>#REF!</v>
      </c>
      <c r="AT36" s="36" t="e">
        <f t="shared" si="7"/>
        <v>#REF!</v>
      </c>
      <c r="AU36" s="36" t="e">
        <f t="shared" si="7"/>
        <v>#REF!</v>
      </c>
      <c r="AV36" s="36" t="e">
        <f t="shared" si="7"/>
        <v>#REF!</v>
      </c>
      <c r="AW36" s="36" t="e">
        <f t="shared" si="7"/>
        <v>#REF!</v>
      </c>
      <c r="AX36" s="36" t="e">
        <f t="shared" si="7"/>
        <v>#REF!</v>
      </c>
      <c r="AY36" s="36" t="e">
        <f t="shared" si="7"/>
        <v>#REF!</v>
      </c>
      <c r="AZ36" s="36" t="e">
        <f t="shared" si="7"/>
        <v>#REF!</v>
      </c>
      <c r="BA36" s="36" t="e">
        <f t="shared" si="7"/>
        <v>#REF!</v>
      </c>
    </row>
    <row r="37" spans="1:53" hidden="1">
      <c r="A37" s="37" t="s">
        <v>59</v>
      </c>
      <c r="B37" s="37">
        <f>0.39*1.5*(8.5/12)^0.9*(2/3)^0.45</f>
        <v>0.35737873826145539</v>
      </c>
      <c r="C37" s="37"/>
      <c r="AA37" s="64"/>
      <c r="AB37" s="65"/>
      <c r="AC37" s="65"/>
      <c r="AD37" s="65"/>
      <c r="AE37" s="65"/>
      <c r="AQ37" s="38"/>
    </row>
    <row r="38" spans="1:53" hidden="1">
      <c r="A38" s="37" t="s">
        <v>60</v>
      </c>
      <c r="B38" s="37">
        <f>0.39*0.15*(8.5/12)^0.9*(2/3)^0.45</f>
        <v>3.5737873826145544E-2</v>
      </c>
      <c r="C38" s="37"/>
      <c r="AA38" s="64" t="s">
        <v>42</v>
      </c>
      <c r="AB38" s="65" t="s">
        <v>30</v>
      </c>
      <c r="AC38" s="65" t="s">
        <v>31</v>
      </c>
      <c r="AD38" s="65"/>
      <c r="AE38" s="65"/>
      <c r="AQ38" s="38"/>
    </row>
    <row r="39" spans="1:53" hidden="1">
      <c r="AA39" s="64"/>
      <c r="AB39" s="65" t="s">
        <v>32</v>
      </c>
      <c r="AC39" s="65">
        <v>0</v>
      </c>
      <c r="AD39" s="65"/>
      <c r="AE39" s="65"/>
      <c r="AF39" s="36" t="e">
        <f t="shared" ref="AF39:AO47" si="8">AF$12*$AC39</f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ref="AR39:BA47" si="9">AR$12*$AC39</f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33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34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35</v>
      </c>
      <c r="AC42" s="65">
        <v>16.541599999999999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36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37</v>
      </c>
      <c r="AC44" s="65">
        <v>0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38</v>
      </c>
      <c r="AC45" s="65">
        <v>14.601599999999999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39</v>
      </c>
      <c r="AC46" s="65">
        <v>14.570489999999999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A47" s="64"/>
      <c r="AB47" s="65" t="s">
        <v>40</v>
      </c>
      <c r="AC47" s="65">
        <v>14.14584</v>
      </c>
      <c r="AD47" s="65"/>
      <c r="AE47" s="65"/>
      <c r="AF47" s="36" t="e">
        <f t="shared" si="8"/>
        <v>#REF!</v>
      </c>
      <c r="AG47" s="36" t="e">
        <f t="shared" si="8"/>
        <v>#REF!</v>
      </c>
      <c r="AH47" s="36" t="e">
        <f t="shared" si="8"/>
        <v>#REF!</v>
      </c>
      <c r="AI47" s="36" t="e">
        <f t="shared" si="8"/>
        <v>#REF!</v>
      </c>
      <c r="AJ47" s="36" t="e">
        <f t="shared" si="8"/>
        <v>#REF!</v>
      </c>
      <c r="AK47" s="36" t="e">
        <f t="shared" si="8"/>
        <v>#REF!</v>
      </c>
      <c r="AL47" s="36" t="e">
        <f t="shared" si="8"/>
        <v>#REF!</v>
      </c>
      <c r="AM47" s="36" t="e">
        <f t="shared" si="8"/>
        <v>#REF!</v>
      </c>
      <c r="AN47" s="36" t="e">
        <f t="shared" si="8"/>
        <v>#REF!</v>
      </c>
      <c r="AO47" s="36" t="e">
        <f t="shared" si="8"/>
        <v>#REF!</v>
      </c>
      <c r="AQ47" s="38"/>
      <c r="AR47" s="36" t="e">
        <f t="shared" si="9"/>
        <v>#REF!</v>
      </c>
      <c r="AS47" s="36" t="e">
        <f t="shared" si="9"/>
        <v>#REF!</v>
      </c>
      <c r="AT47" s="36" t="e">
        <f t="shared" si="9"/>
        <v>#REF!</v>
      </c>
      <c r="AU47" s="36" t="e">
        <f t="shared" si="9"/>
        <v>#REF!</v>
      </c>
      <c r="AV47" s="36" t="e">
        <f t="shared" si="9"/>
        <v>#REF!</v>
      </c>
      <c r="AW47" s="36" t="e">
        <f t="shared" si="9"/>
        <v>#REF!</v>
      </c>
      <c r="AX47" s="36" t="e">
        <f t="shared" si="9"/>
        <v>#REF!</v>
      </c>
      <c r="AY47" s="36" t="e">
        <f t="shared" si="9"/>
        <v>#REF!</v>
      </c>
      <c r="AZ47" s="36" t="e">
        <f t="shared" si="9"/>
        <v>#REF!</v>
      </c>
      <c r="BA47" s="36" t="e">
        <f t="shared" si="9"/>
        <v>#REF!</v>
      </c>
    </row>
    <row r="48" spans="1:53" hidden="1">
      <c r="AQ48" s="38"/>
    </row>
    <row r="49" spans="27:53" hidden="1">
      <c r="AQ49" s="38"/>
    </row>
    <row r="50" spans="27:53" ht="63.75" hidden="1">
      <c r="AA50" s="66" t="s">
        <v>43</v>
      </c>
      <c r="AB50" s="67"/>
      <c r="AC50" s="68"/>
      <c r="AD50" s="68"/>
      <c r="AE50" s="68"/>
      <c r="AF50" s="61" t="s">
        <v>55</v>
      </c>
      <c r="AG50" s="61" t="s">
        <v>73</v>
      </c>
      <c r="AH50" s="61" t="s">
        <v>57</v>
      </c>
      <c r="AI50" s="61" t="s">
        <v>58</v>
      </c>
      <c r="AJ50" s="61" t="s">
        <v>59</v>
      </c>
      <c r="AK50" s="61" t="s">
        <v>60</v>
      </c>
      <c r="AL50" s="62" t="s">
        <v>75</v>
      </c>
      <c r="AM50" s="62" t="s">
        <v>76</v>
      </c>
      <c r="AN50" s="62" t="s">
        <v>61</v>
      </c>
      <c r="AO50" s="62" t="s">
        <v>62</v>
      </c>
      <c r="AP50" s="62"/>
      <c r="AQ50" s="43"/>
      <c r="AR50" s="61" t="s">
        <v>55</v>
      </c>
      <c r="AS50" s="61" t="s">
        <v>73</v>
      </c>
      <c r="AT50" s="61" t="s">
        <v>74</v>
      </c>
      <c r="AU50" s="61" t="s">
        <v>58</v>
      </c>
      <c r="AV50" s="61" t="s">
        <v>59</v>
      </c>
      <c r="AW50" s="61" t="s">
        <v>60</v>
      </c>
      <c r="AX50" s="62" t="s">
        <v>75</v>
      </c>
      <c r="AY50" s="62" t="s">
        <v>76</v>
      </c>
      <c r="AZ50" s="63" t="s">
        <v>61</v>
      </c>
      <c r="BA50" s="61" t="s">
        <v>62</v>
      </c>
    </row>
    <row r="51" spans="27:53" hidden="1">
      <c r="AA51" s="69" t="s">
        <v>44</v>
      </c>
      <c r="AB51" s="35"/>
      <c r="AG51" s="70"/>
      <c r="AQ51" s="38"/>
    </row>
    <row r="52" spans="27:53" hidden="1">
      <c r="AA52" s="71" t="s">
        <v>29</v>
      </c>
      <c r="AB52" s="35"/>
      <c r="AF52" s="70" t="e">
        <f t="shared" ref="AF52:AO52" si="10">AF17+AF19+AF20</f>
        <v>#REF!</v>
      </c>
      <c r="AG52" s="70" t="e">
        <f t="shared" si="10"/>
        <v>#REF!</v>
      </c>
      <c r="AH52" s="70" t="e">
        <f t="shared" si="10"/>
        <v>#REF!</v>
      </c>
      <c r="AI52" s="70" t="e">
        <f t="shared" si="10"/>
        <v>#REF!</v>
      </c>
      <c r="AJ52" s="70" t="e">
        <f t="shared" si="10"/>
        <v>#REF!</v>
      </c>
      <c r="AK52" s="70" t="e">
        <f t="shared" si="10"/>
        <v>#REF!</v>
      </c>
      <c r="AL52" s="70" t="e">
        <f t="shared" si="10"/>
        <v>#REF!</v>
      </c>
      <c r="AM52" s="70" t="e">
        <f t="shared" si="10"/>
        <v>#REF!</v>
      </c>
      <c r="AN52" s="70" t="e">
        <f t="shared" si="10"/>
        <v>#REF!</v>
      </c>
      <c r="AO52" s="70" t="e">
        <f t="shared" si="10"/>
        <v>#REF!</v>
      </c>
      <c r="AP52" s="70"/>
      <c r="AQ52" s="70"/>
      <c r="AR52" s="70" t="e">
        <f t="shared" ref="AR52:BA52" si="11">AR17+AR19+AR20</f>
        <v>#REF!</v>
      </c>
      <c r="AS52" s="70" t="e">
        <f t="shared" si="11"/>
        <v>#REF!</v>
      </c>
      <c r="AT52" s="70" t="e">
        <f t="shared" si="11"/>
        <v>#REF!</v>
      </c>
      <c r="AU52" s="70" t="e">
        <f t="shared" si="11"/>
        <v>#REF!</v>
      </c>
      <c r="AV52" s="70" t="e">
        <f t="shared" si="11"/>
        <v>#REF!</v>
      </c>
      <c r="AW52" s="70" t="e">
        <f t="shared" si="11"/>
        <v>#REF!</v>
      </c>
      <c r="AX52" s="70" t="e">
        <f t="shared" si="11"/>
        <v>#REF!</v>
      </c>
      <c r="AY52" s="70" t="e">
        <f t="shared" si="11"/>
        <v>#REF!</v>
      </c>
      <c r="AZ52" s="70" t="e">
        <f t="shared" si="11"/>
        <v>#REF!</v>
      </c>
      <c r="BA52" s="70" t="e">
        <f t="shared" si="11"/>
        <v>#REF!</v>
      </c>
    </row>
    <row r="53" spans="27:53" hidden="1">
      <c r="AA53" s="71" t="s">
        <v>41</v>
      </c>
      <c r="AB53" s="35"/>
      <c r="AF53" s="70" t="e">
        <f t="shared" ref="AF53:AO53" si="12">AF28+AF30+AF31</f>
        <v>#REF!</v>
      </c>
      <c r="AG53" s="70" t="e">
        <f t="shared" si="12"/>
        <v>#REF!</v>
      </c>
      <c r="AH53" s="70" t="e">
        <f t="shared" si="12"/>
        <v>#REF!</v>
      </c>
      <c r="AI53" s="70" t="e">
        <f t="shared" si="12"/>
        <v>#REF!</v>
      </c>
      <c r="AJ53" s="70" t="e">
        <f t="shared" si="12"/>
        <v>#REF!</v>
      </c>
      <c r="AK53" s="70" t="e">
        <f t="shared" si="12"/>
        <v>#REF!</v>
      </c>
      <c r="AL53" s="70" t="e">
        <f t="shared" si="12"/>
        <v>#REF!</v>
      </c>
      <c r="AM53" s="70" t="e">
        <f t="shared" si="12"/>
        <v>#REF!</v>
      </c>
      <c r="AN53" s="70" t="e">
        <f t="shared" si="12"/>
        <v>#REF!</v>
      </c>
      <c r="AO53" s="70" t="e">
        <f t="shared" si="12"/>
        <v>#REF!</v>
      </c>
      <c r="AP53" s="70"/>
      <c r="AQ53" s="70"/>
      <c r="AR53" s="70" t="e">
        <f t="shared" ref="AR53:BA53" si="13">AR28+AR30+AR31</f>
        <v>#REF!</v>
      </c>
      <c r="AS53" s="70" t="e">
        <f t="shared" si="13"/>
        <v>#REF!</v>
      </c>
      <c r="AT53" s="70" t="e">
        <f t="shared" si="13"/>
        <v>#REF!</v>
      </c>
      <c r="AU53" s="70" t="e">
        <f t="shared" si="13"/>
        <v>#REF!</v>
      </c>
      <c r="AV53" s="70" t="e">
        <f t="shared" si="13"/>
        <v>#REF!</v>
      </c>
      <c r="AW53" s="70" t="e">
        <f t="shared" si="13"/>
        <v>#REF!</v>
      </c>
      <c r="AX53" s="70" t="e">
        <f t="shared" si="13"/>
        <v>#REF!</v>
      </c>
      <c r="AY53" s="70" t="e">
        <f t="shared" si="13"/>
        <v>#REF!</v>
      </c>
      <c r="AZ53" s="70" t="e">
        <f t="shared" si="13"/>
        <v>#REF!</v>
      </c>
      <c r="BA53" s="70" t="e">
        <f t="shared" si="13"/>
        <v>#REF!</v>
      </c>
    </row>
    <row r="54" spans="27:53" hidden="1">
      <c r="AA54" s="71" t="s">
        <v>42</v>
      </c>
      <c r="AB54" s="35"/>
      <c r="AF54" s="70" t="e">
        <f t="shared" ref="AF54:AO54" si="14">AF39+AF41+AF42</f>
        <v>#REF!</v>
      </c>
      <c r="AG54" s="70" t="e">
        <f t="shared" si="14"/>
        <v>#REF!</v>
      </c>
      <c r="AH54" s="70" t="e">
        <f t="shared" si="14"/>
        <v>#REF!</v>
      </c>
      <c r="AI54" s="70" t="e">
        <f t="shared" si="14"/>
        <v>#REF!</v>
      </c>
      <c r="AJ54" s="70" t="e">
        <f t="shared" si="14"/>
        <v>#REF!</v>
      </c>
      <c r="AK54" s="70" t="e">
        <f t="shared" si="14"/>
        <v>#REF!</v>
      </c>
      <c r="AL54" s="70" t="e">
        <f t="shared" si="14"/>
        <v>#REF!</v>
      </c>
      <c r="AM54" s="70" t="e">
        <f t="shared" si="14"/>
        <v>#REF!</v>
      </c>
      <c r="AN54" s="70" t="e">
        <f t="shared" si="14"/>
        <v>#REF!</v>
      </c>
      <c r="AO54" s="70" t="e">
        <f t="shared" si="14"/>
        <v>#REF!</v>
      </c>
      <c r="AP54" s="70"/>
      <c r="AQ54" s="70"/>
      <c r="AR54" s="70" t="e">
        <f t="shared" ref="AR54:BA54" si="15">AR39+AR41+AR42</f>
        <v>#REF!</v>
      </c>
      <c r="AS54" s="70" t="e">
        <f t="shared" si="15"/>
        <v>#REF!</v>
      </c>
      <c r="AT54" s="70" t="e">
        <f t="shared" si="15"/>
        <v>#REF!</v>
      </c>
      <c r="AU54" s="70" t="e">
        <f t="shared" si="15"/>
        <v>#REF!</v>
      </c>
      <c r="AV54" s="70" t="e">
        <f t="shared" si="15"/>
        <v>#REF!</v>
      </c>
      <c r="AW54" s="70" t="e">
        <f t="shared" si="15"/>
        <v>#REF!</v>
      </c>
      <c r="AX54" s="70" t="e">
        <f t="shared" si="15"/>
        <v>#REF!</v>
      </c>
      <c r="AY54" s="70" t="e">
        <f t="shared" si="15"/>
        <v>#REF!</v>
      </c>
      <c r="AZ54" s="70" t="e">
        <f t="shared" si="15"/>
        <v>#REF!</v>
      </c>
      <c r="BA54" s="70" t="e">
        <f t="shared" si="15"/>
        <v>#REF!</v>
      </c>
    </row>
    <row r="55" spans="27:53" hidden="1">
      <c r="AA55" s="69" t="s">
        <v>45</v>
      </c>
      <c r="AB55" s="35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</row>
    <row r="56" spans="27:53" hidden="1">
      <c r="AA56" s="71" t="s">
        <v>29</v>
      </c>
      <c r="AB56" s="35"/>
      <c r="AF56" s="70" t="e">
        <f t="shared" ref="AF56:AO56" si="16">AF17+AF19+AF21+AF23</f>
        <v>#REF!</v>
      </c>
      <c r="AG56" s="70" t="e">
        <f t="shared" si="16"/>
        <v>#REF!</v>
      </c>
      <c r="AH56" s="70" t="e">
        <f t="shared" si="16"/>
        <v>#REF!</v>
      </c>
      <c r="AI56" s="70" t="e">
        <f t="shared" si="16"/>
        <v>#REF!</v>
      </c>
      <c r="AJ56" s="70" t="e">
        <f t="shared" si="16"/>
        <v>#REF!</v>
      </c>
      <c r="AK56" s="70" t="e">
        <f t="shared" si="16"/>
        <v>#REF!</v>
      </c>
      <c r="AL56" s="70" t="e">
        <f t="shared" si="16"/>
        <v>#REF!</v>
      </c>
      <c r="AM56" s="70" t="e">
        <f t="shared" si="16"/>
        <v>#REF!</v>
      </c>
      <c r="AN56" s="70" t="e">
        <f t="shared" si="16"/>
        <v>#REF!</v>
      </c>
      <c r="AO56" s="70" t="e">
        <f t="shared" si="16"/>
        <v>#REF!</v>
      </c>
      <c r="AP56" s="70"/>
      <c r="AQ56" s="70"/>
      <c r="AR56" s="70" t="e">
        <f t="shared" ref="AR56:BA56" si="17">AR17+AR19+AR21+AR23</f>
        <v>#REF!</v>
      </c>
      <c r="AS56" s="70" t="e">
        <f t="shared" si="17"/>
        <v>#REF!</v>
      </c>
      <c r="AT56" s="70" t="e">
        <f t="shared" si="17"/>
        <v>#REF!</v>
      </c>
      <c r="AU56" s="70" t="e">
        <f t="shared" si="17"/>
        <v>#REF!</v>
      </c>
      <c r="AV56" s="70" t="e">
        <f t="shared" si="17"/>
        <v>#REF!</v>
      </c>
      <c r="AW56" s="70" t="e">
        <f t="shared" si="17"/>
        <v>#REF!</v>
      </c>
      <c r="AX56" s="70" t="e">
        <f t="shared" si="17"/>
        <v>#REF!</v>
      </c>
      <c r="AY56" s="70" t="e">
        <f t="shared" si="17"/>
        <v>#REF!</v>
      </c>
      <c r="AZ56" s="70" t="e">
        <f t="shared" si="17"/>
        <v>#REF!</v>
      </c>
      <c r="BA56" s="70" t="e">
        <f t="shared" si="17"/>
        <v>#REF!</v>
      </c>
    </row>
    <row r="57" spans="27:53" hidden="1">
      <c r="AA57" s="71" t="s">
        <v>41</v>
      </c>
      <c r="AB57" s="35"/>
      <c r="AF57" s="70" t="e">
        <f t="shared" ref="AF57:AO57" si="18">AF28+AF30+AF32+AF34</f>
        <v>#REF!</v>
      </c>
      <c r="AG57" s="70" t="e">
        <f t="shared" si="18"/>
        <v>#REF!</v>
      </c>
      <c r="AH57" s="70" t="e">
        <f t="shared" si="18"/>
        <v>#REF!</v>
      </c>
      <c r="AI57" s="70" t="e">
        <f t="shared" si="18"/>
        <v>#REF!</v>
      </c>
      <c r="AJ57" s="70" t="e">
        <f t="shared" si="18"/>
        <v>#REF!</v>
      </c>
      <c r="AK57" s="70" t="e">
        <f t="shared" si="18"/>
        <v>#REF!</v>
      </c>
      <c r="AL57" s="70" t="e">
        <f t="shared" si="18"/>
        <v>#REF!</v>
      </c>
      <c r="AM57" s="70" t="e">
        <f t="shared" si="18"/>
        <v>#REF!</v>
      </c>
      <c r="AN57" s="70" t="e">
        <f t="shared" si="18"/>
        <v>#REF!</v>
      </c>
      <c r="AO57" s="70" t="e">
        <f t="shared" si="18"/>
        <v>#REF!</v>
      </c>
      <c r="AP57" s="70"/>
      <c r="AQ57" s="70"/>
      <c r="AR57" s="70" t="e">
        <f t="shared" ref="AR57:BA57" si="19">AR28+AR30+AR32+AR34</f>
        <v>#REF!</v>
      </c>
      <c r="AS57" s="70" t="e">
        <f t="shared" si="19"/>
        <v>#REF!</v>
      </c>
      <c r="AT57" s="70" t="e">
        <f t="shared" si="19"/>
        <v>#REF!</v>
      </c>
      <c r="AU57" s="70" t="e">
        <f t="shared" si="19"/>
        <v>#REF!</v>
      </c>
      <c r="AV57" s="70" t="e">
        <f t="shared" si="19"/>
        <v>#REF!</v>
      </c>
      <c r="AW57" s="70" t="e">
        <f t="shared" si="19"/>
        <v>#REF!</v>
      </c>
      <c r="AX57" s="70" t="e">
        <f t="shared" si="19"/>
        <v>#REF!</v>
      </c>
      <c r="AY57" s="70" t="e">
        <f t="shared" si="19"/>
        <v>#REF!</v>
      </c>
      <c r="AZ57" s="70" t="e">
        <f t="shared" si="19"/>
        <v>#REF!</v>
      </c>
      <c r="BA57" s="70" t="e">
        <f t="shared" si="19"/>
        <v>#REF!</v>
      </c>
    </row>
    <row r="58" spans="27:53" hidden="1">
      <c r="AA58" s="71" t="s">
        <v>42</v>
      </c>
      <c r="AB58" s="35"/>
      <c r="AF58" s="70" t="e">
        <f t="shared" ref="AF58:AO58" si="20">AF39+AF41+AF43+AF45</f>
        <v>#REF!</v>
      </c>
      <c r="AG58" s="70" t="e">
        <f t="shared" si="20"/>
        <v>#REF!</v>
      </c>
      <c r="AH58" s="70" t="e">
        <f t="shared" si="20"/>
        <v>#REF!</v>
      </c>
      <c r="AI58" s="70" t="e">
        <f t="shared" si="20"/>
        <v>#REF!</v>
      </c>
      <c r="AJ58" s="70" t="e">
        <f t="shared" si="20"/>
        <v>#REF!</v>
      </c>
      <c r="AK58" s="70" t="e">
        <f t="shared" si="20"/>
        <v>#REF!</v>
      </c>
      <c r="AL58" s="70" t="e">
        <f t="shared" si="20"/>
        <v>#REF!</v>
      </c>
      <c r="AM58" s="70" t="e">
        <f t="shared" si="20"/>
        <v>#REF!</v>
      </c>
      <c r="AN58" s="70" t="e">
        <f t="shared" si="20"/>
        <v>#REF!</v>
      </c>
      <c r="AO58" s="70" t="e">
        <f t="shared" si="20"/>
        <v>#REF!</v>
      </c>
      <c r="AP58" s="70"/>
      <c r="AQ58" s="70"/>
      <c r="AR58" s="70" t="e">
        <f t="shared" ref="AR58:BA58" si="21">AR39+AR41+AR43+AR45</f>
        <v>#REF!</v>
      </c>
      <c r="AS58" s="70" t="e">
        <f t="shared" si="21"/>
        <v>#REF!</v>
      </c>
      <c r="AT58" s="70" t="e">
        <f t="shared" si="21"/>
        <v>#REF!</v>
      </c>
      <c r="AU58" s="70" t="e">
        <f t="shared" si="21"/>
        <v>#REF!</v>
      </c>
      <c r="AV58" s="70" t="e">
        <f t="shared" si="21"/>
        <v>#REF!</v>
      </c>
      <c r="AW58" s="70" t="e">
        <f t="shared" si="21"/>
        <v>#REF!</v>
      </c>
      <c r="AX58" s="70" t="e">
        <f t="shared" si="21"/>
        <v>#REF!</v>
      </c>
      <c r="AY58" s="70" t="e">
        <f t="shared" si="21"/>
        <v>#REF!</v>
      </c>
      <c r="AZ58" s="70" t="e">
        <f t="shared" si="21"/>
        <v>#REF!</v>
      </c>
      <c r="BA58" s="70" t="e">
        <f t="shared" si="21"/>
        <v>#REF!</v>
      </c>
    </row>
    <row r="59" spans="27:53" hidden="1">
      <c r="AA59" s="69" t="s">
        <v>46</v>
      </c>
      <c r="AB59" s="35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</row>
    <row r="60" spans="27:53" hidden="1">
      <c r="AA60" s="71" t="s">
        <v>29</v>
      </c>
      <c r="AB60" s="35"/>
      <c r="AF60" s="70" t="e">
        <f t="shared" ref="AF60:AO60" si="22">AF17+AF19+AF21+AF22+AF24</f>
        <v>#REF!</v>
      </c>
      <c r="AG60" s="70" t="e">
        <f t="shared" si="22"/>
        <v>#REF!</v>
      </c>
      <c r="AH60" s="70" t="e">
        <f t="shared" si="22"/>
        <v>#REF!</v>
      </c>
      <c r="AI60" s="70" t="e">
        <f t="shared" si="22"/>
        <v>#REF!</v>
      </c>
      <c r="AJ60" s="70" t="e">
        <f t="shared" si="22"/>
        <v>#REF!</v>
      </c>
      <c r="AK60" s="70" t="e">
        <f t="shared" si="22"/>
        <v>#REF!</v>
      </c>
      <c r="AL60" s="70" t="e">
        <f t="shared" si="22"/>
        <v>#REF!</v>
      </c>
      <c r="AM60" s="70" t="e">
        <f t="shared" si="22"/>
        <v>#REF!</v>
      </c>
      <c r="AN60" s="70" t="e">
        <f t="shared" si="22"/>
        <v>#REF!</v>
      </c>
      <c r="AO60" s="70" t="e">
        <f t="shared" si="22"/>
        <v>#REF!</v>
      </c>
      <c r="AP60" s="70"/>
      <c r="AQ60" s="70"/>
      <c r="AR60" s="70" t="e">
        <f t="shared" ref="AR60:BA60" si="23">AR17+AR19+AR21+AR22+AR24</f>
        <v>#REF!</v>
      </c>
      <c r="AS60" s="70" t="e">
        <f t="shared" si="23"/>
        <v>#REF!</v>
      </c>
      <c r="AT60" s="70" t="e">
        <f t="shared" si="23"/>
        <v>#REF!</v>
      </c>
      <c r="AU60" s="70" t="e">
        <f t="shared" si="23"/>
        <v>#REF!</v>
      </c>
      <c r="AV60" s="70" t="e">
        <f t="shared" si="23"/>
        <v>#REF!</v>
      </c>
      <c r="AW60" s="70" t="e">
        <f t="shared" si="23"/>
        <v>#REF!</v>
      </c>
      <c r="AX60" s="70" t="e">
        <f t="shared" si="23"/>
        <v>#REF!</v>
      </c>
      <c r="AY60" s="70" t="e">
        <f t="shared" si="23"/>
        <v>#REF!</v>
      </c>
      <c r="AZ60" s="70" t="e">
        <f t="shared" si="23"/>
        <v>#REF!</v>
      </c>
      <c r="BA60" s="70" t="e">
        <f t="shared" si="23"/>
        <v>#REF!</v>
      </c>
    </row>
    <row r="61" spans="27:53" hidden="1">
      <c r="AA61" s="71" t="s">
        <v>41</v>
      </c>
      <c r="AB61" s="35"/>
      <c r="AF61" s="70" t="e">
        <f t="shared" ref="AF61:AO61" si="24">AF28+AF30+AF32+AF33+AF35</f>
        <v>#REF!</v>
      </c>
      <c r="AG61" s="70" t="e">
        <f t="shared" si="24"/>
        <v>#REF!</v>
      </c>
      <c r="AH61" s="70" t="e">
        <f t="shared" si="24"/>
        <v>#REF!</v>
      </c>
      <c r="AI61" s="70" t="e">
        <f t="shared" si="24"/>
        <v>#REF!</v>
      </c>
      <c r="AJ61" s="70" t="e">
        <f t="shared" si="24"/>
        <v>#REF!</v>
      </c>
      <c r="AK61" s="70" t="e">
        <f t="shared" si="24"/>
        <v>#REF!</v>
      </c>
      <c r="AL61" s="70" t="e">
        <f t="shared" si="24"/>
        <v>#REF!</v>
      </c>
      <c r="AM61" s="70" t="e">
        <f t="shared" si="24"/>
        <v>#REF!</v>
      </c>
      <c r="AN61" s="70" t="e">
        <f t="shared" si="24"/>
        <v>#REF!</v>
      </c>
      <c r="AO61" s="70" t="e">
        <f t="shared" si="24"/>
        <v>#REF!</v>
      </c>
      <c r="AP61" s="70"/>
      <c r="AQ61" s="70"/>
      <c r="AR61" s="70" t="e">
        <f t="shared" ref="AR61:BA61" si="25">AR28+AR30+AR32+AR33+AR35</f>
        <v>#REF!</v>
      </c>
      <c r="AS61" s="70" t="e">
        <f t="shared" si="25"/>
        <v>#REF!</v>
      </c>
      <c r="AT61" s="70" t="e">
        <f t="shared" si="25"/>
        <v>#REF!</v>
      </c>
      <c r="AU61" s="70" t="e">
        <f t="shared" si="25"/>
        <v>#REF!</v>
      </c>
      <c r="AV61" s="70" t="e">
        <f t="shared" si="25"/>
        <v>#REF!</v>
      </c>
      <c r="AW61" s="70" t="e">
        <f t="shared" si="25"/>
        <v>#REF!</v>
      </c>
      <c r="AX61" s="70" t="e">
        <f t="shared" si="25"/>
        <v>#REF!</v>
      </c>
      <c r="AY61" s="70" t="e">
        <f t="shared" si="25"/>
        <v>#REF!</v>
      </c>
      <c r="AZ61" s="70" t="e">
        <f t="shared" si="25"/>
        <v>#REF!</v>
      </c>
      <c r="BA61" s="70" t="e">
        <f t="shared" si="25"/>
        <v>#REF!</v>
      </c>
    </row>
    <row r="62" spans="27:53" hidden="1">
      <c r="AA62" s="71" t="s">
        <v>42</v>
      </c>
      <c r="AB62" s="35"/>
      <c r="AF62" s="70" t="e">
        <f t="shared" ref="AF62:AO62" si="26">AF39+AF41+AF43+AF44+AF46</f>
        <v>#REF!</v>
      </c>
      <c r="AG62" s="70" t="e">
        <f t="shared" si="26"/>
        <v>#REF!</v>
      </c>
      <c r="AH62" s="70" t="e">
        <f t="shared" si="26"/>
        <v>#REF!</v>
      </c>
      <c r="AI62" s="70" t="e">
        <f t="shared" si="26"/>
        <v>#REF!</v>
      </c>
      <c r="AJ62" s="70" t="e">
        <f t="shared" si="26"/>
        <v>#REF!</v>
      </c>
      <c r="AK62" s="70" t="e">
        <f t="shared" si="26"/>
        <v>#REF!</v>
      </c>
      <c r="AL62" s="70" t="e">
        <f t="shared" si="26"/>
        <v>#REF!</v>
      </c>
      <c r="AM62" s="70" t="e">
        <f t="shared" si="26"/>
        <v>#REF!</v>
      </c>
      <c r="AN62" s="70" t="e">
        <f t="shared" si="26"/>
        <v>#REF!</v>
      </c>
      <c r="AO62" s="70" t="e">
        <f t="shared" si="26"/>
        <v>#REF!</v>
      </c>
      <c r="AP62" s="70"/>
      <c r="AQ62" s="70"/>
      <c r="AR62" s="70" t="e">
        <f t="shared" ref="AR62:BA62" si="27">AR39+AR41+AR43+AR44+AR46</f>
        <v>#REF!</v>
      </c>
      <c r="AS62" s="70" t="e">
        <f t="shared" si="27"/>
        <v>#REF!</v>
      </c>
      <c r="AT62" s="70" t="e">
        <f t="shared" si="27"/>
        <v>#REF!</v>
      </c>
      <c r="AU62" s="70" t="e">
        <f t="shared" si="27"/>
        <v>#REF!</v>
      </c>
      <c r="AV62" s="70" t="e">
        <f t="shared" si="27"/>
        <v>#REF!</v>
      </c>
      <c r="AW62" s="70" t="e">
        <f t="shared" si="27"/>
        <v>#REF!</v>
      </c>
      <c r="AX62" s="70" t="e">
        <f t="shared" si="27"/>
        <v>#REF!</v>
      </c>
      <c r="AY62" s="70" t="e">
        <f t="shared" si="27"/>
        <v>#REF!</v>
      </c>
      <c r="AZ62" s="70" t="e">
        <f t="shared" si="27"/>
        <v>#REF!</v>
      </c>
      <c r="BA62" s="70" t="e">
        <f t="shared" si="27"/>
        <v>#REF!</v>
      </c>
    </row>
    <row r="63" spans="27:53" hidden="1">
      <c r="AA63" s="69" t="s">
        <v>47</v>
      </c>
      <c r="AB63" s="35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</row>
    <row r="64" spans="27:53" hidden="1">
      <c r="AA64" s="71" t="s">
        <v>29</v>
      </c>
      <c r="AB64" s="35"/>
      <c r="AF64" s="70" t="e">
        <f t="shared" ref="AF64:AO64" si="28">AF17+AF19+AF21+AF22+AF25</f>
        <v>#REF!</v>
      </c>
      <c r="AG64" s="70" t="e">
        <f t="shared" si="28"/>
        <v>#REF!</v>
      </c>
      <c r="AH64" s="70" t="e">
        <f t="shared" si="28"/>
        <v>#REF!</v>
      </c>
      <c r="AI64" s="70" t="e">
        <f t="shared" si="28"/>
        <v>#REF!</v>
      </c>
      <c r="AJ64" s="70" t="e">
        <f t="shared" si="28"/>
        <v>#REF!</v>
      </c>
      <c r="AK64" s="70" t="e">
        <f t="shared" si="28"/>
        <v>#REF!</v>
      </c>
      <c r="AL64" s="70" t="e">
        <f t="shared" si="28"/>
        <v>#REF!</v>
      </c>
      <c r="AM64" s="70" t="e">
        <f t="shared" si="28"/>
        <v>#REF!</v>
      </c>
      <c r="AN64" s="70" t="e">
        <f t="shared" si="28"/>
        <v>#REF!</v>
      </c>
      <c r="AO64" s="70" t="e">
        <f t="shared" si="28"/>
        <v>#REF!</v>
      </c>
      <c r="AP64" s="70"/>
      <c r="AQ64" s="70"/>
      <c r="AR64" s="70" t="e">
        <f t="shared" ref="AR64:BA64" si="29">AR17+AR19+AR21+AR22+AR25</f>
        <v>#REF!</v>
      </c>
      <c r="AS64" s="70" t="e">
        <f t="shared" si="29"/>
        <v>#REF!</v>
      </c>
      <c r="AT64" s="70" t="e">
        <f t="shared" si="29"/>
        <v>#REF!</v>
      </c>
      <c r="AU64" s="70" t="e">
        <f t="shared" si="29"/>
        <v>#REF!</v>
      </c>
      <c r="AV64" s="70" t="e">
        <f t="shared" si="29"/>
        <v>#REF!</v>
      </c>
      <c r="AW64" s="70" t="e">
        <f t="shared" si="29"/>
        <v>#REF!</v>
      </c>
      <c r="AX64" s="70" t="e">
        <f t="shared" si="29"/>
        <v>#REF!</v>
      </c>
      <c r="AY64" s="70" t="e">
        <f t="shared" si="29"/>
        <v>#REF!</v>
      </c>
      <c r="AZ64" s="70" t="e">
        <f t="shared" si="29"/>
        <v>#REF!</v>
      </c>
      <c r="BA64" s="70" t="e">
        <f t="shared" si="29"/>
        <v>#REF!</v>
      </c>
    </row>
    <row r="65" spans="27:53" hidden="1">
      <c r="AA65" s="71" t="s">
        <v>41</v>
      </c>
      <c r="AB65" s="35"/>
      <c r="AF65" s="70" t="e">
        <f t="shared" ref="AF65:AO65" si="30">AF28+AF30+AF32+AF33+AF36</f>
        <v>#REF!</v>
      </c>
      <c r="AG65" s="70" t="e">
        <f t="shared" si="30"/>
        <v>#REF!</v>
      </c>
      <c r="AH65" s="70" t="e">
        <f t="shared" si="30"/>
        <v>#REF!</v>
      </c>
      <c r="AI65" s="70" t="e">
        <f t="shared" si="30"/>
        <v>#REF!</v>
      </c>
      <c r="AJ65" s="70" t="e">
        <f t="shared" si="30"/>
        <v>#REF!</v>
      </c>
      <c r="AK65" s="70" t="e">
        <f t="shared" si="30"/>
        <v>#REF!</v>
      </c>
      <c r="AL65" s="70" t="e">
        <f t="shared" si="30"/>
        <v>#REF!</v>
      </c>
      <c r="AM65" s="70" t="e">
        <f t="shared" si="30"/>
        <v>#REF!</v>
      </c>
      <c r="AN65" s="70" t="e">
        <f t="shared" si="30"/>
        <v>#REF!</v>
      </c>
      <c r="AO65" s="70" t="e">
        <f t="shared" si="30"/>
        <v>#REF!</v>
      </c>
      <c r="AP65" s="70"/>
      <c r="AQ65" s="70"/>
      <c r="AR65" s="70" t="e">
        <f t="shared" ref="AR65:BA65" si="31">AR28+AR30+AR32+AR33+AR36</f>
        <v>#REF!</v>
      </c>
      <c r="AS65" s="70" t="e">
        <f t="shared" si="31"/>
        <v>#REF!</v>
      </c>
      <c r="AT65" s="70" t="e">
        <f t="shared" si="31"/>
        <v>#REF!</v>
      </c>
      <c r="AU65" s="70" t="e">
        <f t="shared" si="31"/>
        <v>#REF!</v>
      </c>
      <c r="AV65" s="70" t="e">
        <f t="shared" si="31"/>
        <v>#REF!</v>
      </c>
      <c r="AW65" s="70" t="e">
        <f t="shared" si="31"/>
        <v>#REF!</v>
      </c>
      <c r="AX65" s="70" t="e">
        <f t="shared" si="31"/>
        <v>#REF!</v>
      </c>
      <c r="AY65" s="70" t="e">
        <f t="shared" si="31"/>
        <v>#REF!</v>
      </c>
      <c r="AZ65" s="70" t="e">
        <f t="shared" si="31"/>
        <v>#REF!</v>
      </c>
      <c r="BA65" s="70" t="e">
        <f t="shared" si="31"/>
        <v>#REF!</v>
      </c>
    </row>
    <row r="66" spans="27:53" hidden="1">
      <c r="AA66" s="71" t="s">
        <v>42</v>
      </c>
      <c r="AB66" s="35"/>
      <c r="AF66" s="70" t="e">
        <f t="shared" ref="AF66:AO66" si="32">AF39+AF41+AF43+AF44+AF47</f>
        <v>#REF!</v>
      </c>
      <c r="AG66" s="70" t="e">
        <f t="shared" si="32"/>
        <v>#REF!</v>
      </c>
      <c r="AH66" s="70" t="e">
        <f t="shared" si="32"/>
        <v>#REF!</v>
      </c>
      <c r="AI66" s="70" t="e">
        <f t="shared" si="32"/>
        <v>#REF!</v>
      </c>
      <c r="AJ66" s="70" t="e">
        <f t="shared" si="32"/>
        <v>#REF!</v>
      </c>
      <c r="AK66" s="70" t="e">
        <f t="shared" si="32"/>
        <v>#REF!</v>
      </c>
      <c r="AL66" s="70" t="e">
        <f t="shared" si="32"/>
        <v>#REF!</v>
      </c>
      <c r="AM66" s="70" t="e">
        <f t="shared" si="32"/>
        <v>#REF!</v>
      </c>
      <c r="AN66" s="70" t="e">
        <f t="shared" si="32"/>
        <v>#REF!</v>
      </c>
      <c r="AO66" s="70" t="e">
        <f t="shared" si="32"/>
        <v>#REF!</v>
      </c>
      <c r="AP66" s="70"/>
      <c r="AQ66" s="70"/>
      <c r="AR66" s="70" t="e">
        <f t="shared" ref="AR66:BA66" si="33">AR39+AR41+AR43+AR44+AR47</f>
        <v>#REF!</v>
      </c>
      <c r="AS66" s="70" t="e">
        <f t="shared" si="33"/>
        <v>#REF!</v>
      </c>
      <c r="AT66" s="70" t="e">
        <f t="shared" si="33"/>
        <v>#REF!</v>
      </c>
      <c r="AU66" s="70" t="e">
        <f t="shared" si="33"/>
        <v>#REF!</v>
      </c>
      <c r="AV66" s="70" t="e">
        <f t="shared" si="33"/>
        <v>#REF!</v>
      </c>
      <c r="AW66" s="70" t="e">
        <f t="shared" si="33"/>
        <v>#REF!</v>
      </c>
      <c r="AX66" s="70" t="e">
        <f t="shared" si="33"/>
        <v>#REF!</v>
      </c>
      <c r="AY66" s="70" t="e">
        <f t="shared" si="33"/>
        <v>#REF!</v>
      </c>
      <c r="AZ66" s="70" t="e">
        <f t="shared" si="33"/>
        <v>#REF!</v>
      </c>
      <c r="BA66" s="70" t="e">
        <f t="shared" si="33"/>
        <v>#REF!</v>
      </c>
    </row>
    <row r="67" spans="27:53" hidden="1">
      <c r="AA67" s="69" t="s">
        <v>48</v>
      </c>
      <c r="AB67" s="35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</row>
    <row r="68" spans="27:53" hidden="1">
      <c r="AA68" s="71" t="s">
        <v>29</v>
      </c>
      <c r="AB68" s="35"/>
      <c r="AF68" s="70" t="e">
        <f t="shared" ref="AF68:AO68" si="34">AF17+AF18+AF23</f>
        <v>#REF!</v>
      </c>
      <c r="AG68" s="70" t="e">
        <f t="shared" si="34"/>
        <v>#REF!</v>
      </c>
      <c r="AH68" s="70" t="e">
        <f t="shared" si="34"/>
        <v>#REF!</v>
      </c>
      <c r="AI68" s="70" t="e">
        <f t="shared" si="34"/>
        <v>#REF!</v>
      </c>
      <c r="AJ68" s="70" t="e">
        <f t="shared" si="34"/>
        <v>#REF!</v>
      </c>
      <c r="AK68" s="70" t="e">
        <f t="shared" si="34"/>
        <v>#REF!</v>
      </c>
      <c r="AL68" s="70" t="e">
        <f t="shared" si="34"/>
        <v>#REF!</v>
      </c>
      <c r="AM68" s="70" t="e">
        <f t="shared" si="34"/>
        <v>#REF!</v>
      </c>
      <c r="AN68" s="70" t="e">
        <f t="shared" si="34"/>
        <v>#REF!</v>
      </c>
      <c r="AO68" s="70" t="e">
        <f t="shared" si="34"/>
        <v>#REF!</v>
      </c>
      <c r="AP68" s="70"/>
      <c r="AQ68" s="70"/>
      <c r="AR68" s="70" t="e">
        <f t="shared" ref="AR68:BA68" si="35">AR17+AR18+AR23</f>
        <v>#REF!</v>
      </c>
      <c r="AS68" s="70" t="e">
        <f t="shared" si="35"/>
        <v>#REF!</v>
      </c>
      <c r="AT68" s="70" t="e">
        <f t="shared" si="35"/>
        <v>#REF!</v>
      </c>
      <c r="AU68" s="70" t="e">
        <f t="shared" si="35"/>
        <v>#REF!</v>
      </c>
      <c r="AV68" s="70" t="e">
        <f t="shared" si="35"/>
        <v>#REF!</v>
      </c>
      <c r="AW68" s="70" t="e">
        <f t="shared" si="35"/>
        <v>#REF!</v>
      </c>
      <c r="AX68" s="70" t="e">
        <f t="shared" si="35"/>
        <v>#REF!</v>
      </c>
      <c r="AY68" s="70" t="e">
        <f t="shared" si="35"/>
        <v>#REF!</v>
      </c>
      <c r="AZ68" s="70" t="e">
        <f t="shared" si="35"/>
        <v>#REF!</v>
      </c>
      <c r="BA68" s="70" t="e">
        <f t="shared" si="35"/>
        <v>#REF!</v>
      </c>
    </row>
    <row r="69" spans="27:53" hidden="1">
      <c r="AA69" s="71" t="s">
        <v>41</v>
      </c>
      <c r="AB69" s="35"/>
      <c r="AF69" s="70" t="e">
        <f t="shared" ref="AF69:AO69" si="36">AF28+AF29+AF34</f>
        <v>#REF!</v>
      </c>
      <c r="AG69" s="70" t="e">
        <f t="shared" si="36"/>
        <v>#REF!</v>
      </c>
      <c r="AH69" s="70" t="e">
        <f t="shared" si="36"/>
        <v>#REF!</v>
      </c>
      <c r="AI69" s="70" t="e">
        <f t="shared" si="36"/>
        <v>#REF!</v>
      </c>
      <c r="AJ69" s="70" t="e">
        <f t="shared" si="36"/>
        <v>#REF!</v>
      </c>
      <c r="AK69" s="70" t="e">
        <f t="shared" si="36"/>
        <v>#REF!</v>
      </c>
      <c r="AL69" s="70" t="e">
        <f t="shared" si="36"/>
        <v>#REF!</v>
      </c>
      <c r="AM69" s="70" t="e">
        <f t="shared" si="36"/>
        <v>#REF!</v>
      </c>
      <c r="AN69" s="70" t="e">
        <f t="shared" si="36"/>
        <v>#REF!</v>
      </c>
      <c r="AO69" s="70" t="e">
        <f t="shared" si="36"/>
        <v>#REF!</v>
      </c>
      <c r="AP69" s="70"/>
      <c r="AQ69" s="70"/>
      <c r="AR69" s="70" t="e">
        <f t="shared" ref="AR69:BA69" si="37">AR28+AR29+AR34</f>
        <v>#REF!</v>
      </c>
      <c r="AS69" s="70" t="e">
        <f t="shared" si="37"/>
        <v>#REF!</v>
      </c>
      <c r="AT69" s="70" t="e">
        <f t="shared" si="37"/>
        <v>#REF!</v>
      </c>
      <c r="AU69" s="70" t="e">
        <f t="shared" si="37"/>
        <v>#REF!</v>
      </c>
      <c r="AV69" s="70" t="e">
        <f t="shared" si="37"/>
        <v>#REF!</v>
      </c>
      <c r="AW69" s="70" t="e">
        <f t="shared" si="37"/>
        <v>#REF!</v>
      </c>
      <c r="AX69" s="70" t="e">
        <f t="shared" si="37"/>
        <v>#REF!</v>
      </c>
      <c r="AY69" s="70" t="e">
        <f t="shared" si="37"/>
        <v>#REF!</v>
      </c>
      <c r="AZ69" s="70" t="e">
        <f t="shared" si="37"/>
        <v>#REF!</v>
      </c>
      <c r="BA69" s="70" t="e">
        <f t="shared" si="37"/>
        <v>#REF!</v>
      </c>
    </row>
    <row r="70" spans="27:53" hidden="1">
      <c r="AA70" s="71" t="s">
        <v>42</v>
      </c>
      <c r="AB70" s="35"/>
      <c r="AF70" s="70" t="e">
        <f t="shared" ref="AF70:AO70" si="38">AF39+AF40+AF45</f>
        <v>#REF!</v>
      </c>
      <c r="AG70" s="70" t="e">
        <f t="shared" si="38"/>
        <v>#REF!</v>
      </c>
      <c r="AH70" s="70" t="e">
        <f t="shared" si="38"/>
        <v>#REF!</v>
      </c>
      <c r="AI70" s="70" t="e">
        <f t="shared" si="38"/>
        <v>#REF!</v>
      </c>
      <c r="AJ70" s="70" t="e">
        <f t="shared" si="38"/>
        <v>#REF!</v>
      </c>
      <c r="AK70" s="70" t="e">
        <f t="shared" si="38"/>
        <v>#REF!</v>
      </c>
      <c r="AL70" s="70" t="e">
        <f t="shared" si="38"/>
        <v>#REF!</v>
      </c>
      <c r="AM70" s="70" t="e">
        <f t="shared" si="38"/>
        <v>#REF!</v>
      </c>
      <c r="AN70" s="70" t="e">
        <f t="shared" si="38"/>
        <v>#REF!</v>
      </c>
      <c r="AO70" s="70" t="e">
        <f t="shared" si="38"/>
        <v>#REF!</v>
      </c>
      <c r="AP70" s="70"/>
      <c r="AQ70" s="70"/>
      <c r="AR70" s="70" t="e">
        <f t="shared" ref="AR70:BA70" si="39">AR39+AR40+AR45</f>
        <v>#REF!</v>
      </c>
      <c r="AS70" s="70" t="e">
        <f t="shared" si="39"/>
        <v>#REF!</v>
      </c>
      <c r="AT70" s="70" t="e">
        <f t="shared" si="39"/>
        <v>#REF!</v>
      </c>
      <c r="AU70" s="70" t="e">
        <f t="shared" si="39"/>
        <v>#REF!</v>
      </c>
      <c r="AV70" s="70" t="e">
        <f t="shared" si="39"/>
        <v>#REF!</v>
      </c>
      <c r="AW70" s="70" t="e">
        <f t="shared" si="39"/>
        <v>#REF!</v>
      </c>
      <c r="AX70" s="70" t="e">
        <f t="shared" si="39"/>
        <v>#REF!</v>
      </c>
      <c r="AY70" s="70" t="e">
        <f t="shared" si="39"/>
        <v>#REF!</v>
      </c>
      <c r="AZ70" s="70" t="e">
        <f t="shared" si="39"/>
        <v>#REF!</v>
      </c>
      <c r="BA70" s="70" t="e">
        <f t="shared" si="39"/>
        <v>#REF!</v>
      </c>
    </row>
    <row r="71" spans="27:53" hidden="1">
      <c r="AA71" s="72" t="s">
        <v>49</v>
      </c>
      <c r="AB71" s="35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</row>
    <row r="72" spans="27:53" hidden="1">
      <c r="AA72" s="71" t="s">
        <v>29</v>
      </c>
      <c r="AB72" s="35"/>
      <c r="AF72" s="70" t="e">
        <f t="shared" ref="AF72:AO72" si="40">AF17+AF18+AF22+AF24</f>
        <v>#REF!</v>
      </c>
      <c r="AG72" s="70" t="e">
        <f t="shared" si="40"/>
        <v>#REF!</v>
      </c>
      <c r="AH72" s="70" t="e">
        <f t="shared" si="40"/>
        <v>#REF!</v>
      </c>
      <c r="AI72" s="70" t="e">
        <f t="shared" si="40"/>
        <v>#REF!</v>
      </c>
      <c r="AJ72" s="70" t="e">
        <f t="shared" si="40"/>
        <v>#REF!</v>
      </c>
      <c r="AK72" s="70" t="e">
        <f t="shared" si="40"/>
        <v>#REF!</v>
      </c>
      <c r="AL72" s="70" t="e">
        <f t="shared" si="40"/>
        <v>#REF!</v>
      </c>
      <c r="AM72" s="70" t="e">
        <f t="shared" si="40"/>
        <v>#REF!</v>
      </c>
      <c r="AN72" s="70" t="e">
        <f t="shared" si="40"/>
        <v>#REF!</v>
      </c>
      <c r="AO72" s="70" t="e">
        <f t="shared" si="40"/>
        <v>#REF!</v>
      </c>
      <c r="AP72" s="70"/>
      <c r="AQ72" s="70"/>
      <c r="AR72" s="70" t="e">
        <f t="shared" ref="AR72:BA72" si="41">AR17+AR18+AR22+AR24</f>
        <v>#REF!</v>
      </c>
      <c r="AS72" s="70" t="e">
        <f t="shared" si="41"/>
        <v>#REF!</v>
      </c>
      <c r="AT72" s="70" t="e">
        <f t="shared" si="41"/>
        <v>#REF!</v>
      </c>
      <c r="AU72" s="70" t="e">
        <f t="shared" si="41"/>
        <v>#REF!</v>
      </c>
      <c r="AV72" s="70" t="e">
        <f t="shared" si="41"/>
        <v>#REF!</v>
      </c>
      <c r="AW72" s="70" t="e">
        <f t="shared" si="41"/>
        <v>#REF!</v>
      </c>
      <c r="AX72" s="70" t="e">
        <f t="shared" si="41"/>
        <v>#REF!</v>
      </c>
      <c r="AY72" s="70" t="e">
        <f t="shared" si="41"/>
        <v>#REF!</v>
      </c>
      <c r="AZ72" s="70" t="e">
        <f t="shared" si="41"/>
        <v>#REF!</v>
      </c>
      <c r="BA72" s="70" t="e">
        <f t="shared" si="41"/>
        <v>#REF!</v>
      </c>
    </row>
    <row r="73" spans="27:53" hidden="1">
      <c r="AA73" s="71" t="s">
        <v>41</v>
      </c>
      <c r="AB73" s="35"/>
      <c r="AF73" s="70" t="e">
        <f t="shared" ref="AF73:AO73" si="42">AF28+AF29+AF33+AF35</f>
        <v>#REF!</v>
      </c>
      <c r="AG73" s="70" t="e">
        <f t="shared" si="42"/>
        <v>#REF!</v>
      </c>
      <c r="AH73" s="70" t="e">
        <f t="shared" si="42"/>
        <v>#REF!</v>
      </c>
      <c r="AI73" s="70" t="e">
        <f t="shared" si="42"/>
        <v>#REF!</v>
      </c>
      <c r="AJ73" s="70" t="e">
        <f t="shared" si="42"/>
        <v>#REF!</v>
      </c>
      <c r="AK73" s="70" t="e">
        <f t="shared" si="42"/>
        <v>#REF!</v>
      </c>
      <c r="AL73" s="70" t="e">
        <f t="shared" si="42"/>
        <v>#REF!</v>
      </c>
      <c r="AM73" s="70" t="e">
        <f t="shared" si="42"/>
        <v>#REF!</v>
      </c>
      <c r="AN73" s="70" t="e">
        <f t="shared" si="42"/>
        <v>#REF!</v>
      </c>
      <c r="AO73" s="70" t="e">
        <f t="shared" si="42"/>
        <v>#REF!</v>
      </c>
      <c r="AP73" s="70"/>
      <c r="AQ73" s="70"/>
      <c r="AR73" s="70" t="e">
        <f t="shared" ref="AR73:BA73" si="43">AR28+AR29+AR33+AR35</f>
        <v>#REF!</v>
      </c>
      <c r="AS73" s="70" t="e">
        <f t="shared" si="43"/>
        <v>#REF!</v>
      </c>
      <c r="AT73" s="70" t="e">
        <f t="shared" si="43"/>
        <v>#REF!</v>
      </c>
      <c r="AU73" s="70" t="e">
        <f t="shared" si="43"/>
        <v>#REF!</v>
      </c>
      <c r="AV73" s="70" t="e">
        <f t="shared" si="43"/>
        <v>#REF!</v>
      </c>
      <c r="AW73" s="70" t="e">
        <f t="shared" si="43"/>
        <v>#REF!</v>
      </c>
      <c r="AX73" s="70" t="e">
        <f t="shared" si="43"/>
        <v>#REF!</v>
      </c>
      <c r="AY73" s="70" t="e">
        <f t="shared" si="43"/>
        <v>#REF!</v>
      </c>
      <c r="AZ73" s="70" t="e">
        <f t="shared" si="43"/>
        <v>#REF!</v>
      </c>
      <c r="BA73" s="70" t="e">
        <f t="shared" si="43"/>
        <v>#REF!</v>
      </c>
    </row>
    <row r="74" spans="27:53" hidden="1">
      <c r="AA74" s="71" t="s">
        <v>42</v>
      </c>
      <c r="AB74" s="35"/>
      <c r="AF74" s="70" t="e">
        <f t="shared" ref="AF74:AO74" si="44">AF39+AF40+AF44+AF46</f>
        <v>#REF!</v>
      </c>
      <c r="AG74" s="70" t="e">
        <f t="shared" si="44"/>
        <v>#REF!</v>
      </c>
      <c r="AH74" s="70" t="e">
        <f t="shared" si="44"/>
        <v>#REF!</v>
      </c>
      <c r="AI74" s="70" t="e">
        <f t="shared" si="44"/>
        <v>#REF!</v>
      </c>
      <c r="AJ74" s="70" t="e">
        <f t="shared" si="44"/>
        <v>#REF!</v>
      </c>
      <c r="AK74" s="70" t="e">
        <f t="shared" si="44"/>
        <v>#REF!</v>
      </c>
      <c r="AL74" s="70" t="e">
        <f t="shared" si="44"/>
        <v>#REF!</v>
      </c>
      <c r="AM74" s="70" t="e">
        <f t="shared" si="44"/>
        <v>#REF!</v>
      </c>
      <c r="AN74" s="70" t="e">
        <f t="shared" si="44"/>
        <v>#REF!</v>
      </c>
      <c r="AO74" s="70" t="e">
        <f t="shared" si="44"/>
        <v>#REF!</v>
      </c>
      <c r="AP74" s="70"/>
      <c r="AQ74" s="70"/>
      <c r="AR74" s="70" t="e">
        <f t="shared" ref="AR74:BA74" si="45">AR39+AR40+AR44+AR46</f>
        <v>#REF!</v>
      </c>
      <c r="AS74" s="70" t="e">
        <f t="shared" si="45"/>
        <v>#REF!</v>
      </c>
      <c r="AT74" s="70" t="e">
        <f t="shared" si="45"/>
        <v>#REF!</v>
      </c>
      <c r="AU74" s="70" t="e">
        <f t="shared" si="45"/>
        <v>#REF!</v>
      </c>
      <c r="AV74" s="70" t="e">
        <f t="shared" si="45"/>
        <v>#REF!</v>
      </c>
      <c r="AW74" s="70" t="e">
        <f t="shared" si="45"/>
        <v>#REF!</v>
      </c>
      <c r="AX74" s="70" t="e">
        <f t="shared" si="45"/>
        <v>#REF!</v>
      </c>
      <c r="AY74" s="70" t="e">
        <f t="shared" si="45"/>
        <v>#REF!</v>
      </c>
      <c r="AZ74" s="70" t="e">
        <f t="shared" si="45"/>
        <v>#REF!</v>
      </c>
      <c r="BA74" s="70" t="e">
        <f t="shared" si="45"/>
        <v>#REF!</v>
      </c>
    </row>
    <row r="75" spans="27:53" hidden="1">
      <c r="AA75" s="69" t="s">
        <v>50</v>
      </c>
      <c r="AB75" s="35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</row>
    <row r="76" spans="27:53" hidden="1">
      <c r="AA76" s="71" t="s">
        <v>29</v>
      </c>
      <c r="AB76" s="35"/>
      <c r="AF76" s="70" t="e">
        <f t="shared" ref="AF76:AO76" si="46">AF17+AF18+AF22+AF25</f>
        <v>#REF!</v>
      </c>
      <c r="AG76" s="70" t="e">
        <f t="shared" si="46"/>
        <v>#REF!</v>
      </c>
      <c r="AH76" s="70" t="e">
        <f t="shared" si="46"/>
        <v>#REF!</v>
      </c>
      <c r="AI76" s="70" t="e">
        <f t="shared" si="46"/>
        <v>#REF!</v>
      </c>
      <c r="AJ76" s="70" t="e">
        <f t="shared" si="46"/>
        <v>#REF!</v>
      </c>
      <c r="AK76" s="70" t="e">
        <f t="shared" si="46"/>
        <v>#REF!</v>
      </c>
      <c r="AL76" s="70" t="e">
        <f t="shared" si="46"/>
        <v>#REF!</v>
      </c>
      <c r="AM76" s="70" t="e">
        <f t="shared" si="46"/>
        <v>#REF!</v>
      </c>
      <c r="AN76" s="70" t="e">
        <f t="shared" si="46"/>
        <v>#REF!</v>
      </c>
      <c r="AO76" s="70" t="e">
        <f t="shared" si="46"/>
        <v>#REF!</v>
      </c>
      <c r="AP76" s="70"/>
      <c r="AQ76" s="70"/>
      <c r="AR76" s="70" t="e">
        <f t="shared" ref="AR76:BA76" si="47">AR17+AR18+AR22+AR25</f>
        <v>#REF!</v>
      </c>
      <c r="AS76" s="70" t="e">
        <f t="shared" si="47"/>
        <v>#REF!</v>
      </c>
      <c r="AT76" s="70" t="e">
        <f t="shared" si="47"/>
        <v>#REF!</v>
      </c>
      <c r="AU76" s="70" t="e">
        <f t="shared" si="47"/>
        <v>#REF!</v>
      </c>
      <c r="AV76" s="70" t="e">
        <f t="shared" si="47"/>
        <v>#REF!</v>
      </c>
      <c r="AW76" s="70" t="e">
        <f t="shared" si="47"/>
        <v>#REF!</v>
      </c>
      <c r="AX76" s="70" t="e">
        <f t="shared" si="47"/>
        <v>#REF!</v>
      </c>
      <c r="AY76" s="70" t="e">
        <f t="shared" si="47"/>
        <v>#REF!</v>
      </c>
      <c r="AZ76" s="70" t="e">
        <f t="shared" si="47"/>
        <v>#REF!</v>
      </c>
      <c r="BA76" s="70" t="e">
        <f t="shared" si="47"/>
        <v>#REF!</v>
      </c>
    </row>
    <row r="77" spans="27:53" hidden="1">
      <c r="AA77" s="71" t="s">
        <v>41</v>
      </c>
      <c r="AB77" s="35"/>
      <c r="AF77" s="70" t="e">
        <f t="shared" ref="AF77:AO77" si="48">AF28+AF29+AF33+AF36</f>
        <v>#REF!</v>
      </c>
      <c r="AG77" s="70" t="e">
        <f t="shared" si="48"/>
        <v>#REF!</v>
      </c>
      <c r="AH77" s="70" t="e">
        <f t="shared" si="48"/>
        <v>#REF!</v>
      </c>
      <c r="AI77" s="70" t="e">
        <f t="shared" si="48"/>
        <v>#REF!</v>
      </c>
      <c r="AJ77" s="70" t="e">
        <f t="shared" si="48"/>
        <v>#REF!</v>
      </c>
      <c r="AK77" s="70" t="e">
        <f t="shared" si="48"/>
        <v>#REF!</v>
      </c>
      <c r="AL77" s="70" t="e">
        <f t="shared" si="48"/>
        <v>#REF!</v>
      </c>
      <c r="AM77" s="70" t="e">
        <f t="shared" si="48"/>
        <v>#REF!</v>
      </c>
      <c r="AN77" s="70" t="e">
        <f t="shared" si="48"/>
        <v>#REF!</v>
      </c>
      <c r="AO77" s="70" t="e">
        <f t="shared" si="48"/>
        <v>#REF!</v>
      </c>
      <c r="AP77" s="70"/>
      <c r="AQ77" s="70"/>
      <c r="AR77" s="70" t="e">
        <f t="shared" ref="AR77:BA77" si="49">AR28+AR29+AR33+AR36</f>
        <v>#REF!</v>
      </c>
      <c r="AS77" s="70" t="e">
        <f t="shared" si="49"/>
        <v>#REF!</v>
      </c>
      <c r="AT77" s="70" t="e">
        <f t="shared" si="49"/>
        <v>#REF!</v>
      </c>
      <c r="AU77" s="70" t="e">
        <f t="shared" si="49"/>
        <v>#REF!</v>
      </c>
      <c r="AV77" s="70" t="e">
        <f t="shared" si="49"/>
        <v>#REF!</v>
      </c>
      <c r="AW77" s="70" t="e">
        <f t="shared" si="49"/>
        <v>#REF!</v>
      </c>
      <c r="AX77" s="70" t="e">
        <f t="shared" si="49"/>
        <v>#REF!</v>
      </c>
      <c r="AY77" s="70" t="e">
        <f t="shared" si="49"/>
        <v>#REF!</v>
      </c>
      <c r="AZ77" s="70" t="e">
        <f t="shared" si="49"/>
        <v>#REF!</v>
      </c>
      <c r="BA77" s="70" t="e">
        <f t="shared" si="49"/>
        <v>#REF!</v>
      </c>
    </row>
    <row r="78" spans="27:53" hidden="1">
      <c r="AA78" s="71" t="s">
        <v>42</v>
      </c>
      <c r="AB78" s="35"/>
      <c r="AF78" s="70" t="e">
        <f t="shared" ref="AF78:AO78" si="50">AF39+AF40+AF44+AF47</f>
        <v>#REF!</v>
      </c>
      <c r="AG78" s="70" t="e">
        <f t="shared" si="50"/>
        <v>#REF!</v>
      </c>
      <c r="AH78" s="70" t="e">
        <f t="shared" si="50"/>
        <v>#REF!</v>
      </c>
      <c r="AI78" s="70" t="e">
        <f t="shared" si="50"/>
        <v>#REF!</v>
      </c>
      <c r="AJ78" s="70" t="e">
        <f t="shared" si="50"/>
        <v>#REF!</v>
      </c>
      <c r="AK78" s="70" t="e">
        <f t="shared" si="50"/>
        <v>#REF!</v>
      </c>
      <c r="AL78" s="70" t="e">
        <f t="shared" si="50"/>
        <v>#REF!</v>
      </c>
      <c r="AM78" s="70" t="e">
        <f t="shared" si="50"/>
        <v>#REF!</v>
      </c>
      <c r="AN78" s="70" t="e">
        <f t="shared" si="50"/>
        <v>#REF!</v>
      </c>
      <c r="AO78" s="70" t="e">
        <f t="shared" si="50"/>
        <v>#REF!</v>
      </c>
      <c r="AP78" s="70"/>
      <c r="AQ78" s="70"/>
      <c r="AR78" s="70" t="e">
        <f t="shared" ref="AR78:BA78" si="51">AR39+AR40+AR44+AR47</f>
        <v>#REF!</v>
      </c>
      <c r="AS78" s="70" t="e">
        <f t="shared" si="51"/>
        <v>#REF!</v>
      </c>
      <c r="AT78" s="70" t="e">
        <f t="shared" si="51"/>
        <v>#REF!</v>
      </c>
      <c r="AU78" s="70" t="e">
        <f t="shared" si="51"/>
        <v>#REF!</v>
      </c>
      <c r="AV78" s="70" t="e">
        <f t="shared" si="51"/>
        <v>#REF!</v>
      </c>
      <c r="AW78" s="70" t="e">
        <f t="shared" si="51"/>
        <v>#REF!</v>
      </c>
      <c r="AX78" s="70" t="e">
        <f t="shared" si="51"/>
        <v>#REF!</v>
      </c>
      <c r="AY78" s="70" t="e">
        <f t="shared" si="51"/>
        <v>#REF!</v>
      </c>
      <c r="AZ78" s="70" t="e">
        <f t="shared" si="51"/>
        <v>#REF!</v>
      </c>
      <c r="BA78" s="70" t="e">
        <f t="shared" si="51"/>
        <v>#REF!</v>
      </c>
    </row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7" spans="1:52" hidden="1"/>
    <row r="89" spans="1:52">
      <c r="A89" s="598" t="s">
        <v>108</v>
      </c>
      <c r="B89" s="598" t="s">
        <v>52</v>
      </c>
      <c r="C89" s="39" t="s">
        <v>101</v>
      </c>
      <c r="D89" s="39" t="s">
        <v>53</v>
      </c>
      <c r="E89" s="39" t="s">
        <v>54</v>
      </c>
      <c r="F89" s="587" t="s">
        <v>64</v>
      </c>
      <c r="G89" s="600"/>
      <c r="H89" s="600"/>
      <c r="I89" s="600"/>
      <c r="J89" s="600"/>
      <c r="K89" s="600"/>
      <c r="L89" s="600"/>
      <c r="M89" s="600"/>
      <c r="N89" s="600"/>
      <c r="O89" s="600"/>
      <c r="P89" s="590"/>
      <c r="AN89" s="38"/>
      <c r="AZ89" s="36"/>
    </row>
    <row r="90" spans="1:52" ht="63.75">
      <c r="A90" s="599"/>
      <c r="B90" s="599"/>
      <c r="C90" s="41" t="s">
        <v>66</v>
      </c>
      <c r="D90" s="41" t="s">
        <v>67</v>
      </c>
      <c r="E90" s="41" t="s">
        <v>68</v>
      </c>
      <c r="F90" s="545" t="s">
        <v>55</v>
      </c>
      <c r="G90" s="545" t="s">
        <v>73</v>
      </c>
      <c r="H90" s="545" t="s">
        <v>74</v>
      </c>
      <c r="I90" s="545" t="s">
        <v>58</v>
      </c>
      <c r="J90" s="545" t="s">
        <v>59</v>
      </c>
      <c r="K90" s="545" t="s">
        <v>60</v>
      </c>
      <c r="L90" s="544" t="s">
        <v>75</v>
      </c>
      <c r="M90" s="544" t="s">
        <v>76</v>
      </c>
      <c r="N90" s="544" t="s">
        <v>61</v>
      </c>
      <c r="O90" s="544" t="s">
        <v>62</v>
      </c>
      <c r="P90" s="544" t="s">
        <v>63</v>
      </c>
      <c r="AN90" s="38"/>
      <c r="AZ90" s="36"/>
    </row>
    <row r="91" spans="1:52" ht="25.5">
      <c r="A91" s="44" t="str">
        <f t="shared" ref="A91:C94" si="52">A4</f>
        <v>General Construction</v>
      </c>
      <c r="B91" s="45" t="str">
        <f t="shared" si="52"/>
        <v>Light-Duty Truck, catalyst</v>
      </c>
      <c r="C91" s="46">
        <f t="shared" si="52"/>
        <v>3</v>
      </c>
      <c r="D91" s="46">
        <v>35</v>
      </c>
      <c r="E91" s="46">
        <v>80</v>
      </c>
      <c r="F91" s="50">
        <f>C4*($E4*$F4+($G4))/453.59</f>
        <v>1.4571581576427601</v>
      </c>
      <c r="G91" s="50">
        <f>C4*($E4*$H4+($I4))/453.59</f>
        <v>0.13101197188313402</v>
      </c>
      <c r="H91" s="50">
        <f>C4*(($E4*$J4)+($K4)+($L4)+($E4*$N4)+(($M4+$O4)))/453.59</f>
        <v>0.15149994097185998</v>
      </c>
      <c r="I91" s="50">
        <f>C4*($E4*$P4+($Q4))/453.59</f>
        <v>2.1803910814818476E-3</v>
      </c>
      <c r="J91" s="50">
        <f>C4*(($E4*($R4+$T4+$U4))+($S4))/453.59</f>
        <v>2.5572271365623688E-2</v>
      </c>
      <c r="K91" s="50">
        <f>$C4*(($E4*($V4+$X4+$Y4))+($W4))/453.59</f>
        <v>1.1136015972759426E-2</v>
      </c>
      <c r="L91" s="50">
        <f>$B$24*C4*(E4+6)</f>
        <v>2.5315747758215698E-2</v>
      </c>
      <c r="M91" s="50">
        <f t="shared" ref="M91:M93" si="53">0.41*L91</f>
        <v>1.0379456580868435E-2</v>
      </c>
      <c r="N91" s="50">
        <f>C4*($E4*$Z4+($AA4))/453.59</f>
        <v>166.27073017811671</v>
      </c>
      <c r="O91" s="50">
        <f>C4*($E4*$AB4+($AC4))/453.59</f>
        <v>9.5114261670907474E-3</v>
      </c>
      <c r="P91" s="50">
        <f>C4*($E4*$AD4+($AE4))/453.59</f>
        <v>1.7313359741530081E-2</v>
      </c>
      <c r="AN91" s="38"/>
      <c r="AZ91" s="36"/>
    </row>
    <row r="92" spans="1:52" ht="25.5">
      <c r="A92" s="44" t="str">
        <f t="shared" si="52"/>
        <v>Substation General Construction</v>
      </c>
      <c r="B92" s="45" t="str">
        <f t="shared" si="52"/>
        <v>Light-Duty Truck, catalyst</v>
      </c>
      <c r="C92" s="46">
        <f t="shared" si="52"/>
        <v>3</v>
      </c>
      <c r="D92" s="46">
        <v>35</v>
      </c>
      <c r="E92" s="46">
        <v>80</v>
      </c>
      <c r="F92" s="50">
        <f>C5*($E5*$F5+($G5))/453.59</f>
        <v>1.4571581576427601</v>
      </c>
      <c r="G92" s="50">
        <f>C5*($E5*$H5+($I5))/453.59</f>
        <v>0.13101197188313402</v>
      </c>
      <c r="H92" s="50">
        <f>C5*(($E5*$J5)+($K5)+($L5)+($E5*$N5)+(($M5+$O5)))/453.59</f>
        <v>0.15149994097185998</v>
      </c>
      <c r="I92" s="50">
        <f>C5*($E5*$P5+($Q5))/453.59</f>
        <v>2.1803910814818476E-3</v>
      </c>
      <c r="J92" s="50">
        <f>C5*(($E5*($R5+$T5+$U5))+($S5))/453.59</f>
        <v>2.5572271365623688E-2</v>
      </c>
      <c r="K92" s="50">
        <f>$C5*(($E5*($V5+$X5+$Y5))+($W5))/453.59</f>
        <v>1.1136015972759426E-2</v>
      </c>
      <c r="L92" s="50">
        <f>$B$24*C5*(E5+6)</f>
        <v>2.5315747758215698E-2</v>
      </c>
      <c r="M92" s="50">
        <f t="shared" ref="M92" si="54">0.41*L92</f>
        <v>1.0379456580868435E-2</v>
      </c>
      <c r="N92" s="50">
        <f>C5*($E5*$Z5+($AA5))/453.59</f>
        <v>166.27073017811671</v>
      </c>
      <c r="O92" s="50">
        <f>C5*($E5*$AB5+($AC5))/453.59</f>
        <v>9.5114261670907474E-3</v>
      </c>
      <c r="P92" s="50">
        <f>C5*($E5*$AD5+($AE5))/453.59</f>
        <v>1.7313359741530081E-2</v>
      </c>
      <c r="AN92" s="38"/>
      <c r="AZ92" s="36"/>
    </row>
    <row r="93" spans="1:52" ht="25.5">
      <c r="A93" s="44" t="str">
        <f t="shared" si="52"/>
        <v>Substation CMU Wall</v>
      </c>
      <c r="B93" s="45" t="str">
        <f t="shared" si="52"/>
        <v>Light-Duty Truck, catalyst</v>
      </c>
      <c r="C93" s="46">
        <f t="shared" si="52"/>
        <v>7</v>
      </c>
      <c r="D93" s="46">
        <v>35</v>
      </c>
      <c r="E93" s="46">
        <v>80</v>
      </c>
      <c r="F93" s="50">
        <f>C6*($E6*$F6+($G6))/453.59</f>
        <v>3.4000357011664404</v>
      </c>
      <c r="G93" s="50">
        <f>C6*($E6*$H6+($I6))/453.59</f>
        <v>0.30569460106064605</v>
      </c>
      <c r="H93" s="50">
        <f>C6*(($E6*$J6)+($K6)+($L6)+($E6*$N6)+(($M6+$O6)))/453.59</f>
        <v>0.35349986226767327</v>
      </c>
      <c r="I93" s="50">
        <f>C6*($E6*$P6+($Q6))/453.59</f>
        <v>5.0875791901243113E-3</v>
      </c>
      <c r="J93" s="50">
        <f>C6*(($E6*($R6+$T6+$U6))+($S6))/453.59</f>
        <v>5.9668633186455274E-2</v>
      </c>
      <c r="K93" s="50">
        <f>$C6*(($E6*($V6+$X6+$Y6))+($W6))/453.59</f>
        <v>2.5984037269771994E-2</v>
      </c>
      <c r="L93" s="50">
        <f>$B$24*C6*(E6+6)</f>
        <v>5.9070078102503296E-2</v>
      </c>
      <c r="M93" s="50">
        <f t="shared" si="53"/>
        <v>2.4218732022026349E-2</v>
      </c>
      <c r="N93" s="50">
        <f>C6*($E6*$Z6+($AA6))/453.59</f>
        <v>387.96503708227226</v>
      </c>
      <c r="O93" s="50">
        <f>C6*($E6*$AB6+($AC6))/453.59</f>
        <v>2.2193327723211743E-2</v>
      </c>
      <c r="P93" s="50">
        <f>C6*($E6*$AD6+($AE6))/453.59</f>
        <v>4.0397839396903522E-2</v>
      </c>
      <c r="AN93" s="38"/>
      <c r="AZ93" s="36"/>
    </row>
    <row r="94" spans="1:52" ht="25.5">
      <c r="A94" s="44" t="str">
        <f t="shared" si="52"/>
        <v>Substation Below Grade</v>
      </c>
      <c r="B94" s="45" t="str">
        <f t="shared" si="52"/>
        <v>Light-Duty Truck, catalyst</v>
      </c>
      <c r="C94" s="46">
        <f t="shared" si="52"/>
        <v>10</v>
      </c>
      <c r="D94" s="46">
        <v>35</v>
      </c>
      <c r="E94" s="46">
        <v>80</v>
      </c>
      <c r="F94" s="50">
        <f>C7*($E7*$F7+($G7))/453.59</f>
        <v>4.8571938588092012</v>
      </c>
      <c r="G94" s="50">
        <f>C7*($E7*$H7+($I7))/453.59</f>
        <v>0.43670657294378012</v>
      </c>
      <c r="H94" s="50">
        <f>C7*(($E7*$J7)+($K7)+($L7)+($E7*$N7)+(($M7+$O7)))/453.59</f>
        <v>0.50499980323953331</v>
      </c>
      <c r="I94" s="50">
        <f>C7*($E7*$P7+($Q7))/453.59</f>
        <v>7.2679702716061598E-3</v>
      </c>
      <c r="J94" s="50">
        <f>C7*(($E7*($R7+$T7+$U7))+($S7))/453.59</f>
        <v>8.5240904552078958E-2</v>
      </c>
      <c r="K94" s="50">
        <f>$C7*(($E7*($V7+$X7+$Y7))+($W7))/453.59</f>
        <v>3.7120053242531412E-2</v>
      </c>
      <c r="L94" s="50">
        <f>$B$24*C7*(E7+6)</f>
        <v>8.438582586071898E-2</v>
      </c>
      <c r="M94" s="50">
        <f t="shared" ref="M94" si="55">0.41*L94</f>
        <v>3.4598188602894778E-2</v>
      </c>
      <c r="N94" s="50">
        <f>C7*($E7*$Z7+($AA7))/453.59</f>
        <v>554.23576726038891</v>
      </c>
      <c r="O94" s="50">
        <f>C7*($E7*$AB7+($AC7))/453.59</f>
        <v>3.1704753890302494E-2</v>
      </c>
      <c r="P94" s="50">
        <f>C7*($E7*$AD7+($AE7))/453.59</f>
        <v>5.7711199138433596E-2</v>
      </c>
      <c r="AN94" s="38"/>
      <c r="AZ94" s="36"/>
    </row>
    <row r="95" spans="1:52">
      <c r="A95" s="61" t="s">
        <v>389</v>
      </c>
      <c r="B95" s="40"/>
      <c r="C95" s="40"/>
      <c r="D95" s="40"/>
      <c r="E95" s="40"/>
      <c r="F95" s="81">
        <f t="shared" ref="F95:P95" si="56">SUM(F91:F94)</f>
        <v>11.171545875261163</v>
      </c>
      <c r="G95" s="81">
        <f t="shared" si="56"/>
        <v>1.0044251177706942</v>
      </c>
      <c r="H95" s="81">
        <f t="shared" si="56"/>
        <v>1.1614995474509264</v>
      </c>
      <c r="I95" s="81">
        <f t="shared" si="56"/>
        <v>1.6716331624694165E-2</v>
      </c>
      <c r="J95" s="81">
        <f t="shared" si="56"/>
        <v>0.19605408046978162</v>
      </c>
      <c r="K95" s="81">
        <f t="shared" si="56"/>
        <v>8.5376122457822251E-2</v>
      </c>
      <c r="L95" s="81">
        <f t="shared" si="56"/>
        <v>0.19408739947965367</v>
      </c>
      <c r="M95" s="81">
        <f t="shared" si="56"/>
        <v>7.9575833786658001E-2</v>
      </c>
      <c r="N95" s="81">
        <f t="shared" si="56"/>
        <v>1274.7422646988946</v>
      </c>
      <c r="O95" s="81">
        <f t="shared" si="56"/>
        <v>7.2920933947695721E-2</v>
      </c>
      <c r="P95" s="81">
        <f t="shared" si="56"/>
        <v>0.13273575801839727</v>
      </c>
      <c r="AN95" s="38"/>
      <c r="AZ95" s="36"/>
    </row>
  </sheetData>
  <mergeCells count="16">
    <mergeCell ref="AR14:BA14"/>
    <mergeCell ref="A89:A90"/>
    <mergeCell ref="B89:B90"/>
    <mergeCell ref="F89:P89"/>
    <mergeCell ref="R2:U2"/>
    <mergeCell ref="V2:Y2"/>
    <mergeCell ref="Z2:AA2"/>
    <mergeCell ref="AB2:AC2"/>
    <mergeCell ref="AD2:AE2"/>
    <mergeCell ref="AF14:AO14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9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591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314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8</v>
      </c>
      <c r="P8" s="88">
        <v>125</v>
      </c>
      <c r="Q8" s="34">
        <f t="shared" ref="Q8:Y10" si="2">(E8*$N8*$O8)</f>
        <v>0.49946184642775621</v>
      </c>
      <c r="R8" s="26">
        <f t="shared" si="2"/>
        <v>2.4431746031746027</v>
      </c>
      <c r="S8" s="26">
        <f t="shared" si="2"/>
        <v>3.1176888888888881</v>
      </c>
      <c r="T8" s="26">
        <f t="shared" si="2"/>
        <v>4.4060015200662857E-3</v>
      </c>
      <c r="U8" s="26">
        <f t="shared" si="2"/>
        <v>0.19809523809523807</v>
      </c>
      <c r="V8" s="26">
        <f t="shared" si="2"/>
        <v>0.17630476190476188</v>
      </c>
      <c r="W8" s="26">
        <f t="shared" si="2"/>
        <v>375.60183859341714</v>
      </c>
      <c r="X8" s="26">
        <f t="shared" si="2"/>
        <v>5.4697471816927752E-2</v>
      </c>
      <c r="Y8" s="26">
        <f t="shared" si="2"/>
        <v>0.29618044444444436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9</v>
      </c>
      <c r="P9" s="363">
        <v>125</v>
      </c>
      <c r="Q9" s="34">
        <f t="shared" si="2"/>
        <v>1.0612998664693185</v>
      </c>
      <c r="R9" s="26">
        <f t="shared" si="2"/>
        <v>3.2860974016937274</v>
      </c>
      <c r="S9" s="26">
        <f t="shared" si="2"/>
        <v>7.8103317854039886</v>
      </c>
      <c r="T9" s="26">
        <f t="shared" si="2"/>
        <v>1.6865295748293957E-2</v>
      </c>
      <c r="U9" s="26">
        <f t="shared" si="2"/>
        <v>0.26137541066030878</v>
      </c>
      <c r="V9" s="26">
        <f t="shared" si="2"/>
        <v>0.23262411548767484</v>
      </c>
      <c r="W9" s="26">
        <f t="shared" si="2"/>
        <v>1498.908740620727</v>
      </c>
      <c r="X9" s="26">
        <f t="shared" si="2"/>
        <v>9.5759396799267066E-2</v>
      </c>
      <c r="Y9" s="26">
        <f t="shared" si="2"/>
        <v>0.74198151961337888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3</v>
      </c>
      <c r="P10" s="363">
        <v>125</v>
      </c>
      <c r="Q10" s="34">
        <f t="shared" si="2"/>
        <v>3.9051121312432671E-2</v>
      </c>
      <c r="R10" s="26">
        <f t="shared" si="2"/>
        <v>0.1468253968253968</v>
      </c>
      <c r="S10" s="26">
        <f t="shared" si="2"/>
        <v>0.13018518518518515</v>
      </c>
      <c r="T10" s="26">
        <f t="shared" si="2"/>
        <v>4.7652059865273245E-4</v>
      </c>
      <c r="U10" s="26">
        <f t="shared" si="2"/>
        <v>1.4682539682539681E-2</v>
      </c>
      <c r="V10" s="26">
        <f t="shared" si="2"/>
        <v>1.3067460317460314E-2</v>
      </c>
      <c r="W10" s="26">
        <f t="shared" si="2"/>
        <v>30.622980859093083</v>
      </c>
      <c r="X10" s="26">
        <f t="shared" si="2"/>
        <v>3.8388136396804665E-3</v>
      </c>
      <c r="Y10" s="26">
        <f t="shared" si="2"/>
        <v>1.236759259259259E-2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1.5998128342095075</v>
      </c>
      <c r="R11" s="101">
        <f t="shared" ref="R11:Y11" si="3">SUM(R8:R10)</f>
        <v>5.8760974016937269</v>
      </c>
      <c r="S11" s="101">
        <f t="shared" si="3"/>
        <v>11.058205859478063</v>
      </c>
      <c r="T11" s="101">
        <f t="shared" si="3"/>
        <v>2.1747817867012974E-2</v>
      </c>
      <c r="U11" s="101">
        <f t="shared" si="3"/>
        <v>0.47415318843808657</v>
      </c>
      <c r="V11" s="101">
        <f t="shared" si="3"/>
        <v>0.42199633770989703</v>
      </c>
      <c r="W11" s="101">
        <f t="shared" si="3"/>
        <v>1905.1335600732373</v>
      </c>
      <c r="X11" s="101">
        <f t="shared" si="3"/>
        <v>0.15429568225587528</v>
      </c>
      <c r="Y11" s="101">
        <f t="shared" si="3"/>
        <v>1.0505295566504158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87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7" t="s">
        <v>315</v>
      </c>
      <c r="B13" s="579"/>
      <c r="C13" s="18"/>
      <c r="D13" s="18"/>
      <c r="E13" s="19"/>
      <c r="F13" s="19"/>
      <c r="G13" s="19"/>
      <c r="H13" s="19"/>
      <c r="I13" s="19"/>
      <c r="J13" s="19"/>
      <c r="K13" s="19"/>
      <c r="L13" s="19"/>
      <c r="M13" s="19"/>
      <c r="N13" s="30"/>
      <c r="O13" s="30"/>
      <c r="P13" s="30"/>
      <c r="Q13" s="20"/>
      <c r="R13" s="20"/>
      <c r="S13" s="20"/>
      <c r="T13" s="20"/>
      <c r="U13" s="20"/>
      <c r="V13" s="20"/>
      <c r="W13" s="21"/>
      <c r="X13" s="20"/>
      <c r="Y13" s="20"/>
    </row>
    <row r="14" spans="1:25" s="3" customFormat="1">
      <c r="A14" s="24" t="s">
        <v>119</v>
      </c>
      <c r="B14" s="90" t="s">
        <v>27</v>
      </c>
      <c r="C14" s="22">
        <v>78</v>
      </c>
      <c r="D14" s="22">
        <f>VLOOKUP(A14,'Offroad Tiers LF'!$B$6:$C$40,2,FALSE)</f>
        <v>0.48</v>
      </c>
      <c r="E14" s="102">
        <v>6.2432730803469526E-2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0.30539682539682533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0.38971111111111101</v>
      </c>
      <c r="H14" s="102">
        <v>5.5075019000828571E-4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2.4761904761904759E-2</v>
      </c>
      <c r="J14" s="100">
        <f t="shared" ref="J14:J16" si="4">0.89*I14</f>
        <v>2.2038095238095235E-2</v>
      </c>
      <c r="K14" s="103">
        <v>46.950229824177143</v>
      </c>
      <c r="L14" s="102">
        <v>6.837183977115969E-3</v>
      </c>
      <c r="M14" s="104">
        <f t="shared" ref="M14:M16" si="5">0.095*G14</f>
        <v>3.7022555555555545E-2</v>
      </c>
      <c r="N14" s="98">
        <v>1</v>
      </c>
      <c r="O14" s="98">
        <v>6</v>
      </c>
      <c r="P14" s="88">
        <v>125</v>
      </c>
      <c r="Q14" s="34">
        <f t="shared" ref="Q14:Y16" si="6">(E14*$N14*$O14)</f>
        <v>0.37459638482081714</v>
      </c>
      <c r="R14" s="26">
        <f t="shared" si="6"/>
        <v>1.832380952380952</v>
      </c>
      <c r="S14" s="26">
        <f t="shared" si="6"/>
        <v>2.3382666666666658</v>
      </c>
      <c r="T14" s="26">
        <f t="shared" si="6"/>
        <v>3.3045011400497145E-3</v>
      </c>
      <c r="U14" s="26">
        <f t="shared" si="6"/>
        <v>0.14857142857142855</v>
      </c>
      <c r="V14" s="26">
        <f t="shared" si="6"/>
        <v>0.13222857142857142</v>
      </c>
      <c r="W14" s="26">
        <f t="shared" si="6"/>
        <v>281.70137894506286</v>
      </c>
      <c r="X14" s="26">
        <f t="shared" si="6"/>
        <v>4.1023103862695816E-2</v>
      </c>
      <c r="Y14" s="26">
        <f t="shared" si="6"/>
        <v>0.22213533333333327</v>
      </c>
    </row>
    <row r="15" spans="1:25" s="3" customFormat="1">
      <c r="A15" s="24" t="s">
        <v>305</v>
      </c>
      <c r="B15" s="29" t="s">
        <v>27</v>
      </c>
      <c r="C15" s="22">
        <v>175</v>
      </c>
      <c r="D15" s="22"/>
      <c r="E15" s="102">
        <v>0.11792220738547983</v>
      </c>
      <c r="F15" s="102">
        <v>0.36512193352152528</v>
      </c>
      <c r="G15" s="102">
        <v>0.86781464282266541</v>
      </c>
      <c r="H15" s="102">
        <v>1.8739217498104396E-3</v>
      </c>
      <c r="I15" s="102">
        <v>2.9041712295589866E-2</v>
      </c>
      <c r="J15" s="100">
        <f t="shared" si="4"/>
        <v>2.5847123943074982E-2</v>
      </c>
      <c r="K15" s="103">
        <v>166.54541562452522</v>
      </c>
      <c r="L15" s="102">
        <v>1.063993297769634E-2</v>
      </c>
      <c r="M15" s="104">
        <f t="shared" si="5"/>
        <v>8.2442391068153209E-2</v>
      </c>
      <c r="N15" s="98">
        <v>1</v>
      </c>
      <c r="O15" s="87">
        <v>2</v>
      </c>
      <c r="P15" s="363">
        <v>125</v>
      </c>
      <c r="Q15" s="34">
        <f t="shared" si="6"/>
        <v>0.23584441477095966</v>
      </c>
      <c r="R15" s="26">
        <f t="shared" si="6"/>
        <v>0.73024386704305055</v>
      </c>
      <c r="S15" s="26">
        <f t="shared" si="6"/>
        <v>1.7356292856453308</v>
      </c>
      <c r="T15" s="26">
        <f t="shared" si="6"/>
        <v>3.7478434996208792E-3</v>
      </c>
      <c r="U15" s="26">
        <f t="shared" si="6"/>
        <v>5.8083424591179732E-2</v>
      </c>
      <c r="V15" s="26">
        <f t="shared" si="6"/>
        <v>5.1694247886149965E-2</v>
      </c>
      <c r="W15" s="26">
        <f t="shared" si="6"/>
        <v>333.09083124905044</v>
      </c>
      <c r="X15" s="26">
        <f t="shared" si="6"/>
        <v>2.127986595539268E-2</v>
      </c>
      <c r="Y15" s="26">
        <f t="shared" si="6"/>
        <v>0.16488478213630642</v>
      </c>
    </row>
    <row r="16" spans="1:25" s="3" customFormat="1">
      <c r="A16" s="24" t="s">
        <v>368</v>
      </c>
      <c r="B16" s="29" t="s">
        <v>27</v>
      </c>
      <c r="C16" s="22">
        <v>5</v>
      </c>
      <c r="D16" s="22">
        <v>0.74</v>
      </c>
      <c r="E16" s="102">
        <v>1.3017040437477556E-2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4.8941798941798939E-2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4.3395061728395051E-2</v>
      </c>
      <c r="H16" s="102">
        <v>1.5884019955091081E-4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4.8941798941798936E-3</v>
      </c>
      <c r="J16" s="100">
        <f t="shared" si="4"/>
        <v>4.3558201058201051E-3</v>
      </c>
      <c r="K16" s="103">
        <v>10.20766028636436</v>
      </c>
      <c r="L16" s="102">
        <v>1.2796045465601556E-3</v>
      </c>
      <c r="M16" s="104">
        <f t="shared" si="5"/>
        <v>4.1225308641975296E-3</v>
      </c>
      <c r="N16" s="98">
        <v>1</v>
      </c>
      <c r="O16" s="87">
        <v>8</v>
      </c>
      <c r="P16" s="363">
        <v>125</v>
      </c>
      <c r="Q16" s="34">
        <f t="shared" si="6"/>
        <v>0.10413632349982045</v>
      </c>
      <c r="R16" s="26">
        <f t="shared" si="6"/>
        <v>0.39153439153439151</v>
      </c>
      <c r="S16" s="26">
        <f t="shared" si="6"/>
        <v>0.34716049382716041</v>
      </c>
      <c r="T16" s="26">
        <f t="shared" si="6"/>
        <v>1.2707215964072865E-3</v>
      </c>
      <c r="U16" s="26">
        <f t="shared" si="6"/>
        <v>3.9153439153439148E-2</v>
      </c>
      <c r="V16" s="26">
        <f t="shared" si="6"/>
        <v>3.4846560846560841E-2</v>
      </c>
      <c r="W16" s="26">
        <f t="shared" si="6"/>
        <v>81.661282290914883</v>
      </c>
      <c r="X16" s="26">
        <f t="shared" si="6"/>
        <v>1.0236836372481245E-2</v>
      </c>
      <c r="Y16" s="26">
        <f t="shared" si="6"/>
        <v>3.2980246913580237E-2</v>
      </c>
    </row>
    <row r="17" spans="1:25" s="3" customFormat="1">
      <c r="A17" s="17" t="s">
        <v>28</v>
      </c>
      <c r="B17" s="29"/>
      <c r="C17" s="22"/>
      <c r="D17" s="22"/>
      <c r="E17" s="108"/>
      <c r="F17" s="108"/>
      <c r="G17" s="108"/>
      <c r="H17" s="108"/>
      <c r="I17" s="108"/>
      <c r="J17" s="100"/>
      <c r="K17" s="365"/>
      <c r="L17" s="110"/>
      <c r="M17" s="102"/>
      <c r="N17" s="98"/>
      <c r="O17" s="87"/>
      <c r="P17" s="363"/>
      <c r="Q17" s="101">
        <f>SUM(Q14:Q16)</f>
        <v>0.71457712309159727</v>
      </c>
      <c r="R17" s="101">
        <f t="shared" ref="R17:Y17" si="7">SUM(R14:R16)</f>
        <v>2.9541592109583941</v>
      </c>
      <c r="S17" s="101">
        <f t="shared" si="7"/>
        <v>4.4210564461391568</v>
      </c>
      <c r="T17" s="101">
        <f t="shared" si="7"/>
        <v>8.32306623607788E-3</v>
      </c>
      <c r="U17" s="101">
        <f t="shared" si="7"/>
        <v>0.24580829231604745</v>
      </c>
      <c r="V17" s="101">
        <f t="shared" si="7"/>
        <v>0.21876938016128222</v>
      </c>
      <c r="W17" s="101">
        <f t="shared" si="7"/>
        <v>696.45349248502816</v>
      </c>
      <c r="X17" s="101">
        <f t="shared" si="7"/>
        <v>7.2539806190569739E-2</v>
      </c>
      <c r="Y17" s="101">
        <f t="shared" si="7"/>
        <v>0.42000036238321992</v>
      </c>
    </row>
    <row r="18" spans="1:25" s="3" customFormat="1">
      <c r="A18" s="24"/>
      <c r="B18" s="29"/>
      <c r="C18" s="22"/>
      <c r="D18" s="22"/>
      <c r="E18" s="108"/>
      <c r="F18" s="108"/>
      <c r="G18" s="108"/>
      <c r="H18" s="108"/>
      <c r="I18" s="108"/>
      <c r="J18" s="100"/>
      <c r="K18" s="365"/>
      <c r="L18" s="110"/>
      <c r="M18" s="102"/>
      <c r="N18" s="98"/>
      <c r="O18" s="98"/>
      <c r="P18" s="363"/>
      <c r="Q18" s="34"/>
      <c r="R18" s="26"/>
      <c r="S18" s="26"/>
      <c r="T18" s="26"/>
      <c r="U18" s="26"/>
      <c r="V18" s="26"/>
      <c r="W18" s="26"/>
      <c r="X18" s="26"/>
      <c r="Y18" s="26"/>
    </row>
    <row r="19" spans="1:25" s="3" customFormat="1">
      <c r="A19" s="17" t="s">
        <v>289</v>
      </c>
      <c r="B19" s="22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11"/>
      <c r="O19" s="11"/>
      <c r="P19" s="11"/>
      <c r="Q19" s="27"/>
      <c r="R19" s="27"/>
      <c r="S19" s="27"/>
      <c r="T19" s="27"/>
      <c r="U19" s="27"/>
      <c r="V19" s="27"/>
      <c r="W19" s="28"/>
      <c r="X19" s="27"/>
      <c r="Y19" s="27"/>
    </row>
    <row r="20" spans="1:25" s="3" customFormat="1">
      <c r="A20" s="100" t="s">
        <v>126</v>
      </c>
      <c r="B20" s="22" t="s">
        <v>27</v>
      </c>
      <c r="C20" s="22">
        <v>175</v>
      </c>
      <c r="D20" s="22"/>
      <c r="E20" s="102">
        <v>0.11792220738547983</v>
      </c>
      <c r="F20" s="102">
        <v>0.36512193352152528</v>
      </c>
      <c r="G20" s="102">
        <v>0.86781464282266541</v>
      </c>
      <c r="H20" s="102">
        <v>1.8739217498104396E-3</v>
      </c>
      <c r="I20" s="102">
        <v>2.9041712295589866E-2</v>
      </c>
      <c r="J20" s="100">
        <f t="shared" ref="J20" si="8">0.89*I20</f>
        <v>2.5847123943074982E-2</v>
      </c>
      <c r="K20" s="103">
        <v>166.54541562452522</v>
      </c>
      <c r="L20" s="102">
        <v>1.063993297769634E-2</v>
      </c>
      <c r="M20" s="104">
        <f t="shared" ref="M20" si="9">0.095*G20</f>
        <v>8.2442391068153209E-2</v>
      </c>
      <c r="N20" s="88">
        <v>1</v>
      </c>
      <c r="O20" s="88">
        <v>3</v>
      </c>
      <c r="P20" s="367">
        <v>40</v>
      </c>
      <c r="Q20" s="26">
        <f t="shared" ref="Q20:Y20" si="10">(E20*$N20*$O20)</f>
        <v>0.3537666221564395</v>
      </c>
      <c r="R20" s="26">
        <f t="shared" si="10"/>
        <v>1.0953658005645759</v>
      </c>
      <c r="S20" s="26">
        <f t="shared" si="10"/>
        <v>2.6034439284679962</v>
      </c>
      <c r="T20" s="26">
        <f t="shared" si="10"/>
        <v>5.6217652494313184E-3</v>
      </c>
      <c r="U20" s="26">
        <f t="shared" si="10"/>
        <v>8.7125136886769594E-2</v>
      </c>
      <c r="V20" s="26">
        <f t="shared" si="10"/>
        <v>7.754137182922495E-2</v>
      </c>
      <c r="W20" s="26">
        <f t="shared" si="10"/>
        <v>499.63624687357566</v>
      </c>
      <c r="X20" s="26">
        <f t="shared" si="10"/>
        <v>3.1919798933089022E-2</v>
      </c>
      <c r="Y20" s="26">
        <f t="shared" si="10"/>
        <v>0.24732717320445963</v>
      </c>
    </row>
    <row r="21" spans="1:25" s="3" customFormat="1">
      <c r="A21" s="17" t="s">
        <v>28</v>
      </c>
      <c r="B21" s="97"/>
      <c r="C21" s="22"/>
      <c r="D21" s="22"/>
      <c r="E21" s="23"/>
      <c r="F21" s="23"/>
      <c r="G21" s="23"/>
      <c r="H21" s="23"/>
      <c r="I21" s="23"/>
      <c r="J21" s="24"/>
      <c r="K21" s="25"/>
      <c r="L21" s="23"/>
      <c r="M21" s="23"/>
      <c r="N21" s="88"/>
      <c r="O21" s="88"/>
      <c r="P21" s="88"/>
      <c r="Q21" s="27">
        <f t="shared" ref="Q21:Y21" si="11">SUM(Q20:Q20)</f>
        <v>0.3537666221564395</v>
      </c>
      <c r="R21" s="27">
        <f t="shared" si="11"/>
        <v>1.0953658005645759</v>
      </c>
      <c r="S21" s="27">
        <f t="shared" si="11"/>
        <v>2.6034439284679962</v>
      </c>
      <c r="T21" s="27">
        <f t="shared" si="11"/>
        <v>5.6217652494313184E-3</v>
      </c>
      <c r="U21" s="27">
        <f t="shared" si="11"/>
        <v>8.7125136886769594E-2</v>
      </c>
      <c r="V21" s="27">
        <f t="shared" si="11"/>
        <v>7.754137182922495E-2</v>
      </c>
      <c r="W21" s="27">
        <f t="shared" si="11"/>
        <v>499.63624687357566</v>
      </c>
      <c r="X21" s="27">
        <f t="shared" si="11"/>
        <v>3.1919798933089022E-2</v>
      </c>
      <c r="Y21" s="27">
        <f t="shared" si="11"/>
        <v>0.24732717320445963</v>
      </c>
    </row>
    <row r="22" spans="1:25">
      <c r="A22" s="11"/>
      <c r="B22" s="579"/>
      <c r="C22" s="18"/>
      <c r="D22" s="22"/>
      <c r="E22" s="19"/>
      <c r="F22" s="19"/>
      <c r="G22" s="19"/>
      <c r="H22" s="19"/>
      <c r="I22" s="19"/>
      <c r="J22" s="19"/>
      <c r="K22" s="19"/>
      <c r="L22" s="19"/>
      <c r="M22" s="19"/>
      <c r="N22" s="30"/>
      <c r="O22" s="30"/>
      <c r="P22" s="364"/>
      <c r="Q22" s="20"/>
      <c r="R22" s="20"/>
      <c r="S22" s="27"/>
      <c r="T22" s="20"/>
      <c r="U22" s="20"/>
      <c r="V22" s="20"/>
      <c r="W22" s="20"/>
      <c r="X22" s="20"/>
      <c r="Y22" s="20"/>
    </row>
    <row r="23" spans="1:25">
      <c r="A23" s="11" t="s">
        <v>398</v>
      </c>
      <c r="B23" s="22"/>
      <c r="C23" s="18"/>
      <c r="D23" s="22"/>
      <c r="E23" s="19"/>
      <c r="F23" s="19"/>
      <c r="G23" s="19"/>
      <c r="H23" s="19"/>
      <c r="I23" s="19"/>
      <c r="J23" s="19"/>
      <c r="K23" s="19"/>
      <c r="L23" s="19"/>
      <c r="M23" s="19"/>
      <c r="N23" s="11"/>
      <c r="O23" s="11"/>
      <c r="P23" s="11"/>
      <c r="Q23" s="27"/>
      <c r="R23" s="27"/>
      <c r="S23" s="27"/>
      <c r="T23" s="27"/>
      <c r="U23" s="27"/>
      <c r="V23" s="27"/>
      <c r="W23" s="28"/>
      <c r="X23" s="27"/>
      <c r="Y23" s="27"/>
    </row>
    <row r="24" spans="1:25">
      <c r="A24" s="100" t="s">
        <v>125</v>
      </c>
      <c r="B24" s="97" t="s">
        <v>27</v>
      </c>
      <c r="C24" s="22">
        <v>87</v>
      </c>
      <c r="D24" s="22">
        <v>0.37</v>
      </c>
      <c r="E24" s="108">
        <v>5.2437519504869065E-2</v>
      </c>
      <c r="F24" s="397">
        <f>IF($C24&lt;11,'Offroad Tiers EF (2)'!$AN$4*$C24*$D24,IF($C24&lt;25,'Offroad Tiers EF (2)'!$AN$5*$C24*$D24,IF($C24&lt;50,'Offroad Tiers EF (2)'!$AN$6*$C24*$D24,IF($C24&lt;75,'Offroad Tiers EF (2)'!$AN$7*$C24*$D24,IF($C24&lt;100,'Offroad Tiers EF (2)'!$AN$8*$C24*$D24,IF($C24&lt;175,'Offroad Tiers EF (2)'!$AN$9*$C24*$D24,IF($C24&lt;300,'Offroad Tiers EF (2)'!$AN$10*$C24*$D24,IF($C24&lt;600,'Offroad Tiers EF (2)'!$AN$11*$C24*$D24,"!"))))))))</f>
        <v>0.26257275132275132</v>
      </c>
      <c r="G24" s="397">
        <f>IF($C24&lt;11,'Offroad Tiers EF (2)'!$AM$4*$C24*$D24,IF($C24&lt;25,'Offroad Tiers EF (2)'!$AM$5*$C24*$D24,IF($C24&lt;50,'Offroad Tiers EF (2)'!$AM$6*$C24*$D24,IF($C24&lt;75,'Offroad Tiers EF (2)'!$AM$7*$C24*$D24,IF($C24&lt;100,'Offroad Tiers EF (2)'!$AM$8*$C24*$D24,IF($C24&lt;175,'Offroad Tiers EF (2)'!$AM$9*$C24*$D24,IF($C24&lt;300,'Offroad Tiers EF (2)'!$AM$10*$C24*$D24,IF($C24&lt;600,'Offroad Tiers EF (2)'!$AM$11*$C24*$D24,"!"))))))))</f>
        <v>0.33506412037037031</v>
      </c>
      <c r="H24" s="108">
        <v>6.0679618797898508E-4</v>
      </c>
      <c r="I24" s="397">
        <f>IF($C24&lt;11,'Offroad Tiers EF (2)'!$AO$4*$C24*$D24,IF($C24&lt;25,'Offroad Tiers EF (2)'!$AO$5*$C24*$D24,IF($C24&lt;50,'Offroad Tiers EF (2)'!$AO$6*$C24*$D24,IF($C24&lt;75,'Offroad Tiers EF (2)'!$AO$7*$C24*$D24,IF($C24&lt;100,'Offroad Tiers EF (2)'!$AO$8*$C24*$D24,IF($C24&lt;175,'Offroad Tiers EF (2)'!$AO$9*$C24*$D24,IF($C24&lt;300,'Offroad Tiers EF (2)'!$AO$10*$C24*$D24,IF($C24&lt;600,'Offroad Tiers EF (2)'!$AO$11*$C24*$D24,"!"))))))))</f>
        <v>2.1289682539682539E-2</v>
      </c>
      <c r="J24" s="100">
        <f t="shared" ref="J24:J27" si="12">0.89*I24</f>
        <v>1.894781746031746E-2</v>
      </c>
      <c r="K24" s="108">
        <v>51.728016924248784</v>
      </c>
      <c r="L24" s="108">
        <v>5.2037096026823848E-3</v>
      </c>
      <c r="M24" s="102">
        <f t="shared" ref="M24:M27" si="13">0.095*G24</f>
        <v>3.1831091435185178E-2</v>
      </c>
      <c r="N24" s="88">
        <v>1</v>
      </c>
      <c r="O24" s="88">
        <v>6</v>
      </c>
      <c r="P24" s="367">
        <v>15</v>
      </c>
      <c r="Q24" s="26">
        <f t="shared" ref="Q24:Y27" si="14">(E24*$N24*$O24)</f>
        <v>0.31462511702921436</v>
      </c>
      <c r="R24" s="26">
        <f t="shared" si="14"/>
        <v>1.5754365079365078</v>
      </c>
      <c r="S24" s="26">
        <f t="shared" si="14"/>
        <v>2.0103847222222218</v>
      </c>
      <c r="T24" s="26">
        <f t="shared" si="14"/>
        <v>3.6407771278739107E-3</v>
      </c>
      <c r="U24" s="26">
        <f t="shared" si="14"/>
        <v>0.12773809523809523</v>
      </c>
      <c r="V24" s="26">
        <f t="shared" si="14"/>
        <v>0.11368690476190477</v>
      </c>
      <c r="W24" s="26">
        <f t="shared" si="14"/>
        <v>310.36810154549272</v>
      </c>
      <c r="X24" s="26">
        <f t="shared" si="14"/>
        <v>3.1222257616094311E-2</v>
      </c>
      <c r="Y24" s="26">
        <f t="shared" si="14"/>
        <v>0.19098654861111108</v>
      </c>
    </row>
    <row r="25" spans="1:25">
      <c r="A25" s="100" t="s">
        <v>287</v>
      </c>
      <c r="B25" s="97" t="s">
        <v>27</v>
      </c>
      <c r="C25" s="97">
        <v>37</v>
      </c>
      <c r="D25" s="22">
        <v>0.37</v>
      </c>
      <c r="E25" s="102">
        <v>3.2313389441625637E-2</v>
      </c>
      <c r="F25" s="397">
        <f>IF($C25&lt;11,'Offroad Tiers EF (2)'!$AN$4*$C25*$D25,IF($C25&lt;25,'Offroad Tiers EF (2)'!$AN$5*$C25*$D25,IF($C25&lt;50,'Offroad Tiers EF (2)'!$AN$6*$C25*$D25,IF($C25&lt;75,'Offroad Tiers EF (2)'!$AN$7*$C25*$D25,IF($C25&lt;100,'Offroad Tiers EF (2)'!$AN$8*$C25*$D25,IF($C25&lt;175,'Offroad Tiers EF (2)'!$AN$9*$C25*$D25,IF($C25&lt;300,'Offroad Tiers EF (2)'!$AN$10*$C25*$D25,IF($C25&lt;600,'Offroad Tiers EF (2)'!$AN$11*$C25*$D25,"!"))))))))</f>
        <v>0.12374118165784832</v>
      </c>
      <c r="G25" s="397">
        <f>IF($C25&lt;11,'Offroad Tiers EF (2)'!$AM$4*$C25*$D25,IF($C25&lt;25,'Offroad Tiers EF (2)'!$AM$5*$C25*$D25,IF($C25&lt;50,'Offroad Tiers EF (2)'!$AM$6*$C25*$D25,IF($C25&lt;75,'Offroad Tiers EF (2)'!$AM$7*$C25*$D25,IF($C25&lt;100,'Offroad Tiers EF (2)'!$AM$8*$C25*$D25,IF($C25&lt;175,'Offroad Tiers EF (2)'!$AM$9*$C25*$D25,IF($C25&lt;300,'Offroad Tiers EF (2)'!$AM$10*$C25*$D25,IF($C25&lt;600,'Offroad Tiers EF (2)'!$AM$11*$C25*$D25,"!"))))))))</f>
        <v>0.16056172839506169</v>
      </c>
      <c r="H25" s="102">
        <v>3.2989906092678058E-4</v>
      </c>
      <c r="I25" s="397">
        <f>IF($C25&lt;11,'Offroad Tiers EF (2)'!$AO$4*$C25*$D25,IF($C25&lt;25,'Offroad Tiers EF (2)'!$AO$5*$C25*$D25,IF($C25&lt;50,'Offroad Tiers EF (2)'!$AO$6*$C25*$D25,IF($C25&lt;75,'Offroad Tiers EF (2)'!$AO$7*$C25*$D25,IF($C25&lt;100,'Offroad Tiers EF (2)'!$AO$8*$C25*$D25,IF($C25&lt;175,'Offroad Tiers EF (2)'!$AO$9*$C25*$D25,IF($C25&lt;300,'Offroad Tiers EF (2)'!$AO$10*$C25*$D25,IF($C25&lt;600,'Offroad Tiers EF (2)'!$AO$11*$C25*$D25,"!"))))))))</f>
        <v>1.3581349206349205E-2</v>
      </c>
      <c r="J25" s="100">
        <f t="shared" si="12"/>
        <v>1.2087400793650793E-2</v>
      </c>
      <c r="K25" s="103">
        <v>25.519156990664225</v>
      </c>
      <c r="L25" s="102">
        <v>3.413848047070189E-3</v>
      </c>
      <c r="M25" s="104">
        <f t="shared" si="13"/>
        <v>1.5253364197530862E-2</v>
      </c>
      <c r="N25" s="88">
        <v>1</v>
      </c>
      <c r="O25" s="88">
        <v>1</v>
      </c>
      <c r="P25" s="367">
        <v>75</v>
      </c>
      <c r="Q25" s="26">
        <f t="shared" si="14"/>
        <v>3.2313389441625637E-2</v>
      </c>
      <c r="R25" s="26">
        <f t="shared" si="14"/>
        <v>0.12374118165784832</v>
      </c>
      <c r="S25" s="26">
        <f t="shared" si="14"/>
        <v>0.16056172839506169</v>
      </c>
      <c r="T25" s="26">
        <f t="shared" si="14"/>
        <v>3.2989906092678058E-4</v>
      </c>
      <c r="U25" s="26">
        <f t="shared" si="14"/>
        <v>1.3581349206349205E-2</v>
      </c>
      <c r="V25" s="26">
        <f t="shared" si="14"/>
        <v>1.2087400793650793E-2</v>
      </c>
      <c r="W25" s="26">
        <f t="shared" si="14"/>
        <v>25.519156990664225</v>
      </c>
      <c r="X25" s="26">
        <f t="shared" si="14"/>
        <v>3.413848047070189E-3</v>
      </c>
      <c r="Y25" s="26">
        <f t="shared" si="14"/>
        <v>1.5253364197530862E-2</v>
      </c>
    </row>
    <row r="26" spans="1:25">
      <c r="A26" s="100" t="s">
        <v>292</v>
      </c>
      <c r="B26" s="22" t="s">
        <v>27</v>
      </c>
      <c r="C26" s="97">
        <v>69</v>
      </c>
      <c r="D26" s="22">
        <v>0.5</v>
      </c>
      <c r="E26" s="102">
        <v>0.10796897189848784</v>
      </c>
      <c r="F26" s="397">
        <f>IF($C26&lt;11,'Offroad Tiers EF (2)'!$AN$4*$C26*$D26,IF($C26&lt;25,'Offroad Tiers EF (2)'!$AN$5*$C26*$D26,IF($C26&lt;50,'Offroad Tiers EF (2)'!$AN$6*$C26*$D26,IF($C26&lt;75,'Offroad Tiers EF (2)'!$AN$7*$C26*$D26,IF($C26&lt;100,'Offroad Tiers EF (2)'!$AN$8*$C26*$D26,IF($C26&lt;175,'Offroad Tiers EF (2)'!$AN$9*$C26*$D26,IF($C26&lt;300,'Offroad Tiers EF (2)'!$AN$10*$C26*$D26,IF($C26&lt;600,'Offroad Tiers EF (2)'!$AN$11*$C26*$D26,"!"))))))))</f>
        <v>0.2814153439153439</v>
      </c>
      <c r="G26" s="397">
        <f>IF($C26&lt;11,'Offroad Tiers EF (2)'!$AM$4*$C26*$D26,IF($C26&lt;25,'Offroad Tiers EF (2)'!$AM$5*$C26*$D26,IF($C26&lt;50,'Offroad Tiers EF (2)'!$AM$6*$C26*$D26,IF($C26&lt;75,'Offroad Tiers EF (2)'!$AM$7*$C26*$D26,IF($C26&lt;100,'Offroad Tiers EF (2)'!$AM$8*$C26*$D26,IF($C26&lt;175,'Offroad Tiers EF (2)'!$AM$9*$C26*$D26,IF($C26&lt;300,'Offroad Tiers EF (2)'!$AM$10*$C26*$D26,IF($C26&lt;600,'Offroad Tiers EF (2)'!$AM$11*$C26*$D26,"!"))))))))</f>
        <v>0.40462962962962956</v>
      </c>
      <c r="H26" s="102">
        <v>7.6125329247041284E-4</v>
      </c>
      <c r="I26" s="397">
        <f>IF($C26&lt;11,'Offroad Tiers EF (2)'!$AO$4*$C26*$D26,IF($C26&lt;25,'Offroad Tiers EF (2)'!$AO$5*$C26*$D26,IF($C26&lt;50,'Offroad Tiers EF (2)'!$AO$6*$C26*$D26,IF($C26&lt;75,'Offroad Tiers EF (2)'!$AO$7*$C26*$D26,IF($C26&lt;100,'Offroad Tiers EF (2)'!$AO$8*$C26*$D26,IF($C26&lt;175,'Offroad Tiers EF (2)'!$AO$9*$C26*$D26,IF($C26&lt;300,'Offroad Tiers EF (2)'!$AO$10*$C26*$D26,IF($C26&lt;600,'Offroad Tiers EF (2)'!$AO$11*$C26*$D26,"!"))))))))</f>
        <v>2.2817460317460316E-2</v>
      </c>
      <c r="J26" s="100">
        <f t="shared" si="12"/>
        <v>2.030753968253968E-2</v>
      </c>
      <c r="K26" s="103">
        <v>64.895144949977833</v>
      </c>
      <c r="L26" s="102">
        <v>1.0324742188913067E-2</v>
      </c>
      <c r="M26" s="104">
        <f t="shared" si="13"/>
        <v>3.8439814814814809E-2</v>
      </c>
      <c r="N26" s="87">
        <v>1</v>
      </c>
      <c r="O26" s="87">
        <v>6</v>
      </c>
      <c r="P26" s="88">
        <f>8*22</f>
        <v>176</v>
      </c>
      <c r="Q26" s="34">
        <f t="shared" si="14"/>
        <v>0.64781383139092696</v>
      </c>
      <c r="R26" s="26">
        <f t="shared" si="14"/>
        <v>1.6884920634920633</v>
      </c>
      <c r="S26" s="26">
        <f t="shared" si="14"/>
        <v>2.4277777777777771</v>
      </c>
      <c r="T26" s="26">
        <f t="shared" si="14"/>
        <v>4.567519754822477E-3</v>
      </c>
      <c r="U26" s="26">
        <f t="shared" si="14"/>
        <v>0.13690476190476189</v>
      </c>
      <c r="V26" s="26">
        <f t="shared" si="14"/>
        <v>0.12184523809523809</v>
      </c>
      <c r="W26" s="26">
        <f t="shared" si="14"/>
        <v>389.370869699867</v>
      </c>
      <c r="X26" s="26">
        <f t="shared" si="14"/>
        <v>6.1948453133478402E-2</v>
      </c>
      <c r="Y26" s="26">
        <f t="shared" si="14"/>
        <v>0.23063888888888884</v>
      </c>
    </row>
    <row r="27" spans="1:25">
      <c r="A27" s="100" t="s">
        <v>126</v>
      </c>
      <c r="B27" s="22" t="s">
        <v>27</v>
      </c>
      <c r="C27" s="22">
        <v>175</v>
      </c>
      <c r="D27" s="22"/>
      <c r="E27" s="102">
        <v>0.11792220738547983</v>
      </c>
      <c r="F27" s="102">
        <v>0.36512193352152528</v>
      </c>
      <c r="G27" s="102">
        <v>0.86781464282266541</v>
      </c>
      <c r="H27" s="102">
        <v>1.8739217498104396E-3</v>
      </c>
      <c r="I27" s="102">
        <v>2.9041712295589866E-2</v>
      </c>
      <c r="J27" s="100">
        <f t="shared" si="12"/>
        <v>2.5847123943074982E-2</v>
      </c>
      <c r="K27" s="103">
        <v>166.54541562452522</v>
      </c>
      <c r="L27" s="102">
        <v>1.063993297769634E-2</v>
      </c>
      <c r="M27" s="104">
        <f t="shared" si="13"/>
        <v>8.2442391068153209E-2</v>
      </c>
      <c r="N27" s="88">
        <v>1</v>
      </c>
      <c r="O27" s="88">
        <v>3</v>
      </c>
      <c r="P27" s="367">
        <v>40</v>
      </c>
      <c r="Q27" s="26">
        <f t="shared" si="14"/>
        <v>0.3537666221564395</v>
      </c>
      <c r="R27" s="26">
        <f t="shared" si="14"/>
        <v>1.0953658005645759</v>
      </c>
      <c r="S27" s="26">
        <f t="shared" si="14"/>
        <v>2.6034439284679962</v>
      </c>
      <c r="T27" s="26">
        <f t="shared" si="14"/>
        <v>5.6217652494313184E-3</v>
      </c>
      <c r="U27" s="26">
        <f t="shared" si="14"/>
        <v>8.7125136886769594E-2</v>
      </c>
      <c r="V27" s="26">
        <f t="shared" si="14"/>
        <v>7.754137182922495E-2</v>
      </c>
      <c r="W27" s="26">
        <f t="shared" si="14"/>
        <v>499.63624687357566</v>
      </c>
      <c r="X27" s="26">
        <f t="shared" si="14"/>
        <v>3.1919798933089022E-2</v>
      </c>
      <c r="Y27" s="26">
        <f t="shared" si="14"/>
        <v>0.24732717320445963</v>
      </c>
    </row>
    <row r="28" spans="1:25">
      <c r="A28" s="17" t="s">
        <v>28</v>
      </c>
      <c r="B28" s="97"/>
      <c r="C28" s="22"/>
      <c r="D28" s="22"/>
      <c r="E28" s="23"/>
      <c r="F28" s="23"/>
      <c r="G28" s="23"/>
      <c r="H28" s="23"/>
      <c r="I28" s="23"/>
      <c r="J28" s="24"/>
      <c r="K28" s="25"/>
      <c r="L28" s="23"/>
      <c r="M28" s="23"/>
      <c r="N28" s="88"/>
      <c r="O28" s="88"/>
      <c r="P28" s="88"/>
      <c r="Q28" s="27">
        <f t="shared" ref="Q28:Y28" si="15">SUM(Q24:Q27)</f>
        <v>1.3485189600182066</v>
      </c>
      <c r="R28" s="27">
        <f t="shared" si="15"/>
        <v>4.4830355536509954</v>
      </c>
      <c r="S28" s="27">
        <f t="shared" si="15"/>
        <v>7.2021681568630562</v>
      </c>
      <c r="T28" s="27">
        <f t="shared" si="15"/>
        <v>1.4159961193054486E-2</v>
      </c>
      <c r="U28" s="27">
        <f t="shared" si="15"/>
        <v>0.3653493432359759</v>
      </c>
      <c r="V28" s="27">
        <f t="shared" si="15"/>
        <v>0.32516091548001858</v>
      </c>
      <c r="W28" s="27">
        <f t="shared" si="15"/>
        <v>1224.8943751095997</v>
      </c>
      <c r="X28" s="27">
        <f t="shared" si="15"/>
        <v>0.12850435772973193</v>
      </c>
      <c r="Y28" s="27">
        <f t="shared" si="15"/>
        <v>0.68420597490199042</v>
      </c>
    </row>
    <row r="29" spans="1:25">
      <c r="A29" s="17" t="s">
        <v>387</v>
      </c>
      <c r="B29" s="549"/>
      <c r="C29" s="18"/>
      <c r="D29" s="22"/>
      <c r="E29" s="19"/>
      <c r="F29" s="19"/>
      <c r="G29" s="19"/>
      <c r="H29" s="19"/>
      <c r="I29" s="19"/>
      <c r="J29" s="19"/>
      <c r="K29" s="19"/>
      <c r="L29" s="19"/>
      <c r="M29" s="19"/>
      <c r="N29" s="30"/>
      <c r="O29" s="30"/>
      <c r="P29" s="364"/>
      <c r="Q29" s="20">
        <f>Q11+Q17+Q21+Q28</f>
        <v>4.0166755394757505</v>
      </c>
      <c r="R29" s="20">
        <f t="shared" ref="R29:Y29" si="16">R11+R17+R21+R28</f>
        <v>14.408657966867693</v>
      </c>
      <c r="S29" s="20">
        <f t="shared" si="16"/>
        <v>25.284874390948271</v>
      </c>
      <c r="T29" s="20">
        <f t="shared" si="16"/>
        <v>4.9852610545576659E-2</v>
      </c>
      <c r="U29" s="20">
        <f t="shared" si="16"/>
        <v>1.1724359608768795</v>
      </c>
      <c r="V29" s="20">
        <f t="shared" si="16"/>
        <v>1.0434680051804226</v>
      </c>
      <c r="W29" s="20">
        <f t="shared" si="16"/>
        <v>4326.1176745414405</v>
      </c>
      <c r="X29" s="20">
        <f t="shared" si="16"/>
        <v>0.38725964510926592</v>
      </c>
      <c r="Y29" s="20">
        <f t="shared" si="16"/>
        <v>2.4020630671400856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90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42578125" style="36" bestFit="1" customWidth="1"/>
    <col min="4" max="4" width="10.85546875" style="36" customWidth="1"/>
    <col min="5" max="5" width="10.42578125" style="36" bestFit="1" customWidth="1"/>
    <col min="6" max="6" width="9.5703125" style="36" bestFit="1" customWidth="1"/>
    <col min="7" max="7" width="12" style="36" bestFit="1" customWidth="1"/>
    <col min="8" max="8" width="9.5703125" style="36" bestFit="1" customWidth="1"/>
    <col min="9" max="9" width="11.85546875" style="36" bestFit="1" customWidth="1"/>
    <col min="10" max="11" width="9.5703125" style="36" bestFit="1" customWidth="1"/>
    <col min="12" max="13" width="11.85546875" style="36" bestFit="1" customWidth="1"/>
    <col min="14" max="14" width="9.5703125" style="36" bestFit="1" customWidth="1"/>
    <col min="15" max="16" width="10.85546875" style="36" bestFit="1" customWidth="1"/>
    <col min="17" max="17" width="9.5703125" style="36" bestFit="1" customWidth="1"/>
    <col min="18" max="18" width="12.85546875" style="36" bestFit="1" customWidth="1"/>
    <col min="19" max="30" width="9.5703125" style="36" bestFit="1" customWidth="1"/>
    <col min="31" max="16384" width="9.140625" style="36"/>
  </cols>
  <sheetData>
    <row r="1" spans="1:30">
      <c r="A1" s="3" t="s">
        <v>592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C9*(F9)*$B$179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C10*(F10)*$B$179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 ht="25.5">
      <c r="A13" s="114" t="s">
        <v>315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326</v>
      </c>
      <c r="B14" s="76" t="s">
        <v>95</v>
      </c>
      <c r="C14" s="79">
        <v>3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9.9891275533645019E-2</v>
      </c>
      <c r="U14" s="50">
        <f>C14*($F14*$H14)/453.59</f>
        <v>0.18440937782971867</v>
      </c>
      <c r="V14" s="50">
        <f>C14*(($F14*$I14))/453.59</f>
        <v>2.253067276294635E-2</v>
      </c>
      <c r="W14" s="50">
        <f>C14*($F14*$J14)/453.59</f>
        <v>1.3898613406074772E-3</v>
      </c>
      <c r="X14" s="50">
        <f>C14*(($F14*($K14+$L14+$M14)))/453.59</f>
        <v>3.6369464870151122E-2</v>
      </c>
      <c r="Y14" s="50">
        <f>C14*(($F14*($N14+$O14+$P14)))/453.59</f>
        <v>2.4166098982977401E-2</v>
      </c>
      <c r="Z14" s="50">
        <f>C14*(F14)*$B$179</f>
        <v>0</v>
      </c>
      <c r="AA14" s="50">
        <f>Z14*0.21</f>
        <v>0</v>
      </c>
      <c r="AB14" s="50">
        <f>C14*(($F14*($Q14)))/453.59</f>
        <v>96.814105590256631</v>
      </c>
      <c r="AC14" s="50">
        <f>C14*(($F14*($R14)))/453.59</f>
        <v>5.5322484357440338E-3</v>
      </c>
      <c r="AD14" s="50">
        <f>C14*(($F14*($S14)))/453.59</f>
        <v>2.4799901288000137E-3</v>
      </c>
    </row>
    <row r="15" spans="1:30">
      <c r="A15" s="78" t="s">
        <v>327</v>
      </c>
      <c r="B15" s="76" t="s">
        <v>105</v>
      </c>
      <c r="C15" s="374">
        <v>1</v>
      </c>
      <c r="D15" s="77"/>
      <c r="E15" s="77">
        <v>35</v>
      </c>
      <c r="F15" s="77">
        <v>80</v>
      </c>
      <c r="G15" s="106">
        <v>1.08263976628415</v>
      </c>
      <c r="H15" s="106">
        <v>4.9712718909585103</v>
      </c>
      <c r="I15" s="106">
        <v>0.26248012575016899</v>
      </c>
      <c r="J15" s="106">
        <v>1.0711818E-2</v>
      </c>
      <c r="K15" s="106">
        <v>7.1679901072141505E-2</v>
      </c>
      <c r="L15" s="576">
        <v>3.59998119015979E-2</v>
      </c>
      <c r="M15" s="576">
        <v>6.1739677411240299E-2</v>
      </c>
      <c r="N15" s="106">
        <v>6.5945508986370194E-2</v>
      </c>
      <c r="O15" s="576">
        <v>2.9999843251331498E-3</v>
      </c>
      <c r="P15" s="576">
        <v>5.5859708133979398E-2</v>
      </c>
      <c r="Q15" s="106">
        <v>1710.7260798814</v>
      </c>
      <c r="R15" s="47">
        <v>1.5235246282551899E-2</v>
      </c>
      <c r="S15" s="80">
        <f>0.000025616*Q15</f>
        <v>4.3821959262241944E-2</v>
      </c>
      <c r="T15" s="50">
        <f>C15*($F15*$G15)/453.59</f>
        <v>0.19094596728925242</v>
      </c>
      <c r="U15" s="50">
        <f>C15*($F15*$H15)/453.59</f>
        <v>0.87678685878586582</v>
      </c>
      <c r="V15" s="50">
        <f>C15*(($F15*$I15))/453.59</f>
        <v>4.6293811724274173E-2</v>
      </c>
      <c r="W15" s="50">
        <f>C15*($F15*$J15)/453.59</f>
        <v>1.8892511739676801E-3</v>
      </c>
      <c r="X15" s="50">
        <f>C15*(($F15*($K15+$L15+$M15)))/453.59</f>
        <v>2.9880621774726907E-2</v>
      </c>
      <c r="Y15" s="50">
        <f>C15*(($F15*($N15+$O15+$P15)))/453.59</f>
        <v>2.2011984646131133E-2</v>
      </c>
      <c r="Z15" s="50">
        <f>C15*(F15)*$B$179</f>
        <v>0</v>
      </c>
      <c r="AA15" s="50">
        <f>Z15*0.21</f>
        <v>0</v>
      </c>
      <c r="AB15" s="50">
        <f>C15*(($F15*($Q15)))/453.59</f>
        <v>301.72200972356535</v>
      </c>
      <c r="AC15" s="50">
        <f>C15*(($F15*($R15)))/453.59</f>
        <v>2.6870515280410772E-3</v>
      </c>
      <c r="AD15" s="50">
        <f>C15*(($F15*($S15)))/453.59</f>
        <v>7.7289110010788503E-3</v>
      </c>
    </row>
    <row r="16" spans="1:30">
      <c r="A16" s="75" t="s">
        <v>28</v>
      </c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>
        <f t="shared" ref="T16:AD16" si="1">SUM(T14:T15)</f>
        <v>0.29083724282289747</v>
      </c>
      <c r="U16" s="81">
        <f t="shared" si="1"/>
        <v>1.0611962366155845</v>
      </c>
      <c r="V16" s="81">
        <f t="shared" si="1"/>
        <v>6.8824484487220519E-2</v>
      </c>
      <c r="W16" s="81">
        <f t="shared" si="1"/>
        <v>3.2791125145751575E-3</v>
      </c>
      <c r="X16" s="81">
        <f t="shared" si="1"/>
        <v>6.6250086644878026E-2</v>
      </c>
      <c r="Y16" s="81">
        <f t="shared" si="1"/>
        <v>4.6178083629108538E-2</v>
      </c>
      <c r="Z16" s="81">
        <f t="shared" si="1"/>
        <v>0</v>
      </c>
      <c r="AA16" s="81">
        <f t="shared" si="1"/>
        <v>0</v>
      </c>
      <c r="AB16" s="81">
        <f t="shared" si="1"/>
        <v>398.53611531382199</v>
      </c>
      <c r="AC16" s="81">
        <f t="shared" si="1"/>
        <v>8.2192999637851101E-3</v>
      </c>
      <c r="AD16" s="81">
        <f t="shared" si="1"/>
        <v>1.0208901129878864E-2</v>
      </c>
    </row>
    <row r="17" spans="1:30">
      <c r="A17" s="75"/>
      <c r="B17" s="74"/>
      <c r="C17" s="112"/>
      <c r="D17" s="112"/>
      <c r="E17" s="74"/>
      <c r="F17" s="74"/>
      <c r="G17" s="577"/>
      <c r="H17" s="41"/>
      <c r="I17" s="41"/>
      <c r="J17" s="41"/>
      <c r="K17" s="574"/>
      <c r="L17" s="574"/>
      <c r="M17" s="574"/>
      <c r="N17" s="574"/>
      <c r="O17" s="574"/>
      <c r="P17" s="574"/>
      <c r="Q17" s="41"/>
      <c r="R17" s="574"/>
      <c r="S17" s="574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</row>
    <row r="18" spans="1:30">
      <c r="A18" s="114" t="s">
        <v>333</v>
      </c>
      <c r="B18" s="74"/>
      <c r="C18" s="112"/>
      <c r="D18" s="112"/>
      <c r="E18" s="74"/>
      <c r="F18" s="74"/>
      <c r="G18" s="577"/>
      <c r="H18" s="41"/>
      <c r="I18" s="41"/>
      <c r="J18" s="41"/>
      <c r="K18" s="574"/>
      <c r="L18" s="574"/>
      <c r="M18" s="574"/>
      <c r="N18" s="574"/>
      <c r="O18" s="574"/>
      <c r="P18" s="574"/>
      <c r="Q18" s="41"/>
      <c r="R18" s="574"/>
      <c r="S18" s="574"/>
      <c r="T18" s="61"/>
      <c r="U18" s="61"/>
      <c r="V18" s="61"/>
      <c r="W18" s="61"/>
      <c r="X18" s="61"/>
      <c r="Y18" s="61"/>
      <c r="Z18" s="62"/>
      <c r="AA18" s="62"/>
      <c r="AB18" s="62"/>
      <c r="AC18" s="62"/>
      <c r="AD18" s="62"/>
    </row>
    <row r="19" spans="1:30">
      <c r="A19" s="78" t="s">
        <v>320</v>
      </c>
      <c r="B19" s="76" t="s">
        <v>95</v>
      </c>
      <c r="C19" s="79">
        <v>6</v>
      </c>
      <c r="D19" s="77"/>
      <c r="E19" s="77">
        <v>35</v>
      </c>
      <c r="F19" s="77">
        <v>60</v>
      </c>
      <c r="G19" s="106">
        <v>0.25172046482947802</v>
      </c>
      <c r="H19" s="106">
        <v>0.464701387165456</v>
      </c>
      <c r="I19" s="106">
        <v>5.6776043658582402E-2</v>
      </c>
      <c r="J19" s="106">
        <v>3.5023733638119199E-3</v>
      </c>
      <c r="K19" s="106">
        <v>4.6899256897933901E-2</v>
      </c>
      <c r="L19" s="47">
        <v>7.99995847163921E-3</v>
      </c>
      <c r="M19" s="47">
        <v>3.6749815577381599E-2</v>
      </c>
      <c r="N19" s="106">
        <v>4.3147317248333997E-2</v>
      </c>
      <c r="O19" s="47">
        <v>1.9999896145790402E-3</v>
      </c>
      <c r="P19" s="47">
        <v>1.57499200131354E-2</v>
      </c>
      <c r="Q19" s="106">
        <v>243.966167526025</v>
      </c>
      <c r="R19" s="47">
        <f>0.000057143*Q19</f>
        <v>1.3940958710939646E-2</v>
      </c>
      <c r="S19" s="80">
        <f>0.000025616*Q19</f>
        <v>6.2494373473466567E-3</v>
      </c>
      <c r="T19" s="50">
        <f>C19*($F19*$G19)/453.59</f>
        <v>0.19978255106729004</v>
      </c>
      <c r="U19" s="50">
        <f>C19*($F19*$H19)/453.59</f>
        <v>0.36881875565943734</v>
      </c>
      <c r="V19" s="50">
        <f>C19*(($F19*$I19))/453.59</f>
        <v>4.50613455258927E-2</v>
      </c>
      <c r="W19" s="50">
        <f>C19*($F19*$J19)/453.59</f>
        <v>2.7797226812149543E-3</v>
      </c>
      <c r="X19" s="50">
        <f>C19*(($F19*($K19+$L19+$M19)))/453.59</f>
        <v>7.2738929740302244E-2</v>
      </c>
      <c r="Y19" s="50">
        <f>C19*(($F19*($N19+$O19+$P19)))/453.59</f>
        <v>4.8332197965954803E-2</v>
      </c>
      <c r="Z19" s="50">
        <f>C19*(F19)*$B$310</f>
        <v>0</v>
      </c>
      <c r="AA19" s="50">
        <f>Z19*0.21</f>
        <v>0</v>
      </c>
      <c r="AB19" s="50">
        <f>C19*(($F19*($Q19)))/453.59</f>
        <v>193.62821118051326</v>
      </c>
      <c r="AC19" s="50">
        <f>C19*(($F19*($R19)))/453.59</f>
        <v>1.1064496871488068E-2</v>
      </c>
      <c r="AD19" s="50">
        <f>C19*(($F19*($S19)))/453.59</f>
        <v>4.9599802576000274E-3</v>
      </c>
    </row>
    <row r="20" spans="1:30">
      <c r="A20" s="75" t="s">
        <v>28</v>
      </c>
      <c r="B20" s="74"/>
      <c r="C20" s="112"/>
      <c r="D20" s="112"/>
      <c r="E20" s="74"/>
      <c r="F20" s="74"/>
      <c r="G20" s="577"/>
      <c r="H20" s="41"/>
      <c r="I20" s="41"/>
      <c r="J20" s="41"/>
      <c r="K20" s="574"/>
      <c r="L20" s="574"/>
      <c r="M20" s="574"/>
      <c r="N20" s="574"/>
      <c r="O20" s="574"/>
      <c r="P20" s="574"/>
      <c r="Q20" s="41"/>
      <c r="R20" s="574"/>
      <c r="S20" s="574"/>
      <c r="T20" s="81">
        <f t="shared" ref="T20:AD20" si="2">SUM(T19:T19)</f>
        <v>0.19978255106729004</v>
      </c>
      <c r="U20" s="81">
        <f t="shared" si="2"/>
        <v>0.36881875565943734</v>
      </c>
      <c r="V20" s="81">
        <f t="shared" si="2"/>
        <v>4.50613455258927E-2</v>
      </c>
      <c r="W20" s="81">
        <f t="shared" si="2"/>
        <v>2.7797226812149543E-3</v>
      </c>
      <c r="X20" s="81">
        <f t="shared" si="2"/>
        <v>7.2738929740302244E-2</v>
      </c>
      <c r="Y20" s="81">
        <f t="shared" si="2"/>
        <v>4.8332197965954803E-2</v>
      </c>
      <c r="Z20" s="81">
        <f t="shared" si="2"/>
        <v>0</v>
      </c>
      <c r="AA20" s="81">
        <f t="shared" si="2"/>
        <v>0</v>
      </c>
      <c r="AB20" s="81">
        <f t="shared" si="2"/>
        <v>193.62821118051326</v>
      </c>
      <c r="AC20" s="81">
        <f t="shared" si="2"/>
        <v>1.1064496871488068E-2</v>
      </c>
      <c r="AD20" s="81">
        <f t="shared" si="2"/>
        <v>4.9599802576000274E-3</v>
      </c>
    </row>
    <row r="21" spans="1:30">
      <c r="A21" s="75"/>
      <c r="B21" s="74"/>
      <c r="C21" s="112"/>
      <c r="D21" s="112"/>
      <c r="E21" s="74"/>
      <c r="F21" s="74"/>
      <c r="G21" s="577"/>
      <c r="H21" s="41"/>
      <c r="I21" s="41"/>
      <c r="J21" s="41"/>
      <c r="K21" s="574"/>
      <c r="L21" s="574"/>
      <c r="M21" s="574"/>
      <c r="N21" s="574"/>
      <c r="O21" s="574"/>
      <c r="P21" s="574"/>
      <c r="Q21" s="41"/>
      <c r="R21" s="574"/>
      <c r="S21" s="574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</row>
    <row r="22" spans="1:30">
      <c r="A22" s="114" t="s">
        <v>334</v>
      </c>
      <c r="B22" s="74"/>
      <c r="C22" s="112"/>
      <c r="D22" s="112"/>
      <c r="E22" s="74"/>
      <c r="F22" s="74"/>
      <c r="G22" s="577"/>
      <c r="H22" s="41"/>
      <c r="I22" s="41"/>
      <c r="J22" s="41"/>
      <c r="K22" s="574"/>
      <c r="L22" s="574"/>
      <c r="M22" s="574"/>
      <c r="N22" s="574"/>
      <c r="O22" s="574"/>
      <c r="P22" s="574"/>
      <c r="Q22" s="41"/>
      <c r="R22" s="574"/>
      <c r="S22" s="574"/>
      <c r="T22" s="61"/>
      <c r="U22" s="61"/>
      <c r="V22" s="61"/>
      <c r="W22" s="61"/>
      <c r="X22" s="61"/>
      <c r="Y22" s="61"/>
      <c r="Z22" s="62"/>
      <c r="AA22" s="62"/>
      <c r="AB22" s="62"/>
      <c r="AC22" s="62"/>
      <c r="AD22" s="62"/>
    </row>
    <row r="23" spans="1:30">
      <c r="A23" s="78" t="s">
        <v>320</v>
      </c>
      <c r="B23" s="76" t="s">
        <v>95</v>
      </c>
      <c r="C23" s="79">
        <v>6</v>
      </c>
      <c r="D23" s="77"/>
      <c r="E23" s="77">
        <v>35</v>
      </c>
      <c r="F23" s="77">
        <v>60</v>
      </c>
      <c r="G23" s="106">
        <v>0.25172046482947802</v>
      </c>
      <c r="H23" s="106">
        <v>0.464701387165456</v>
      </c>
      <c r="I23" s="106">
        <v>5.6776043658582402E-2</v>
      </c>
      <c r="J23" s="106">
        <v>3.5023733638119199E-3</v>
      </c>
      <c r="K23" s="106">
        <v>4.6899256897933901E-2</v>
      </c>
      <c r="L23" s="47">
        <v>7.99995847163921E-3</v>
      </c>
      <c r="M23" s="47">
        <v>3.6749815577381599E-2</v>
      </c>
      <c r="N23" s="106">
        <v>4.3147317248333997E-2</v>
      </c>
      <c r="O23" s="47">
        <v>1.9999896145790402E-3</v>
      </c>
      <c r="P23" s="47">
        <v>1.57499200131354E-2</v>
      </c>
      <c r="Q23" s="106">
        <v>243.966167526025</v>
      </c>
      <c r="R23" s="47">
        <f>0.000057143*Q23</f>
        <v>1.3940958710939646E-2</v>
      </c>
      <c r="S23" s="80">
        <f>0.000025616*Q23</f>
        <v>6.2494373473466567E-3</v>
      </c>
      <c r="T23" s="50">
        <f>C23*($F23*$G23)/453.59</f>
        <v>0.19978255106729004</v>
      </c>
      <c r="U23" s="50">
        <f>C23*($F23*$H23)/453.59</f>
        <v>0.36881875565943734</v>
      </c>
      <c r="V23" s="50">
        <f>C23*(($F23*$I23))/453.59</f>
        <v>4.50613455258927E-2</v>
      </c>
      <c r="W23" s="50">
        <f>C23*($F23*$J23)/453.59</f>
        <v>2.7797226812149543E-3</v>
      </c>
      <c r="X23" s="50">
        <f>C23*(($F23*($K23+$L23+$M23)))/453.59</f>
        <v>7.2738929740302244E-2</v>
      </c>
      <c r="Y23" s="50">
        <f>C23*(($F23*($N23+$O23+$P23)))/453.59</f>
        <v>4.8332197965954803E-2</v>
      </c>
      <c r="Z23" s="50">
        <f>C23*(F23)*$B$281</f>
        <v>0</v>
      </c>
      <c r="AA23" s="50">
        <f>Z23*0.21</f>
        <v>0</v>
      </c>
      <c r="AB23" s="50">
        <f>C23*(($F23*($Q23)))/453.59</f>
        <v>193.62821118051326</v>
      </c>
      <c r="AC23" s="50">
        <f>C23*(($F23*($R23)))/453.59</f>
        <v>1.1064496871488068E-2</v>
      </c>
      <c r="AD23" s="50">
        <f>C23*(($F23*($S23)))/453.59</f>
        <v>4.9599802576000274E-3</v>
      </c>
    </row>
    <row r="24" spans="1:30">
      <c r="A24" s="78" t="s">
        <v>318</v>
      </c>
      <c r="B24" s="76" t="s">
        <v>105</v>
      </c>
      <c r="C24" s="77">
        <v>1</v>
      </c>
      <c r="D24" s="77"/>
      <c r="E24" s="77">
        <v>35</v>
      </c>
      <c r="F24" s="77">
        <v>80</v>
      </c>
      <c r="G24" s="106">
        <v>1.08263976628415</v>
      </c>
      <c r="H24" s="106">
        <v>4.9712718909585103</v>
      </c>
      <c r="I24" s="106">
        <v>0.26248012575016899</v>
      </c>
      <c r="J24" s="106">
        <v>1.0711818E-2</v>
      </c>
      <c r="K24" s="106">
        <v>7.1679901072141505E-2</v>
      </c>
      <c r="L24" s="576">
        <v>3.59998119015979E-2</v>
      </c>
      <c r="M24" s="576">
        <v>6.1739677411240299E-2</v>
      </c>
      <c r="N24" s="106">
        <v>6.5945508986370194E-2</v>
      </c>
      <c r="O24" s="576">
        <v>2.9999843251331498E-3</v>
      </c>
      <c r="P24" s="576">
        <v>5.5859708133979398E-2</v>
      </c>
      <c r="Q24" s="106">
        <v>1710.7260798814</v>
      </c>
      <c r="R24" s="47">
        <v>1.5235246282551899E-2</v>
      </c>
      <c r="S24" s="80">
        <f>0.000025616*Q24</f>
        <v>4.3821959262241944E-2</v>
      </c>
      <c r="T24" s="50">
        <f>C24*($F24*$G24)/453.59</f>
        <v>0.19094596728925242</v>
      </c>
      <c r="U24" s="50">
        <f>C24*($F24*$H24)/453.59</f>
        <v>0.87678685878586582</v>
      </c>
      <c r="V24" s="50">
        <f>C24*(($F24*$I24))/453.59</f>
        <v>4.6293811724274173E-2</v>
      </c>
      <c r="W24" s="50">
        <f>C24*($F24*$J24)/453.59</f>
        <v>1.8892511739676801E-3</v>
      </c>
      <c r="X24" s="50">
        <f>C24*(($F24*($K24+$L24+$M24)))/453.59</f>
        <v>2.9880621774726907E-2</v>
      </c>
      <c r="Y24" s="50">
        <f>C24*(($F24*($N24+$O24+$P24)))/453.59</f>
        <v>2.2011984646131133E-2</v>
      </c>
      <c r="Z24" s="50">
        <f>C24*(F24)*$B$281</f>
        <v>0</v>
      </c>
      <c r="AA24" s="50">
        <f>Z24*0.21</f>
        <v>0</v>
      </c>
      <c r="AB24" s="50">
        <f>C24*(($F24*($Q24)))/453.59</f>
        <v>301.72200972356535</v>
      </c>
      <c r="AC24" s="50">
        <f>C24*(($F24*($R24)))/453.59</f>
        <v>2.6870515280410772E-3</v>
      </c>
      <c r="AD24" s="50">
        <f>C24*(($F24*($S24)))/453.59</f>
        <v>7.7289110010788503E-3</v>
      </c>
    </row>
    <row r="25" spans="1:30">
      <c r="A25" s="75" t="s">
        <v>28</v>
      </c>
      <c r="B25" s="74"/>
      <c r="C25" s="112"/>
      <c r="D25" s="112"/>
      <c r="E25" s="74"/>
      <c r="F25" s="74"/>
      <c r="G25" s="577"/>
      <c r="H25" s="41"/>
      <c r="I25" s="41"/>
      <c r="J25" s="41"/>
      <c r="K25" s="574"/>
      <c r="L25" s="574"/>
      <c r="M25" s="574"/>
      <c r="N25" s="574"/>
      <c r="O25" s="574"/>
      <c r="P25" s="574"/>
      <c r="Q25" s="41"/>
      <c r="R25" s="574"/>
      <c r="S25" s="574"/>
      <c r="T25" s="81">
        <f t="shared" ref="T25:AD25" si="3">SUM(T23:T24)</f>
        <v>0.39072851835654243</v>
      </c>
      <c r="U25" s="81">
        <f t="shared" si="3"/>
        <v>1.2456056144453032</v>
      </c>
      <c r="V25" s="81">
        <f t="shared" si="3"/>
        <v>9.135515725016688E-2</v>
      </c>
      <c r="W25" s="81">
        <f t="shared" si="3"/>
        <v>4.6689738551826346E-3</v>
      </c>
      <c r="X25" s="81">
        <f t="shared" si="3"/>
        <v>0.10261955151502915</v>
      </c>
      <c r="Y25" s="81">
        <f t="shared" si="3"/>
        <v>7.0344182612085943E-2</v>
      </c>
      <c r="Z25" s="81">
        <f t="shared" si="3"/>
        <v>0</v>
      </c>
      <c r="AA25" s="81">
        <f t="shared" si="3"/>
        <v>0</v>
      </c>
      <c r="AB25" s="81">
        <f t="shared" si="3"/>
        <v>495.35022090407858</v>
      </c>
      <c r="AC25" s="81">
        <f t="shared" si="3"/>
        <v>1.3751548399529145E-2</v>
      </c>
      <c r="AD25" s="81">
        <f t="shared" si="3"/>
        <v>1.2688891258678878E-2</v>
      </c>
    </row>
    <row r="26" spans="1:30">
      <c r="A26" s="75" t="s">
        <v>388</v>
      </c>
      <c r="B26" s="74"/>
      <c r="C26" s="112"/>
      <c r="D26" s="112"/>
      <c r="E26" s="74"/>
      <c r="F26" s="74"/>
      <c r="G26" s="547"/>
      <c r="H26" s="41"/>
      <c r="I26" s="41"/>
      <c r="J26" s="41"/>
      <c r="K26" s="544"/>
      <c r="L26" s="544"/>
      <c r="M26" s="544"/>
      <c r="N26" s="544"/>
      <c r="O26" s="544"/>
      <c r="P26" s="544"/>
      <c r="Q26" s="41"/>
      <c r="R26" s="544"/>
      <c r="S26" s="544"/>
      <c r="T26" s="81">
        <f t="shared" ref="T26:AD26" si="4">T11+T16+T20+T25</f>
        <v>1.1721855550696274</v>
      </c>
      <c r="U26" s="81">
        <f t="shared" si="4"/>
        <v>3.7368168433359097</v>
      </c>
      <c r="V26" s="81">
        <f t="shared" si="4"/>
        <v>0.27406547175050061</v>
      </c>
      <c r="W26" s="81">
        <f t="shared" si="4"/>
        <v>1.4006921565547904E-2</v>
      </c>
      <c r="X26" s="81">
        <f t="shared" si="4"/>
        <v>0.30785865454508743</v>
      </c>
      <c r="Y26" s="81">
        <f t="shared" si="4"/>
        <v>0.21103254783625783</v>
      </c>
      <c r="Z26" s="81">
        <f t="shared" si="4"/>
        <v>0</v>
      </c>
      <c r="AA26" s="81">
        <f t="shared" si="4"/>
        <v>0</v>
      </c>
      <c r="AB26" s="81">
        <f t="shared" si="4"/>
        <v>1486.0506627122359</v>
      </c>
      <c r="AC26" s="81">
        <f t="shared" si="4"/>
        <v>4.1254645198587431E-2</v>
      </c>
      <c r="AD26" s="81">
        <f t="shared" si="4"/>
        <v>3.8066673776036633E-2</v>
      </c>
    </row>
    <row r="27" spans="1:30">
      <c r="A27" s="370"/>
      <c r="B27" s="371"/>
      <c r="C27" s="372"/>
      <c r="D27" s="372"/>
      <c r="E27" s="371"/>
      <c r="F27" s="371"/>
      <c r="G27" s="373"/>
      <c r="H27" s="373"/>
      <c r="I27" s="373"/>
      <c r="J27" s="373"/>
      <c r="K27" s="373"/>
      <c r="L27" s="373"/>
      <c r="M27" s="373"/>
      <c r="N27" s="373"/>
      <c r="O27" s="373"/>
      <c r="P27" s="373"/>
      <c r="Q27" s="373"/>
      <c r="R27" s="373"/>
      <c r="S27" s="373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</row>
    <row r="28" spans="1:30">
      <c r="A28" s="370"/>
      <c r="B28" s="371"/>
      <c r="C28" s="372"/>
      <c r="D28" s="372"/>
      <c r="E28" s="371"/>
      <c r="F28" s="371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</row>
    <row r="29" spans="1:30">
      <c r="A29" s="370"/>
      <c r="B29" s="371"/>
      <c r="C29" s="372"/>
      <c r="D29" s="372"/>
      <c r="E29" s="371"/>
      <c r="F29" s="371"/>
      <c r="G29" s="373"/>
      <c r="H29" s="373"/>
      <c r="I29" s="373"/>
      <c r="J29" s="373"/>
      <c r="K29" s="373"/>
      <c r="L29" s="373"/>
      <c r="M29" s="373"/>
      <c r="N29" s="373"/>
      <c r="O29" s="373"/>
      <c r="P29" s="373"/>
      <c r="Q29" s="373"/>
      <c r="R29" s="373"/>
      <c r="S29" s="373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</row>
    <row r="30" spans="1:30">
      <c r="A30" s="370"/>
      <c r="B30" s="371"/>
      <c r="C30" s="372"/>
      <c r="D30" s="372"/>
      <c r="E30" s="371"/>
      <c r="F30" s="371"/>
      <c r="G30" s="373"/>
      <c r="H30" s="373"/>
      <c r="I30" s="373"/>
      <c r="J30" s="373"/>
      <c r="K30" s="373"/>
      <c r="L30" s="373"/>
      <c r="M30" s="373"/>
      <c r="N30" s="373"/>
      <c r="O30" s="373"/>
      <c r="P30" s="373"/>
      <c r="Q30" s="373"/>
      <c r="R30" s="373"/>
      <c r="S30" s="373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</row>
    <row r="378" spans="1:1" ht="25.5">
      <c r="A378" s="82" t="s">
        <v>109</v>
      </c>
    </row>
    <row r="380" spans="1:1">
      <c r="A380" s="36" t="s">
        <v>81</v>
      </c>
    </row>
    <row r="381" spans="1:1">
      <c r="A381" s="36" t="s">
        <v>82</v>
      </c>
    </row>
    <row r="382" spans="1:1">
      <c r="A382" s="36" t="s">
        <v>83</v>
      </c>
    </row>
    <row r="383" spans="1:1">
      <c r="A383" s="37" t="s">
        <v>96</v>
      </c>
    </row>
    <row r="384" spans="1:1">
      <c r="A384" s="36" t="s">
        <v>85</v>
      </c>
    </row>
    <row r="385" spans="1:2">
      <c r="A385" s="36" t="s">
        <v>86</v>
      </c>
    </row>
    <row r="386" spans="1:2">
      <c r="A386" s="36" t="s">
        <v>87</v>
      </c>
    </row>
    <row r="387" spans="1:2">
      <c r="A387" s="36" t="s">
        <v>0</v>
      </c>
    </row>
    <row r="388" spans="1:2">
      <c r="A388" s="37" t="s">
        <v>97</v>
      </c>
      <c r="B388" s="36">
        <f>(0.016*(0.03/2)^0.65*(2/3)^1.5)-0.00047</f>
        <v>9.8123053326417428E-5</v>
      </c>
    </row>
    <row r="389" spans="1:2">
      <c r="A389" s="37" t="s">
        <v>98</v>
      </c>
      <c r="B389" s="36">
        <f>(0.016*(0.03/2)^0.65*(13/3)^1.5)-0.00047</f>
        <v>8.9448292388582783E-3</v>
      </c>
    </row>
    <row r="390" spans="1:2">
      <c r="A390" s="37" t="s">
        <v>99</v>
      </c>
      <c r="B39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5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593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346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7" si="0">0.000049261*AA4</f>
        <v>2.2095931710230707E-2</v>
      </c>
      <c r="AD4" s="49">
        <v>3.2599999999999997E-2</v>
      </c>
      <c r="AE4" s="47">
        <f t="shared" ref="AE4:AE7" si="1">0.000021675*AA4</f>
        <v>9.7222817202097123E-3</v>
      </c>
    </row>
    <row r="5" spans="1:67" ht="25.5">
      <c r="A5" s="44" t="s">
        <v>328</v>
      </c>
      <c r="B5" s="45" t="s">
        <v>102</v>
      </c>
      <c r="C5" s="46">
        <v>3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333</v>
      </c>
      <c r="B6" s="45" t="s">
        <v>102</v>
      </c>
      <c r="C6" s="46">
        <v>7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 ht="25.5">
      <c r="A7" s="44" t="s">
        <v>516</v>
      </c>
      <c r="B7" s="45" t="s">
        <v>102</v>
      </c>
      <c r="C7" s="46">
        <v>10</v>
      </c>
      <c r="D7" s="46">
        <v>35</v>
      </c>
      <c r="E7" s="46">
        <v>80</v>
      </c>
      <c r="F7" s="47">
        <v>2.3611622044318601</v>
      </c>
      <c r="G7" s="48">
        <v>31.4244798871777</v>
      </c>
      <c r="H7" s="48">
        <v>0.22493614397154399</v>
      </c>
      <c r="I7" s="48">
        <v>1.8136819244333999</v>
      </c>
      <c r="J7" s="47">
        <v>5.7965153248686403E-2</v>
      </c>
      <c r="K7" s="48">
        <v>2.3946366793705498</v>
      </c>
      <c r="L7" s="48">
        <v>1.62197187247403</v>
      </c>
      <c r="M7" s="48">
        <v>0.70709499821369304</v>
      </c>
      <c r="N7" s="48">
        <v>0.16038404042738499</v>
      </c>
      <c r="O7" s="48">
        <v>0.71464703099800198</v>
      </c>
      <c r="P7" s="48">
        <v>4.0478385316323803E-3</v>
      </c>
      <c r="Q7" s="48">
        <v>5.8407810191933099E-3</v>
      </c>
      <c r="R7" s="47">
        <v>3.2157701660956101E-3</v>
      </c>
      <c r="S7" s="48">
        <v>2.9198634356063399E-2</v>
      </c>
      <c r="T7" s="48">
        <v>7.9999583995993707E-3</v>
      </c>
      <c r="U7" s="48">
        <v>3.6749815874576097E-2</v>
      </c>
      <c r="V7" s="48">
        <v>2.9606446234606999E-3</v>
      </c>
      <c r="W7" s="48">
        <v>2.6884174180557701E-2</v>
      </c>
      <c r="X7" s="48">
        <v>1.9999896010969099E-3</v>
      </c>
      <c r="Y7" s="48">
        <v>1.57499197860352E-2</v>
      </c>
      <c r="Z7" s="48">
        <v>308.63789988642998</v>
      </c>
      <c r="AA7" s="48">
        <v>448.54817624958298</v>
      </c>
      <c r="AB7" s="47">
        <v>1.77E-2</v>
      </c>
      <c r="AC7" s="47">
        <f t="shared" si="0"/>
        <v>2.2095931710230707E-2</v>
      </c>
      <c r="AD7" s="49">
        <v>3.2599999999999997E-2</v>
      </c>
      <c r="AE7" s="47">
        <f t="shared" si="1"/>
        <v>9.7222817202097123E-3</v>
      </c>
    </row>
    <row r="8" spans="1:67">
      <c r="A8" s="52"/>
      <c r="B8" s="52"/>
      <c r="C8" s="53"/>
      <c r="D8" s="54"/>
      <c r="E8" s="54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</row>
    <row r="9" spans="1:67" ht="25.5">
      <c r="A9" s="55" t="s">
        <v>504</v>
      </c>
      <c r="B9" s="37"/>
      <c r="C9" s="37"/>
    </row>
    <row r="10" spans="1:67">
      <c r="A10" s="55" t="s">
        <v>77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84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</row>
    <row r="11" spans="1:67">
      <c r="A11" s="55" t="s">
        <v>78</v>
      </c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t="38.25" hidden="1">
      <c r="A12" s="55" t="s">
        <v>79</v>
      </c>
      <c r="B12" s="37"/>
      <c r="C12" s="37"/>
      <c r="AA12" s="57"/>
      <c r="AB12" s="58" t="s">
        <v>80</v>
      </c>
      <c r="AC12" s="57"/>
      <c r="AD12" s="57"/>
      <c r="AE12" s="57"/>
      <c r="AF12" s="57" t="e">
        <f>#REF!/60</f>
        <v>#REF!</v>
      </c>
      <c r="AG12" s="57" t="e">
        <f>#REF!/60</f>
        <v>#REF!</v>
      </c>
      <c r="AH12" s="57" t="e">
        <f>#REF!/60</f>
        <v>#REF!</v>
      </c>
      <c r="AI12" s="57" t="e">
        <f>#REF!/60</f>
        <v>#REF!</v>
      </c>
      <c r="AJ12" s="57" t="e">
        <f>#REF!/60</f>
        <v>#REF!</v>
      </c>
      <c r="AK12" s="57" t="e">
        <f>#REF!/60</f>
        <v>#REF!</v>
      </c>
      <c r="AL12" s="57" t="e">
        <f>#REF!/60</f>
        <v>#REF!</v>
      </c>
      <c r="AM12" s="57" t="e">
        <f>#REF!/60</f>
        <v>#REF!</v>
      </c>
      <c r="AN12" s="57" t="e">
        <f>#REF!/60</f>
        <v>#REF!</v>
      </c>
      <c r="AO12" s="57" t="e">
        <f>#REF!/60</f>
        <v>#REF!</v>
      </c>
      <c r="AP12" s="57"/>
      <c r="AQ12" s="57"/>
      <c r="AR12" s="57" t="e">
        <f>#REF!/60</f>
        <v>#REF!</v>
      </c>
      <c r="AS12" s="57" t="e">
        <f>#REF!/60</f>
        <v>#REF!</v>
      </c>
      <c r="AT12" s="57" t="e">
        <f>#REF!/60</f>
        <v>#REF!</v>
      </c>
      <c r="AU12" s="57" t="e">
        <f>#REF!/60</f>
        <v>#REF!</v>
      </c>
      <c r="AV12" s="57" t="e">
        <f>#REF!/60</f>
        <v>#REF!</v>
      </c>
      <c r="AW12" s="57" t="e">
        <f>#REF!/60</f>
        <v>#REF!</v>
      </c>
      <c r="AX12" s="57" t="e">
        <f>#REF!/60</f>
        <v>#REF!</v>
      </c>
      <c r="AY12" s="57" t="e">
        <f>#REF!/60</f>
        <v>#REF!</v>
      </c>
      <c r="AZ12" s="57" t="e">
        <f>#REF!/60</f>
        <v>#REF!</v>
      </c>
      <c r="BA12" s="57" t="e">
        <f>#REF!/60</f>
        <v>#REF!</v>
      </c>
    </row>
    <row r="13" spans="1:67" hidden="1">
      <c r="A13" s="55"/>
      <c r="B13" s="37"/>
      <c r="C13" s="3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9"/>
      <c r="AS13" s="59"/>
      <c r="AT13" s="59"/>
      <c r="AU13" s="59"/>
      <c r="AV13" s="59"/>
      <c r="AW13" s="59"/>
      <c r="AX13" s="59"/>
      <c r="AY13" s="59"/>
      <c r="AZ13" s="60"/>
      <c r="BA13" s="59"/>
    </row>
    <row r="14" spans="1:67" hidden="1">
      <c r="A14" s="37"/>
      <c r="B14" s="37"/>
      <c r="C14" s="37"/>
      <c r="AF14" s="596" t="s">
        <v>64</v>
      </c>
      <c r="AG14" s="596"/>
      <c r="AH14" s="596"/>
      <c r="AI14" s="596"/>
      <c r="AJ14" s="596"/>
      <c r="AK14" s="597"/>
      <c r="AL14" s="597"/>
      <c r="AM14" s="597"/>
      <c r="AN14" s="597"/>
      <c r="AO14" s="597"/>
      <c r="AP14" s="546"/>
      <c r="AQ14" s="56"/>
      <c r="AR14" s="596" t="s">
        <v>65</v>
      </c>
      <c r="AS14" s="596"/>
      <c r="AT14" s="596"/>
      <c r="AU14" s="596"/>
      <c r="AV14" s="596"/>
      <c r="AW14" s="597"/>
      <c r="AX14" s="597"/>
      <c r="AY14" s="597"/>
      <c r="AZ14" s="597"/>
      <c r="BA14" s="597"/>
    </row>
    <row r="15" spans="1:67" ht="63.75" hidden="1">
      <c r="A15" s="37"/>
      <c r="B15" s="37"/>
      <c r="C15" s="37"/>
      <c r="AF15" s="61" t="s">
        <v>55</v>
      </c>
      <c r="AG15" s="61" t="s">
        <v>73</v>
      </c>
      <c r="AH15" s="61" t="s">
        <v>74</v>
      </c>
      <c r="AI15" s="61" t="s">
        <v>58</v>
      </c>
      <c r="AJ15" s="61" t="s">
        <v>59</v>
      </c>
      <c r="AK15" s="61" t="s">
        <v>60</v>
      </c>
      <c r="AL15" s="62" t="s">
        <v>75</v>
      </c>
      <c r="AM15" s="62" t="s">
        <v>76</v>
      </c>
      <c r="AN15" s="62" t="s">
        <v>61</v>
      </c>
      <c r="AO15" s="62" t="s">
        <v>62</v>
      </c>
      <c r="AP15" s="62"/>
      <c r="AQ15" s="43"/>
      <c r="AR15" s="61" t="s">
        <v>55</v>
      </c>
      <c r="AS15" s="61" t="s">
        <v>73</v>
      </c>
      <c r="AT15" s="61" t="s">
        <v>74</v>
      </c>
      <c r="AU15" s="61" t="s">
        <v>58</v>
      </c>
      <c r="AV15" s="61" t="s">
        <v>59</v>
      </c>
      <c r="AW15" s="61" t="s">
        <v>60</v>
      </c>
      <c r="AX15" s="62" t="s">
        <v>75</v>
      </c>
      <c r="AY15" s="62" t="s">
        <v>76</v>
      </c>
      <c r="AZ15" s="63" t="s">
        <v>61</v>
      </c>
      <c r="BA15" s="61" t="s">
        <v>62</v>
      </c>
    </row>
    <row r="16" spans="1:67" hidden="1">
      <c r="A16" s="37" t="s">
        <v>81</v>
      </c>
      <c r="B16" s="37"/>
      <c r="C16" s="37"/>
      <c r="AA16" s="64" t="s">
        <v>29</v>
      </c>
      <c r="AB16" s="65" t="s">
        <v>30</v>
      </c>
      <c r="AC16" s="65" t="s">
        <v>31</v>
      </c>
      <c r="AD16" s="65"/>
      <c r="AE16" s="65"/>
      <c r="AQ16" s="38"/>
    </row>
    <row r="17" spans="1:53" hidden="1">
      <c r="A17" s="37" t="s">
        <v>82</v>
      </c>
      <c r="B17" s="37"/>
      <c r="C17" s="37"/>
      <c r="AA17" s="64"/>
      <c r="AB17" s="65" t="s">
        <v>32</v>
      </c>
      <c r="AC17" s="65">
        <v>13.25</v>
      </c>
      <c r="AD17" s="65"/>
      <c r="AE17" s="65"/>
      <c r="AF17" s="36" t="e">
        <f>AF$12*$AC17</f>
        <v>#REF!</v>
      </c>
      <c r="AG17" s="36" t="e">
        <f t="shared" ref="AG17:AO25" si="2">AG$12*$AC17</f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>AR$12*$AC17</f>
        <v>#REF!</v>
      </c>
      <c r="AS17" s="36" t="e">
        <f t="shared" ref="AS17:BA25" si="3">AS$12*$AC17</f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83</v>
      </c>
      <c r="B18" s="37"/>
      <c r="C18" s="37"/>
      <c r="AA18" s="64"/>
      <c r="AB18" s="65" t="s">
        <v>33</v>
      </c>
      <c r="AC18" s="65">
        <v>20.298999999999999</v>
      </c>
      <c r="AD18" s="65"/>
      <c r="AE18" s="65"/>
      <c r="AF18" s="36" t="e">
        <f t="shared" ref="AF18:AF25" si="4">AF$12*$AC18</f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ref="AR18:AR25" si="5">AR$12*$AC18</f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84</v>
      </c>
      <c r="B19" s="37"/>
      <c r="C19" s="37"/>
      <c r="AA19" s="64"/>
      <c r="AB19" s="65" t="s">
        <v>34</v>
      </c>
      <c r="AC19" s="65">
        <v>21.68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85</v>
      </c>
      <c r="B20" s="37"/>
      <c r="C20" s="37"/>
      <c r="AA20" s="64"/>
      <c r="AB20" s="65" t="s">
        <v>35</v>
      </c>
      <c r="AC20" s="65">
        <v>9.3046500000000005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86</v>
      </c>
      <c r="B21" s="37"/>
      <c r="C21" s="37"/>
      <c r="AA21" s="64"/>
      <c r="AB21" s="65" t="s">
        <v>36</v>
      </c>
      <c r="AC21" s="65">
        <v>5.0347999999999997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87</v>
      </c>
      <c r="B22" s="37"/>
      <c r="C22" s="37"/>
      <c r="AA22" s="64"/>
      <c r="AB22" s="65" t="s">
        <v>37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0</v>
      </c>
      <c r="B23" s="37"/>
      <c r="C23" s="37"/>
      <c r="AA23" s="64"/>
      <c r="AB23" s="65" t="s">
        <v>38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 t="s">
        <v>59</v>
      </c>
      <c r="B24" s="37">
        <f>(0.016*(0.03/2)^0.65*(2/3)^1.5)-0.00047</f>
        <v>9.8123053326417428E-5</v>
      </c>
      <c r="C24" s="37"/>
      <c r="AA24" s="64"/>
      <c r="AB24" s="65" t="s">
        <v>39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 t="s">
        <v>40</v>
      </c>
      <c r="AC25" s="65">
        <v>0</v>
      </c>
      <c r="AD25" s="65"/>
      <c r="AE25" s="65"/>
      <c r="AF25" s="36" t="e">
        <f t="shared" si="4"/>
        <v>#REF!</v>
      </c>
      <c r="AG25" s="36" t="e">
        <f t="shared" si="2"/>
        <v>#REF!</v>
      </c>
      <c r="AH25" s="36" t="e">
        <f t="shared" si="2"/>
        <v>#REF!</v>
      </c>
      <c r="AI25" s="36" t="e">
        <f t="shared" si="2"/>
        <v>#REF!</v>
      </c>
      <c r="AJ25" s="36" t="e">
        <f t="shared" si="2"/>
        <v>#REF!</v>
      </c>
      <c r="AK25" s="36" t="e">
        <f t="shared" si="2"/>
        <v>#REF!</v>
      </c>
      <c r="AL25" s="36" t="e">
        <f t="shared" si="2"/>
        <v>#REF!</v>
      </c>
      <c r="AM25" s="36" t="e">
        <f t="shared" si="2"/>
        <v>#REF!</v>
      </c>
      <c r="AN25" s="36" t="e">
        <f t="shared" si="2"/>
        <v>#REF!</v>
      </c>
      <c r="AO25" s="36" t="e">
        <f t="shared" si="2"/>
        <v>#REF!</v>
      </c>
      <c r="AQ25" s="38"/>
      <c r="AR25" s="36" t="e">
        <f t="shared" si="5"/>
        <v>#REF!</v>
      </c>
      <c r="AS25" s="36" t="e">
        <f t="shared" si="3"/>
        <v>#REF!</v>
      </c>
      <c r="AT25" s="36" t="e">
        <f t="shared" si="3"/>
        <v>#REF!</v>
      </c>
      <c r="AU25" s="36" t="e">
        <f t="shared" si="3"/>
        <v>#REF!</v>
      </c>
      <c r="AV25" s="36" t="e">
        <f t="shared" si="3"/>
        <v>#REF!</v>
      </c>
      <c r="AW25" s="36" t="e">
        <f t="shared" si="3"/>
        <v>#REF!</v>
      </c>
      <c r="AX25" s="36" t="e">
        <f t="shared" si="3"/>
        <v>#REF!</v>
      </c>
      <c r="AY25" s="36" t="e">
        <f t="shared" si="3"/>
        <v>#REF!</v>
      </c>
      <c r="AZ25" s="36" t="e">
        <f t="shared" si="3"/>
        <v>#REF!</v>
      </c>
      <c r="BA25" s="36" t="e">
        <f t="shared" si="3"/>
        <v>#REF!</v>
      </c>
    </row>
    <row r="26" spans="1:53" hidden="1">
      <c r="A26" s="37"/>
      <c r="B26" s="37"/>
      <c r="C26" s="37"/>
      <c r="AA26" s="64"/>
      <c r="AB26" s="65"/>
      <c r="AC26" s="65"/>
      <c r="AD26" s="65"/>
      <c r="AE26" s="65"/>
      <c r="AQ26" s="38"/>
    </row>
    <row r="27" spans="1:53" hidden="1">
      <c r="A27" s="37"/>
      <c r="B27" s="37"/>
      <c r="C27" s="37"/>
      <c r="AA27" s="64" t="s">
        <v>41</v>
      </c>
      <c r="AB27" s="65" t="s">
        <v>30</v>
      </c>
      <c r="AC27" s="65" t="s">
        <v>31</v>
      </c>
      <c r="AD27" s="65"/>
      <c r="AE27" s="65"/>
      <c r="AQ27" s="38"/>
    </row>
    <row r="28" spans="1:53" hidden="1">
      <c r="A28" s="37" t="s">
        <v>88</v>
      </c>
      <c r="B28" s="37"/>
      <c r="C28" s="37"/>
      <c r="AA28" s="64"/>
      <c r="AB28" s="65" t="s">
        <v>32</v>
      </c>
      <c r="AC28" s="65">
        <v>0</v>
      </c>
      <c r="AD28" s="65"/>
      <c r="AE28" s="65"/>
      <c r="AF28" s="36" t="e">
        <f t="shared" ref="AF28:AO36" si="6">AF$12*$AC28</f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ref="AR28:BA36" si="7">AR$12*$AC28</f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89</v>
      </c>
      <c r="B29" s="37"/>
      <c r="C29" s="37"/>
      <c r="AA29" s="64"/>
      <c r="AB29" s="65" t="s">
        <v>33</v>
      </c>
      <c r="AC29" s="65">
        <v>6.2010000000000005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90</v>
      </c>
      <c r="B30" s="37"/>
      <c r="C30" s="37"/>
      <c r="AA30" s="64"/>
      <c r="AB30" s="65" t="s">
        <v>34</v>
      </c>
      <c r="AC30" s="65">
        <v>0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91</v>
      </c>
      <c r="B31" s="37"/>
      <c r="C31" s="37"/>
      <c r="AA31" s="64"/>
      <c r="AB31" s="65" t="s">
        <v>35</v>
      </c>
      <c r="AC31" s="65">
        <v>9.8037500000000009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92</v>
      </c>
      <c r="B32" s="37"/>
      <c r="C32" s="37"/>
      <c r="AA32" s="64"/>
      <c r="AB32" s="65" t="s">
        <v>36</v>
      </c>
      <c r="AC32" s="65">
        <v>7.2451999999999996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84</v>
      </c>
      <c r="B33" s="37"/>
      <c r="C33" s="37"/>
      <c r="AA33" s="64"/>
      <c r="AB33" s="65" t="s">
        <v>37</v>
      </c>
      <c r="AC33" s="65">
        <v>3.6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93</v>
      </c>
      <c r="B34" s="37"/>
      <c r="C34" s="37"/>
      <c r="AA34" s="64"/>
      <c r="AB34" s="65" t="s">
        <v>38</v>
      </c>
      <c r="AC34" s="65">
        <v>6.1984000000000004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94</v>
      </c>
      <c r="B35" s="37"/>
      <c r="C35" s="37"/>
      <c r="AA35" s="64"/>
      <c r="AB35" s="65" t="s">
        <v>39</v>
      </c>
      <c r="AC35" s="65">
        <v>5.1995100000000001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0</v>
      </c>
      <c r="B36" s="37"/>
      <c r="C36" s="37"/>
      <c r="AA36" s="64"/>
      <c r="AB36" s="65" t="s">
        <v>40</v>
      </c>
      <c r="AC36" s="65">
        <v>17.71416</v>
      </c>
      <c r="AD36" s="65"/>
      <c r="AE36" s="65"/>
      <c r="AF36" s="36" t="e">
        <f t="shared" si="6"/>
        <v>#REF!</v>
      </c>
      <c r="AG36" s="36" t="e">
        <f t="shared" si="6"/>
        <v>#REF!</v>
      </c>
      <c r="AH36" s="36" t="e">
        <f t="shared" si="6"/>
        <v>#REF!</v>
      </c>
      <c r="AI36" s="36" t="e">
        <f t="shared" si="6"/>
        <v>#REF!</v>
      </c>
      <c r="AJ36" s="36" t="e">
        <f t="shared" si="6"/>
        <v>#REF!</v>
      </c>
      <c r="AK36" s="36" t="e">
        <f t="shared" si="6"/>
        <v>#REF!</v>
      </c>
      <c r="AL36" s="36" t="e">
        <f t="shared" si="6"/>
        <v>#REF!</v>
      </c>
      <c r="AM36" s="36" t="e">
        <f t="shared" si="6"/>
        <v>#REF!</v>
      </c>
      <c r="AN36" s="36" t="e">
        <f t="shared" si="6"/>
        <v>#REF!</v>
      </c>
      <c r="AO36" s="36" t="e">
        <f t="shared" si="6"/>
        <v>#REF!</v>
      </c>
      <c r="AQ36" s="38"/>
      <c r="AR36" s="36" t="e">
        <f t="shared" si="7"/>
        <v>#REF!</v>
      </c>
      <c r="AS36" s="36" t="e">
        <f t="shared" si="7"/>
        <v>#REF!</v>
      </c>
      <c r="AT36" s="36" t="e">
        <f t="shared" si="7"/>
        <v>#REF!</v>
      </c>
      <c r="AU36" s="36" t="e">
        <f t="shared" si="7"/>
        <v>#REF!</v>
      </c>
      <c r="AV36" s="36" t="e">
        <f t="shared" si="7"/>
        <v>#REF!</v>
      </c>
      <c r="AW36" s="36" t="e">
        <f t="shared" si="7"/>
        <v>#REF!</v>
      </c>
      <c r="AX36" s="36" t="e">
        <f t="shared" si="7"/>
        <v>#REF!</v>
      </c>
      <c r="AY36" s="36" t="e">
        <f t="shared" si="7"/>
        <v>#REF!</v>
      </c>
      <c r="AZ36" s="36" t="e">
        <f t="shared" si="7"/>
        <v>#REF!</v>
      </c>
      <c r="BA36" s="36" t="e">
        <f t="shared" si="7"/>
        <v>#REF!</v>
      </c>
    </row>
    <row r="37" spans="1:53" hidden="1">
      <c r="A37" s="37" t="s">
        <v>59</v>
      </c>
      <c r="B37" s="37">
        <f>0.39*1.5*(8.5/12)^0.9*(2/3)^0.45</f>
        <v>0.35737873826145539</v>
      </c>
      <c r="C37" s="37"/>
      <c r="AA37" s="64"/>
      <c r="AB37" s="65"/>
      <c r="AC37" s="65"/>
      <c r="AD37" s="65"/>
      <c r="AE37" s="65"/>
      <c r="AQ37" s="38"/>
    </row>
    <row r="38" spans="1:53" hidden="1">
      <c r="A38" s="37" t="s">
        <v>60</v>
      </c>
      <c r="B38" s="37">
        <f>0.39*0.15*(8.5/12)^0.9*(2/3)^0.45</f>
        <v>3.5737873826145544E-2</v>
      </c>
      <c r="C38" s="37"/>
      <c r="AA38" s="64" t="s">
        <v>42</v>
      </c>
      <c r="AB38" s="65" t="s">
        <v>30</v>
      </c>
      <c r="AC38" s="65" t="s">
        <v>31</v>
      </c>
      <c r="AD38" s="65"/>
      <c r="AE38" s="65"/>
      <c r="AQ38" s="38"/>
    </row>
    <row r="39" spans="1:53" hidden="1">
      <c r="AA39" s="64"/>
      <c r="AB39" s="65" t="s">
        <v>32</v>
      </c>
      <c r="AC39" s="65">
        <v>0</v>
      </c>
      <c r="AD39" s="65"/>
      <c r="AE39" s="65"/>
      <c r="AF39" s="36" t="e">
        <f t="shared" ref="AF39:AO47" si="8">AF$12*$AC39</f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ref="AR39:BA47" si="9">AR$12*$AC39</f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33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34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35</v>
      </c>
      <c r="AC42" s="65">
        <v>16.541599999999999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36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37</v>
      </c>
      <c r="AC44" s="65">
        <v>0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38</v>
      </c>
      <c r="AC45" s="65">
        <v>14.601599999999999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39</v>
      </c>
      <c r="AC46" s="65">
        <v>14.570489999999999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A47" s="64"/>
      <c r="AB47" s="65" t="s">
        <v>40</v>
      </c>
      <c r="AC47" s="65">
        <v>14.14584</v>
      </c>
      <c r="AD47" s="65"/>
      <c r="AE47" s="65"/>
      <c r="AF47" s="36" t="e">
        <f t="shared" si="8"/>
        <v>#REF!</v>
      </c>
      <c r="AG47" s="36" t="e">
        <f t="shared" si="8"/>
        <v>#REF!</v>
      </c>
      <c r="AH47" s="36" t="e">
        <f t="shared" si="8"/>
        <v>#REF!</v>
      </c>
      <c r="AI47" s="36" t="e">
        <f t="shared" si="8"/>
        <v>#REF!</v>
      </c>
      <c r="AJ47" s="36" t="e">
        <f t="shared" si="8"/>
        <v>#REF!</v>
      </c>
      <c r="AK47" s="36" t="e">
        <f t="shared" si="8"/>
        <v>#REF!</v>
      </c>
      <c r="AL47" s="36" t="e">
        <f t="shared" si="8"/>
        <v>#REF!</v>
      </c>
      <c r="AM47" s="36" t="e">
        <f t="shared" si="8"/>
        <v>#REF!</v>
      </c>
      <c r="AN47" s="36" t="e">
        <f t="shared" si="8"/>
        <v>#REF!</v>
      </c>
      <c r="AO47" s="36" t="e">
        <f t="shared" si="8"/>
        <v>#REF!</v>
      </c>
      <c r="AQ47" s="38"/>
      <c r="AR47" s="36" t="e">
        <f t="shared" si="9"/>
        <v>#REF!</v>
      </c>
      <c r="AS47" s="36" t="e">
        <f t="shared" si="9"/>
        <v>#REF!</v>
      </c>
      <c r="AT47" s="36" t="e">
        <f t="shared" si="9"/>
        <v>#REF!</v>
      </c>
      <c r="AU47" s="36" t="e">
        <f t="shared" si="9"/>
        <v>#REF!</v>
      </c>
      <c r="AV47" s="36" t="e">
        <f t="shared" si="9"/>
        <v>#REF!</v>
      </c>
      <c r="AW47" s="36" t="e">
        <f t="shared" si="9"/>
        <v>#REF!</v>
      </c>
      <c r="AX47" s="36" t="e">
        <f t="shared" si="9"/>
        <v>#REF!</v>
      </c>
      <c r="AY47" s="36" t="e">
        <f t="shared" si="9"/>
        <v>#REF!</v>
      </c>
      <c r="AZ47" s="36" t="e">
        <f t="shared" si="9"/>
        <v>#REF!</v>
      </c>
      <c r="BA47" s="36" t="e">
        <f t="shared" si="9"/>
        <v>#REF!</v>
      </c>
    </row>
    <row r="48" spans="1:53" hidden="1">
      <c r="AQ48" s="38"/>
    </row>
    <row r="49" spans="27:53" hidden="1">
      <c r="AQ49" s="38"/>
    </row>
    <row r="50" spans="27:53" ht="63.75" hidden="1">
      <c r="AA50" s="66" t="s">
        <v>43</v>
      </c>
      <c r="AB50" s="67"/>
      <c r="AC50" s="68"/>
      <c r="AD50" s="68"/>
      <c r="AE50" s="68"/>
      <c r="AF50" s="61" t="s">
        <v>55</v>
      </c>
      <c r="AG50" s="61" t="s">
        <v>73</v>
      </c>
      <c r="AH50" s="61" t="s">
        <v>57</v>
      </c>
      <c r="AI50" s="61" t="s">
        <v>58</v>
      </c>
      <c r="AJ50" s="61" t="s">
        <v>59</v>
      </c>
      <c r="AK50" s="61" t="s">
        <v>60</v>
      </c>
      <c r="AL50" s="62" t="s">
        <v>75</v>
      </c>
      <c r="AM50" s="62" t="s">
        <v>76</v>
      </c>
      <c r="AN50" s="62" t="s">
        <v>61</v>
      </c>
      <c r="AO50" s="62" t="s">
        <v>62</v>
      </c>
      <c r="AP50" s="62"/>
      <c r="AQ50" s="43"/>
      <c r="AR50" s="61" t="s">
        <v>55</v>
      </c>
      <c r="AS50" s="61" t="s">
        <v>73</v>
      </c>
      <c r="AT50" s="61" t="s">
        <v>74</v>
      </c>
      <c r="AU50" s="61" t="s">
        <v>58</v>
      </c>
      <c r="AV50" s="61" t="s">
        <v>59</v>
      </c>
      <c r="AW50" s="61" t="s">
        <v>60</v>
      </c>
      <c r="AX50" s="62" t="s">
        <v>75</v>
      </c>
      <c r="AY50" s="62" t="s">
        <v>76</v>
      </c>
      <c r="AZ50" s="63" t="s">
        <v>61</v>
      </c>
      <c r="BA50" s="61" t="s">
        <v>62</v>
      </c>
    </row>
    <row r="51" spans="27:53" hidden="1">
      <c r="AA51" s="69" t="s">
        <v>44</v>
      </c>
      <c r="AB51" s="35"/>
      <c r="AG51" s="70"/>
      <c r="AQ51" s="38"/>
    </row>
    <row r="52" spans="27:53" hidden="1">
      <c r="AA52" s="71" t="s">
        <v>29</v>
      </c>
      <c r="AB52" s="35"/>
      <c r="AF52" s="70" t="e">
        <f t="shared" ref="AF52:AO52" si="10">AF17+AF19+AF20</f>
        <v>#REF!</v>
      </c>
      <c r="AG52" s="70" t="e">
        <f t="shared" si="10"/>
        <v>#REF!</v>
      </c>
      <c r="AH52" s="70" t="e">
        <f t="shared" si="10"/>
        <v>#REF!</v>
      </c>
      <c r="AI52" s="70" t="e">
        <f t="shared" si="10"/>
        <v>#REF!</v>
      </c>
      <c r="AJ52" s="70" t="e">
        <f t="shared" si="10"/>
        <v>#REF!</v>
      </c>
      <c r="AK52" s="70" t="e">
        <f t="shared" si="10"/>
        <v>#REF!</v>
      </c>
      <c r="AL52" s="70" t="e">
        <f t="shared" si="10"/>
        <v>#REF!</v>
      </c>
      <c r="AM52" s="70" t="e">
        <f t="shared" si="10"/>
        <v>#REF!</v>
      </c>
      <c r="AN52" s="70" t="e">
        <f t="shared" si="10"/>
        <v>#REF!</v>
      </c>
      <c r="AO52" s="70" t="e">
        <f t="shared" si="10"/>
        <v>#REF!</v>
      </c>
      <c r="AP52" s="70"/>
      <c r="AQ52" s="70"/>
      <c r="AR52" s="70" t="e">
        <f t="shared" ref="AR52:BA52" si="11">AR17+AR19+AR20</f>
        <v>#REF!</v>
      </c>
      <c r="AS52" s="70" t="e">
        <f t="shared" si="11"/>
        <v>#REF!</v>
      </c>
      <c r="AT52" s="70" t="e">
        <f t="shared" si="11"/>
        <v>#REF!</v>
      </c>
      <c r="AU52" s="70" t="e">
        <f t="shared" si="11"/>
        <v>#REF!</v>
      </c>
      <c r="AV52" s="70" t="e">
        <f t="shared" si="11"/>
        <v>#REF!</v>
      </c>
      <c r="AW52" s="70" t="e">
        <f t="shared" si="11"/>
        <v>#REF!</v>
      </c>
      <c r="AX52" s="70" t="e">
        <f t="shared" si="11"/>
        <v>#REF!</v>
      </c>
      <c r="AY52" s="70" t="e">
        <f t="shared" si="11"/>
        <v>#REF!</v>
      </c>
      <c r="AZ52" s="70" t="e">
        <f t="shared" si="11"/>
        <v>#REF!</v>
      </c>
      <c r="BA52" s="70" t="e">
        <f t="shared" si="11"/>
        <v>#REF!</v>
      </c>
    </row>
    <row r="53" spans="27:53" hidden="1">
      <c r="AA53" s="71" t="s">
        <v>41</v>
      </c>
      <c r="AB53" s="35"/>
      <c r="AF53" s="70" t="e">
        <f t="shared" ref="AF53:AO53" si="12">AF28+AF30+AF31</f>
        <v>#REF!</v>
      </c>
      <c r="AG53" s="70" t="e">
        <f t="shared" si="12"/>
        <v>#REF!</v>
      </c>
      <c r="AH53" s="70" t="e">
        <f t="shared" si="12"/>
        <v>#REF!</v>
      </c>
      <c r="AI53" s="70" t="e">
        <f t="shared" si="12"/>
        <v>#REF!</v>
      </c>
      <c r="AJ53" s="70" t="e">
        <f t="shared" si="12"/>
        <v>#REF!</v>
      </c>
      <c r="AK53" s="70" t="e">
        <f t="shared" si="12"/>
        <v>#REF!</v>
      </c>
      <c r="AL53" s="70" t="e">
        <f t="shared" si="12"/>
        <v>#REF!</v>
      </c>
      <c r="AM53" s="70" t="e">
        <f t="shared" si="12"/>
        <v>#REF!</v>
      </c>
      <c r="AN53" s="70" t="e">
        <f t="shared" si="12"/>
        <v>#REF!</v>
      </c>
      <c r="AO53" s="70" t="e">
        <f t="shared" si="12"/>
        <v>#REF!</v>
      </c>
      <c r="AP53" s="70"/>
      <c r="AQ53" s="70"/>
      <c r="AR53" s="70" t="e">
        <f t="shared" ref="AR53:BA53" si="13">AR28+AR30+AR31</f>
        <v>#REF!</v>
      </c>
      <c r="AS53" s="70" t="e">
        <f t="shared" si="13"/>
        <v>#REF!</v>
      </c>
      <c r="AT53" s="70" t="e">
        <f t="shared" si="13"/>
        <v>#REF!</v>
      </c>
      <c r="AU53" s="70" t="e">
        <f t="shared" si="13"/>
        <v>#REF!</v>
      </c>
      <c r="AV53" s="70" t="e">
        <f t="shared" si="13"/>
        <v>#REF!</v>
      </c>
      <c r="AW53" s="70" t="e">
        <f t="shared" si="13"/>
        <v>#REF!</v>
      </c>
      <c r="AX53" s="70" t="e">
        <f t="shared" si="13"/>
        <v>#REF!</v>
      </c>
      <c r="AY53" s="70" t="e">
        <f t="shared" si="13"/>
        <v>#REF!</v>
      </c>
      <c r="AZ53" s="70" t="e">
        <f t="shared" si="13"/>
        <v>#REF!</v>
      </c>
      <c r="BA53" s="70" t="e">
        <f t="shared" si="13"/>
        <v>#REF!</v>
      </c>
    </row>
    <row r="54" spans="27:53" hidden="1">
      <c r="AA54" s="71" t="s">
        <v>42</v>
      </c>
      <c r="AB54" s="35"/>
      <c r="AF54" s="70" t="e">
        <f t="shared" ref="AF54:AO54" si="14">AF39+AF41+AF42</f>
        <v>#REF!</v>
      </c>
      <c r="AG54" s="70" t="e">
        <f t="shared" si="14"/>
        <v>#REF!</v>
      </c>
      <c r="AH54" s="70" t="e">
        <f t="shared" si="14"/>
        <v>#REF!</v>
      </c>
      <c r="AI54" s="70" t="e">
        <f t="shared" si="14"/>
        <v>#REF!</v>
      </c>
      <c r="AJ54" s="70" t="e">
        <f t="shared" si="14"/>
        <v>#REF!</v>
      </c>
      <c r="AK54" s="70" t="e">
        <f t="shared" si="14"/>
        <v>#REF!</v>
      </c>
      <c r="AL54" s="70" t="e">
        <f t="shared" si="14"/>
        <v>#REF!</v>
      </c>
      <c r="AM54" s="70" t="e">
        <f t="shared" si="14"/>
        <v>#REF!</v>
      </c>
      <c r="AN54" s="70" t="e">
        <f t="shared" si="14"/>
        <v>#REF!</v>
      </c>
      <c r="AO54" s="70" t="e">
        <f t="shared" si="14"/>
        <v>#REF!</v>
      </c>
      <c r="AP54" s="70"/>
      <c r="AQ54" s="70"/>
      <c r="AR54" s="70" t="e">
        <f t="shared" ref="AR54:BA54" si="15">AR39+AR41+AR42</f>
        <v>#REF!</v>
      </c>
      <c r="AS54" s="70" t="e">
        <f t="shared" si="15"/>
        <v>#REF!</v>
      </c>
      <c r="AT54" s="70" t="e">
        <f t="shared" si="15"/>
        <v>#REF!</v>
      </c>
      <c r="AU54" s="70" t="e">
        <f t="shared" si="15"/>
        <v>#REF!</v>
      </c>
      <c r="AV54" s="70" t="e">
        <f t="shared" si="15"/>
        <v>#REF!</v>
      </c>
      <c r="AW54" s="70" t="e">
        <f t="shared" si="15"/>
        <v>#REF!</v>
      </c>
      <c r="AX54" s="70" t="e">
        <f t="shared" si="15"/>
        <v>#REF!</v>
      </c>
      <c r="AY54" s="70" t="e">
        <f t="shared" si="15"/>
        <v>#REF!</v>
      </c>
      <c r="AZ54" s="70" t="e">
        <f t="shared" si="15"/>
        <v>#REF!</v>
      </c>
      <c r="BA54" s="70" t="e">
        <f t="shared" si="15"/>
        <v>#REF!</v>
      </c>
    </row>
    <row r="55" spans="27:53" hidden="1">
      <c r="AA55" s="69" t="s">
        <v>45</v>
      </c>
      <c r="AB55" s="35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</row>
    <row r="56" spans="27:53" hidden="1">
      <c r="AA56" s="71" t="s">
        <v>29</v>
      </c>
      <c r="AB56" s="35"/>
      <c r="AF56" s="70" t="e">
        <f t="shared" ref="AF56:AO56" si="16">AF17+AF19+AF21+AF23</f>
        <v>#REF!</v>
      </c>
      <c r="AG56" s="70" t="e">
        <f t="shared" si="16"/>
        <v>#REF!</v>
      </c>
      <c r="AH56" s="70" t="e">
        <f t="shared" si="16"/>
        <v>#REF!</v>
      </c>
      <c r="AI56" s="70" t="e">
        <f t="shared" si="16"/>
        <v>#REF!</v>
      </c>
      <c r="AJ56" s="70" t="e">
        <f t="shared" si="16"/>
        <v>#REF!</v>
      </c>
      <c r="AK56" s="70" t="e">
        <f t="shared" si="16"/>
        <v>#REF!</v>
      </c>
      <c r="AL56" s="70" t="e">
        <f t="shared" si="16"/>
        <v>#REF!</v>
      </c>
      <c r="AM56" s="70" t="e">
        <f t="shared" si="16"/>
        <v>#REF!</v>
      </c>
      <c r="AN56" s="70" t="e">
        <f t="shared" si="16"/>
        <v>#REF!</v>
      </c>
      <c r="AO56" s="70" t="e">
        <f t="shared" si="16"/>
        <v>#REF!</v>
      </c>
      <c r="AP56" s="70"/>
      <c r="AQ56" s="70"/>
      <c r="AR56" s="70" t="e">
        <f t="shared" ref="AR56:BA56" si="17">AR17+AR19+AR21+AR23</f>
        <v>#REF!</v>
      </c>
      <c r="AS56" s="70" t="e">
        <f t="shared" si="17"/>
        <v>#REF!</v>
      </c>
      <c r="AT56" s="70" t="e">
        <f t="shared" si="17"/>
        <v>#REF!</v>
      </c>
      <c r="AU56" s="70" t="e">
        <f t="shared" si="17"/>
        <v>#REF!</v>
      </c>
      <c r="AV56" s="70" t="e">
        <f t="shared" si="17"/>
        <v>#REF!</v>
      </c>
      <c r="AW56" s="70" t="e">
        <f t="shared" si="17"/>
        <v>#REF!</v>
      </c>
      <c r="AX56" s="70" t="e">
        <f t="shared" si="17"/>
        <v>#REF!</v>
      </c>
      <c r="AY56" s="70" t="e">
        <f t="shared" si="17"/>
        <v>#REF!</v>
      </c>
      <c r="AZ56" s="70" t="e">
        <f t="shared" si="17"/>
        <v>#REF!</v>
      </c>
      <c r="BA56" s="70" t="e">
        <f t="shared" si="17"/>
        <v>#REF!</v>
      </c>
    </row>
    <row r="57" spans="27:53" hidden="1">
      <c r="AA57" s="71" t="s">
        <v>41</v>
      </c>
      <c r="AB57" s="35"/>
      <c r="AF57" s="70" t="e">
        <f t="shared" ref="AF57:AO57" si="18">AF28+AF30+AF32+AF34</f>
        <v>#REF!</v>
      </c>
      <c r="AG57" s="70" t="e">
        <f t="shared" si="18"/>
        <v>#REF!</v>
      </c>
      <c r="AH57" s="70" t="e">
        <f t="shared" si="18"/>
        <v>#REF!</v>
      </c>
      <c r="AI57" s="70" t="e">
        <f t="shared" si="18"/>
        <v>#REF!</v>
      </c>
      <c r="AJ57" s="70" t="e">
        <f t="shared" si="18"/>
        <v>#REF!</v>
      </c>
      <c r="AK57" s="70" t="e">
        <f t="shared" si="18"/>
        <v>#REF!</v>
      </c>
      <c r="AL57" s="70" t="e">
        <f t="shared" si="18"/>
        <v>#REF!</v>
      </c>
      <c r="AM57" s="70" t="e">
        <f t="shared" si="18"/>
        <v>#REF!</v>
      </c>
      <c r="AN57" s="70" t="e">
        <f t="shared" si="18"/>
        <v>#REF!</v>
      </c>
      <c r="AO57" s="70" t="e">
        <f t="shared" si="18"/>
        <v>#REF!</v>
      </c>
      <c r="AP57" s="70"/>
      <c r="AQ57" s="70"/>
      <c r="AR57" s="70" t="e">
        <f t="shared" ref="AR57:BA57" si="19">AR28+AR30+AR32+AR34</f>
        <v>#REF!</v>
      </c>
      <c r="AS57" s="70" t="e">
        <f t="shared" si="19"/>
        <v>#REF!</v>
      </c>
      <c r="AT57" s="70" t="e">
        <f t="shared" si="19"/>
        <v>#REF!</v>
      </c>
      <c r="AU57" s="70" t="e">
        <f t="shared" si="19"/>
        <v>#REF!</v>
      </c>
      <c r="AV57" s="70" t="e">
        <f t="shared" si="19"/>
        <v>#REF!</v>
      </c>
      <c r="AW57" s="70" t="e">
        <f t="shared" si="19"/>
        <v>#REF!</v>
      </c>
      <c r="AX57" s="70" t="e">
        <f t="shared" si="19"/>
        <v>#REF!</v>
      </c>
      <c r="AY57" s="70" t="e">
        <f t="shared" si="19"/>
        <v>#REF!</v>
      </c>
      <c r="AZ57" s="70" t="e">
        <f t="shared" si="19"/>
        <v>#REF!</v>
      </c>
      <c r="BA57" s="70" t="e">
        <f t="shared" si="19"/>
        <v>#REF!</v>
      </c>
    </row>
    <row r="58" spans="27:53" hidden="1">
      <c r="AA58" s="71" t="s">
        <v>42</v>
      </c>
      <c r="AB58" s="35"/>
      <c r="AF58" s="70" t="e">
        <f t="shared" ref="AF58:AO58" si="20">AF39+AF41+AF43+AF45</f>
        <v>#REF!</v>
      </c>
      <c r="AG58" s="70" t="e">
        <f t="shared" si="20"/>
        <v>#REF!</v>
      </c>
      <c r="AH58" s="70" t="e">
        <f t="shared" si="20"/>
        <v>#REF!</v>
      </c>
      <c r="AI58" s="70" t="e">
        <f t="shared" si="20"/>
        <v>#REF!</v>
      </c>
      <c r="AJ58" s="70" t="e">
        <f t="shared" si="20"/>
        <v>#REF!</v>
      </c>
      <c r="AK58" s="70" t="e">
        <f t="shared" si="20"/>
        <v>#REF!</v>
      </c>
      <c r="AL58" s="70" t="e">
        <f t="shared" si="20"/>
        <v>#REF!</v>
      </c>
      <c r="AM58" s="70" t="e">
        <f t="shared" si="20"/>
        <v>#REF!</v>
      </c>
      <c r="AN58" s="70" t="e">
        <f t="shared" si="20"/>
        <v>#REF!</v>
      </c>
      <c r="AO58" s="70" t="e">
        <f t="shared" si="20"/>
        <v>#REF!</v>
      </c>
      <c r="AP58" s="70"/>
      <c r="AQ58" s="70"/>
      <c r="AR58" s="70" t="e">
        <f t="shared" ref="AR58:BA58" si="21">AR39+AR41+AR43+AR45</f>
        <v>#REF!</v>
      </c>
      <c r="AS58" s="70" t="e">
        <f t="shared" si="21"/>
        <v>#REF!</v>
      </c>
      <c r="AT58" s="70" t="e">
        <f t="shared" si="21"/>
        <v>#REF!</v>
      </c>
      <c r="AU58" s="70" t="e">
        <f t="shared" si="21"/>
        <v>#REF!</v>
      </c>
      <c r="AV58" s="70" t="e">
        <f t="shared" si="21"/>
        <v>#REF!</v>
      </c>
      <c r="AW58" s="70" t="e">
        <f t="shared" si="21"/>
        <v>#REF!</v>
      </c>
      <c r="AX58" s="70" t="e">
        <f t="shared" si="21"/>
        <v>#REF!</v>
      </c>
      <c r="AY58" s="70" t="e">
        <f t="shared" si="21"/>
        <v>#REF!</v>
      </c>
      <c r="AZ58" s="70" t="e">
        <f t="shared" si="21"/>
        <v>#REF!</v>
      </c>
      <c r="BA58" s="70" t="e">
        <f t="shared" si="21"/>
        <v>#REF!</v>
      </c>
    </row>
    <row r="59" spans="27:53" hidden="1">
      <c r="AA59" s="69" t="s">
        <v>46</v>
      </c>
      <c r="AB59" s="35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</row>
    <row r="60" spans="27:53" hidden="1">
      <c r="AA60" s="71" t="s">
        <v>29</v>
      </c>
      <c r="AB60" s="35"/>
      <c r="AF60" s="70" t="e">
        <f t="shared" ref="AF60:AO60" si="22">AF17+AF19+AF21+AF22+AF24</f>
        <v>#REF!</v>
      </c>
      <c r="AG60" s="70" t="e">
        <f t="shared" si="22"/>
        <v>#REF!</v>
      </c>
      <c r="AH60" s="70" t="e">
        <f t="shared" si="22"/>
        <v>#REF!</v>
      </c>
      <c r="AI60" s="70" t="e">
        <f t="shared" si="22"/>
        <v>#REF!</v>
      </c>
      <c r="AJ60" s="70" t="e">
        <f t="shared" si="22"/>
        <v>#REF!</v>
      </c>
      <c r="AK60" s="70" t="e">
        <f t="shared" si="22"/>
        <v>#REF!</v>
      </c>
      <c r="AL60" s="70" t="e">
        <f t="shared" si="22"/>
        <v>#REF!</v>
      </c>
      <c r="AM60" s="70" t="e">
        <f t="shared" si="22"/>
        <v>#REF!</v>
      </c>
      <c r="AN60" s="70" t="e">
        <f t="shared" si="22"/>
        <v>#REF!</v>
      </c>
      <c r="AO60" s="70" t="e">
        <f t="shared" si="22"/>
        <v>#REF!</v>
      </c>
      <c r="AP60" s="70"/>
      <c r="AQ60" s="70"/>
      <c r="AR60" s="70" t="e">
        <f t="shared" ref="AR60:BA60" si="23">AR17+AR19+AR21+AR22+AR24</f>
        <v>#REF!</v>
      </c>
      <c r="AS60" s="70" t="e">
        <f t="shared" si="23"/>
        <v>#REF!</v>
      </c>
      <c r="AT60" s="70" t="e">
        <f t="shared" si="23"/>
        <v>#REF!</v>
      </c>
      <c r="AU60" s="70" t="e">
        <f t="shared" si="23"/>
        <v>#REF!</v>
      </c>
      <c r="AV60" s="70" t="e">
        <f t="shared" si="23"/>
        <v>#REF!</v>
      </c>
      <c r="AW60" s="70" t="e">
        <f t="shared" si="23"/>
        <v>#REF!</v>
      </c>
      <c r="AX60" s="70" t="e">
        <f t="shared" si="23"/>
        <v>#REF!</v>
      </c>
      <c r="AY60" s="70" t="e">
        <f t="shared" si="23"/>
        <v>#REF!</v>
      </c>
      <c r="AZ60" s="70" t="e">
        <f t="shared" si="23"/>
        <v>#REF!</v>
      </c>
      <c r="BA60" s="70" t="e">
        <f t="shared" si="23"/>
        <v>#REF!</v>
      </c>
    </row>
    <row r="61" spans="27:53" hidden="1">
      <c r="AA61" s="71" t="s">
        <v>41</v>
      </c>
      <c r="AB61" s="35"/>
      <c r="AF61" s="70" t="e">
        <f t="shared" ref="AF61:AO61" si="24">AF28+AF30+AF32+AF33+AF35</f>
        <v>#REF!</v>
      </c>
      <c r="AG61" s="70" t="e">
        <f t="shared" si="24"/>
        <v>#REF!</v>
      </c>
      <c r="AH61" s="70" t="e">
        <f t="shared" si="24"/>
        <v>#REF!</v>
      </c>
      <c r="AI61" s="70" t="e">
        <f t="shared" si="24"/>
        <v>#REF!</v>
      </c>
      <c r="AJ61" s="70" t="e">
        <f t="shared" si="24"/>
        <v>#REF!</v>
      </c>
      <c r="AK61" s="70" t="e">
        <f t="shared" si="24"/>
        <v>#REF!</v>
      </c>
      <c r="AL61" s="70" t="e">
        <f t="shared" si="24"/>
        <v>#REF!</v>
      </c>
      <c r="AM61" s="70" t="e">
        <f t="shared" si="24"/>
        <v>#REF!</v>
      </c>
      <c r="AN61" s="70" t="e">
        <f t="shared" si="24"/>
        <v>#REF!</v>
      </c>
      <c r="AO61" s="70" t="e">
        <f t="shared" si="24"/>
        <v>#REF!</v>
      </c>
      <c r="AP61" s="70"/>
      <c r="AQ61" s="70"/>
      <c r="AR61" s="70" t="e">
        <f t="shared" ref="AR61:BA61" si="25">AR28+AR30+AR32+AR33+AR35</f>
        <v>#REF!</v>
      </c>
      <c r="AS61" s="70" t="e">
        <f t="shared" si="25"/>
        <v>#REF!</v>
      </c>
      <c r="AT61" s="70" t="e">
        <f t="shared" si="25"/>
        <v>#REF!</v>
      </c>
      <c r="AU61" s="70" t="e">
        <f t="shared" si="25"/>
        <v>#REF!</v>
      </c>
      <c r="AV61" s="70" t="e">
        <f t="shared" si="25"/>
        <v>#REF!</v>
      </c>
      <c r="AW61" s="70" t="e">
        <f t="shared" si="25"/>
        <v>#REF!</v>
      </c>
      <c r="AX61" s="70" t="e">
        <f t="shared" si="25"/>
        <v>#REF!</v>
      </c>
      <c r="AY61" s="70" t="e">
        <f t="shared" si="25"/>
        <v>#REF!</v>
      </c>
      <c r="AZ61" s="70" t="e">
        <f t="shared" si="25"/>
        <v>#REF!</v>
      </c>
      <c r="BA61" s="70" t="e">
        <f t="shared" si="25"/>
        <v>#REF!</v>
      </c>
    </row>
    <row r="62" spans="27:53" hidden="1">
      <c r="AA62" s="71" t="s">
        <v>42</v>
      </c>
      <c r="AB62" s="35"/>
      <c r="AF62" s="70" t="e">
        <f t="shared" ref="AF62:AO62" si="26">AF39+AF41+AF43+AF44+AF46</f>
        <v>#REF!</v>
      </c>
      <c r="AG62" s="70" t="e">
        <f t="shared" si="26"/>
        <v>#REF!</v>
      </c>
      <c r="AH62" s="70" t="e">
        <f t="shared" si="26"/>
        <v>#REF!</v>
      </c>
      <c r="AI62" s="70" t="e">
        <f t="shared" si="26"/>
        <v>#REF!</v>
      </c>
      <c r="AJ62" s="70" t="e">
        <f t="shared" si="26"/>
        <v>#REF!</v>
      </c>
      <c r="AK62" s="70" t="e">
        <f t="shared" si="26"/>
        <v>#REF!</v>
      </c>
      <c r="AL62" s="70" t="e">
        <f t="shared" si="26"/>
        <v>#REF!</v>
      </c>
      <c r="AM62" s="70" t="e">
        <f t="shared" si="26"/>
        <v>#REF!</v>
      </c>
      <c r="AN62" s="70" t="e">
        <f t="shared" si="26"/>
        <v>#REF!</v>
      </c>
      <c r="AO62" s="70" t="e">
        <f t="shared" si="26"/>
        <v>#REF!</v>
      </c>
      <c r="AP62" s="70"/>
      <c r="AQ62" s="70"/>
      <c r="AR62" s="70" t="e">
        <f t="shared" ref="AR62:BA62" si="27">AR39+AR41+AR43+AR44+AR46</f>
        <v>#REF!</v>
      </c>
      <c r="AS62" s="70" t="e">
        <f t="shared" si="27"/>
        <v>#REF!</v>
      </c>
      <c r="AT62" s="70" t="e">
        <f t="shared" si="27"/>
        <v>#REF!</v>
      </c>
      <c r="AU62" s="70" t="e">
        <f t="shared" si="27"/>
        <v>#REF!</v>
      </c>
      <c r="AV62" s="70" t="e">
        <f t="shared" si="27"/>
        <v>#REF!</v>
      </c>
      <c r="AW62" s="70" t="e">
        <f t="shared" si="27"/>
        <v>#REF!</v>
      </c>
      <c r="AX62" s="70" t="e">
        <f t="shared" si="27"/>
        <v>#REF!</v>
      </c>
      <c r="AY62" s="70" t="e">
        <f t="shared" si="27"/>
        <v>#REF!</v>
      </c>
      <c r="AZ62" s="70" t="e">
        <f t="shared" si="27"/>
        <v>#REF!</v>
      </c>
      <c r="BA62" s="70" t="e">
        <f t="shared" si="27"/>
        <v>#REF!</v>
      </c>
    </row>
    <row r="63" spans="27:53" hidden="1">
      <c r="AA63" s="69" t="s">
        <v>47</v>
      </c>
      <c r="AB63" s="35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</row>
    <row r="64" spans="27:53" hidden="1">
      <c r="AA64" s="71" t="s">
        <v>29</v>
      </c>
      <c r="AB64" s="35"/>
      <c r="AF64" s="70" t="e">
        <f t="shared" ref="AF64:AO64" si="28">AF17+AF19+AF21+AF22+AF25</f>
        <v>#REF!</v>
      </c>
      <c r="AG64" s="70" t="e">
        <f t="shared" si="28"/>
        <v>#REF!</v>
      </c>
      <c r="AH64" s="70" t="e">
        <f t="shared" si="28"/>
        <v>#REF!</v>
      </c>
      <c r="AI64" s="70" t="e">
        <f t="shared" si="28"/>
        <v>#REF!</v>
      </c>
      <c r="AJ64" s="70" t="e">
        <f t="shared" si="28"/>
        <v>#REF!</v>
      </c>
      <c r="AK64" s="70" t="e">
        <f t="shared" si="28"/>
        <v>#REF!</v>
      </c>
      <c r="AL64" s="70" t="e">
        <f t="shared" si="28"/>
        <v>#REF!</v>
      </c>
      <c r="AM64" s="70" t="e">
        <f t="shared" si="28"/>
        <v>#REF!</v>
      </c>
      <c r="AN64" s="70" t="e">
        <f t="shared" si="28"/>
        <v>#REF!</v>
      </c>
      <c r="AO64" s="70" t="e">
        <f t="shared" si="28"/>
        <v>#REF!</v>
      </c>
      <c r="AP64" s="70"/>
      <c r="AQ64" s="70"/>
      <c r="AR64" s="70" t="e">
        <f t="shared" ref="AR64:BA64" si="29">AR17+AR19+AR21+AR22+AR25</f>
        <v>#REF!</v>
      </c>
      <c r="AS64" s="70" t="e">
        <f t="shared" si="29"/>
        <v>#REF!</v>
      </c>
      <c r="AT64" s="70" t="e">
        <f t="shared" si="29"/>
        <v>#REF!</v>
      </c>
      <c r="AU64" s="70" t="e">
        <f t="shared" si="29"/>
        <v>#REF!</v>
      </c>
      <c r="AV64" s="70" t="e">
        <f t="shared" si="29"/>
        <v>#REF!</v>
      </c>
      <c r="AW64" s="70" t="e">
        <f t="shared" si="29"/>
        <v>#REF!</v>
      </c>
      <c r="AX64" s="70" t="e">
        <f t="shared" si="29"/>
        <v>#REF!</v>
      </c>
      <c r="AY64" s="70" t="e">
        <f t="shared" si="29"/>
        <v>#REF!</v>
      </c>
      <c r="AZ64" s="70" t="e">
        <f t="shared" si="29"/>
        <v>#REF!</v>
      </c>
      <c r="BA64" s="70" t="e">
        <f t="shared" si="29"/>
        <v>#REF!</v>
      </c>
    </row>
    <row r="65" spans="27:53" hidden="1">
      <c r="AA65" s="71" t="s">
        <v>41</v>
      </c>
      <c r="AB65" s="35"/>
      <c r="AF65" s="70" t="e">
        <f t="shared" ref="AF65:AO65" si="30">AF28+AF30+AF32+AF33+AF36</f>
        <v>#REF!</v>
      </c>
      <c r="AG65" s="70" t="e">
        <f t="shared" si="30"/>
        <v>#REF!</v>
      </c>
      <c r="AH65" s="70" t="e">
        <f t="shared" si="30"/>
        <v>#REF!</v>
      </c>
      <c r="AI65" s="70" t="e">
        <f t="shared" si="30"/>
        <v>#REF!</v>
      </c>
      <c r="AJ65" s="70" t="e">
        <f t="shared" si="30"/>
        <v>#REF!</v>
      </c>
      <c r="AK65" s="70" t="e">
        <f t="shared" si="30"/>
        <v>#REF!</v>
      </c>
      <c r="AL65" s="70" t="e">
        <f t="shared" si="30"/>
        <v>#REF!</v>
      </c>
      <c r="AM65" s="70" t="e">
        <f t="shared" si="30"/>
        <v>#REF!</v>
      </c>
      <c r="AN65" s="70" t="e">
        <f t="shared" si="30"/>
        <v>#REF!</v>
      </c>
      <c r="AO65" s="70" t="e">
        <f t="shared" si="30"/>
        <v>#REF!</v>
      </c>
      <c r="AP65" s="70"/>
      <c r="AQ65" s="70"/>
      <c r="AR65" s="70" t="e">
        <f t="shared" ref="AR65:BA65" si="31">AR28+AR30+AR32+AR33+AR36</f>
        <v>#REF!</v>
      </c>
      <c r="AS65" s="70" t="e">
        <f t="shared" si="31"/>
        <v>#REF!</v>
      </c>
      <c r="AT65" s="70" t="e">
        <f t="shared" si="31"/>
        <v>#REF!</v>
      </c>
      <c r="AU65" s="70" t="e">
        <f t="shared" si="31"/>
        <v>#REF!</v>
      </c>
      <c r="AV65" s="70" t="e">
        <f t="shared" si="31"/>
        <v>#REF!</v>
      </c>
      <c r="AW65" s="70" t="e">
        <f t="shared" si="31"/>
        <v>#REF!</v>
      </c>
      <c r="AX65" s="70" t="e">
        <f t="shared" si="31"/>
        <v>#REF!</v>
      </c>
      <c r="AY65" s="70" t="e">
        <f t="shared" si="31"/>
        <v>#REF!</v>
      </c>
      <c r="AZ65" s="70" t="e">
        <f t="shared" si="31"/>
        <v>#REF!</v>
      </c>
      <c r="BA65" s="70" t="e">
        <f t="shared" si="31"/>
        <v>#REF!</v>
      </c>
    </row>
    <row r="66" spans="27:53" hidden="1">
      <c r="AA66" s="71" t="s">
        <v>42</v>
      </c>
      <c r="AB66" s="35"/>
      <c r="AF66" s="70" t="e">
        <f t="shared" ref="AF66:AO66" si="32">AF39+AF41+AF43+AF44+AF47</f>
        <v>#REF!</v>
      </c>
      <c r="AG66" s="70" t="e">
        <f t="shared" si="32"/>
        <v>#REF!</v>
      </c>
      <c r="AH66" s="70" t="e">
        <f t="shared" si="32"/>
        <v>#REF!</v>
      </c>
      <c r="AI66" s="70" t="e">
        <f t="shared" si="32"/>
        <v>#REF!</v>
      </c>
      <c r="AJ66" s="70" t="e">
        <f t="shared" si="32"/>
        <v>#REF!</v>
      </c>
      <c r="AK66" s="70" t="e">
        <f t="shared" si="32"/>
        <v>#REF!</v>
      </c>
      <c r="AL66" s="70" t="e">
        <f t="shared" si="32"/>
        <v>#REF!</v>
      </c>
      <c r="AM66" s="70" t="e">
        <f t="shared" si="32"/>
        <v>#REF!</v>
      </c>
      <c r="AN66" s="70" t="e">
        <f t="shared" si="32"/>
        <v>#REF!</v>
      </c>
      <c r="AO66" s="70" t="e">
        <f t="shared" si="32"/>
        <v>#REF!</v>
      </c>
      <c r="AP66" s="70"/>
      <c r="AQ66" s="70"/>
      <c r="AR66" s="70" t="e">
        <f t="shared" ref="AR66:BA66" si="33">AR39+AR41+AR43+AR44+AR47</f>
        <v>#REF!</v>
      </c>
      <c r="AS66" s="70" t="e">
        <f t="shared" si="33"/>
        <v>#REF!</v>
      </c>
      <c r="AT66" s="70" t="e">
        <f t="shared" si="33"/>
        <v>#REF!</v>
      </c>
      <c r="AU66" s="70" t="e">
        <f t="shared" si="33"/>
        <v>#REF!</v>
      </c>
      <c r="AV66" s="70" t="e">
        <f t="shared" si="33"/>
        <v>#REF!</v>
      </c>
      <c r="AW66" s="70" t="e">
        <f t="shared" si="33"/>
        <v>#REF!</v>
      </c>
      <c r="AX66" s="70" t="e">
        <f t="shared" si="33"/>
        <v>#REF!</v>
      </c>
      <c r="AY66" s="70" t="e">
        <f t="shared" si="33"/>
        <v>#REF!</v>
      </c>
      <c r="AZ66" s="70" t="e">
        <f t="shared" si="33"/>
        <v>#REF!</v>
      </c>
      <c r="BA66" s="70" t="e">
        <f t="shared" si="33"/>
        <v>#REF!</v>
      </c>
    </row>
    <row r="67" spans="27:53" hidden="1">
      <c r="AA67" s="69" t="s">
        <v>48</v>
      </c>
      <c r="AB67" s="35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</row>
    <row r="68" spans="27:53" hidden="1">
      <c r="AA68" s="71" t="s">
        <v>29</v>
      </c>
      <c r="AB68" s="35"/>
      <c r="AF68" s="70" t="e">
        <f t="shared" ref="AF68:AO68" si="34">AF17+AF18+AF23</f>
        <v>#REF!</v>
      </c>
      <c r="AG68" s="70" t="e">
        <f t="shared" si="34"/>
        <v>#REF!</v>
      </c>
      <c r="AH68" s="70" t="e">
        <f t="shared" si="34"/>
        <v>#REF!</v>
      </c>
      <c r="AI68" s="70" t="e">
        <f t="shared" si="34"/>
        <v>#REF!</v>
      </c>
      <c r="AJ68" s="70" t="e">
        <f t="shared" si="34"/>
        <v>#REF!</v>
      </c>
      <c r="AK68" s="70" t="e">
        <f t="shared" si="34"/>
        <v>#REF!</v>
      </c>
      <c r="AL68" s="70" t="e">
        <f t="shared" si="34"/>
        <v>#REF!</v>
      </c>
      <c r="AM68" s="70" t="e">
        <f t="shared" si="34"/>
        <v>#REF!</v>
      </c>
      <c r="AN68" s="70" t="e">
        <f t="shared" si="34"/>
        <v>#REF!</v>
      </c>
      <c r="AO68" s="70" t="e">
        <f t="shared" si="34"/>
        <v>#REF!</v>
      </c>
      <c r="AP68" s="70"/>
      <c r="AQ68" s="70"/>
      <c r="AR68" s="70" t="e">
        <f t="shared" ref="AR68:BA68" si="35">AR17+AR18+AR23</f>
        <v>#REF!</v>
      </c>
      <c r="AS68" s="70" t="e">
        <f t="shared" si="35"/>
        <v>#REF!</v>
      </c>
      <c r="AT68" s="70" t="e">
        <f t="shared" si="35"/>
        <v>#REF!</v>
      </c>
      <c r="AU68" s="70" t="e">
        <f t="shared" si="35"/>
        <v>#REF!</v>
      </c>
      <c r="AV68" s="70" t="e">
        <f t="shared" si="35"/>
        <v>#REF!</v>
      </c>
      <c r="AW68" s="70" t="e">
        <f t="shared" si="35"/>
        <v>#REF!</v>
      </c>
      <c r="AX68" s="70" t="e">
        <f t="shared" si="35"/>
        <v>#REF!</v>
      </c>
      <c r="AY68" s="70" t="e">
        <f t="shared" si="35"/>
        <v>#REF!</v>
      </c>
      <c r="AZ68" s="70" t="e">
        <f t="shared" si="35"/>
        <v>#REF!</v>
      </c>
      <c r="BA68" s="70" t="e">
        <f t="shared" si="35"/>
        <v>#REF!</v>
      </c>
    </row>
    <row r="69" spans="27:53" hidden="1">
      <c r="AA69" s="71" t="s">
        <v>41</v>
      </c>
      <c r="AB69" s="35"/>
      <c r="AF69" s="70" t="e">
        <f t="shared" ref="AF69:AO69" si="36">AF28+AF29+AF34</f>
        <v>#REF!</v>
      </c>
      <c r="AG69" s="70" t="e">
        <f t="shared" si="36"/>
        <v>#REF!</v>
      </c>
      <c r="AH69" s="70" t="e">
        <f t="shared" si="36"/>
        <v>#REF!</v>
      </c>
      <c r="AI69" s="70" t="e">
        <f t="shared" si="36"/>
        <v>#REF!</v>
      </c>
      <c r="AJ69" s="70" t="e">
        <f t="shared" si="36"/>
        <v>#REF!</v>
      </c>
      <c r="AK69" s="70" t="e">
        <f t="shared" si="36"/>
        <v>#REF!</v>
      </c>
      <c r="AL69" s="70" t="e">
        <f t="shared" si="36"/>
        <v>#REF!</v>
      </c>
      <c r="AM69" s="70" t="e">
        <f t="shared" si="36"/>
        <v>#REF!</v>
      </c>
      <c r="AN69" s="70" t="e">
        <f t="shared" si="36"/>
        <v>#REF!</v>
      </c>
      <c r="AO69" s="70" t="e">
        <f t="shared" si="36"/>
        <v>#REF!</v>
      </c>
      <c r="AP69" s="70"/>
      <c r="AQ69" s="70"/>
      <c r="AR69" s="70" t="e">
        <f t="shared" ref="AR69:BA69" si="37">AR28+AR29+AR34</f>
        <v>#REF!</v>
      </c>
      <c r="AS69" s="70" t="e">
        <f t="shared" si="37"/>
        <v>#REF!</v>
      </c>
      <c r="AT69" s="70" t="e">
        <f t="shared" si="37"/>
        <v>#REF!</v>
      </c>
      <c r="AU69" s="70" t="e">
        <f t="shared" si="37"/>
        <v>#REF!</v>
      </c>
      <c r="AV69" s="70" t="e">
        <f t="shared" si="37"/>
        <v>#REF!</v>
      </c>
      <c r="AW69" s="70" t="e">
        <f t="shared" si="37"/>
        <v>#REF!</v>
      </c>
      <c r="AX69" s="70" t="e">
        <f t="shared" si="37"/>
        <v>#REF!</v>
      </c>
      <c r="AY69" s="70" t="e">
        <f t="shared" si="37"/>
        <v>#REF!</v>
      </c>
      <c r="AZ69" s="70" t="e">
        <f t="shared" si="37"/>
        <v>#REF!</v>
      </c>
      <c r="BA69" s="70" t="e">
        <f t="shared" si="37"/>
        <v>#REF!</v>
      </c>
    </row>
    <row r="70" spans="27:53" hidden="1">
      <c r="AA70" s="71" t="s">
        <v>42</v>
      </c>
      <c r="AB70" s="35"/>
      <c r="AF70" s="70" t="e">
        <f t="shared" ref="AF70:AO70" si="38">AF39+AF40+AF45</f>
        <v>#REF!</v>
      </c>
      <c r="AG70" s="70" t="e">
        <f t="shared" si="38"/>
        <v>#REF!</v>
      </c>
      <c r="AH70" s="70" t="e">
        <f t="shared" si="38"/>
        <v>#REF!</v>
      </c>
      <c r="AI70" s="70" t="e">
        <f t="shared" si="38"/>
        <v>#REF!</v>
      </c>
      <c r="AJ70" s="70" t="e">
        <f t="shared" si="38"/>
        <v>#REF!</v>
      </c>
      <c r="AK70" s="70" t="e">
        <f t="shared" si="38"/>
        <v>#REF!</v>
      </c>
      <c r="AL70" s="70" t="e">
        <f t="shared" si="38"/>
        <v>#REF!</v>
      </c>
      <c r="AM70" s="70" t="e">
        <f t="shared" si="38"/>
        <v>#REF!</v>
      </c>
      <c r="AN70" s="70" t="e">
        <f t="shared" si="38"/>
        <v>#REF!</v>
      </c>
      <c r="AO70" s="70" t="e">
        <f t="shared" si="38"/>
        <v>#REF!</v>
      </c>
      <c r="AP70" s="70"/>
      <c r="AQ70" s="70"/>
      <c r="AR70" s="70" t="e">
        <f t="shared" ref="AR70:BA70" si="39">AR39+AR40+AR45</f>
        <v>#REF!</v>
      </c>
      <c r="AS70" s="70" t="e">
        <f t="shared" si="39"/>
        <v>#REF!</v>
      </c>
      <c r="AT70" s="70" t="e">
        <f t="shared" si="39"/>
        <v>#REF!</v>
      </c>
      <c r="AU70" s="70" t="e">
        <f t="shared" si="39"/>
        <v>#REF!</v>
      </c>
      <c r="AV70" s="70" t="e">
        <f t="shared" si="39"/>
        <v>#REF!</v>
      </c>
      <c r="AW70" s="70" t="e">
        <f t="shared" si="39"/>
        <v>#REF!</v>
      </c>
      <c r="AX70" s="70" t="e">
        <f t="shared" si="39"/>
        <v>#REF!</v>
      </c>
      <c r="AY70" s="70" t="e">
        <f t="shared" si="39"/>
        <v>#REF!</v>
      </c>
      <c r="AZ70" s="70" t="e">
        <f t="shared" si="39"/>
        <v>#REF!</v>
      </c>
      <c r="BA70" s="70" t="e">
        <f t="shared" si="39"/>
        <v>#REF!</v>
      </c>
    </row>
    <row r="71" spans="27:53" hidden="1">
      <c r="AA71" s="72" t="s">
        <v>49</v>
      </c>
      <c r="AB71" s="35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</row>
    <row r="72" spans="27:53" hidden="1">
      <c r="AA72" s="71" t="s">
        <v>29</v>
      </c>
      <c r="AB72" s="35"/>
      <c r="AF72" s="70" t="e">
        <f t="shared" ref="AF72:AO72" si="40">AF17+AF18+AF22+AF24</f>
        <v>#REF!</v>
      </c>
      <c r="AG72" s="70" t="e">
        <f t="shared" si="40"/>
        <v>#REF!</v>
      </c>
      <c r="AH72" s="70" t="e">
        <f t="shared" si="40"/>
        <v>#REF!</v>
      </c>
      <c r="AI72" s="70" t="e">
        <f t="shared" si="40"/>
        <v>#REF!</v>
      </c>
      <c r="AJ72" s="70" t="e">
        <f t="shared" si="40"/>
        <v>#REF!</v>
      </c>
      <c r="AK72" s="70" t="e">
        <f t="shared" si="40"/>
        <v>#REF!</v>
      </c>
      <c r="AL72" s="70" t="e">
        <f t="shared" si="40"/>
        <v>#REF!</v>
      </c>
      <c r="AM72" s="70" t="e">
        <f t="shared" si="40"/>
        <v>#REF!</v>
      </c>
      <c r="AN72" s="70" t="e">
        <f t="shared" si="40"/>
        <v>#REF!</v>
      </c>
      <c r="AO72" s="70" t="e">
        <f t="shared" si="40"/>
        <v>#REF!</v>
      </c>
      <c r="AP72" s="70"/>
      <c r="AQ72" s="70"/>
      <c r="AR72" s="70" t="e">
        <f t="shared" ref="AR72:BA72" si="41">AR17+AR18+AR22+AR24</f>
        <v>#REF!</v>
      </c>
      <c r="AS72" s="70" t="e">
        <f t="shared" si="41"/>
        <v>#REF!</v>
      </c>
      <c r="AT72" s="70" t="e">
        <f t="shared" si="41"/>
        <v>#REF!</v>
      </c>
      <c r="AU72" s="70" t="e">
        <f t="shared" si="41"/>
        <v>#REF!</v>
      </c>
      <c r="AV72" s="70" t="e">
        <f t="shared" si="41"/>
        <v>#REF!</v>
      </c>
      <c r="AW72" s="70" t="e">
        <f t="shared" si="41"/>
        <v>#REF!</v>
      </c>
      <c r="AX72" s="70" t="e">
        <f t="shared" si="41"/>
        <v>#REF!</v>
      </c>
      <c r="AY72" s="70" t="e">
        <f t="shared" si="41"/>
        <v>#REF!</v>
      </c>
      <c r="AZ72" s="70" t="e">
        <f t="shared" si="41"/>
        <v>#REF!</v>
      </c>
      <c r="BA72" s="70" t="e">
        <f t="shared" si="41"/>
        <v>#REF!</v>
      </c>
    </row>
    <row r="73" spans="27:53" hidden="1">
      <c r="AA73" s="71" t="s">
        <v>41</v>
      </c>
      <c r="AB73" s="35"/>
      <c r="AF73" s="70" t="e">
        <f t="shared" ref="AF73:AO73" si="42">AF28+AF29+AF33+AF35</f>
        <v>#REF!</v>
      </c>
      <c r="AG73" s="70" t="e">
        <f t="shared" si="42"/>
        <v>#REF!</v>
      </c>
      <c r="AH73" s="70" t="e">
        <f t="shared" si="42"/>
        <v>#REF!</v>
      </c>
      <c r="AI73" s="70" t="e">
        <f t="shared" si="42"/>
        <v>#REF!</v>
      </c>
      <c r="AJ73" s="70" t="e">
        <f t="shared" si="42"/>
        <v>#REF!</v>
      </c>
      <c r="AK73" s="70" t="e">
        <f t="shared" si="42"/>
        <v>#REF!</v>
      </c>
      <c r="AL73" s="70" t="e">
        <f t="shared" si="42"/>
        <v>#REF!</v>
      </c>
      <c r="AM73" s="70" t="e">
        <f t="shared" si="42"/>
        <v>#REF!</v>
      </c>
      <c r="AN73" s="70" t="e">
        <f t="shared" si="42"/>
        <v>#REF!</v>
      </c>
      <c r="AO73" s="70" t="e">
        <f t="shared" si="42"/>
        <v>#REF!</v>
      </c>
      <c r="AP73" s="70"/>
      <c r="AQ73" s="70"/>
      <c r="AR73" s="70" t="e">
        <f t="shared" ref="AR73:BA73" si="43">AR28+AR29+AR33+AR35</f>
        <v>#REF!</v>
      </c>
      <c r="AS73" s="70" t="e">
        <f t="shared" si="43"/>
        <v>#REF!</v>
      </c>
      <c r="AT73" s="70" t="e">
        <f t="shared" si="43"/>
        <v>#REF!</v>
      </c>
      <c r="AU73" s="70" t="e">
        <f t="shared" si="43"/>
        <v>#REF!</v>
      </c>
      <c r="AV73" s="70" t="e">
        <f t="shared" si="43"/>
        <v>#REF!</v>
      </c>
      <c r="AW73" s="70" t="e">
        <f t="shared" si="43"/>
        <v>#REF!</v>
      </c>
      <c r="AX73" s="70" t="e">
        <f t="shared" si="43"/>
        <v>#REF!</v>
      </c>
      <c r="AY73" s="70" t="e">
        <f t="shared" si="43"/>
        <v>#REF!</v>
      </c>
      <c r="AZ73" s="70" t="e">
        <f t="shared" si="43"/>
        <v>#REF!</v>
      </c>
      <c r="BA73" s="70" t="e">
        <f t="shared" si="43"/>
        <v>#REF!</v>
      </c>
    </row>
    <row r="74" spans="27:53" hidden="1">
      <c r="AA74" s="71" t="s">
        <v>42</v>
      </c>
      <c r="AB74" s="35"/>
      <c r="AF74" s="70" t="e">
        <f t="shared" ref="AF74:AO74" si="44">AF39+AF40+AF44+AF46</f>
        <v>#REF!</v>
      </c>
      <c r="AG74" s="70" t="e">
        <f t="shared" si="44"/>
        <v>#REF!</v>
      </c>
      <c r="AH74" s="70" t="e">
        <f t="shared" si="44"/>
        <v>#REF!</v>
      </c>
      <c r="AI74" s="70" t="e">
        <f t="shared" si="44"/>
        <v>#REF!</v>
      </c>
      <c r="AJ74" s="70" t="e">
        <f t="shared" si="44"/>
        <v>#REF!</v>
      </c>
      <c r="AK74" s="70" t="e">
        <f t="shared" si="44"/>
        <v>#REF!</v>
      </c>
      <c r="AL74" s="70" t="e">
        <f t="shared" si="44"/>
        <v>#REF!</v>
      </c>
      <c r="AM74" s="70" t="e">
        <f t="shared" si="44"/>
        <v>#REF!</v>
      </c>
      <c r="AN74" s="70" t="e">
        <f t="shared" si="44"/>
        <v>#REF!</v>
      </c>
      <c r="AO74" s="70" t="e">
        <f t="shared" si="44"/>
        <v>#REF!</v>
      </c>
      <c r="AP74" s="70"/>
      <c r="AQ74" s="70"/>
      <c r="AR74" s="70" t="e">
        <f t="shared" ref="AR74:BA74" si="45">AR39+AR40+AR44+AR46</f>
        <v>#REF!</v>
      </c>
      <c r="AS74" s="70" t="e">
        <f t="shared" si="45"/>
        <v>#REF!</v>
      </c>
      <c r="AT74" s="70" t="e">
        <f t="shared" si="45"/>
        <v>#REF!</v>
      </c>
      <c r="AU74" s="70" t="e">
        <f t="shared" si="45"/>
        <v>#REF!</v>
      </c>
      <c r="AV74" s="70" t="e">
        <f t="shared" si="45"/>
        <v>#REF!</v>
      </c>
      <c r="AW74" s="70" t="e">
        <f t="shared" si="45"/>
        <v>#REF!</v>
      </c>
      <c r="AX74" s="70" t="e">
        <f t="shared" si="45"/>
        <v>#REF!</v>
      </c>
      <c r="AY74" s="70" t="e">
        <f t="shared" si="45"/>
        <v>#REF!</v>
      </c>
      <c r="AZ74" s="70" t="e">
        <f t="shared" si="45"/>
        <v>#REF!</v>
      </c>
      <c r="BA74" s="70" t="e">
        <f t="shared" si="45"/>
        <v>#REF!</v>
      </c>
    </row>
    <row r="75" spans="27:53" hidden="1">
      <c r="AA75" s="69" t="s">
        <v>50</v>
      </c>
      <c r="AB75" s="35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</row>
    <row r="76" spans="27:53" hidden="1">
      <c r="AA76" s="71" t="s">
        <v>29</v>
      </c>
      <c r="AB76" s="35"/>
      <c r="AF76" s="70" t="e">
        <f t="shared" ref="AF76:AO76" si="46">AF17+AF18+AF22+AF25</f>
        <v>#REF!</v>
      </c>
      <c r="AG76" s="70" t="e">
        <f t="shared" si="46"/>
        <v>#REF!</v>
      </c>
      <c r="AH76" s="70" t="e">
        <f t="shared" si="46"/>
        <v>#REF!</v>
      </c>
      <c r="AI76" s="70" t="e">
        <f t="shared" si="46"/>
        <v>#REF!</v>
      </c>
      <c r="AJ76" s="70" t="e">
        <f t="shared" si="46"/>
        <v>#REF!</v>
      </c>
      <c r="AK76" s="70" t="e">
        <f t="shared" si="46"/>
        <v>#REF!</v>
      </c>
      <c r="AL76" s="70" t="e">
        <f t="shared" si="46"/>
        <v>#REF!</v>
      </c>
      <c r="AM76" s="70" t="e">
        <f t="shared" si="46"/>
        <v>#REF!</v>
      </c>
      <c r="AN76" s="70" t="e">
        <f t="shared" si="46"/>
        <v>#REF!</v>
      </c>
      <c r="AO76" s="70" t="e">
        <f t="shared" si="46"/>
        <v>#REF!</v>
      </c>
      <c r="AP76" s="70"/>
      <c r="AQ76" s="70"/>
      <c r="AR76" s="70" t="e">
        <f t="shared" ref="AR76:BA76" si="47">AR17+AR18+AR22+AR25</f>
        <v>#REF!</v>
      </c>
      <c r="AS76" s="70" t="e">
        <f t="shared" si="47"/>
        <v>#REF!</v>
      </c>
      <c r="AT76" s="70" t="e">
        <f t="shared" si="47"/>
        <v>#REF!</v>
      </c>
      <c r="AU76" s="70" t="e">
        <f t="shared" si="47"/>
        <v>#REF!</v>
      </c>
      <c r="AV76" s="70" t="e">
        <f t="shared" si="47"/>
        <v>#REF!</v>
      </c>
      <c r="AW76" s="70" t="e">
        <f t="shared" si="47"/>
        <v>#REF!</v>
      </c>
      <c r="AX76" s="70" t="e">
        <f t="shared" si="47"/>
        <v>#REF!</v>
      </c>
      <c r="AY76" s="70" t="e">
        <f t="shared" si="47"/>
        <v>#REF!</v>
      </c>
      <c r="AZ76" s="70" t="e">
        <f t="shared" si="47"/>
        <v>#REF!</v>
      </c>
      <c r="BA76" s="70" t="e">
        <f t="shared" si="47"/>
        <v>#REF!</v>
      </c>
    </row>
    <row r="77" spans="27:53" hidden="1">
      <c r="AA77" s="71" t="s">
        <v>41</v>
      </c>
      <c r="AB77" s="35"/>
      <c r="AF77" s="70" t="e">
        <f t="shared" ref="AF77:AO77" si="48">AF28+AF29+AF33+AF36</f>
        <v>#REF!</v>
      </c>
      <c r="AG77" s="70" t="e">
        <f t="shared" si="48"/>
        <v>#REF!</v>
      </c>
      <c r="AH77" s="70" t="e">
        <f t="shared" si="48"/>
        <v>#REF!</v>
      </c>
      <c r="AI77" s="70" t="e">
        <f t="shared" si="48"/>
        <v>#REF!</v>
      </c>
      <c r="AJ77" s="70" t="e">
        <f t="shared" si="48"/>
        <v>#REF!</v>
      </c>
      <c r="AK77" s="70" t="e">
        <f t="shared" si="48"/>
        <v>#REF!</v>
      </c>
      <c r="AL77" s="70" t="e">
        <f t="shared" si="48"/>
        <v>#REF!</v>
      </c>
      <c r="AM77" s="70" t="e">
        <f t="shared" si="48"/>
        <v>#REF!</v>
      </c>
      <c r="AN77" s="70" t="e">
        <f t="shared" si="48"/>
        <v>#REF!</v>
      </c>
      <c r="AO77" s="70" t="e">
        <f t="shared" si="48"/>
        <v>#REF!</v>
      </c>
      <c r="AP77" s="70"/>
      <c r="AQ77" s="70"/>
      <c r="AR77" s="70" t="e">
        <f t="shared" ref="AR77:BA77" si="49">AR28+AR29+AR33+AR36</f>
        <v>#REF!</v>
      </c>
      <c r="AS77" s="70" t="e">
        <f t="shared" si="49"/>
        <v>#REF!</v>
      </c>
      <c r="AT77" s="70" t="e">
        <f t="shared" si="49"/>
        <v>#REF!</v>
      </c>
      <c r="AU77" s="70" t="e">
        <f t="shared" si="49"/>
        <v>#REF!</v>
      </c>
      <c r="AV77" s="70" t="e">
        <f t="shared" si="49"/>
        <v>#REF!</v>
      </c>
      <c r="AW77" s="70" t="e">
        <f t="shared" si="49"/>
        <v>#REF!</v>
      </c>
      <c r="AX77" s="70" t="e">
        <f t="shared" si="49"/>
        <v>#REF!</v>
      </c>
      <c r="AY77" s="70" t="e">
        <f t="shared" si="49"/>
        <v>#REF!</v>
      </c>
      <c r="AZ77" s="70" t="e">
        <f t="shared" si="49"/>
        <v>#REF!</v>
      </c>
      <c r="BA77" s="70" t="e">
        <f t="shared" si="49"/>
        <v>#REF!</v>
      </c>
    </row>
    <row r="78" spans="27:53" hidden="1">
      <c r="AA78" s="71" t="s">
        <v>42</v>
      </c>
      <c r="AB78" s="35"/>
      <c r="AF78" s="70" t="e">
        <f t="shared" ref="AF78:AO78" si="50">AF39+AF40+AF44+AF47</f>
        <v>#REF!</v>
      </c>
      <c r="AG78" s="70" t="e">
        <f t="shared" si="50"/>
        <v>#REF!</v>
      </c>
      <c r="AH78" s="70" t="e">
        <f t="shared" si="50"/>
        <v>#REF!</v>
      </c>
      <c r="AI78" s="70" t="e">
        <f t="shared" si="50"/>
        <v>#REF!</v>
      </c>
      <c r="AJ78" s="70" t="e">
        <f t="shared" si="50"/>
        <v>#REF!</v>
      </c>
      <c r="AK78" s="70" t="e">
        <f t="shared" si="50"/>
        <v>#REF!</v>
      </c>
      <c r="AL78" s="70" t="e">
        <f t="shared" si="50"/>
        <v>#REF!</v>
      </c>
      <c r="AM78" s="70" t="e">
        <f t="shared" si="50"/>
        <v>#REF!</v>
      </c>
      <c r="AN78" s="70" t="e">
        <f t="shared" si="50"/>
        <v>#REF!</v>
      </c>
      <c r="AO78" s="70" t="e">
        <f t="shared" si="50"/>
        <v>#REF!</v>
      </c>
      <c r="AP78" s="70"/>
      <c r="AQ78" s="70"/>
      <c r="AR78" s="70" t="e">
        <f t="shared" ref="AR78:BA78" si="51">AR39+AR40+AR44+AR47</f>
        <v>#REF!</v>
      </c>
      <c r="AS78" s="70" t="e">
        <f t="shared" si="51"/>
        <v>#REF!</v>
      </c>
      <c r="AT78" s="70" t="e">
        <f t="shared" si="51"/>
        <v>#REF!</v>
      </c>
      <c r="AU78" s="70" t="e">
        <f t="shared" si="51"/>
        <v>#REF!</v>
      </c>
      <c r="AV78" s="70" t="e">
        <f t="shared" si="51"/>
        <v>#REF!</v>
      </c>
      <c r="AW78" s="70" t="e">
        <f t="shared" si="51"/>
        <v>#REF!</v>
      </c>
      <c r="AX78" s="70" t="e">
        <f t="shared" si="51"/>
        <v>#REF!</v>
      </c>
      <c r="AY78" s="70" t="e">
        <f t="shared" si="51"/>
        <v>#REF!</v>
      </c>
      <c r="AZ78" s="70" t="e">
        <f t="shared" si="51"/>
        <v>#REF!</v>
      </c>
      <c r="BA78" s="70" t="e">
        <f t="shared" si="51"/>
        <v>#REF!</v>
      </c>
    </row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7" spans="1:52" hidden="1"/>
    <row r="89" spans="1:52">
      <c r="A89" s="598" t="s">
        <v>108</v>
      </c>
      <c r="B89" s="598" t="s">
        <v>52</v>
      </c>
      <c r="C89" s="39" t="s">
        <v>101</v>
      </c>
      <c r="D89" s="39" t="s">
        <v>53</v>
      </c>
      <c r="E89" s="39" t="s">
        <v>54</v>
      </c>
      <c r="F89" s="587" t="s">
        <v>64</v>
      </c>
      <c r="G89" s="600"/>
      <c r="H89" s="600"/>
      <c r="I89" s="600"/>
      <c r="J89" s="600"/>
      <c r="K89" s="600"/>
      <c r="L89" s="600"/>
      <c r="M89" s="600"/>
      <c r="N89" s="600"/>
      <c r="O89" s="600"/>
      <c r="P89" s="590"/>
      <c r="AN89" s="38"/>
      <c r="AZ89" s="36"/>
    </row>
    <row r="90" spans="1:52" ht="63.75">
      <c r="A90" s="599"/>
      <c r="B90" s="599"/>
      <c r="C90" s="41" t="s">
        <v>66</v>
      </c>
      <c r="D90" s="41" t="s">
        <v>67</v>
      </c>
      <c r="E90" s="41" t="s">
        <v>68</v>
      </c>
      <c r="F90" s="545" t="s">
        <v>55</v>
      </c>
      <c r="G90" s="545" t="s">
        <v>73</v>
      </c>
      <c r="H90" s="545" t="s">
        <v>74</v>
      </c>
      <c r="I90" s="545" t="s">
        <v>58</v>
      </c>
      <c r="J90" s="545" t="s">
        <v>59</v>
      </c>
      <c r="K90" s="545" t="s">
        <v>60</v>
      </c>
      <c r="L90" s="544" t="s">
        <v>75</v>
      </c>
      <c r="M90" s="544" t="s">
        <v>76</v>
      </c>
      <c r="N90" s="544" t="s">
        <v>61</v>
      </c>
      <c r="O90" s="544" t="s">
        <v>62</v>
      </c>
      <c r="P90" s="544" t="s">
        <v>63</v>
      </c>
      <c r="AN90" s="38"/>
      <c r="AZ90" s="36"/>
    </row>
    <row r="91" spans="1:52" ht="25.5">
      <c r="A91" s="44" t="str">
        <f t="shared" ref="A91:C94" si="52">A4</f>
        <v>General Construction</v>
      </c>
      <c r="B91" s="45" t="str">
        <f t="shared" si="52"/>
        <v>Light-Duty Truck, catalyst</v>
      </c>
      <c r="C91" s="46">
        <f t="shared" si="52"/>
        <v>3</v>
      </c>
      <c r="D91" s="46">
        <v>35</v>
      </c>
      <c r="E91" s="46">
        <v>80</v>
      </c>
      <c r="F91" s="50">
        <f>C4*($E4*$F4+($G4))/453.59</f>
        <v>1.4571581576427601</v>
      </c>
      <c r="G91" s="50">
        <f>C4*($E4*$H4+($I4))/453.59</f>
        <v>0.13101197188313402</v>
      </c>
      <c r="H91" s="50">
        <f>C4*(($E4*$J4)+($K4)+($L4)+($E4*$N4)+(($M4+$O4)))/453.59</f>
        <v>0.15149994097185998</v>
      </c>
      <c r="I91" s="50">
        <f>C4*($E4*$P4+($Q4))/453.59</f>
        <v>2.1803910814818476E-3</v>
      </c>
      <c r="J91" s="50">
        <f>C4*(($E4*($R4+$T4+$U4))+($S4))/453.59</f>
        <v>2.5572271365623688E-2</v>
      </c>
      <c r="K91" s="50">
        <f>$C4*(($E4*($V4+$X4+$Y4))+($W4))/453.59</f>
        <v>1.1136015972759426E-2</v>
      </c>
      <c r="L91" s="50">
        <f>$B$24*C4*(E4+6)</f>
        <v>2.5315747758215698E-2</v>
      </c>
      <c r="M91" s="50">
        <f t="shared" ref="M91:M93" si="53">0.41*L91</f>
        <v>1.0379456580868435E-2</v>
      </c>
      <c r="N91" s="50">
        <f>C4*($E4*$Z4+($AA4))/453.59</f>
        <v>166.27073017811671</v>
      </c>
      <c r="O91" s="50">
        <f>C4*($E4*$AB4+($AC4))/453.59</f>
        <v>9.5114261670907474E-3</v>
      </c>
      <c r="P91" s="50">
        <f>C4*($E4*$AD4+($AE4))/453.59</f>
        <v>1.7313359741530081E-2</v>
      </c>
      <c r="AN91" s="38"/>
      <c r="AZ91" s="36"/>
    </row>
    <row r="92" spans="1:52" ht="25.5">
      <c r="A92" s="44" t="str">
        <f t="shared" si="52"/>
        <v>Substation General Construction</v>
      </c>
      <c r="B92" s="45" t="str">
        <f t="shared" si="52"/>
        <v>Light-Duty Truck, catalyst</v>
      </c>
      <c r="C92" s="46">
        <f t="shared" si="52"/>
        <v>3</v>
      </c>
      <c r="D92" s="46">
        <v>35</v>
      </c>
      <c r="E92" s="46">
        <v>80</v>
      </c>
      <c r="F92" s="50">
        <f>C5*($E5*$F5+($G5))/453.59</f>
        <v>1.4571581576427601</v>
      </c>
      <c r="G92" s="50">
        <f>C5*($E5*$H5+($I5))/453.59</f>
        <v>0.13101197188313402</v>
      </c>
      <c r="H92" s="50">
        <f>C5*(($E5*$J5)+($K5)+($L5)+($E5*$N5)+(($M5+$O5)))/453.59</f>
        <v>0.15149994097185998</v>
      </c>
      <c r="I92" s="50">
        <f>C5*($E5*$P5+($Q5))/453.59</f>
        <v>2.1803910814818476E-3</v>
      </c>
      <c r="J92" s="50">
        <f>C5*(($E5*($R5+$T5+$U5))+($S5))/453.59</f>
        <v>2.5572271365623688E-2</v>
      </c>
      <c r="K92" s="50">
        <f>$C5*(($E5*($V5+$X5+$Y5))+($W5))/453.59</f>
        <v>1.1136015972759426E-2</v>
      </c>
      <c r="L92" s="50">
        <f>$B$24*C5*(E5+6)</f>
        <v>2.5315747758215698E-2</v>
      </c>
      <c r="M92" s="50">
        <f t="shared" ref="M92" si="54">0.41*L92</f>
        <v>1.0379456580868435E-2</v>
      </c>
      <c r="N92" s="50">
        <f>C5*($E5*$Z5+($AA5))/453.59</f>
        <v>166.27073017811671</v>
      </c>
      <c r="O92" s="50">
        <f>C5*($E5*$AB5+($AC5))/453.59</f>
        <v>9.5114261670907474E-3</v>
      </c>
      <c r="P92" s="50">
        <f>C5*($E5*$AD5+($AE5))/453.59</f>
        <v>1.7313359741530081E-2</v>
      </c>
      <c r="AN92" s="38"/>
      <c r="AZ92" s="36"/>
    </row>
    <row r="93" spans="1:52" ht="25.5">
      <c r="A93" s="44" t="str">
        <f t="shared" si="52"/>
        <v>Substation CMU Wall</v>
      </c>
      <c r="B93" s="45" t="str">
        <f t="shared" si="52"/>
        <v>Light-Duty Truck, catalyst</v>
      </c>
      <c r="C93" s="46">
        <f t="shared" si="52"/>
        <v>7</v>
      </c>
      <c r="D93" s="46">
        <v>35</v>
      </c>
      <c r="E93" s="46">
        <v>80</v>
      </c>
      <c r="F93" s="50">
        <f>C6*($E6*$F6+($G6))/453.59</f>
        <v>3.4000357011664404</v>
      </c>
      <c r="G93" s="50">
        <f>C6*($E6*$H6+($I6))/453.59</f>
        <v>0.30569460106064605</v>
      </c>
      <c r="H93" s="50">
        <f>C6*(($E6*$J6)+($K6)+($L6)+($E6*$N6)+(($M6+$O6)))/453.59</f>
        <v>0.35349986226767327</v>
      </c>
      <c r="I93" s="50">
        <f>C6*($E6*$P6+($Q6))/453.59</f>
        <v>5.0875791901243113E-3</v>
      </c>
      <c r="J93" s="50">
        <f>C6*(($E6*($R6+$T6+$U6))+($S6))/453.59</f>
        <v>5.9668633186455274E-2</v>
      </c>
      <c r="K93" s="50">
        <f>$C6*(($E6*($V6+$X6+$Y6))+($W6))/453.59</f>
        <v>2.5984037269771994E-2</v>
      </c>
      <c r="L93" s="50">
        <f>$B$24*C6*(E6+6)</f>
        <v>5.9070078102503296E-2</v>
      </c>
      <c r="M93" s="50">
        <f t="shared" si="53"/>
        <v>2.4218732022026349E-2</v>
      </c>
      <c r="N93" s="50">
        <f>C6*($E6*$Z6+($AA6))/453.59</f>
        <v>387.96503708227226</v>
      </c>
      <c r="O93" s="50">
        <f>C6*($E6*$AB6+($AC6))/453.59</f>
        <v>2.2193327723211743E-2</v>
      </c>
      <c r="P93" s="50">
        <f>C6*($E6*$AD6+($AE6))/453.59</f>
        <v>4.0397839396903522E-2</v>
      </c>
      <c r="AN93" s="38"/>
      <c r="AZ93" s="36"/>
    </row>
    <row r="94" spans="1:52" ht="25.5">
      <c r="A94" s="44" t="str">
        <f t="shared" si="52"/>
        <v>Substation Below Grade</v>
      </c>
      <c r="B94" s="45" t="str">
        <f t="shared" si="52"/>
        <v>Light-Duty Truck, catalyst</v>
      </c>
      <c r="C94" s="46">
        <f t="shared" si="52"/>
        <v>10</v>
      </c>
      <c r="D94" s="46">
        <v>35</v>
      </c>
      <c r="E94" s="46">
        <v>80</v>
      </c>
      <c r="F94" s="50">
        <f>C7*($E7*$F7+($G7))/453.59</f>
        <v>4.8571938588092012</v>
      </c>
      <c r="G94" s="50">
        <f>C7*($E7*$H7+($I7))/453.59</f>
        <v>0.43670657294378012</v>
      </c>
      <c r="H94" s="50">
        <f>C7*(($E7*$J7)+($K7)+($L7)+($E7*$N7)+(($M7+$O7)))/453.59</f>
        <v>0.50499980323953331</v>
      </c>
      <c r="I94" s="50">
        <f>C7*($E7*$P7+($Q7))/453.59</f>
        <v>7.2679702716061598E-3</v>
      </c>
      <c r="J94" s="50">
        <f>C7*(($E7*($R7+$T7+$U7))+($S7))/453.59</f>
        <v>8.5240904552078958E-2</v>
      </c>
      <c r="K94" s="50">
        <f>$C7*(($E7*($V7+$X7+$Y7))+($W7))/453.59</f>
        <v>3.7120053242531412E-2</v>
      </c>
      <c r="L94" s="50">
        <f>$B$24*C7*(E7+6)</f>
        <v>8.438582586071898E-2</v>
      </c>
      <c r="M94" s="50">
        <f t="shared" ref="M94" si="55">0.41*L94</f>
        <v>3.4598188602894778E-2</v>
      </c>
      <c r="N94" s="50">
        <f>C7*($E7*$Z7+($AA7))/453.59</f>
        <v>554.23576726038891</v>
      </c>
      <c r="O94" s="50">
        <f>C7*($E7*$AB7+($AC7))/453.59</f>
        <v>3.1704753890302494E-2</v>
      </c>
      <c r="P94" s="50">
        <f>C7*($E7*$AD7+($AE7))/453.59</f>
        <v>5.7711199138433596E-2</v>
      </c>
      <c r="AN94" s="38"/>
      <c r="AZ94" s="36"/>
    </row>
    <row r="95" spans="1:52">
      <c r="A95" s="61" t="s">
        <v>389</v>
      </c>
      <c r="B95" s="40"/>
      <c r="C95" s="40"/>
      <c r="D95" s="40"/>
      <c r="E95" s="40"/>
      <c r="F95" s="81">
        <f t="shared" ref="F95:P95" si="56">SUM(F91:F94)</f>
        <v>11.171545875261163</v>
      </c>
      <c r="G95" s="81">
        <f t="shared" si="56"/>
        <v>1.0044251177706942</v>
      </c>
      <c r="H95" s="81">
        <f t="shared" si="56"/>
        <v>1.1614995474509264</v>
      </c>
      <c r="I95" s="81">
        <f t="shared" si="56"/>
        <v>1.6716331624694165E-2</v>
      </c>
      <c r="J95" s="81">
        <f t="shared" si="56"/>
        <v>0.19605408046978162</v>
      </c>
      <c r="K95" s="81">
        <f t="shared" si="56"/>
        <v>8.5376122457822251E-2</v>
      </c>
      <c r="L95" s="81">
        <f t="shared" si="56"/>
        <v>0.19408739947965367</v>
      </c>
      <c r="M95" s="81">
        <f t="shared" si="56"/>
        <v>7.9575833786658001E-2</v>
      </c>
      <c r="N95" s="81">
        <f t="shared" si="56"/>
        <v>1274.7422646988946</v>
      </c>
      <c r="O95" s="81">
        <f t="shared" si="56"/>
        <v>7.2920933947695721E-2</v>
      </c>
      <c r="P95" s="81">
        <f t="shared" si="56"/>
        <v>0.13273575801839727</v>
      </c>
      <c r="AN95" s="38"/>
      <c r="AZ95" s="36"/>
    </row>
  </sheetData>
  <mergeCells count="16">
    <mergeCell ref="AR14:BA14"/>
    <mergeCell ref="A89:A90"/>
    <mergeCell ref="B89:B90"/>
    <mergeCell ref="F89:P89"/>
    <mergeCell ref="R2:U2"/>
    <mergeCell ref="V2:Y2"/>
    <mergeCell ref="Z2:AA2"/>
    <mergeCell ref="AB2:AC2"/>
    <mergeCell ref="AD2:AE2"/>
    <mergeCell ref="AF14:AO14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0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594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>
      <c r="A13" s="11" t="s">
        <v>398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>
      <c r="A14" s="100" t="s">
        <v>125</v>
      </c>
      <c r="B14" s="97" t="s">
        <v>27</v>
      </c>
      <c r="C14" s="22">
        <v>87</v>
      </c>
      <c r="D14" s="22">
        <v>0.37</v>
      </c>
      <c r="E14" s="108">
        <v>5.2437519504869065E-2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0.26257275132275132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0.33506412037037031</v>
      </c>
      <c r="H14" s="108">
        <v>6.0679618797898508E-4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2.1289682539682539E-2</v>
      </c>
      <c r="J14" s="100">
        <f t="shared" ref="J14:J18" si="4">0.89*I14</f>
        <v>1.894781746031746E-2</v>
      </c>
      <c r="K14" s="108">
        <v>51.728016924248784</v>
      </c>
      <c r="L14" s="108">
        <v>5.2037096026823848E-3</v>
      </c>
      <c r="M14" s="102">
        <f t="shared" ref="M14:M18" si="5">0.095*G14</f>
        <v>3.1831091435185178E-2</v>
      </c>
      <c r="N14" s="88">
        <v>1</v>
      </c>
      <c r="O14" s="88">
        <v>6</v>
      </c>
      <c r="P14" s="367">
        <v>15</v>
      </c>
      <c r="Q14" s="26">
        <f t="shared" ref="Q14:Y18" si="6">(E14*$N14*$O14)</f>
        <v>0.31462511702921436</v>
      </c>
      <c r="R14" s="26">
        <f t="shared" si="6"/>
        <v>1.5754365079365078</v>
      </c>
      <c r="S14" s="26">
        <f t="shared" si="6"/>
        <v>2.0103847222222218</v>
      </c>
      <c r="T14" s="26">
        <f t="shared" si="6"/>
        <v>3.6407771278739107E-3</v>
      </c>
      <c r="U14" s="26">
        <f t="shared" si="6"/>
        <v>0.12773809523809523</v>
      </c>
      <c r="V14" s="26">
        <f t="shared" si="6"/>
        <v>0.11368690476190477</v>
      </c>
      <c r="W14" s="26">
        <f t="shared" si="6"/>
        <v>310.36810154549272</v>
      </c>
      <c r="X14" s="26">
        <f t="shared" si="6"/>
        <v>3.1222257616094311E-2</v>
      </c>
      <c r="Y14" s="26">
        <f t="shared" si="6"/>
        <v>0.19098654861111108</v>
      </c>
    </row>
    <row r="15" spans="1:25">
      <c r="A15" s="100" t="s">
        <v>287</v>
      </c>
      <c r="B15" s="97" t="s">
        <v>27</v>
      </c>
      <c r="C15" s="97">
        <v>37</v>
      </c>
      <c r="D15" s="22">
        <v>0.37</v>
      </c>
      <c r="E15" s="102">
        <v>3.2313389441625637E-2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0.12374118165784832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0.16056172839506169</v>
      </c>
      <c r="H15" s="102">
        <v>3.2989906092678058E-4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1.3581349206349205E-2</v>
      </c>
      <c r="J15" s="100">
        <f t="shared" si="4"/>
        <v>1.2087400793650793E-2</v>
      </c>
      <c r="K15" s="103">
        <v>25.519156990664225</v>
      </c>
      <c r="L15" s="102">
        <v>3.413848047070189E-3</v>
      </c>
      <c r="M15" s="104">
        <f t="shared" si="5"/>
        <v>1.5253364197530862E-2</v>
      </c>
      <c r="N15" s="88">
        <v>1</v>
      </c>
      <c r="O15" s="88">
        <v>1</v>
      </c>
      <c r="P15" s="367">
        <v>75</v>
      </c>
      <c r="Q15" s="26">
        <f t="shared" si="6"/>
        <v>3.2313389441625637E-2</v>
      </c>
      <c r="R15" s="26">
        <f t="shared" si="6"/>
        <v>0.12374118165784832</v>
      </c>
      <c r="S15" s="26">
        <f t="shared" si="6"/>
        <v>0.16056172839506169</v>
      </c>
      <c r="T15" s="26">
        <f t="shared" si="6"/>
        <v>3.2989906092678058E-4</v>
      </c>
      <c r="U15" s="26">
        <f t="shared" si="6"/>
        <v>1.3581349206349205E-2</v>
      </c>
      <c r="V15" s="26">
        <f t="shared" si="6"/>
        <v>1.2087400793650793E-2</v>
      </c>
      <c r="W15" s="26">
        <f t="shared" si="6"/>
        <v>25.519156990664225</v>
      </c>
      <c r="X15" s="26">
        <f t="shared" si="6"/>
        <v>3.413848047070189E-3</v>
      </c>
      <c r="Y15" s="26">
        <f t="shared" si="6"/>
        <v>1.5253364197530862E-2</v>
      </c>
    </row>
    <row r="16" spans="1:25">
      <c r="A16" s="100" t="s">
        <v>292</v>
      </c>
      <c r="B16" s="22" t="s">
        <v>27</v>
      </c>
      <c r="C16" s="97">
        <v>69</v>
      </c>
      <c r="D16" s="22">
        <v>0.5</v>
      </c>
      <c r="E16" s="102">
        <v>0.10796897189848784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0.2814153439153439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0.40462962962962956</v>
      </c>
      <c r="H16" s="102">
        <v>7.6125329247041284E-4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2.2817460317460316E-2</v>
      </c>
      <c r="J16" s="100">
        <f t="shared" si="4"/>
        <v>2.030753968253968E-2</v>
      </c>
      <c r="K16" s="103">
        <v>64.895144949977833</v>
      </c>
      <c r="L16" s="102">
        <v>1.0324742188913067E-2</v>
      </c>
      <c r="M16" s="104">
        <f t="shared" si="5"/>
        <v>3.8439814814814809E-2</v>
      </c>
      <c r="N16" s="87">
        <v>1</v>
      </c>
      <c r="O16" s="87">
        <v>6</v>
      </c>
      <c r="P16" s="88">
        <f>8*22</f>
        <v>176</v>
      </c>
      <c r="Q16" s="34">
        <f t="shared" si="6"/>
        <v>0.64781383139092696</v>
      </c>
      <c r="R16" s="26">
        <f t="shared" si="6"/>
        <v>1.6884920634920633</v>
      </c>
      <c r="S16" s="26">
        <f t="shared" si="6"/>
        <v>2.4277777777777771</v>
      </c>
      <c r="T16" s="26">
        <f t="shared" si="6"/>
        <v>4.567519754822477E-3</v>
      </c>
      <c r="U16" s="26">
        <f t="shared" si="6"/>
        <v>0.13690476190476189</v>
      </c>
      <c r="V16" s="26">
        <f t="shared" si="6"/>
        <v>0.12184523809523809</v>
      </c>
      <c r="W16" s="26">
        <f t="shared" si="6"/>
        <v>389.370869699867</v>
      </c>
      <c r="X16" s="26">
        <f t="shared" si="6"/>
        <v>6.1948453133478402E-2</v>
      </c>
      <c r="Y16" s="26">
        <f t="shared" si="6"/>
        <v>0.23063888888888884</v>
      </c>
    </row>
    <row r="17" spans="1:25">
      <c r="A17" s="100" t="s">
        <v>113</v>
      </c>
      <c r="B17" s="22" t="s">
        <v>27</v>
      </c>
      <c r="C17" s="97">
        <v>8</v>
      </c>
      <c r="D17" s="97"/>
      <c r="E17" s="23">
        <v>5.0214940278324668E-3</v>
      </c>
      <c r="F17" s="102">
        <v>2.6339776897464882E-2</v>
      </c>
      <c r="G17" s="102">
        <v>3.1446511855053767E-2</v>
      </c>
      <c r="H17" s="102">
        <v>6.7126585936112015E-5</v>
      </c>
      <c r="I17" s="102">
        <v>1.2318111482797186E-3</v>
      </c>
      <c r="J17" s="100">
        <f t="shared" si="4"/>
        <v>1.0963119219689495E-3</v>
      </c>
      <c r="K17" s="103">
        <v>4.3138036171262613</v>
      </c>
      <c r="L17" s="102">
        <v>4.5308138614573088E-4</v>
      </c>
      <c r="M17" s="104">
        <f t="shared" si="5"/>
        <v>2.9874186262301081E-3</v>
      </c>
      <c r="N17" s="87">
        <v>1</v>
      </c>
      <c r="O17" s="88">
        <v>6</v>
      </c>
      <c r="P17" s="88">
        <v>20</v>
      </c>
      <c r="Q17" s="34">
        <f t="shared" si="6"/>
        <v>3.0128964166994801E-2</v>
      </c>
      <c r="R17" s="26">
        <f t="shared" si="6"/>
        <v>0.15803866138478928</v>
      </c>
      <c r="S17" s="26">
        <f t="shared" si="6"/>
        <v>0.18867907113032262</v>
      </c>
      <c r="T17" s="26">
        <f t="shared" si="6"/>
        <v>4.0275951561667212E-4</v>
      </c>
      <c r="U17" s="26">
        <f t="shared" si="6"/>
        <v>7.3908668896783113E-3</v>
      </c>
      <c r="V17" s="26">
        <f t="shared" si="6"/>
        <v>6.5778715318136971E-3</v>
      </c>
      <c r="W17" s="26">
        <f t="shared" si="6"/>
        <v>25.882821702757568</v>
      </c>
      <c r="X17" s="26">
        <f t="shared" si="6"/>
        <v>2.718488316874385E-3</v>
      </c>
      <c r="Y17" s="26">
        <f t="shared" si="6"/>
        <v>1.7924511757380648E-2</v>
      </c>
    </row>
    <row r="18" spans="1:25">
      <c r="A18" s="100" t="s">
        <v>126</v>
      </c>
      <c r="B18" s="22" t="s">
        <v>27</v>
      </c>
      <c r="C18" s="22">
        <v>175</v>
      </c>
      <c r="D18" s="22"/>
      <c r="E18" s="102">
        <v>0.11792220738547983</v>
      </c>
      <c r="F18" s="102">
        <v>0.36512193352152528</v>
      </c>
      <c r="G18" s="102">
        <v>0.86781464282266541</v>
      </c>
      <c r="H18" s="102">
        <v>1.8739217498104396E-3</v>
      </c>
      <c r="I18" s="102">
        <v>2.9041712295589866E-2</v>
      </c>
      <c r="J18" s="100">
        <f t="shared" si="4"/>
        <v>2.5847123943074982E-2</v>
      </c>
      <c r="K18" s="103">
        <v>166.54541562452522</v>
      </c>
      <c r="L18" s="102">
        <v>1.063993297769634E-2</v>
      </c>
      <c r="M18" s="104">
        <f t="shared" si="5"/>
        <v>8.2442391068153209E-2</v>
      </c>
      <c r="N18" s="88">
        <v>1</v>
      </c>
      <c r="O18" s="88">
        <v>3</v>
      </c>
      <c r="P18" s="367">
        <v>40</v>
      </c>
      <c r="Q18" s="26">
        <f t="shared" si="6"/>
        <v>0.3537666221564395</v>
      </c>
      <c r="R18" s="26">
        <f t="shared" si="6"/>
        <v>1.0953658005645759</v>
      </c>
      <c r="S18" s="26">
        <f t="shared" si="6"/>
        <v>2.6034439284679962</v>
      </c>
      <c r="T18" s="26">
        <f t="shared" si="6"/>
        <v>5.6217652494313184E-3</v>
      </c>
      <c r="U18" s="26">
        <f t="shared" si="6"/>
        <v>8.7125136886769594E-2</v>
      </c>
      <c r="V18" s="26">
        <f t="shared" si="6"/>
        <v>7.754137182922495E-2</v>
      </c>
      <c r="W18" s="26">
        <f t="shared" si="6"/>
        <v>499.63624687357566</v>
      </c>
      <c r="X18" s="26">
        <f t="shared" si="6"/>
        <v>3.1919798933089022E-2</v>
      </c>
      <c r="Y18" s="26">
        <f t="shared" si="6"/>
        <v>0.24732717320445963</v>
      </c>
    </row>
    <row r="19" spans="1:25">
      <c r="A19" s="17" t="s">
        <v>28</v>
      </c>
      <c r="B19" s="97"/>
      <c r="C19" s="22"/>
      <c r="D19" s="22"/>
      <c r="E19" s="23"/>
      <c r="F19" s="23"/>
      <c r="G19" s="23"/>
      <c r="H19" s="23"/>
      <c r="I19" s="23"/>
      <c r="J19" s="24"/>
      <c r="K19" s="25"/>
      <c r="L19" s="23"/>
      <c r="M19" s="23"/>
      <c r="N19" s="88"/>
      <c r="O19" s="88"/>
      <c r="P19" s="88"/>
      <c r="Q19" s="27">
        <f t="shared" ref="Q19:Y19" si="7">SUM(Q14:Q18)</f>
        <v>1.3786479241852012</v>
      </c>
      <c r="R19" s="27">
        <f t="shared" si="7"/>
        <v>4.6410742150357844</v>
      </c>
      <c r="S19" s="27">
        <f t="shared" si="7"/>
        <v>7.3908472279933788</v>
      </c>
      <c r="T19" s="27">
        <f t="shared" si="7"/>
        <v>1.4562720708671158E-2</v>
      </c>
      <c r="U19" s="27">
        <f t="shared" si="7"/>
        <v>0.37274021012565423</v>
      </c>
      <c r="V19" s="27">
        <f t="shared" si="7"/>
        <v>0.33173878701183229</v>
      </c>
      <c r="W19" s="27">
        <f t="shared" si="7"/>
        <v>1250.7771968123573</v>
      </c>
      <c r="X19" s="27">
        <f t="shared" si="7"/>
        <v>0.13122284604660631</v>
      </c>
      <c r="Y19" s="27">
        <f t="shared" si="7"/>
        <v>0.70213048665937106</v>
      </c>
    </row>
    <row r="20" spans="1:25">
      <c r="A20" s="17" t="s">
        <v>387</v>
      </c>
      <c r="B20" s="549"/>
      <c r="C20" s="18"/>
      <c r="D20" s="22"/>
      <c r="E20" s="19"/>
      <c r="F20" s="19"/>
      <c r="G20" s="19"/>
      <c r="H20" s="19"/>
      <c r="I20" s="19"/>
      <c r="J20" s="19"/>
      <c r="K20" s="19"/>
      <c r="L20" s="19"/>
      <c r="M20" s="19"/>
      <c r="N20" s="30"/>
      <c r="O20" s="30"/>
      <c r="P20" s="364"/>
      <c r="Q20" s="20">
        <f>Q11+Q19</f>
        <v>2.0932250472767984</v>
      </c>
      <c r="R20" s="20">
        <f t="shared" ref="R20:Y20" si="8">R11+R19</f>
        <v>7.5952334259941789</v>
      </c>
      <c r="S20" s="20">
        <f t="shared" si="8"/>
        <v>11.811903674132536</v>
      </c>
      <c r="T20" s="20">
        <f t="shared" si="8"/>
        <v>2.2885786944749038E-2</v>
      </c>
      <c r="U20" s="20">
        <f t="shared" si="8"/>
        <v>0.61854850244170168</v>
      </c>
      <c r="V20" s="20">
        <f t="shared" si="8"/>
        <v>0.55050816717311446</v>
      </c>
      <c r="W20" s="20">
        <f t="shared" si="8"/>
        <v>1947.2306892973854</v>
      </c>
      <c r="X20" s="20">
        <f t="shared" si="8"/>
        <v>0.20376265223717605</v>
      </c>
      <c r="Y20" s="20">
        <f t="shared" si="8"/>
        <v>1.122130849042591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1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42578125" style="36" bestFit="1" customWidth="1"/>
    <col min="4" max="4" width="10.85546875" style="36" customWidth="1"/>
    <col min="5" max="5" width="10.42578125" style="36" bestFit="1" customWidth="1"/>
    <col min="6" max="6" width="9.5703125" style="36" bestFit="1" customWidth="1"/>
    <col min="7" max="7" width="12" style="36" bestFit="1" customWidth="1"/>
    <col min="8" max="8" width="9.5703125" style="36" bestFit="1" customWidth="1"/>
    <col min="9" max="9" width="11.85546875" style="36" bestFit="1" customWidth="1"/>
    <col min="10" max="11" width="9.5703125" style="36" bestFit="1" customWidth="1"/>
    <col min="12" max="13" width="11.85546875" style="36" bestFit="1" customWidth="1"/>
    <col min="14" max="14" width="9.5703125" style="36" bestFit="1" customWidth="1"/>
    <col min="15" max="16" width="10.85546875" style="36" bestFit="1" customWidth="1"/>
    <col min="17" max="17" width="9.5703125" style="36" bestFit="1" customWidth="1"/>
    <col min="18" max="18" width="12.85546875" style="36" bestFit="1" customWidth="1"/>
    <col min="19" max="30" width="9.5703125" style="36" bestFit="1" customWidth="1"/>
    <col min="31" max="16384" width="9.140625" style="36"/>
  </cols>
  <sheetData>
    <row r="1" spans="1:30">
      <c r="A1" s="3" t="s">
        <v>595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315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C9*(F9)*$B$142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C10*(F10)*$B$142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334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C14*(F14)*$B$244</f>
        <v>0</v>
      </c>
      <c r="AA14" s="50">
        <f>Z14*0.21</f>
        <v>0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8" t="s">
        <v>331</v>
      </c>
      <c r="B15" s="76" t="s">
        <v>105</v>
      </c>
      <c r="C15" s="374">
        <v>16</v>
      </c>
      <c r="D15" s="77"/>
      <c r="E15" s="77">
        <v>35</v>
      </c>
      <c r="F15" s="77">
        <v>80</v>
      </c>
      <c r="G15" s="106">
        <v>1.08263976628415</v>
      </c>
      <c r="H15" s="106">
        <v>4.9712718909585103</v>
      </c>
      <c r="I15" s="106">
        <v>0.26248012575016899</v>
      </c>
      <c r="J15" s="106">
        <v>1.0711818E-2</v>
      </c>
      <c r="K15" s="106">
        <v>7.1679901072141505E-2</v>
      </c>
      <c r="L15" s="576">
        <v>3.59998119015979E-2</v>
      </c>
      <c r="M15" s="576">
        <v>6.1739677411240299E-2</v>
      </c>
      <c r="N15" s="106">
        <v>6.5945508986370194E-2</v>
      </c>
      <c r="O15" s="576">
        <v>2.9999843251331498E-3</v>
      </c>
      <c r="P15" s="576">
        <v>5.5859708133979398E-2</v>
      </c>
      <c r="Q15" s="106">
        <v>1710.7260798814</v>
      </c>
      <c r="R15" s="47">
        <v>1.5235246282551899E-2</v>
      </c>
      <c r="S15" s="80">
        <f>0.000025616*Q15</f>
        <v>4.3821959262241944E-2</v>
      </c>
      <c r="T15" s="50">
        <f>C15*($F15*$G15)/453.59</f>
        <v>3.0551354766280387</v>
      </c>
      <c r="U15" s="50">
        <f>C15*($F15*$H15)/453.59</f>
        <v>14.028589740573853</v>
      </c>
      <c r="V15" s="50">
        <f>C15*(($F15*$I15))/453.59</f>
        <v>0.74070098758838676</v>
      </c>
      <c r="W15" s="50">
        <f>C15*($F15*$J15)/453.59</f>
        <v>3.0228018783482882E-2</v>
      </c>
      <c r="X15" s="50">
        <f>C15*(($F15*($K15+$L15+$M15)))/453.59</f>
        <v>0.47808994839563052</v>
      </c>
      <c r="Y15" s="50">
        <f>C15*(($F15*($N15+$O15+$P15)))/453.59</f>
        <v>0.35219175433809813</v>
      </c>
      <c r="Z15" s="50">
        <f>C15*(F15)*$B$142</f>
        <v>0</v>
      </c>
      <c r="AA15" s="50">
        <f>Z15*0.21</f>
        <v>0</v>
      </c>
      <c r="AB15" s="50">
        <f>C15*(($F15*($Q15)))/453.59</f>
        <v>4827.5521555770456</v>
      </c>
      <c r="AC15" s="50">
        <f>C15*(($F15*($R15)))/453.59</f>
        <v>4.2992824448657235E-2</v>
      </c>
      <c r="AD15" s="50">
        <f>C15*(($F15*($S15)))/453.59</f>
        <v>0.12366257601726161</v>
      </c>
    </row>
    <row r="16" spans="1:30">
      <c r="A16" s="75" t="s">
        <v>28</v>
      </c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>
        <f>SUM(T14:T15)</f>
        <v>3.2549180276953287</v>
      </c>
      <c r="U16" s="81">
        <f t="shared" ref="U16:AD16" si="1">SUM(U14:U15)</f>
        <v>14.39740849623329</v>
      </c>
      <c r="V16" s="81">
        <f t="shared" si="1"/>
        <v>0.78576233311427945</v>
      </c>
      <c r="W16" s="81">
        <f t="shared" si="1"/>
        <v>3.3007741464697836E-2</v>
      </c>
      <c r="X16" s="81">
        <f t="shared" si="1"/>
        <v>0.55082887813593273</v>
      </c>
      <c r="Y16" s="81">
        <f t="shared" si="1"/>
        <v>0.40052395230405291</v>
      </c>
      <c r="Z16" s="81">
        <f t="shared" si="1"/>
        <v>0</v>
      </c>
      <c r="AA16" s="81">
        <f t="shared" si="1"/>
        <v>0</v>
      </c>
      <c r="AB16" s="81">
        <f t="shared" si="1"/>
        <v>5021.1803667575587</v>
      </c>
      <c r="AC16" s="81">
        <f t="shared" si="1"/>
        <v>5.4057321320145305E-2</v>
      </c>
      <c r="AD16" s="81">
        <f t="shared" si="1"/>
        <v>0.12862255627486163</v>
      </c>
    </row>
    <row r="17" spans="1:30">
      <c r="A17" s="75" t="s">
        <v>388</v>
      </c>
      <c r="B17" s="74"/>
      <c r="C17" s="112"/>
      <c r="D17" s="112"/>
      <c r="E17" s="74"/>
      <c r="F17" s="74"/>
      <c r="G17" s="547"/>
      <c r="H17" s="41"/>
      <c r="I17" s="41"/>
      <c r="J17" s="41"/>
      <c r="K17" s="544"/>
      <c r="L17" s="544"/>
      <c r="M17" s="544"/>
      <c r="N17" s="544"/>
      <c r="O17" s="544"/>
      <c r="P17" s="544"/>
      <c r="Q17" s="41"/>
      <c r="R17" s="544"/>
      <c r="S17" s="544"/>
      <c r="T17" s="81">
        <f>T11+T16</f>
        <v>3.5457552705182263</v>
      </c>
      <c r="U17" s="81">
        <f t="shared" ref="U17:AD17" si="2">U11+U16</f>
        <v>15.458604732848874</v>
      </c>
      <c r="V17" s="81">
        <f t="shared" si="2"/>
        <v>0.85458681760150002</v>
      </c>
      <c r="W17" s="81">
        <f t="shared" si="2"/>
        <v>3.628685397927299E-2</v>
      </c>
      <c r="X17" s="81">
        <f t="shared" si="2"/>
        <v>0.61707896478081081</v>
      </c>
      <c r="Y17" s="81">
        <f t="shared" si="2"/>
        <v>0.44670203593316143</v>
      </c>
      <c r="Z17" s="81">
        <f t="shared" si="2"/>
        <v>0</v>
      </c>
      <c r="AA17" s="81">
        <f t="shared" si="2"/>
        <v>0</v>
      </c>
      <c r="AB17" s="81">
        <f t="shared" si="2"/>
        <v>5419.7164820713806</v>
      </c>
      <c r="AC17" s="81">
        <f t="shared" si="2"/>
        <v>6.2276621283930411E-2</v>
      </c>
      <c r="AD17" s="81">
        <f t="shared" si="2"/>
        <v>0.13883145740474051</v>
      </c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369" spans="1:2" ht="25.5">
      <c r="A369" s="82" t="s">
        <v>109</v>
      </c>
    </row>
    <row r="371" spans="1:2">
      <c r="A371" s="36" t="s">
        <v>81</v>
      </c>
    </row>
    <row r="372" spans="1:2">
      <c r="A372" s="36" t="s">
        <v>82</v>
      </c>
    </row>
    <row r="373" spans="1:2">
      <c r="A373" s="36" t="s">
        <v>83</v>
      </c>
    </row>
    <row r="374" spans="1:2">
      <c r="A374" s="37" t="s">
        <v>96</v>
      </c>
    </row>
    <row r="375" spans="1:2">
      <c r="A375" s="36" t="s">
        <v>85</v>
      </c>
    </row>
    <row r="376" spans="1:2">
      <c r="A376" s="36" t="s">
        <v>86</v>
      </c>
    </row>
    <row r="377" spans="1:2">
      <c r="A377" s="36" t="s">
        <v>87</v>
      </c>
    </row>
    <row r="378" spans="1:2">
      <c r="A378" s="36" t="s">
        <v>0</v>
      </c>
    </row>
    <row r="379" spans="1:2">
      <c r="A379" s="37" t="s">
        <v>97</v>
      </c>
      <c r="B379" s="36">
        <f>(0.016*(0.03/2)^0.65*(2/3)^1.5)-0.00047</f>
        <v>9.8123053326417428E-5</v>
      </c>
    </row>
    <row r="380" spans="1:2">
      <c r="A380" s="37" t="s">
        <v>98</v>
      </c>
      <c r="B380" s="36">
        <f>(0.016*(0.03/2)^0.65*(13/3)^1.5)-0.00047</f>
        <v>8.9448292388582783E-3</v>
      </c>
    </row>
    <row r="381" spans="1:2">
      <c r="A381" s="37" t="s">
        <v>99</v>
      </c>
      <c r="B381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2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596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516</v>
      </c>
      <c r="B5" s="45" t="s">
        <v>102</v>
      </c>
      <c r="C5" s="46">
        <v>12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63"/>
      <c r="AE6" s="53"/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546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2">AG$11*$AC16</f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>AR$11*$AC16</f>
        <v>#REF!</v>
      </c>
      <c r="AS16" s="36" t="e">
        <f t="shared" ref="AS16:BA24" si="3">AS$11*$AC16</f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4">AF$11*$AC17</f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ref="AR17:AR24" si="5">AR$11*$AC17</f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6">AF$11*$AC27</f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ref="AR27:BA35" si="7">AR$11*$AC27</f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8">AF$11*$AC38</f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ref="AR38:BA46" si="9">AR$11*$AC38</f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0">AF16+AF18+AF19</f>
        <v>#REF!</v>
      </c>
      <c r="AG51" s="70" t="e">
        <f t="shared" si="10"/>
        <v>#REF!</v>
      </c>
      <c r="AH51" s="70" t="e">
        <f t="shared" si="10"/>
        <v>#REF!</v>
      </c>
      <c r="AI51" s="70" t="e">
        <f t="shared" si="10"/>
        <v>#REF!</v>
      </c>
      <c r="AJ51" s="70" t="e">
        <f t="shared" si="10"/>
        <v>#REF!</v>
      </c>
      <c r="AK51" s="70" t="e">
        <f t="shared" si="10"/>
        <v>#REF!</v>
      </c>
      <c r="AL51" s="70" t="e">
        <f t="shared" si="10"/>
        <v>#REF!</v>
      </c>
      <c r="AM51" s="70" t="e">
        <f t="shared" si="10"/>
        <v>#REF!</v>
      </c>
      <c r="AN51" s="70" t="e">
        <f t="shared" si="10"/>
        <v>#REF!</v>
      </c>
      <c r="AO51" s="70" t="e">
        <f t="shared" si="10"/>
        <v>#REF!</v>
      </c>
      <c r="AP51" s="70"/>
      <c r="AQ51" s="70"/>
      <c r="AR51" s="70" t="e">
        <f t="shared" ref="AR51:BA51" si="11">AR16+AR18+AR19</f>
        <v>#REF!</v>
      </c>
      <c r="AS51" s="70" t="e">
        <f t="shared" si="11"/>
        <v>#REF!</v>
      </c>
      <c r="AT51" s="70" t="e">
        <f t="shared" si="11"/>
        <v>#REF!</v>
      </c>
      <c r="AU51" s="70" t="e">
        <f t="shared" si="11"/>
        <v>#REF!</v>
      </c>
      <c r="AV51" s="70" t="e">
        <f t="shared" si="11"/>
        <v>#REF!</v>
      </c>
      <c r="AW51" s="70" t="e">
        <f t="shared" si="11"/>
        <v>#REF!</v>
      </c>
      <c r="AX51" s="70" t="e">
        <f t="shared" si="11"/>
        <v>#REF!</v>
      </c>
      <c r="AY51" s="70" t="e">
        <f t="shared" si="11"/>
        <v>#REF!</v>
      </c>
      <c r="AZ51" s="70" t="e">
        <f t="shared" si="11"/>
        <v>#REF!</v>
      </c>
      <c r="BA51" s="70" t="e">
        <f t="shared" si="11"/>
        <v>#REF!</v>
      </c>
    </row>
    <row r="52" spans="27:53" hidden="1">
      <c r="AA52" s="71" t="s">
        <v>41</v>
      </c>
      <c r="AB52" s="35"/>
      <c r="AF52" s="70" t="e">
        <f t="shared" ref="AF52:AO52" si="12">AF27+AF29+AF30</f>
        <v>#REF!</v>
      </c>
      <c r="AG52" s="70" t="e">
        <f t="shared" si="12"/>
        <v>#REF!</v>
      </c>
      <c r="AH52" s="70" t="e">
        <f t="shared" si="12"/>
        <v>#REF!</v>
      </c>
      <c r="AI52" s="70" t="e">
        <f t="shared" si="12"/>
        <v>#REF!</v>
      </c>
      <c r="AJ52" s="70" t="e">
        <f t="shared" si="12"/>
        <v>#REF!</v>
      </c>
      <c r="AK52" s="70" t="e">
        <f t="shared" si="12"/>
        <v>#REF!</v>
      </c>
      <c r="AL52" s="70" t="e">
        <f t="shared" si="12"/>
        <v>#REF!</v>
      </c>
      <c r="AM52" s="70" t="e">
        <f t="shared" si="12"/>
        <v>#REF!</v>
      </c>
      <c r="AN52" s="70" t="e">
        <f t="shared" si="12"/>
        <v>#REF!</v>
      </c>
      <c r="AO52" s="70" t="e">
        <f t="shared" si="12"/>
        <v>#REF!</v>
      </c>
      <c r="AP52" s="70"/>
      <c r="AQ52" s="70"/>
      <c r="AR52" s="70" t="e">
        <f t="shared" ref="AR52:BA52" si="13">AR27+AR29+AR30</f>
        <v>#REF!</v>
      </c>
      <c r="AS52" s="70" t="e">
        <f t="shared" si="13"/>
        <v>#REF!</v>
      </c>
      <c r="AT52" s="70" t="e">
        <f t="shared" si="13"/>
        <v>#REF!</v>
      </c>
      <c r="AU52" s="70" t="e">
        <f t="shared" si="13"/>
        <v>#REF!</v>
      </c>
      <c r="AV52" s="70" t="e">
        <f t="shared" si="13"/>
        <v>#REF!</v>
      </c>
      <c r="AW52" s="70" t="e">
        <f t="shared" si="13"/>
        <v>#REF!</v>
      </c>
      <c r="AX52" s="70" t="e">
        <f t="shared" si="13"/>
        <v>#REF!</v>
      </c>
      <c r="AY52" s="70" t="e">
        <f t="shared" si="13"/>
        <v>#REF!</v>
      </c>
      <c r="AZ52" s="70" t="e">
        <f t="shared" si="13"/>
        <v>#REF!</v>
      </c>
      <c r="BA52" s="70" t="e">
        <f t="shared" si="13"/>
        <v>#REF!</v>
      </c>
    </row>
    <row r="53" spans="27:53" hidden="1">
      <c r="AA53" s="71" t="s">
        <v>42</v>
      </c>
      <c r="AB53" s="35"/>
      <c r="AF53" s="70" t="e">
        <f t="shared" ref="AF53:AO53" si="14">AF38+AF40+AF41</f>
        <v>#REF!</v>
      </c>
      <c r="AG53" s="70" t="e">
        <f t="shared" si="14"/>
        <v>#REF!</v>
      </c>
      <c r="AH53" s="70" t="e">
        <f t="shared" si="14"/>
        <v>#REF!</v>
      </c>
      <c r="AI53" s="70" t="e">
        <f t="shared" si="14"/>
        <v>#REF!</v>
      </c>
      <c r="AJ53" s="70" t="e">
        <f t="shared" si="14"/>
        <v>#REF!</v>
      </c>
      <c r="AK53" s="70" t="e">
        <f t="shared" si="14"/>
        <v>#REF!</v>
      </c>
      <c r="AL53" s="70" t="e">
        <f t="shared" si="14"/>
        <v>#REF!</v>
      </c>
      <c r="AM53" s="70" t="e">
        <f t="shared" si="14"/>
        <v>#REF!</v>
      </c>
      <c r="AN53" s="70" t="e">
        <f t="shared" si="14"/>
        <v>#REF!</v>
      </c>
      <c r="AO53" s="70" t="e">
        <f t="shared" si="14"/>
        <v>#REF!</v>
      </c>
      <c r="AP53" s="70"/>
      <c r="AQ53" s="70"/>
      <c r="AR53" s="70" t="e">
        <f t="shared" ref="AR53:BA53" si="15">AR38+AR40+AR41</f>
        <v>#REF!</v>
      </c>
      <c r="AS53" s="70" t="e">
        <f t="shared" si="15"/>
        <v>#REF!</v>
      </c>
      <c r="AT53" s="70" t="e">
        <f t="shared" si="15"/>
        <v>#REF!</v>
      </c>
      <c r="AU53" s="70" t="e">
        <f t="shared" si="15"/>
        <v>#REF!</v>
      </c>
      <c r="AV53" s="70" t="e">
        <f t="shared" si="15"/>
        <v>#REF!</v>
      </c>
      <c r="AW53" s="70" t="e">
        <f t="shared" si="15"/>
        <v>#REF!</v>
      </c>
      <c r="AX53" s="70" t="e">
        <f t="shared" si="15"/>
        <v>#REF!</v>
      </c>
      <c r="AY53" s="70" t="e">
        <f t="shared" si="15"/>
        <v>#REF!</v>
      </c>
      <c r="AZ53" s="70" t="e">
        <f t="shared" si="15"/>
        <v>#REF!</v>
      </c>
      <c r="BA53" s="70" t="e">
        <f t="shared" si="15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6">AF16+AF18+AF20+AF22</f>
        <v>#REF!</v>
      </c>
      <c r="AG55" s="70" t="e">
        <f t="shared" si="16"/>
        <v>#REF!</v>
      </c>
      <c r="AH55" s="70" t="e">
        <f t="shared" si="16"/>
        <v>#REF!</v>
      </c>
      <c r="AI55" s="70" t="e">
        <f t="shared" si="16"/>
        <v>#REF!</v>
      </c>
      <c r="AJ55" s="70" t="e">
        <f t="shared" si="16"/>
        <v>#REF!</v>
      </c>
      <c r="AK55" s="70" t="e">
        <f t="shared" si="16"/>
        <v>#REF!</v>
      </c>
      <c r="AL55" s="70" t="e">
        <f t="shared" si="16"/>
        <v>#REF!</v>
      </c>
      <c r="AM55" s="70" t="e">
        <f t="shared" si="16"/>
        <v>#REF!</v>
      </c>
      <c r="AN55" s="70" t="e">
        <f t="shared" si="16"/>
        <v>#REF!</v>
      </c>
      <c r="AO55" s="70" t="e">
        <f t="shared" si="16"/>
        <v>#REF!</v>
      </c>
      <c r="AP55" s="70"/>
      <c r="AQ55" s="70"/>
      <c r="AR55" s="70" t="e">
        <f t="shared" ref="AR55:BA55" si="17">AR16+AR18+AR20+AR22</f>
        <v>#REF!</v>
      </c>
      <c r="AS55" s="70" t="e">
        <f t="shared" si="17"/>
        <v>#REF!</v>
      </c>
      <c r="AT55" s="70" t="e">
        <f t="shared" si="17"/>
        <v>#REF!</v>
      </c>
      <c r="AU55" s="70" t="e">
        <f t="shared" si="17"/>
        <v>#REF!</v>
      </c>
      <c r="AV55" s="70" t="e">
        <f t="shared" si="17"/>
        <v>#REF!</v>
      </c>
      <c r="AW55" s="70" t="e">
        <f t="shared" si="17"/>
        <v>#REF!</v>
      </c>
      <c r="AX55" s="70" t="e">
        <f t="shared" si="17"/>
        <v>#REF!</v>
      </c>
      <c r="AY55" s="70" t="e">
        <f t="shared" si="17"/>
        <v>#REF!</v>
      </c>
      <c r="AZ55" s="70" t="e">
        <f t="shared" si="17"/>
        <v>#REF!</v>
      </c>
      <c r="BA55" s="70" t="e">
        <f t="shared" si="17"/>
        <v>#REF!</v>
      </c>
    </row>
    <row r="56" spans="27:53" hidden="1">
      <c r="AA56" s="71" t="s">
        <v>41</v>
      </c>
      <c r="AB56" s="35"/>
      <c r="AF56" s="70" t="e">
        <f t="shared" ref="AF56:AO56" si="18">AF27+AF29+AF31+AF33</f>
        <v>#REF!</v>
      </c>
      <c r="AG56" s="70" t="e">
        <f t="shared" si="18"/>
        <v>#REF!</v>
      </c>
      <c r="AH56" s="70" t="e">
        <f t="shared" si="18"/>
        <v>#REF!</v>
      </c>
      <c r="AI56" s="70" t="e">
        <f t="shared" si="18"/>
        <v>#REF!</v>
      </c>
      <c r="AJ56" s="70" t="e">
        <f t="shared" si="18"/>
        <v>#REF!</v>
      </c>
      <c r="AK56" s="70" t="e">
        <f t="shared" si="18"/>
        <v>#REF!</v>
      </c>
      <c r="AL56" s="70" t="e">
        <f t="shared" si="18"/>
        <v>#REF!</v>
      </c>
      <c r="AM56" s="70" t="e">
        <f t="shared" si="18"/>
        <v>#REF!</v>
      </c>
      <c r="AN56" s="70" t="e">
        <f t="shared" si="18"/>
        <v>#REF!</v>
      </c>
      <c r="AO56" s="70" t="e">
        <f t="shared" si="18"/>
        <v>#REF!</v>
      </c>
      <c r="AP56" s="70"/>
      <c r="AQ56" s="70"/>
      <c r="AR56" s="70" t="e">
        <f t="shared" ref="AR56:BA56" si="19">AR27+AR29+AR31+AR33</f>
        <v>#REF!</v>
      </c>
      <c r="AS56" s="70" t="e">
        <f t="shared" si="19"/>
        <v>#REF!</v>
      </c>
      <c r="AT56" s="70" t="e">
        <f t="shared" si="19"/>
        <v>#REF!</v>
      </c>
      <c r="AU56" s="70" t="e">
        <f t="shared" si="19"/>
        <v>#REF!</v>
      </c>
      <c r="AV56" s="70" t="e">
        <f t="shared" si="19"/>
        <v>#REF!</v>
      </c>
      <c r="AW56" s="70" t="e">
        <f t="shared" si="19"/>
        <v>#REF!</v>
      </c>
      <c r="AX56" s="70" t="e">
        <f t="shared" si="19"/>
        <v>#REF!</v>
      </c>
      <c r="AY56" s="70" t="e">
        <f t="shared" si="19"/>
        <v>#REF!</v>
      </c>
      <c r="AZ56" s="70" t="e">
        <f t="shared" si="19"/>
        <v>#REF!</v>
      </c>
      <c r="BA56" s="70" t="e">
        <f t="shared" si="19"/>
        <v>#REF!</v>
      </c>
    </row>
    <row r="57" spans="27:53" hidden="1">
      <c r="AA57" s="71" t="s">
        <v>42</v>
      </c>
      <c r="AB57" s="35"/>
      <c r="AF57" s="70" t="e">
        <f t="shared" ref="AF57:AO57" si="20">AF38+AF40+AF42+AF44</f>
        <v>#REF!</v>
      </c>
      <c r="AG57" s="70" t="e">
        <f t="shared" si="20"/>
        <v>#REF!</v>
      </c>
      <c r="AH57" s="70" t="e">
        <f t="shared" si="20"/>
        <v>#REF!</v>
      </c>
      <c r="AI57" s="70" t="e">
        <f t="shared" si="20"/>
        <v>#REF!</v>
      </c>
      <c r="AJ57" s="70" t="e">
        <f t="shared" si="20"/>
        <v>#REF!</v>
      </c>
      <c r="AK57" s="70" t="e">
        <f t="shared" si="20"/>
        <v>#REF!</v>
      </c>
      <c r="AL57" s="70" t="e">
        <f t="shared" si="20"/>
        <v>#REF!</v>
      </c>
      <c r="AM57" s="70" t="e">
        <f t="shared" si="20"/>
        <v>#REF!</v>
      </c>
      <c r="AN57" s="70" t="e">
        <f t="shared" si="20"/>
        <v>#REF!</v>
      </c>
      <c r="AO57" s="70" t="e">
        <f t="shared" si="20"/>
        <v>#REF!</v>
      </c>
      <c r="AP57" s="70"/>
      <c r="AQ57" s="70"/>
      <c r="AR57" s="70" t="e">
        <f t="shared" ref="AR57:BA57" si="21">AR38+AR40+AR42+AR44</f>
        <v>#REF!</v>
      </c>
      <c r="AS57" s="70" t="e">
        <f t="shared" si="21"/>
        <v>#REF!</v>
      </c>
      <c r="AT57" s="70" t="e">
        <f t="shared" si="21"/>
        <v>#REF!</v>
      </c>
      <c r="AU57" s="70" t="e">
        <f t="shared" si="21"/>
        <v>#REF!</v>
      </c>
      <c r="AV57" s="70" t="e">
        <f t="shared" si="21"/>
        <v>#REF!</v>
      </c>
      <c r="AW57" s="70" t="e">
        <f t="shared" si="21"/>
        <v>#REF!</v>
      </c>
      <c r="AX57" s="70" t="e">
        <f t="shared" si="21"/>
        <v>#REF!</v>
      </c>
      <c r="AY57" s="70" t="e">
        <f t="shared" si="21"/>
        <v>#REF!</v>
      </c>
      <c r="AZ57" s="70" t="e">
        <f t="shared" si="21"/>
        <v>#REF!</v>
      </c>
      <c r="BA57" s="70" t="e">
        <f t="shared" si="21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2">AF16+AF18+AF20+AF21+AF23</f>
        <v>#REF!</v>
      </c>
      <c r="AG59" s="70" t="e">
        <f t="shared" si="22"/>
        <v>#REF!</v>
      </c>
      <c r="AH59" s="70" t="e">
        <f t="shared" si="22"/>
        <v>#REF!</v>
      </c>
      <c r="AI59" s="70" t="e">
        <f t="shared" si="22"/>
        <v>#REF!</v>
      </c>
      <c r="AJ59" s="70" t="e">
        <f t="shared" si="22"/>
        <v>#REF!</v>
      </c>
      <c r="AK59" s="70" t="e">
        <f t="shared" si="22"/>
        <v>#REF!</v>
      </c>
      <c r="AL59" s="70" t="e">
        <f t="shared" si="22"/>
        <v>#REF!</v>
      </c>
      <c r="AM59" s="70" t="e">
        <f t="shared" si="22"/>
        <v>#REF!</v>
      </c>
      <c r="AN59" s="70" t="e">
        <f t="shared" si="22"/>
        <v>#REF!</v>
      </c>
      <c r="AO59" s="70" t="e">
        <f t="shared" si="22"/>
        <v>#REF!</v>
      </c>
      <c r="AP59" s="70"/>
      <c r="AQ59" s="70"/>
      <c r="AR59" s="70" t="e">
        <f t="shared" ref="AR59:BA59" si="23">AR16+AR18+AR20+AR21+AR23</f>
        <v>#REF!</v>
      </c>
      <c r="AS59" s="70" t="e">
        <f t="shared" si="23"/>
        <v>#REF!</v>
      </c>
      <c r="AT59" s="70" t="e">
        <f t="shared" si="23"/>
        <v>#REF!</v>
      </c>
      <c r="AU59" s="70" t="e">
        <f t="shared" si="23"/>
        <v>#REF!</v>
      </c>
      <c r="AV59" s="70" t="e">
        <f t="shared" si="23"/>
        <v>#REF!</v>
      </c>
      <c r="AW59" s="70" t="e">
        <f t="shared" si="23"/>
        <v>#REF!</v>
      </c>
      <c r="AX59" s="70" t="e">
        <f t="shared" si="23"/>
        <v>#REF!</v>
      </c>
      <c r="AY59" s="70" t="e">
        <f t="shared" si="23"/>
        <v>#REF!</v>
      </c>
      <c r="AZ59" s="70" t="e">
        <f t="shared" si="23"/>
        <v>#REF!</v>
      </c>
      <c r="BA59" s="70" t="e">
        <f t="shared" si="23"/>
        <v>#REF!</v>
      </c>
    </row>
    <row r="60" spans="27:53" hidden="1">
      <c r="AA60" s="71" t="s">
        <v>41</v>
      </c>
      <c r="AB60" s="35"/>
      <c r="AF60" s="70" t="e">
        <f t="shared" ref="AF60:AO60" si="24">AF27+AF29+AF31+AF32+AF34</f>
        <v>#REF!</v>
      </c>
      <c r="AG60" s="70" t="e">
        <f t="shared" si="24"/>
        <v>#REF!</v>
      </c>
      <c r="AH60" s="70" t="e">
        <f t="shared" si="24"/>
        <v>#REF!</v>
      </c>
      <c r="AI60" s="70" t="e">
        <f t="shared" si="24"/>
        <v>#REF!</v>
      </c>
      <c r="AJ60" s="70" t="e">
        <f t="shared" si="24"/>
        <v>#REF!</v>
      </c>
      <c r="AK60" s="70" t="e">
        <f t="shared" si="24"/>
        <v>#REF!</v>
      </c>
      <c r="AL60" s="70" t="e">
        <f t="shared" si="24"/>
        <v>#REF!</v>
      </c>
      <c r="AM60" s="70" t="e">
        <f t="shared" si="24"/>
        <v>#REF!</v>
      </c>
      <c r="AN60" s="70" t="e">
        <f t="shared" si="24"/>
        <v>#REF!</v>
      </c>
      <c r="AO60" s="70" t="e">
        <f t="shared" si="24"/>
        <v>#REF!</v>
      </c>
      <c r="AP60" s="70"/>
      <c r="AQ60" s="70"/>
      <c r="AR60" s="70" t="e">
        <f t="shared" ref="AR60:BA60" si="25">AR27+AR29+AR31+AR32+AR34</f>
        <v>#REF!</v>
      </c>
      <c r="AS60" s="70" t="e">
        <f t="shared" si="25"/>
        <v>#REF!</v>
      </c>
      <c r="AT60" s="70" t="e">
        <f t="shared" si="25"/>
        <v>#REF!</v>
      </c>
      <c r="AU60" s="70" t="e">
        <f t="shared" si="25"/>
        <v>#REF!</v>
      </c>
      <c r="AV60" s="70" t="e">
        <f t="shared" si="25"/>
        <v>#REF!</v>
      </c>
      <c r="AW60" s="70" t="e">
        <f t="shared" si="25"/>
        <v>#REF!</v>
      </c>
      <c r="AX60" s="70" t="e">
        <f t="shared" si="25"/>
        <v>#REF!</v>
      </c>
      <c r="AY60" s="70" t="e">
        <f t="shared" si="25"/>
        <v>#REF!</v>
      </c>
      <c r="AZ60" s="70" t="e">
        <f t="shared" si="25"/>
        <v>#REF!</v>
      </c>
      <c r="BA60" s="70" t="e">
        <f t="shared" si="25"/>
        <v>#REF!</v>
      </c>
    </row>
    <row r="61" spans="27:53" hidden="1">
      <c r="AA61" s="71" t="s">
        <v>42</v>
      </c>
      <c r="AB61" s="35"/>
      <c r="AF61" s="70" t="e">
        <f t="shared" ref="AF61:AO61" si="26">AF38+AF40+AF42+AF43+AF45</f>
        <v>#REF!</v>
      </c>
      <c r="AG61" s="70" t="e">
        <f t="shared" si="26"/>
        <v>#REF!</v>
      </c>
      <c r="AH61" s="70" t="e">
        <f t="shared" si="26"/>
        <v>#REF!</v>
      </c>
      <c r="AI61" s="70" t="e">
        <f t="shared" si="26"/>
        <v>#REF!</v>
      </c>
      <c r="AJ61" s="70" t="e">
        <f t="shared" si="26"/>
        <v>#REF!</v>
      </c>
      <c r="AK61" s="70" t="e">
        <f t="shared" si="26"/>
        <v>#REF!</v>
      </c>
      <c r="AL61" s="70" t="e">
        <f t="shared" si="26"/>
        <v>#REF!</v>
      </c>
      <c r="AM61" s="70" t="e">
        <f t="shared" si="26"/>
        <v>#REF!</v>
      </c>
      <c r="AN61" s="70" t="e">
        <f t="shared" si="26"/>
        <v>#REF!</v>
      </c>
      <c r="AO61" s="70" t="e">
        <f t="shared" si="26"/>
        <v>#REF!</v>
      </c>
      <c r="AP61" s="70"/>
      <c r="AQ61" s="70"/>
      <c r="AR61" s="70" t="e">
        <f t="shared" ref="AR61:BA61" si="27">AR38+AR40+AR42+AR43+AR45</f>
        <v>#REF!</v>
      </c>
      <c r="AS61" s="70" t="e">
        <f t="shared" si="27"/>
        <v>#REF!</v>
      </c>
      <c r="AT61" s="70" t="e">
        <f t="shared" si="27"/>
        <v>#REF!</v>
      </c>
      <c r="AU61" s="70" t="e">
        <f t="shared" si="27"/>
        <v>#REF!</v>
      </c>
      <c r="AV61" s="70" t="e">
        <f t="shared" si="27"/>
        <v>#REF!</v>
      </c>
      <c r="AW61" s="70" t="e">
        <f t="shared" si="27"/>
        <v>#REF!</v>
      </c>
      <c r="AX61" s="70" t="e">
        <f t="shared" si="27"/>
        <v>#REF!</v>
      </c>
      <c r="AY61" s="70" t="e">
        <f t="shared" si="27"/>
        <v>#REF!</v>
      </c>
      <c r="AZ61" s="70" t="e">
        <f t="shared" si="27"/>
        <v>#REF!</v>
      </c>
      <c r="BA61" s="70" t="e">
        <f t="shared" si="27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28">AF16+AF18+AF20+AF21+AF24</f>
        <v>#REF!</v>
      </c>
      <c r="AG63" s="70" t="e">
        <f t="shared" si="28"/>
        <v>#REF!</v>
      </c>
      <c r="AH63" s="70" t="e">
        <f t="shared" si="28"/>
        <v>#REF!</v>
      </c>
      <c r="AI63" s="70" t="e">
        <f t="shared" si="28"/>
        <v>#REF!</v>
      </c>
      <c r="AJ63" s="70" t="e">
        <f t="shared" si="28"/>
        <v>#REF!</v>
      </c>
      <c r="AK63" s="70" t="e">
        <f t="shared" si="28"/>
        <v>#REF!</v>
      </c>
      <c r="AL63" s="70" t="e">
        <f t="shared" si="28"/>
        <v>#REF!</v>
      </c>
      <c r="AM63" s="70" t="e">
        <f t="shared" si="28"/>
        <v>#REF!</v>
      </c>
      <c r="AN63" s="70" t="e">
        <f t="shared" si="28"/>
        <v>#REF!</v>
      </c>
      <c r="AO63" s="70" t="e">
        <f t="shared" si="28"/>
        <v>#REF!</v>
      </c>
      <c r="AP63" s="70"/>
      <c r="AQ63" s="70"/>
      <c r="AR63" s="70" t="e">
        <f t="shared" ref="AR63:BA63" si="29">AR16+AR18+AR20+AR21+AR24</f>
        <v>#REF!</v>
      </c>
      <c r="AS63" s="70" t="e">
        <f t="shared" si="29"/>
        <v>#REF!</v>
      </c>
      <c r="AT63" s="70" t="e">
        <f t="shared" si="29"/>
        <v>#REF!</v>
      </c>
      <c r="AU63" s="70" t="e">
        <f t="shared" si="29"/>
        <v>#REF!</v>
      </c>
      <c r="AV63" s="70" t="e">
        <f t="shared" si="29"/>
        <v>#REF!</v>
      </c>
      <c r="AW63" s="70" t="e">
        <f t="shared" si="29"/>
        <v>#REF!</v>
      </c>
      <c r="AX63" s="70" t="e">
        <f t="shared" si="29"/>
        <v>#REF!</v>
      </c>
      <c r="AY63" s="70" t="e">
        <f t="shared" si="29"/>
        <v>#REF!</v>
      </c>
      <c r="AZ63" s="70" t="e">
        <f t="shared" si="29"/>
        <v>#REF!</v>
      </c>
      <c r="BA63" s="70" t="e">
        <f t="shared" si="29"/>
        <v>#REF!</v>
      </c>
    </row>
    <row r="64" spans="27:53" hidden="1">
      <c r="AA64" s="71" t="s">
        <v>41</v>
      </c>
      <c r="AB64" s="35"/>
      <c r="AF64" s="70" t="e">
        <f t="shared" ref="AF64:AO64" si="30">AF27+AF29+AF31+AF32+AF35</f>
        <v>#REF!</v>
      </c>
      <c r="AG64" s="70" t="e">
        <f t="shared" si="30"/>
        <v>#REF!</v>
      </c>
      <c r="AH64" s="70" t="e">
        <f t="shared" si="30"/>
        <v>#REF!</v>
      </c>
      <c r="AI64" s="70" t="e">
        <f t="shared" si="30"/>
        <v>#REF!</v>
      </c>
      <c r="AJ64" s="70" t="e">
        <f t="shared" si="30"/>
        <v>#REF!</v>
      </c>
      <c r="AK64" s="70" t="e">
        <f t="shared" si="30"/>
        <v>#REF!</v>
      </c>
      <c r="AL64" s="70" t="e">
        <f t="shared" si="30"/>
        <v>#REF!</v>
      </c>
      <c r="AM64" s="70" t="e">
        <f t="shared" si="30"/>
        <v>#REF!</v>
      </c>
      <c r="AN64" s="70" t="e">
        <f t="shared" si="30"/>
        <v>#REF!</v>
      </c>
      <c r="AO64" s="70" t="e">
        <f t="shared" si="30"/>
        <v>#REF!</v>
      </c>
      <c r="AP64" s="70"/>
      <c r="AQ64" s="70"/>
      <c r="AR64" s="70" t="e">
        <f t="shared" ref="AR64:BA64" si="31">AR27+AR29+AR31+AR32+AR35</f>
        <v>#REF!</v>
      </c>
      <c r="AS64" s="70" t="e">
        <f t="shared" si="31"/>
        <v>#REF!</v>
      </c>
      <c r="AT64" s="70" t="e">
        <f t="shared" si="31"/>
        <v>#REF!</v>
      </c>
      <c r="AU64" s="70" t="e">
        <f t="shared" si="31"/>
        <v>#REF!</v>
      </c>
      <c r="AV64" s="70" t="e">
        <f t="shared" si="31"/>
        <v>#REF!</v>
      </c>
      <c r="AW64" s="70" t="e">
        <f t="shared" si="31"/>
        <v>#REF!</v>
      </c>
      <c r="AX64" s="70" t="e">
        <f t="shared" si="31"/>
        <v>#REF!</v>
      </c>
      <c r="AY64" s="70" t="e">
        <f t="shared" si="31"/>
        <v>#REF!</v>
      </c>
      <c r="AZ64" s="70" t="e">
        <f t="shared" si="31"/>
        <v>#REF!</v>
      </c>
      <c r="BA64" s="70" t="e">
        <f t="shared" si="31"/>
        <v>#REF!</v>
      </c>
    </row>
    <row r="65" spans="27:53" hidden="1">
      <c r="AA65" s="71" t="s">
        <v>42</v>
      </c>
      <c r="AB65" s="35"/>
      <c r="AF65" s="70" t="e">
        <f t="shared" ref="AF65:AO65" si="32">AF38+AF40+AF42+AF43+AF46</f>
        <v>#REF!</v>
      </c>
      <c r="AG65" s="70" t="e">
        <f t="shared" si="32"/>
        <v>#REF!</v>
      </c>
      <c r="AH65" s="70" t="e">
        <f t="shared" si="32"/>
        <v>#REF!</v>
      </c>
      <c r="AI65" s="70" t="e">
        <f t="shared" si="32"/>
        <v>#REF!</v>
      </c>
      <c r="AJ65" s="70" t="e">
        <f t="shared" si="32"/>
        <v>#REF!</v>
      </c>
      <c r="AK65" s="70" t="e">
        <f t="shared" si="32"/>
        <v>#REF!</v>
      </c>
      <c r="AL65" s="70" t="e">
        <f t="shared" si="32"/>
        <v>#REF!</v>
      </c>
      <c r="AM65" s="70" t="e">
        <f t="shared" si="32"/>
        <v>#REF!</v>
      </c>
      <c r="AN65" s="70" t="e">
        <f t="shared" si="32"/>
        <v>#REF!</v>
      </c>
      <c r="AO65" s="70" t="e">
        <f t="shared" si="32"/>
        <v>#REF!</v>
      </c>
      <c r="AP65" s="70"/>
      <c r="AQ65" s="70"/>
      <c r="AR65" s="70" t="e">
        <f t="shared" ref="AR65:BA65" si="33">AR38+AR40+AR42+AR43+AR46</f>
        <v>#REF!</v>
      </c>
      <c r="AS65" s="70" t="e">
        <f t="shared" si="33"/>
        <v>#REF!</v>
      </c>
      <c r="AT65" s="70" t="e">
        <f t="shared" si="33"/>
        <v>#REF!</v>
      </c>
      <c r="AU65" s="70" t="e">
        <f t="shared" si="33"/>
        <v>#REF!</v>
      </c>
      <c r="AV65" s="70" t="e">
        <f t="shared" si="33"/>
        <v>#REF!</v>
      </c>
      <c r="AW65" s="70" t="e">
        <f t="shared" si="33"/>
        <v>#REF!</v>
      </c>
      <c r="AX65" s="70" t="e">
        <f t="shared" si="33"/>
        <v>#REF!</v>
      </c>
      <c r="AY65" s="70" t="e">
        <f t="shared" si="33"/>
        <v>#REF!</v>
      </c>
      <c r="AZ65" s="70" t="e">
        <f t="shared" si="33"/>
        <v>#REF!</v>
      </c>
      <c r="BA65" s="70" t="e">
        <f t="shared" si="33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4">AF16+AF17+AF22</f>
        <v>#REF!</v>
      </c>
      <c r="AG67" s="70" t="e">
        <f t="shared" si="34"/>
        <v>#REF!</v>
      </c>
      <c r="AH67" s="70" t="e">
        <f t="shared" si="34"/>
        <v>#REF!</v>
      </c>
      <c r="AI67" s="70" t="e">
        <f t="shared" si="34"/>
        <v>#REF!</v>
      </c>
      <c r="AJ67" s="70" t="e">
        <f t="shared" si="34"/>
        <v>#REF!</v>
      </c>
      <c r="AK67" s="70" t="e">
        <f t="shared" si="34"/>
        <v>#REF!</v>
      </c>
      <c r="AL67" s="70" t="e">
        <f t="shared" si="34"/>
        <v>#REF!</v>
      </c>
      <c r="AM67" s="70" t="e">
        <f t="shared" si="34"/>
        <v>#REF!</v>
      </c>
      <c r="AN67" s="70" t="e">
        <f t="shared" si="34"/>
        <v>#REF!</v>
      </c>
      <c r="AO67" s="70" t="e">
        <f t="shared" si="34"/>
        <v>#REF!</v>
      </c>
      <c r="AP67" s="70"/>
      <c r="AQ67" s="70"/>
      <c r="AR67" s="70" t="e">
        <f t="shared" ref="AR67:BA67" si="35">AR16+AR17+AR22</f>
        <v>#REF!</v>
      </c>
      <c r="AS67" s="70" t="e">
        <f t="shared" si="35"/>
        <v>#REF!</v>
      </c>
      <c r="AT67" s="70" t="e">
        <f t="shared" si="35"/>
        <v>#REF!</v>
      </c>
      <c r="AU67" s="70" t="e">
        <f t="shared" si="35"/>
        <v>#REF!</v>
      </c>
      <c r="AV67" s="70" t="e">
        <f t="shared" si="35"/>
        <v>#REF!</v>
      </c>
      <c r="AW67" s="70" t="e">
        <f t="shared" si="35"/>
        <v>#REF!</v>
      </c>
      <c r="AX67" s="70" t="e">
        <f t="shared" si="35"/>
        <v>#REF!</v>
      </c>
      <c r="AY67" s="70" t="e">
        <f t="shared" si="35"/>
        <v>#REF!</v>
      </c>
      <c r="AZ67" s="70" t="e">
        <f t="shared" si="35"/>
        <v>#REF!</v>
      </c>
      <c r="BA67" s="70" t="e">
        <f t="shared" si="35"/>
        <v>#REF!</v>
      </c>
    </row>
    <row r="68" spans="27:53" hidden="1">
      <c r="AA68" s="71" t="s">
        <v>41</v>
      </c>
      <c r="AB68" s="35"/>
      <c r="AF68" s="70" t="e">
        <f t="shared" ref="AF68:AO68" si="36">AF27+AF28+AF33</f>
        <v>#REF!</v>
      </c>
      <c r="AG68" s="70" t="e">
        <f t="shared" si="36"/>
        <v>#REF!</v>
      </c>
      <c r="AH68" s="70" t="e">
        <f t="shared" si="36"/>
        <v>#REF!</v>
      </c>
      <c r="AI68" s="70" t="e">
        <f t="shared" si="36"/>
        <v>#REF!</v>
      </c>
      <c r="AJ68" s="70" t="e">
        <f t="shared" si="36"/>
        <v>#REF!</v>
      </c>
      <c r="AK68" s="70" t="e">
        <f t="shared" si="36"/>
        <v>#REF!</v>
      </c>
      <c r="AL68" s="70" t="e">
        <f t="shared" si="36"/>
        <v>#REF!</v>
      </c>
      <c r="AM68" s="70" t="e">
        <f t="shared" si="36"/>
        <v>#REF!</v>
      </c>
      <c r="AN68" s="70" t="e">
        <f t="shared" si="36"/>
        <v>#REF!</v>
      </c>
      <c r="AO68" s="70" t="e">
        <f t="shared" si="36"/>
        <v>#REF!</v>
      </c>
      <c r="AP68" s="70"/>
      <c r="AQ68" s="70"/>
      <c r="AR68" s="70" t="e">
        <f t="shared" ref="AR68:BA68" si="37">AR27+AR28+AR33</f>
        <v>#REF!</v>
      </c>
      <c r="AS68" s="70" t="e">
        <f t="shared" si="37"/>
        <v>#REF!</v>
      </c>
      <c r="AT68" s="70" t="e">
        <f t="shared" si="37"/>
        <v>#REF!</v>
      </c>
      <c r="AU68" s="70" t="e">
        <f t="shared" si="37"/>
        <v>#REF!</v>
      </c>
      <c r="AV68" s="70" t="e">
        <f t="shared" si="37"/>
        <v>#REF!</v>
      </c>
      <c r="AW68" s="70" t="e">
        <f t="shared" si="37"/>
        <v>#REF!</v>
      </c>
      <c r="AX68" s="70" t="e">
        <f t="shared" si="37"/>
        <v>#REF!</v>
      </c>
      <c r="AY68" s="70" t="e">
        <f t="shared" si="37"/>
        <v>#REF!</v>
      </c>
      <c r="AZ68" s="70" t="e">
        <f t="shared" si="37"/>
        <v>#REF!</v>
      </c>
      <c r="BA68" s="70" t="e">
        <f t="shared" si="37"/>
        <v>#REF!</v>
      </c>
    </row>
    <row r="69" spans="27:53" hidden="1">
      <c r="AA69" s="71" t="s">
        <v>42</v>
      </c>
      <c r="AB69" s="35"/>
      <c r="AF69" s="70" t="e">
        <f t="shared" ref="AF69:AO69" si="38">AF38+AF39+AF44</f>
        <v>#REF!</v>
      </c>
      <c r="AG69" s="70" t="e">
        <f t="shared" si="38"/>
        <v>#REF!</v>
      </c>
      <c r="AH69" s="70" t="e">
        <f t="shared" si="38"/>
        <v>#REF!</v>
      </c>
      <c r="AI69" s="70" t="e">
        <f t="shared" si="38"/>
        <v>#REF!</v>
      </c>
      <c r="AJ69" s="70" t="e">
        <f t="shared" si="38"/>
        <v>#REF!</v>
      </c>
      <c r="AK69" s="70" t="e">
        <f t="shared" si="38"/>
        <v>#REF!</v>
      </c>
      <c r="AL69" s="70" t="e">
        <f t="shared" si="38"/>
        <v>#REF!</v>
      </c>
      <c r="AM69" s="70" t="e">
        <f t="shared" si="38"/>
        <v>#REF!</v>
      </c>
      <c r="AN69" s="70" t="e">
        <f t="shared" si="38"/>
        <v>#REF!</v>
      </c>
      <c r="AO69" s="70" t="e">
        <f t="shared" si="38"/>
        <v>#REF!</v>
      </c>
      <c r="AP69" s="70"/>
      <c r="AQ69" s="70"/>
      <c r="AR69" s="70" t="e">
        <f t="shared" ref="AR69:BA69" si="39">AR38+AR39+AR44</f>
        <v>#REF!</v>
      </c>
      <c r="AS69" s="70" t="e">
        <f t="shared" si="39"/>
        <v>#REF!</v>
      </c>
      <c r="AT69" s="70" t="e">
        <f t="shared" si="39"/>
        <v>#REF!</v>
      </c>
      <c r="AU69" s="70" t="e">
        <f t="shared" si="39"/>
        <v>#REF!</v>
      </c>
      <c r="AV69" s="70" t="e">
        <f t="shared" si="39"/>
        <v>#REF!</v>
      </c>
      <c r="AW69" s="70" t="e">
        <f t="shared" si="39"/>
        <v>#REF!</v>
      </c>
      <c r="AX69" s="70" t="e">
        <f t="shared" si="39"/>
        <v>#REF!</v>
      </c>
      <c r="AY69" s="70" t="e">
        <f t="shared" si="39"/>
        <v>#REF!</v>
      </c>
      <c r="AZ69" s="70" t="e">
        <f t="shared" si="39"/>
        <v>#REF!</v>
      </c>
      <c r="BA69" s="70" t="e">
        <f t="shared" si="39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0">AF16+AF17+AF21+AF23</f>
        <v>#REF!</v>
      </c>
      <c r="AG71" s="70" t="e">
        <f t="shared" si="40"/>
        <v>#REF!</v>
      </c>
      <c r="AH71" s="70" t="e">
        <f t="shared" si="40"/>
        <v>#REF!</v>
      </c>
      <c r="AI71" s="70" t="e">
        <f t="shared" si="40"/>
        <v>#REF!</v>
      </c>
      <c r="AJ71" s="70" t="e">
        <f t="shared" si="40"/>
        <v>#REF!</v>
      </c>
      <c r="AK71" s="70" t="e">
        <f t="shared" si="40"/>
        <v>#REF!</v>
      </c>
      <c r="AL71" s="70" t="e">
        <f t="shared" si="40"/>
        <v>#REF!</v>
      </c>
      <c r="AM71" s="70" t="e">
        <f t="shared" si="40"/>
        <v>#REF!</v>
      </c>
      <c r="AN71" s="70" t="e">
        <f t="shared" si="40"/>
        <v>#REF!</v>
      </c>
      <c r="AO71" s="70" t="e">
        <f t="shared" si="40"/>
        <v>#REF!</v>
      </c>
      <c r="AP71" s="70"/>
      <c r="AQ71" s="70"/>
      <c r="AR71" s="70" t="e">
        <f t="shared" ref="AR71:BA71" si="41">AR16+AR17+AR21+AR23</f>
        <v>#REF!</v>
      </c>
      <c r="AS71" s="70" t="e">
        <f t="shared" si="41"/>
        <v>#REF!</v>
      </c>
      <c r="AT71" s="70" t="e">
        <f t="shared" si="41"/>
        <v>#REF!</v>
      </c>
      <c r="AU71" s="70" t="e">
        <f t="shared" si="41"/>
        <v>#REF!</v>
      </c>
      <c r="AV71" s="70" t="e">
        <f t="shared" si="41"/>
        <v>#REF!</v>
      </c>
      <c r="AW71" s="70" t="e">
        <f t="shared" si="41"/>
        <v>#REF!</v>
      </c>
      <c r="AX71" s="70" t="e">
        <f t="shared" si="41"/>
        <v>#REF!</v>
      </c>
      <c r="AY71" s="70" t="e">
        <f t="shared" si="41"/>
        <v>#REF!</v>
      </c>
      <c r="AZ71" s="70" t="e">
        <f t="shared" si="41"/>
        <v>#REF!</v>
      </c>
      <c r="BA71" s="70" t="e">
        <f t="shared" si="41"/>
        <v>#REF!</v>
      </c>
    </row>
    <row r="72" spans="27:53" hidden="1">
      <c r="AA72" s="71" t="s">
        <v>41</v>
      </c>
      <c r="AB72" s="35"/>
      <c r="AF72" s="70" t="e">
        <f t="shared" ref="AF72:AO72" si="42">AF27+AF28+AF32+AF34</f>
        <v>#REF!</v>
      </c>
      <c r="AG72" s="70" t="e">
        <f t="shared" si="42"/>
        <v>#REF!</v>
      </c>
      <c r="AH72" s="70" t="e">
        <f t="shared" si="42"/>
        <v>#REF!</v>
      </c>
      <c r="AI72" s="70" t="e">
        <f t="shared" si="42"/>
        <v>#REF!</v>
      </c>
      <c r="AJ72" s="70" t="e">
        <f t="shared" si="42"/>
        <v>#REF!</v>
      </c>
      <c r="AK72" s="70" t="e">
        <f t="shared" si="42"/>
        <v>#REF!</v>
      </c>
      <c r="AL72" s="70" t="e">
        <f t="shared" si="42"/>
        <v>#REF!</v>
      </c>
      <c r="AM72" s="70" t="e">
        <f t="shared" si="42"/>
        <v>#REF!</v>
      </c>
      <c r="AN72" s="70" t="e">
        <f t="shared" si="42"/>
        <v>#REF!</v>
      </c>
      <c r="AO72" s="70" t="e">
        <f t="shared" si="42"/>
        <v>#REF!</v>
      </c>
      <c r="AP72" s="70"/>
      <c r="AQ72" s="70"/>
      <c r="AR72" s="70" t="e">
        <f t="shared" ref="AR72:BA72" si="43">AR27+AR28+AR32+AR34</f>
        <v>#REF!</v>
      </c>
      <c r="AS72" s="70" t="e">
        <f t="shared" si="43"/>
        <v>#REF!</v>
      </c>
      <c r="AT72" s="70" t="e">
        <f t="shared" si="43"/>
        <v>#REF!</v>
      </c>
      <c r="AU72" s="70" t="e">
        <f t="shared" si="43"/>
        <v>#REF!</v>
      </c>
      <c r="AV72" s="70" t="e">
        <f t="shared" si="43"/>
        <v>#REF!</v>
      </c>
      <c r="AW72" s="70" t="e">
        <f t="shared" si="43"/>
        <v>#REF!</v>
      </c>
      <c r="AX72" s="70" t="e">
        <f t="shared" si="43"/>
        <v>#REF!</v>
      </c>
      <c r="AY72" s="70" t="e">
        <f t="shared" si="43"/>
        <v>#REF!</v>
      </c>
      <c r="AZ72" s="70" t="e">
        <f t="shared" si="43"/>
        <v>#REF!</v>
      </c>
      <c r="BA72" s="70" t="e">
        <f t="shared" si="43"/>
        <v>#REF!</v>
      </c>
    </row>
    <row r="73" spans="27:53" hidden="1">
      <c r="AA73" s="71" t="s">
        <v>42</v>
      </c>
      <c r="AB73" s="35"/>
      <c r="AF73" s="70" t="e">
        <f t="shared" ref="AF73:AO73" si="44">AF38+AF39+AF43+AF45</f>
        <v>#REF!</v>
      </c>
      <c r="AG73" s="70" t="e">
        <f t="shared" si="44"/>
        <v>#REF!</v>
      </c>
      <c r="AH73" s="70" t="e">
        <f t="shared" si="44"/>
        <v>#REF!</v>
      </c>
      <c r="AI73" s="70" t="e">
        <f t="shared" si="44"/>
        <v>#REF!</v>
      </c>
      <c r="AJ73" s="70" t="e">
        <f t="shared" si="44"/>
        <v>#REF!</v>
      </c>
      <c r="AK73" s="70" t="e">
        <f t="shared" si="44"/>
        <v>#REF!</v>
      </c>
      <c r="AL73" s="70" t="e">
        <f t="shared" si="44"/>
        <v>#REF!</v>
      </c>
      <c r="AM73" s="70" t="e">
        <f t="shared" si="44"/>
        <v>#REF!</v>
      </c>
      <c r="AN73" s="70" t="e">
        <f t="shared" si="44"/>
        <v>#REF!</v>
      </c>
      <c r="AO73" s="70" t="e">
        <f t="shared" si="44"/>
        <v>#REF!</v>
      </c>
      <c r="AP73" s="70"/>
      <c r="AQ73" s="70"/>
      <c r="AR73" s="70" t="e">
        <f t="shared" ref="AR73:BA73" si="45">AR38+AR39+AR43+AR45</f>
        <v>#REF!</v>
      </c>
      <c r="AS73" s="70" t="e">
        <f t="shared" si="45"/>
        <v>#REF!</v>
      </c>
      <c r="AT73" s="70" t="e">
        <f t="shared" si="45"/>
        <v>#REF!</v>
      </c>
      <c r="AU73" s="70" t="e">
        <f t="shared" si="45"/>
        <v>#REF!</v>
      </c>
      <c r="AV73" s="70" t="e">
        <f t="shared" si="45"/>
        <v>#REF!</v>
      </c>
      <c r="AW73" s="70" t="e">
        <f t="shared" si="45"/>
        <v>#REF!</v>
      </c>
      <c r="AX73" s="70" t="e">
        <f t="shared" si="45"/>
        <v>#REF!</v>
      </c>
      <c r="AY73" s="70" t="e">
        <f t="shared" si="45"/>
        <v>#REF!</v>
      </c>
      <c r="AZ73" s="70" t="e">
        <f t="shared" si="45"/>
        <v>#REF!</v>
      </c>
      <c r="BA73" s="70" t="e">
        <f t="shared" si="45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6">AF16+AF17+AF21+AF24</f>
        <v>#REF!</v>
      </c>
      <c r="AG75" s="70" t="e">
        <f t="shared" si="46"/>
        <v>#REF!</v>
      </c>
      <c r="AH75" s="70" t="e">
        <f t="shared" si="46"/>
        <v>#REF!</v>
      </c>
      <c r="AI75" s="70" t="e">
        <f t="shared" si="46"/>
        <v>#REF!</v>
      </c>
      <c r="AJ75" s="70" t="e">
        <f t="shared" si="46"/>
        <v>#REF!</v>
      </c>
      <c r="AK75" s="70" t="e">
        <f t="shared" si="46"/>
        <v>#REF!</v>
      </c>
      <c r="AL75" s="70" t="e">
        <f t="shared" si="46"/>
        <v>#REF!</v>
      </c>
      <c r="AM75" s="70" t="e">
        <f t="shared" si="46"/>
        <v>#REF!</v>
      </c>
      <c r="AN75" s="70" t="e">
        <f t="shared" si="46"/>
        <v>#REF!</v>
      </c>
      <c r="AO75" s="70" t="e">
        <f t="shared" si="46"/>
        <v>#REF!</v>
      </c>
      <c r="AP75" s="70"/>
      <c r="AQ75" s="70"/>
      <c r="AR75" s="70" t="e">
        <f t="shared" ref="AR75:BA75" si="47">AR16+AR17+AR21+AR24</f>
        <v>#REF!</v>
      </c>
      <c r="AS75" s="70" t="e">
        <f t="shared" si="47"/>
        <v>#REF!</v>
      </c>
      <c r="AT75" s="70" t="e">
        <f t="shared" si="47"/>
        <v>#REF!</v>
      </c>
      <c r="AU75" s="70" t="e">
        <f t="shared" si="47"/>
        <v>#REF!</v>
      </c>
      <c r="AV75" s="70" t="e">
        <f t="shared" si="47"/>
        <v>#REF!</v>
      </c>
      <c r="AW75" s="70" t="e">
        <f t="shared" si="47"/>
        <v>#REF!</v>
      </c>
      <c r="AX75" s="70" t="e">
        <f t="shared" si="47"/>
        <v>#REF!</v>
      </c>
      <c r="AY75" s="70" t="e">
        <f t="shared" si="47"/>
        <v>#REF!</v>
      </c>
      <c r="AZ75" s="70" t="e">
        <f t="shared" si="47"/>
        <v>#REF!</v>
      </c>
      <c r="BA75" s="70" t="e">
        <f t="shared" si="47"/>
        <v>#REF!</v>
      </c>
    </row>
    <row r="76" spans="27:53" hidden="1">
      <c r="AA76" s="71" t="s">
        <v>41</v>
      </c>
      <c r="AB76" s="35"/>
      <c r="AF76" s="70" t="e">
        <f t="shared" ref="AF76:AO76" si="48">AF27+AF28+AF32+AF35</f>
        <v>#REF!</v>
      </c>
      <c r="AG76" s="70" t="e">
        <f t="shared" si="48"/>
        <v>#REF!</v>
      </c>
      <c r="AH76" s="70" t="e">
        <f t="shared" si="48"/>
        <v>#REF!</v>
      </c>
      <c r="AI76" s="70" t="e">
        <f t="shared" si="48"/>
        <v>#REF!</v>
      </c>
      <c r="AJ76" s="70" t="e">
        <f t="shared" si="48"/>
        <v>#REF!</v>
      </c>
      <c r="AK76" s="70" t="e">
        <f t="shared" si="48"/>
        <v>#REF!</v>
      </c>
      <c r="AL76" s="70" t="e">
        <f t="shared" si="48"/>
        <v>#REF!</v>
      </c>
      <c r="AM76" s="70" t="e">
        <f t="shared" si="48"/>
        <v>#REF!</v>
      </c>
      <c r="AN76" s="70" t="e">
        <f t="shared" si="48"/>
        <v>#REF!</v>
      </c>
      <c r="AO76" s="70" t="e">
        <f t="shared" si="48"/>
        <v>#REF!</v>
      </c>
      <c r="AP76" s="70"/>
      <c r="AQ76" s="70"/>
      <c r="AR76" s="70" t="e">
        <f t="shared" ref="AR76:BA76" si="49">AR27+AR28+AR32+AR35</f>
        <v>#REF!</v>
      </c>
      <c r="AS76" s="70" t="e">
        <f t="shared" si="49"/>
        <v>#REF!</v>
      </c>
      <c r="AT76" s="70" t="e">
        <f t="shared" si="49"/>
        <v>#REF!</v>
      </c>
      <c r="AU76" s="70" t="e">
        <f t="shared" si="49"/>
        <v>#REF!</v>
      </c>
      <c r="AV76" s="70" t="e">
        <f t="shared" si="49"/>
        <v>#REF!</v>
      </c>
      <c r="AW76" s="70" t="e">
        <f t="shared" si="49"/>
        <v>#REF!</v>
      </c>
      <c r="AX76" s="70" t="e">
        <f t="shared" si="49"/>
        <v>#REF!</v>
      </c>
      <c r="AY76" s="70" t="e">
        <f t="shared" si="49"/>
        <v>#REF!</v>
      </c>
      <c r="AZ76" s="70" t="e">
        <f t="shared" si="49"/>
        <v>#REF!</v>
      </c>
      <c r="BA76" s="70" t="e">
        <f t="shared" si="49"/>
        <v>#REF!</v>
      </c>
    </row>
    <row r="77" spans="27:53" hidden="1">
      <c r="AA77" s="71" t="s">
        <v>42</v>
      </c>
      <c r="AB77" s="35"/>
      <c r="AF77" s="70" t="e">
        <f t="shared" ref="AF77:AO77" si="50">AF38+AF39+AF43+AF46</f>
        <v>#REF!</v>
      </c>
      <c r="AG77" s="70" t="e">
        <f t="shared" si="50"/>
        <v>#REF!</v>
      </c>
      <c r="AH77" s="70" t="e">
        <f t="shared" si="50"/>
        <v>#REF!</v>
      </c>
      <c r="AI77" s="70" t="e">
        <f t="shared" si="50"/>
        <v>#REF!</v>
      </c>
      <c r="AJ77" s="70" t="e">
        <f t="shared" si="50"/>
        <v>#REF!</v>
      </c>
      <c r="AK77" s="70" t="e">
        <f t="shared" si="50"/>
        <v>#REF!</v>
      </c>
      <c r="AL77" s="70" t="e">
        <f t="shared" si="50"/>
        <v>#REF!</v>
      </c>
      <c r="AM77" s="70" t="e">
        <f t="shared" si="50"/>
        <v>#REF!</v>
      </c>
      <c r="AN77" s="70" t="e">
        <f t="shared" si="50"/>
        <v>#REF!</v>
      </c>
      <c r="AO77" s="70" t="e">
        <f t="shared" si="50"/>
        <v>#REF!</v>
      </c>
      <c r="AP77" s="70"/>
      <c r="AQ77" s="70"/>
      <c r="AR77" s="70" t="e">
        <f t="shared" ref="AR77:BA77" si="51">AR38+AR39+AR43+AR46</f>
        <v>#REF!</v>
      </c>
      <c r="AS77" s="70" t="e">
        <f t="shared" si="51"/>
        <v>#REF!</v>
      </c>
      <c r="AT77" s="70" t="e">
        <f t="shared" si="51"/>
        <v>#REF!</v>
      </c>
      <c r="AU77" s="70" t="e">
        <f t="shared" si="51"/>
        <v>#REF!</v>
      </c>
      <c r="AV77" s="70" t="e">
        <f t="shared" si="51"/>
        <v>#REF!</v>
      </c>
      <c r="AW77" s="70" t="e">
        <f t="shared" si="51"/>
        <v>#REF!</v>
      </c>
      <c r="AX77" s="70" t="e">
        <f t="shared" si="51"/>
        <v>#REF!</v>
      </c>
      <c r="AY77" s="70" t="e">
        <f t="shared" si="51"/>
        <v>#REF!</v>
      </c>
      <c r="AZ77" s="70" t="e">
        <f t="shared" si="51"/>
        <v>#REF!</v>
      </c>
      <c r="BA77" s="70" t="e">
        <f t="shared" si="51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45" t="s">
        <v>55</v>
      </c>
      <c r="G89" s="545" t="s">
        <v>73</v>
      </c>
      <c r="H89" s="545" t="s">
        <v>74</v>
      </c>
      <c r="I89" s="545" t="s">
        <v>58</v>
      </c>
      <c r="J89" s="545" t="s">
        <v>59</v>
      </c>
      <c r="K89" s="545" t="s">
        <v>60</v>
      </c>
      <c r="L89" s="544" t="s">
        <v>75</v>
      </c>
      <c r="M89" s="544" t="s">
        <v>76</v>
      </c>
      <c r="N89" s="544" t="s">
        <v>61</v>
      </c>
      <c r="O89" s="544" t="s">
        <v>62</v>
      </c>
      <c r="P89" s="544" t="s">
        <v>63</v>
      </c>
      <c r="AN89" s="38"/>
      <c r="AZ89" s="36"/>
    </row>
    <row r="90" spans="1:52" ht="25.5">
      <c r="A90" s="44" t="str">
        <f t="shared" ref="A90:C91" si="52">A4</f>
        <v>Substation General Construction</v>
      </c>
      <c r="B90" s="45" t="str">
        <f t="shared" si="52"/>
        <v>Light-Duty Truck, catalyst</v>
      </c>
      <c r="C90" s="46">
        <f t="shared" si="52"/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" si="53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si="52"/>
        <v>Substation Below Grade</v>
      </c>
      <c r="B91" s="45" t="str">
        <f t="shared" si="52"/>
        <v>Light-Duty Truck, catalyst</v>
      </c>
      <c r="C91" s="46">
        <f t="shared" si="52"/>
        <v>12</v>
      </c>
      <c r="D91" s="46">
        <v>35</v>
      </c>
      <c r="E91" s="46">
        <v>80</v>
      </c>
      <c r="F91" s="50">
        <f>C5*($E5*$F5+($G5))/453.59</f>
        <v>5.8286326305710405</v>
      </c>
      <c r="G91" s="50">
        <f>C5*($E5*$H5+($I5))/453.59</f>
        <v>0.52404788753253606</v>
      </c>
      <c r="H91" s="50">
        <f>C5*(($E5*$J5)+($K5)+($L5)+($E5*$N5)+(($M5+$O5)))/453.59</f>
        <v>0.60599976388743992</v>
      </c>
      <c r="I91" s="50">
        <f>C5*($E5*$P5+($Q5))/453.59</f>
        <v>8.7215643259273903E-3</v>
      </c>
      <c r="J91" s="50">
        <f>C5*(($E5*($R5+$T5+$U5))+($S5))/453.59</f>
        <v>0.10228908546249475</v>
      </c>
      <c r="K91" s="50">
        <f>$C5*(($E5*($V5+$X5+$Y5))+($W5))/453.59</f>
        <v>4.4544063891037704E-2</v>
      </c>
      <c r="L91" s="50">
        <f>$B$23*C5*(E5+6)</f>
        <v>0.10126299103286279</v>
      </c>
      <c r="M91" s="50">
        <f t="shared" ref="M91" si="54">0.41*L91</f>
        <v>4.1517826323473742E-2</v>
      </c>
      <c r="N91" s="50">
        <f>C5*($E5*$Z5+($AA5))/453.59</f>
        <v>665.08292071246683</v>
      </c>
      <c r="O91" s="50">
        <f>C5*($E5*$AB5+($AC5))/453.59</f>
        <v>3.804570466836299E-2</v>
      </c>
      <c r="P91" s="50">
        <f>C5*($E5*$AD5+($AE5))/453.59</f>
        <v>6.9253438966120323E-2</v>
      </c>
      <c r="AN91" s="38"/>
      <c r="AZ91" s="36"/>
    </row>
    <row r="92" spans="1:52">
      <c r="A92" s="61" t="s">
        <v>389</v>
      </c>
      <c r="B92" s="40"/>
      <c r="C92" s="40"/>
      <c r="D92" s="40"/>
      <c r="E92" s="40"/>
      <c r="F92" s="81">
        <f t="shared" ref="F92:P92" si="55">SUM(F90:F91)</f>
        <v>7.2857907882138004</v>
      </c>
      <c r="G92" s="81">
        <f t="shared" si="55"/>
        <v>0.65505985941567002</v>
      </c>
      <c r="H92" s="81">
        <f t="shared" si="55"/>
        <v>0.75749970485929996</v>
      </c>
      <c r="I92" s="81">
        <f t="shared" si="55"/>
        <v>1.0901955407409238E-2</v>
      </c>
      <c r="J92" s="81">
        <f t="shared" si="55"/>
        <v>0.12786135682811844</v>
      </c>
      <c r="K92" s="81">
        <f t="shared" si="55"/>
        <v>5.5680079863797131E-2</v>
      </c>
      <c r="L92" s="81">
        <f t="shared" si="55"/>
        <v>0.1265787387910785</v>
      </c>
      <c r="M92" s="81">
        <f t="shared" si="55"/>
        <v>5.1897282904342174E-2</v>
      </c>
      <c r="N92" s="81">
        <f t="shared" si="55"/>
        <v>831.35365089058359</v>
      </c>
      <c r="O92" s="81">
        <f t="shared" si="55"/>
        <v>4.7557130835453737E-2</v>
      </c>
      <c r="P92" s="81">
        <f t="shared" si="55"/>
        <v>8.6566798707650411E-2</v>
      </c>
      <c r="AN92" s="38"/>
      <c r="AZ92" s="36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0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597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398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100" t="s">
        <v>125</v>
      </c>
      <c r="B14" s="97" t="s">
        <v>27</v>
      </c>
      <c r="C14" s="22">
        <v>87</v>
      </c>
      <c r="D14" s="22">
        <v>0.37</v>
      </c>
      <c r="E14" s="108">
        <v>5.2437519504869065E-2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0.26257275132275132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0.33506412037037031</v>
      </c>
      <c r="H14" s="108">
        <v>6.0679618797898508E-4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2.1289682539682539E-2</v>
      </c>
      <c r="J14" s="100">
        <f t="shared" ref="J14:J18" si="4">0.89*I14</f>
        <v>1.894781746031746E-2</v>
      </c>
      <c r="K14" s="108">
        <v>51.728016924248784</v>
      </c>
      <c r="L14" s="108">
        <v>5.2037096026823848E-3</v>
      </c>
      <c r="M14" s="102">
        <f t="shared" ref="M14:M18" si="5">0.095*G14</f>
        <v>3.1831091435185178E-2</v>
      </c>
      <c r="N14" s="88">
        <v>1</v>
      </c>
      <c r="O14" s="88">
        <v>6</v>
      </c>
      <c r="P14" s="367">
        <v>15</v>
      </c>
      <c r="Q14" s="26">
        <f t="shared" ref="Q14:Y18" si="6">(E14*$N14*$O14)</f>
        <v>0.31462511702921436</v>
      </c>
      <c r="R14" s="26">
        <f t="shared" si="6"/>
        <v>1.5754365079365078</v>
      </c>
      <c r="S14" s="26">
        <f t="shared" si="6"/>
        <v>2.0103847222222218</v>
      </c>
      <c r="T14" s="26">
        <f t="shared" si="6"/>
        <v>3.6407771278739107E-3</v>
      </c>
      <c r="U14" s="26">
        <f t="shared" si="6"/>
        <v>0.12773809523809523</v>
      </c>
      <c r="V14" s="26">
        <f t="shared" si="6"/>
        <v>0.11368690476190477</v>
      </c>
      <c r="W14" s="26">
        <f t="shared" si="6"/>
        <v>310.36810154549272</v>
      </c>
      <c r="X14" s="26">
        <f t="shared" si="6"/>
        <v>3.1222257616094311E-2</v>
      </c>
      <c r="Y14" s="26">
        <f t="shared" si="6"/>
        <v>0.19098654861111108</v>
      </c>
    </row>
    <row r="15" spans="1:25" s="3" customFormat="1">
      <c r="A15" s="100" t="s">
        <v>287</v>
      </c>
      <c r="B15" s="97" t="s">
        <v>27</v>
      </c>
      <c r="C15" s="97">
        <v>37</v>
      </c>
      <c r="D15" s="22">
        <v>0.37</v>
      </c>
      <c r="E15" s="102">
        <v>3.2313389441625637E-2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0.12374118165784832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0.16056172839506169</v>
      </c>
      <c r="H15" s="102">
        <v>3.2989906092678058E-4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1.3581349206349205E-2</v>
      </c>
      <c r="J15" s="100">
        <f t="shared" si="4"/>
        <v>1.2087400793650793E-2</v>
      </c>
      <c r="K15" s="103">
        <v>25.519156990664225</v>
      </c>
      <c r="L15" s="102">
        <v>3.413848047070189E-3</v>
      </c>
      <c r="M15" s="104">
        <f t="shared" si="5"/>
        <v>1.5253364197530862E-2</v>
      </c>
      <c r="N15" s="88">
        <v>1</v>
      </c>
      <c r="O15" s="88">
        <v>1</v>
      </c>
      <c r="P15" s="367">
        <v>75</v>
      </c>
      <c r="Q15" s="26">
        <f t="shared" si="6"/>
        <v>3.2313389441625637E-2</v>
      </c>
      <c r="R15" s="26">
        <f t="shared" si="6"/>
        <v>0.12374118165784832</v>
      </c>
      <c r="S15" s="26">
        <f t="shared" si="6"/>
        <v>0.16056172839506169</v>
      </c>
      <c r="T15" s="26">
        <f t="shared" si="6"/>
        <v>3.2989906092678058E-4</v>
      </c>
      <c r="U15" s="26">
        <f t="shared" si="6"/>
        <v>1.3581349206349205E-2</v>
      </c>
      <c r="V15" s="26">
        <f t="shared" si="6"/>
        <v>1.2087400793650793E-2</v>
      </c>
      <c r="W15" s="26">
        <f t="shared" si="6"/>
        <v>25.519156990664225</v>
      </c>
      <c r="X15" s="26">
        <f t="shared" si="6"/>
        <v>3.413848047070189E-3</v>
      </c>
      <c r="Y15" s="26">
        <f t="shared" si="6"/>
        <v>1.5253364197530862E-2</v>
      </c>
    </row>
    <row r="16" spans="1:25" s="3" customFormat="1">
      <c r="A16" s="100" t="s">
        <v>292</v>
      </c>
      <c r="B16" s="22" t="s">
        <v>27</v>
      </c>
      <c r="C16" s="97">
        <v>69</v>
      </c>
      <c r="D16" s="22">
        <v>0.5</v>
      </c>
      <c r="E16" s="102">
        <v>0.10796897189848784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0.2814153439153439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0.40462962962962956</v>
      </c>
      <c r="H16" s="102">
        <v>7.6125329247041284E-4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2.2817460317460316E-2</v>
      </c>
      <c r="J16" s="100">
        <f t="shared" si="4"/>
        <v>2.030753968253968E-2</v>
      </c>
      <c r="K16" s="103">
        <v>64.895144949977833</v>
      </c>
      <c r="L16" s="102">
        <v>1.0324742188913067E-2</v>
      </c>
      <c r="M16" s="104">
        <f t="shared" si="5"/>
        <v>3.8439814814814809E-2</v>
      </c>
      <c r="N16" s="87">
        <v>1</v>
      </c>
      <c r="O16" s="87">
        <v>6</v>
      </c>
      <c r="P16" s="88">
        <f>8*22</f>
        <v>176</v>
      </c>
      <c r="Q16" s="34">
        <f t="shared" si="6"/>
        <v>0.64781383139092696</v>
      </c>
      <c r="R16" s="26">
        <f t="shared" si="6"/>
        <v>1.6884920634920633</v>
      </c>
      <c r="S16" s="26">
        <f t="shared" si="6"/>
        <v>2.4277777777777771</v>
      </c>
      <c r="T16" s="26">
        <f t="shared" si="6"/>
        <v>4.567519754822477E-3</v>
      </c>
      <c r="U16" s="26">
        <f t="shared" si="6"/>
        <v>0.13690476190476189</v>
      </c>
      <c r="V16" s="26">
        <f t="shared" si="6"/>
        <v>0.12184523809523809</v>
      </c>
      <c r="W16" s="26">
        <f t="shared" si="6"/>
        <v>389.370869699867</v>
      </c>
      <c r="X16" s="26">
        <f t="shared" si="6"/>
        <v>6.1948453133478402E-2</v>
      </c>
      <c r="Y16" s="26">
        <f t="shared" si="6"/>
        <v>0.23063888888888884</v>
      </c>
    </row>
    <row r="17" spans="1:25" s="3" customFormat="1">
      <c r="A17" s="100" t="s">
        <v>113</v>
      </c>
      <c r="B17" s="22" t="s">
        <v>27</v>
      </c>
      <c r="C17" s="97">
        <v>8</v>
      </c>
      <c r="D17" s="97"/>
      <c r="E17" s="23">
        <v>5.0214940278324668E-3</v>
      </c>
      <c r="F17" s="102">
        <v>2.6339776897464882E-2</v>
      </c>
      <c r="G17" s="102">
        <v>3.1446511855053767E-2</v>
      </c>
      <c r="H17" s="102">
        <v>6.7126585936112015E-5</v>
      </c>
      <c r="I17" s="102">
        <v>1.2318111482797186E-3</v>
      </c>
      <c r="J17" s="100">
        <f t="shared" si="4"/>
        <v>1.0963119219689495E-3</v>
      </c>
      <c r="K17" s="103">
        <v>4.3138036171262613</v>
      </c>
      <c r="L17" s="102">
        <v>4.5308138614573088E-4</v>
      </c>
      <c r="M17" s="104">
        <f t="shared" si="5"/>
        <v>2.9874186262301081E-3</v>
      </c>
      <c r="N17" s="87">
        <v>1</v>
      </c>
      <c r="O17" s="88">
        <v>6</v>
      </c>
      <c r="P17" s="88">
        <v>20</v>
      </c>
      <c r="Q17" s="34">
        <f t="shared" si="6"/>
        <v>3.0128964166994801E-2</v>
      </c>
      <c r="R17" s="26">
        <f t="shared" si="6"/>
        <v>0.15803866138478928</v>
      </c>
      <c r="S17" s="26">
        <f t="shared" si="6"/>
        <v>0.18867907113032262</v>
      </c>
      <c r="T17" s="26">
        <f t="shared" si="6"/>
        <v>4.0275951561667212E-4</v>
      </c>
      <c r="U17" s="26">
        <f t="shared" si="6"/>
        <v>7.3908668896783113E-3</v>
      </c>
      <c r="V17" s="26">
        <f t="shared" si="6"/>
        <v>6.5778715318136971E-3</v>
      </c>
      <c r="W17" s="26">
        <f t="shared" si="6"/>
        <v>25.882821702757568</v>
      </c>
      <c r="X17" s="26">
        <f t="shared" si="6"/>
        <v>2.718488316874385E-3</v>
      </c>
      <c r="Y17" s="26">
        <f t="shared" si="6"/>
        <v>1.7924511757380648E-2</v>
      </c>
    </row>
    <row r="18" spans="1:25" s="3" customFormat="1">
      <c r="A18" s="100" t="s">
        <v>126</v>
      </c>
      <c r="B18" s="22" t="s">
        <v>27</v>
      </c>
      <c r="C18" s="22">
        <v>175</v>
      </c>
      <c r="D18" s="22"/>
      <c r="E18" s="102">
        <v>0.11792220738547983</v>
      </c>
      <c r="F18" s="102">
        <v>0.36512193352152528</v>
      </c>
      <c r="G18" s="102">
        <v>0.86781464282266541</v>
      </c>
      <c r="H18" s="102">
        <v>1.8739217498104396E-3</v>
      </c>
      <c r="I18" s="102">
        <v>2.9041712295589866E-2</v>
      </c>
      <c r="J18" s="100">
        <f t="shared" si="4"/>
        <v>2.5847123943074982E-2</v>
      </c>
      <c r="K18" s="103">
        <v>166.54541562452522</v>
      </c>
      <c r="L18" s="102">
        <v>1.063993297769634E-2</v>
      </c>
      <c r="M18" s="104">
        <f t="shared" si="5"/>
        <v>8.2442391068153209E-2</v>
      </c>
      <c r="N18" s="88">
        <v>1</v>
      </c>
      <c r="O18" s="88">
        <v>3</v>
      </c>
      <c r="P18" s="367">
        <v>40</v>
      </c>
      <c r="Q18" s="26">
        <f t="shared" si="6"/>
        <v>0.3537666221564395</v>
      </c>
      <c r="R18" s="26">
        <f t="shared" si="6"/>
        <v>1.0953658005645759</v>
      </c>
      <c r="S18" s="26">
        <f t="shared" si="6"/>
        <v>2.6034439284679962</v>
      </c>
      <c r="T18" s="26">
        <f t="shared" si="6"/>
        <v>5.6217652494313184E-3</v>
      </c>
      <c r="U18" s="26">
        <f t="shared" si="6"/>
        <v>8.7125136886769594E-2</v>
      </c>
      <c r="V18" s="26">
        <f t="shared" si="6"/>
        <v>7.754137182922495E-2</v>
      </c>
      <c r="W18" s="26">
        <f t="shared" si="6"/>
        <v>499.63624687357566</v>
      </c>
      <c r="X18" s="26">
        <f t="shared" si="6"/>
        <v>3.1919798933089022E-2</v>
      </c>
      <c r="Y18" s="26">
        <f t="shared" si="6"/>
        <v>0.24732717320445963</v>
      </c>
    </row>
    <row r="19" spans="1:25" s="3" customFormat="1">
      <c r="A19" s="17" t="s">
        <v>28</v>
      </c>
      <c r="B19" s="97"/>
      <c r="C19" s="22"/>
      <c r="D19" s="22"/>
      <c r="E19" s="23"/>
      <c r="F19" s="23"/>
      <c r="G19" s="23"/>
      <c r="H19" s="23"/>
      <c r="I19" s="23"/>
      <c r="J19" s="24"/>
      <c r="K19" s="25"/>
      <c r="L19" s="23"/>
      <c r="M19" s="23"/>
      <c r="N19" s="88"/>
      <c r="O19" s="88"/>
      <c r="P19" s="88"/>
      <c r="Q19" s="27">
        <f t="shared" ref="Q19:Y19" si="7">SUM(Q14:Q18)</f>
        <v>1.3786479241852012</v>
      </c>
      <c r="R19" s="27">
        <f t="shared" si="7"/>
        <v>4.6410742150357844</v>
      </c>
      <c r="S19" s="27">
        <f t="shared" si="7"/>
        <v>7.3908472279933788</v>
      </c>
      <c r="T19" s="27">
        <f t="shared" si="7"/>
        <v>1.4562720708671158E-2</v>
      </c>
      <c r="U19" s="27">
        <f t="shared" si="7"/>
        <v>0.37274021012565423</v>
      </c>
      <c r="V19" s="27">
        <f t="shared" si="7"/>
        <v>0.33173878701183229</v>
      </c>
      <c r="W19" s="27">
        <f t="shared" si="7"/>
        <v>1250.7771968123573</v>
      </c>
      <c r="X19" s="27">
        <f t="shared" si="7"/>
        <v>0.13122284604660631</v>
      </c>
      <c r="Y19" s="27">
        <f t="shared" si="7"/>
        <v>0.70213048665937106</v>
      </c>
    </row>
    <row r="20" spans="1:25">
      <c r="A20" s="17" t="s">
        <v>387</v>
      </c>
      <c r="B20" s="549"/>
      <c r="C20" s="18"/>
      <c r="D20" s="22"/>
      <c r="E20" s="19"/>
      <c r="F20" s="19"/>
      <c r="G20" s="19"/>
      <c r="H20" s="19"/>
      <c r="I20" s="19"/>
      <c r="J20" s="19"/>
      <c r="K20" s="19"/>
      <c r="L20" s="19"/>
      <c r="M20" s="19"/>
      <c r="N20" s="30"/>
      <c r="O20" s="30"/>
      <c r="P20" s="364"/>
      <c r="Q20" s="20">
        <f>Q11+Q19</f>
        <v>2.0932250472767984</v>
      </c>
      <c r="R20" s="20">
        <f t="shared" ref="R20:Y20" si="8">R11+R19</f>
        <v>7.5952334259941789</v>
      </c>
      <c r="S20" s="20">
        <f t="shared" si="8"/>
        <v>11.811903674132536</v>
      </c>
      <c r="T20" s="20">
        <f t="shared" si="8"/>
        <v>2.2885786944749038E-2</v>
      </c>
      <c r="U20" s="20">
        <f t="shared" si="8"/>
        <v>0.61854850244170168</v>
      </c>
      <c r="V20" s="20">
        <f t="shared" si="8"/>
        <v>0.55050816717311446</v>
      </c>
      <c r="W20" s="20">
        <f t="shared" si="8"/>
        <v>1947.2306892973854</v>
      </c>
      <c r="X20" s="20">
        <f t="shared" si="8"/>
        <v>0.20376265223717605</v>
      </c>
      <c r="Y20" s="20">
        <f t="shared" si="8"/>
        <v>1.122130849042591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8"/>
  <sheetViews>
    <sheetView zoomScale="75" workbookViewId="0">
      <selection activeCell="A24" sqref="A24"/>
    </sheetView>
  </sheetViews>
  <sheetFormatPr defaultRowHeight="12.75"/>
  <cols>
    <col min="1" max="1" width="36.5703125" style="36" customWidth="1"/>
    <col min="2" max="2" width="25.7109375" style="36" customWidth="1"/>
    <col min="3" max="3" width="11.140625" style="36" bestFit="1" customWidth="1"/>
    <col min="4" max="4" width="10.85546875" style="36" customWidth="1"/>
    <col min="5" max="5" width="10.140625" style="36" bestFit="1" customWidth="1"/>
    <col min="6" max="6" width="9.28515625" style="36" bestFit="1" customWidth="1"/>
    <col min="7" max="7" width="11.7109375" style="36" bestFit="1" customWidth="1"/>
    <col min="8" max="8" width="9.28515625" style="36" bestFit="1" customWidth="1"/>
    <col min="9" max="9" width="11.5703125" style="36" bestFit="1" customWidth="1"/>
    <col min="10" max="11" width="9.28515625" style="36" bestFit="1" customWidth="1"/>
    <col min="12" max="13" width="11.5703125" style="36" bestFit="1" customWidth="1"/>
    <col min="14" max="14" width="9.28515625" style="36" bestFit="1" customWidth="1"/>
    <col min="15" max="16" width="10.5703125" style="36" bestFit="1" customWidth="1"/>
    <col min="17" max="17" width="9.28515625" style="36" bestFit="1" customWidth="1"/>
    <col min="18" max="18" width="11.5703125" style="36" bestFit="1" customWidth="1"/>
    <col min="19" max="30" width="9.28515625" style="36" bestFit="1" customWidth="1"/>
    <col min="31" max="16384" width="9.140625" style="36"/>
  </cols>
  <sheetData>
    <row r="1" spans="1:30">
      <c r="A1" s="3" t="s">
        <v>526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70" t="s">
        <v>55</v>
      </c>
      <c r="H6" s="570" t="s">
        <v>56</v>
      </c>
      <c r="I6" s="566" t="s">
        <v>57</v>
      </c>
      <c r="J6" s="570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70" t="s">
        <v>61</v>
      </c>
      <c r="R6" s="566" t="s">
        <v>62</v>
      </c>
      <c r="S6" s="566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69" t="s">
        <v>69</v>
      </c>
      <c r="H7" s="41" t="s">
        <v>69</v>
      </c>
      <c r="I7" s="41" t="s">
        <v>69</v>
      </c>
      <c r="J7" s="41" t="s">
        <v>69</v>
      </c>
      <c r="K7" s="566" t="s">
        <v>69</v>
      </c>
      <c r="L7" s="566" t="s">
        <v>71</v>
      </c>
      <c r="M7" s="566" t="s">
        <v>72</v>
      </c>
      <c r="N7" s="566" t="s">
        <v>69</v>
      </c>
      <c r="O7" s="566" t="s">
        <v>71</v>
      </c>
      <c r="P7" s="566" t="s">
        <v>72</v>
      </c>
      <c r="Q7" s="41" t="s">
        <v>69</v>
      </c>
      <c r="R7" s="566" t="s">
        <v>69</v>
      </c>
      <c r="S7" s="566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69"/>
      <c r="H8" s="41"/>
      <c r="I8" s="41"/>
      <c r="J8" s="41"/>
      <c r="K8" s="566"/>
      <c r="L8" s="566"/>
      <c r="M8" s="566"/>
      <c r="N8" s="566"/>
      <c r="O8" s="566"/>
      <c r="P8" s="566"/>
      <c r="Q8" s="41"/>
      <c r="R8" s="566"/>
      <c r="S8" s="566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C9*(F9)*$B$386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68">
        <v>3.59998119015979E-2</v>
      </c>
      <c r="M10" s="568">
        <v>6.1739677411240299E-2</v>
      </c>
      <c r="N10" s="106">
        <v>6.5945508986370194E-2</v>
      </c>
      <c r="O10" s="568">
        <v>2.9999843251331498E-3</v>
      </c>
      <c r="P10" s="568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C10*(F10)*$B$386</f>
        <v>7.8498442661133934E-3</v>
      </c>
      <c r="AA10" s="50">
        <f>Z10*0.21</f>
        <v>1.6484672958838125E-3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69"/>
      <c r="H11" s="41"/>
      <c r="I11" s="41"/>
      <c r="J11" s="41"/>
      <c r="K11" s="566"/>
      <c r="L11" s="566"/>
      <c r="M11" s="566"/>
      <c r="N11" s="566"/>
      <c r="O11" s="566"/>
      <c r="P11" s="566"/>
      <c r="Q11" s="41"/>
      <c r="R11" s="566"/>
      <c r="S11" s="566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2.5511993864868531E-2</v>
      </c>
      <c r="AA11" s="81">
        <f t="shared" si="0"/>
        <v>5.3575187116223916E-3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69"/>
      <c r="H12" s="41"/>
      <c r="I12" s="41"/>
      <c r="J12" s="41"/>
      <c r="K12" s="566"/>
      <c r="L12" s="566"/>
      <c r="M12" s="566"/>
      <c r="N12" s="566"/>
      <c r="O12" s="566"/>
      <c r="P12" s="566"/>
      <c r="Q12" s="41"/>
      <c r="R12" s="566"/>
      <c r="S12" s="566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329</v>
      </c>
      <c r="B13" s="74"/>
      <c r="C13" s="112"/>
      <c r="D13" s="112"/>
      <c r="E13" s="74"/>
      <c r="F13" s="74"/>
      <c r="G13" s="569"/>
      <c r="H13" s="41"/>
      <c r="I13" s="41"/>
      <c r="J13" s="41"/>
      <c r="K13" s="566"/>
      <c r="L13" s="566"/>
      <c r="M13" s="566"/>
      <c r="N13" s="566"/>
      <c r="O13" s="566"/>
      <c r="P13" s="566"/>
      <c r="Q13" s="41"/>
      <c r="R13" s="566"/>
      <c r="S13" s="566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9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0.29967382660093506</v>
      </c>
      <c r="U14" s="50">
        <f>C14*($F14*$H14)/453.59</f>
        <v>0.553228133489156</v>
      </c>
      <c r="V14" s="50">
        <f>C14*(($F14*$I14))/453.59</f>
        <v>6.759201828883904E-2</v>
      </c>
      <c r="W14" s="50">
        <f>C14*($F14*$J14)/453.59</f>
        <v>4.1695840218224315E-3</v>
      </c>
      <c r="X14" s="50">
        <f>C14*(($F14*($K14+$L14+$M14)))/453.59</f>
        <v>0.10910839461045337</v>
      </c>
      <c r="Y14" s="50">
        <f>C14*(($F14*($N14+$O14+$P14)))/453.59</f>
        <v>7.2498296948932214E-2</v>
      </c>
      <c r="Z14" s="50">
        <f>C14*(F14)*$B$376</f>
        <v>0</v>
      </c>
      <c r="AA14" s="50">
        <f>Z14*0.21</f>
        <v>0</v>
      </c>
      <c r="AB14" s="50">
        <f>C14*(($F14*($Q14)))/453.59</f>
        <v>290.44231677076993</v>
      </c>
      <c r="AC14" s="50">
        <f>C14*(($F14*($R14)))/453.59</f>
        <v>1.65967453072321E-2</v>
      </c>
      <c r="AD14" s="50">
        <f>C14*(($F14*($S14)))/453.59</f>
        <v>7.439970386400041E-3</v>
      </c>
    </row>
    <row r="15" spans="1:30">
      <c r="A15" s="75" t="s">
        <v>28</v>
      </c>
      <c r="B15" s="74"/>
      <c r="C15" s="112"/>
      <c r="D15" s="112"/>
      <c r="E15" s="74"/>
      <c r="F15" s="74"/>
      <c r="G15" s="569"/>
      <c r="H15" s="41"/>
      <c r="I15" s="41"/>
      <c r="J15" s="41"/>
      <c r="K15" s="566"/>
      <c r="L15" s="566"/>
      <c r="M15" s="566"/>
      <c r="N15" s="566"/>
      <c r="O15" s="566"/>
      <c r="P15" s="566"/>
      <c r="Q15" s="41"/>
      <c r="R15" s="566"/>
      <c r="S15" s="566"/>
      <c r="T15" s="81">
        <f t="shared" ref="T15:AD15" si="1">SUM(T14:T14)</f>
        <v>0.29967382660093506</v>
      </c>
      <c r="U15" s="81">
        <f t="shared" si="1"/>
        <v>0.553228133489156</v>
      </c>
      <c r="V15" s="81">
        <f t="shared" si="1"/>
        <v>6.759201828883904E-2</v>
      </c>
      <c r="W15" s="81">
        <f t="shared" si="1"/>
        <v>4.1695840218224315E-3</v>
      </c>
      <c r="X15" s="81">
        <f t="shared" si="1"/>
        <v>0.10910839461045337</v>
      </c>
      <c r="Y15" s="81">
        <f t="shared" si="1"/>
        <v>7.2498296948932214E-2</v>
      </c>
      <c r="Z15" s="81">
        <f t="shared" si="1"/>
        <v>0</v>
      </c>
      <c r="AA15" s="81">
        <f t="shared" si="1"/>
        <v>0</v>
      </c>
      <c r="AB15" s="81">
        <f t="shared" si="1"/>
        <v>290.44231677076993</v>
      </c>
      <c r="AC15" s="81">
        <f t="shared" si="1"/>
        <v>1.65967453072321E-2</v>
      </c>
      <c r="AD15" s="81">
        <f t="shared" si="1"/>
        <v>7.439970386400041E-3</v>
      </c>
    </row>
    <row r="16" spans="1:30">
      <c r="A16" s="75"/>
      <c r="B16" s="74"/>
      <c r="C16" s="112"/>
      <c r="D16" s="112"/>
      <c r="E16" s="74"/>
      <c r="F16" s="74"/>
      <c r="G16" s="569"/>
      <c r="H16" s="41"/>
      <c r="I16" s="41"/>
      <c r="J16" s="41"/>
      <c r="K16" s="566"/>
      <c r="L16" s="566"/>
      <c r="M16" s="566"/>
      <c r="N16" s="566"/>
      <c r="O16" s="566"/>
      <c r="P16" s="566"/>
      <c r="Q16" s="41"/>
      <c r="R16" s="566"/>
      <c r="S16" s="566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</row>
    <row r="17" spans="1:30">
      <c r="A17" s="114" t="s">
        <v>330</v>
      </c>
      <c r="B17" s="74"/>
      <c r="C17" s="112"/>
      <c r="D17" s="112"/>
      <c r="E17" s="74"/>
      <c r="F17" s="74"/>
      <c r="G17" s="569"/>
      <c r="H17" s="41"/>
      <c r="I17" s="41"/>
      <c r="J17" s="41"/>
      <c r="K17" s="566"/>
      <c r="L17" s="566"/>
      <c r="M17" s="566"/>
      <c r="N17" s="566"/>
      <c r="O17" s="566"/>
      <c r="P17" s="566"/>
      <c r="Q17" s="41"/>
      <c r="R17" s="566"/>
      <c r="S17" s="566"/>
      <c r="T17" s="61"/>
      <c r="U17" s="61"/>
      <c r="V17" s="61"/>
      <c r="W17" s="61"/>
      <c r="X17" s="61"/>
      <c r="Y17" s="61"/>
      <c r="Z17" s="62"/>
      <c r="AA17" s="62"/>
      <c r="AB17" s="62"/>
      <c r="AC17" s="62"/>
      <c r="AD17" s="62"/>
    </row>
    <row r="18" spans="1:30">
      <c r="A18" s="78" t="s">
        <v>320</v>
      </c>
      <c r="B18" s="76" t="s">
        <v>95</v>
      </c>
      <c r="C18" s="79">
        <v>12</v>
      </c>
      <c r="D18" s="77"/>
      <c r="E18" s="77">
        <v>35</v>
      </c>
      <c r="F18" s="77">
        <v>60</v>
      </c>
      <c r="G18" s="106">
        <v>0.25172046482947802</v>
      </c>
      <c r="H18" s="106">
        <v>0.464701387165456</v>
      </c>
      <c r="I18" s="106">
        <v>5.6776043658582402E-2</v>
      </c>
      <c r="J18" s="106">
        <v>3.5023733638119199E-3</v>
      </c>
      <c r="K18" s="106">
        <v>4.6899256897933901E-2</v>
      </c>
      <c r="L18" s="47">
        <v>7.99995847163921E-3</v>
      </c>
      <c r="M18" s="47">
        <v>3.6749815577381599E-2</v>
      </c>
      <c r="N18" s="106">
        <v>4.3147317248333997E-2</v>
      </c>
      <c r="O18" s="47">
        <v>1.9999896145790402E-3</v>
      </c>
      <c r="P18" s="47">
        <v>1.57499200131354E-2</v>
      </c>
      <c r="Q18" s="106">
        <v>243.966167526025</v>
      </c>
      <c r="R18" s="47">
        <f>0.000057143*Q18</f>
        <v>1.3940958710939646E-2</v>
      </c>
      <c r="S18" s="80">
        <f>0.000025616*Q18</f>
        <v>6.2494373473466567E-3</v>
      </c>
      <c r="T18" s="50">
        <f>C18*($F18*$G18)/453.59</f>
        <v>0.39956510213458007</v>
      </c>
      <c r="U18" s="50">
        <f>C18*($F18*$H18)/453.59</f>
        <v>0.73763751131887467</v>
      </c>
      <c r="V18" s="50">
        <f>C18*(($F18*$I18))/453.59</f>
        <v>9.01226910517854E-2</v>
      </c>
      <c r="W18" s="50">
        <f>C18*($F18*$J18)/453.59</f>
        <v>5.5594453624299087E-3</v>
      </c>
      <c r="X18" s="50">
        <f>C18*(($F18*($K18+$L18+$M18)))/453.59</f>
        <v>0.14547785948060449</v>
      </c>
      <c r="Y18" s="50">
        <f>C18*(($F18*($N18+$O18+$P18)))/453.59</f>
        <v>9.6664395931909605E-2</v>
      </c>
      <c r="Z18" s="50">
        <f>C18*(F18)*$B$386</f>
        <v>7.0648598395020551E-2</v>
      </c>
      <c r="AA18" s="50">
        <f>Z18*0.21</f>
        <v>1.4836205662954315E-2</v>
      </c>
      <c r="AB18" s="50">
        <f>C18*(($F18*($Q18)))/453.59</f>
        <v>387.25642236102652</v>
      </c>
      <c r="AC18" s="50">
        <f>C18*(($F18*($R18)))/453.59</f>
        <v>2.2128993742976135E-2</v>
      </c>
      <c r="AD18" s="50">
        <f>C18*(($F18*($S18)))/453.59</f>
        <v>9.9199605152000547E-3</v>
      </c>
    </row>
    <row r="19" spans="1:30">
      <c r="A19" s="75" t="s">
        <v>28</v>
      </c>
      <c r="B19" s="74"/>
      <c r="C19" s="112"/>
      <c r="D19" s="112"/>
      <c r="E19" s="74"/>
      <c r="F19" s="74"/>
      <c r="G19" s="569"/>
      <c r="H19" s="41"/>
      <c r="I19" s="41"/>
      <c r="J19" s="41"/>
      <c r="K19" s="566"/>
      <c r="L19" s="566"/>
      <c r="M19" s="566"/>
      <c r="N19" s="566"/>
      <c r="O19" s="566"/>
      <c r="P19" s="566"/>
      <c r="Q19" s="41"/>
      <c r="R19" s="566"/>
      <c r="S19" s="566"/>
      <c r="T19" s="81">
        <f t="shared" ref="T19:AD19" si="2">SUM(T18:T18)</f>
        <v>0.39956510213458007</v>
      </c>
      <c r="U19" s="81">
        <f t="shared" si="2"/>
        <v>0.73763751131887467</v>
      </c>
      <c r="V19" s="81">
        <f t="shared" si="2"/>
        <v>9.01226910517854E-2</v>
      </c>
      <c r="W19" s="81">
        <f t="shared" si="2"/>
        <v>5.5594453624299087E-3</v>
      </c>
      <c r="X19" s="81">
        <f t="shared" si="2"/>
        <v>0.14547785948060449</v>
      </c>
      <c r="Y19" s="81">
        <f t="shared" si="2"/>
        <v>9.6664395931909605E-2</v>
      </c>
      <c r="Z19" s="81">
        <f t="shared" si="2"/>
        <v>7.0648598395020551E-2</v>
      </c>
      <c r="AA19" s="81">
        <f t="shared" si="2"/>
        <v>1.4836205662954315E-2</v>
      </c>
      <c r="AB19" s="81">
        <f t="shared" si="2"/>
        <v>387.25642236102652</v>
      </c>
      <c r="AC19" s="81">
        <f t="shared" si="2"/>
        <v>2.2128993742976135E-2</v>
      </c>
      <c r="AD19" s="81">
        <f t="shared" si="2"/>
        <v>9.9199605152000547E-3</v>
      </c>
    </row>
    <row r="20" spans="1:30">
      <c r="A20" s="565"/>
      <c r="B20" s="74"/>
      <c r="C20" s="112"/>
      <c r="D20" s="112"/>
      <c r="E20" s="74"/>
      <c r="F20" s="74"/>
      <c r="G20" s="569"/>
      <c r="H20" s="41"/>
      <c r="I20" s="41"/>
      <c r="J20" s="41"/>
      <c r="K20" s="566"/>
      <c r="L20" s="566"/>
      <c r="M20" s="566"/>
      <c r="N20" s="566"/>
      <c r="O20" s="566"/>
      <c r="P20" s="566"/>
      <c r="Q20" s="41"/>
      <c r="R20" s="566"/>
      <c r="S20" s="566"/>
      <c r="T20" s="61"/>
      <c r="U20" s="61"/>
      <c r="V20" s="61"/>
      <c r="W20" s="61"/>
      <c r="X20" s="61"/>
      <c r="Y20" s="61"/>
      <c r="Z20" s="62"/>
      <c r="AA20" s="62"/>
      <c r="AB20" s="62"/>
      <c r="AC20" s="62"/>
      <c r="AD20" s="62"/>
    </row>
    <row r="21" spans="1:30">
      <c r="A21" s="114" t="s">
        <v>337</v>
      </c>
      <c r="B21" s="74"/>
      <c r="C21" s="112"/>
      <c r="D21" s="112"/>
      <c r="E21" s="74"/>
      <c r="F21" s="74"/>
      <c r="G21" s="569"/>
      <c r="H21" s="41"/>
      <c r="I21" s="41"/>
      <c r="J21" s="41"/>
      <c r="K21" s="566"/>
      <c r="L21" s="566"/>
      <c r="M21" s="566"/>
      <c r="N21" s="566"/>
      <c r="O21" s="566"/>
      <c r="P21" s="566"/>
      <c r="Q21" s="41"/>
      <c r="R21" s="566"/>
      <c r="S21" s="566"/>
      <c r="T21" s="61"/>
      <c r="U21" s="61"/>
      <c r="V21" s="61"/>
      <c r="W21" s="61"/>
      <c r="X21" s="61"/>
      <c r="Y21" s="61"/>
      <c r="Z21" s="62"/>
      <c r="AA21" s="62"/>
      <c r="AB21" s="62"/>
      <c r="AC21" s="62"/>
      <c r="AD21" s="62"/>
    </row>
    <row r="22" spans="1:30">
      <c r="A22" s="78" t="s">
        <v>320</v>
      </c>
      <c r="B22" s="76" t="s">
        <v>95</v>
      </c>
      <c r="C22" s="79">
        <v>8</v>
      </c>
      <c r="D22" s="77"/>
      <c r="E22" s="77">
        <v>35</v>
      </c>
      <c r="F22" s="77">
        <v>60</v>
      </c>
      <c r="G22" s="106">
        <v>0.25172046482947802</v>
      </c>
      <c r="H22" s="106">
        <v>0.464701387165456</v>
      </c>
      <c r="I22" s="106">
        <v>5.6776043658582402E-2</v>
      </c>
      <c r="J22" s="106">
        <v>3.5023733638119199E-3</v>
      </c>
      <c r="K22" s="106">
        <v>4.6899256897933901E-2</v>
      </c>
      <c r="L22" s="47">
        <v>7.99995847163921E-3</v>
      </c>
      <c r="M22" s="47">
        <v>3.6749815577381599E-2</v>
      </c>
      <c r="N22" s="106">
        <v>4.3147317248333997E-2</v>
      </c>
      <c r="O22" s="47">
        <v>1.9999896145790402E-3</v>
      </c>
      <c r="P22" s="47">
        <v>1.57499200131354E-2</v>
      </c>
      <c r="Q22" s="106">
        <v>243.966167526025</v>
      </c>
      <c r="R22" s="47">
        <f>0.000057143*Q22</f>
        <v>1.3940958710939646E-2</v>
      </c>
      <c r="S22" s="80">
        <f>0.000025616*Q22</f>
        <v>6.2494373473466567E-3</v>
      </c>
      <c r="T22" s="50">
        <f>C22*($F22*$G22)/453.59</f>
        <v>0.26637673475638673</v>
      </c>
      <c r="U22" s="50">
        <f>C22*($F22*$H22)/453.59</f>
        <v>0.49175834087924974</v>
      </c>
      <c r="V22" s="50">
        <f>C22*(($F22*$I22))/453.59</f>
        <v>6.0081794034523593E-2</v>
      </c>
      <c r="W22" s="50">
        <f>C22*($F22*$J22)/453.59</f>
        <v>3.7062969082866061E-3</v>
      </c>
      <c r="X22" s="50">
        <f>C22*(($F22*($K22+$L22+$M22)))/453.59</f>
        <v>9.698523965373633E-2</v>
      </c>
      <c r="Y22" s="50">
        <f>C22*(($F22*($N22+$O22+$P22)))/453.59</f>
        <v>6.444293062127307E-2</v>
      </c>
      <c r="Z22" s="50">
        <f>C22*(F22)*$B$386</f>
        <v>4.7099065596680367E-2</v>
      </c>
      <c r="AA22" s="50">
        <f>Z22*0.21</f>
        <v>9.8908037753028775E-3</v>
      </c>
      <c r="AB22" s="50">
        <f>C22*(($F22*($Q22)))/453.59</f>
        <v>258.17094824068437</v>
      </c>
      <c r="AC22" s="50">
        <f>C22*(($F22*($R22)))/453.59</f>
        <v>1.4752662495317424E-2</v>
      </c>
      <c r="AD22" s="50">
        <f>C22*(($F22*($S22)))/453.59</f>
        <v>6.6133070101333695E-3</v>
      </c>
    </row>
    <row r="23" spans="1:30">
      <c r="A23" s="75" t="s">
        <v>28</v>
      </c>
      <c r="B23" s="74"/>
      <c r="C23" s="112"/>
      <c r="D23" s="112"/>
      <c r="E23" s="74"/>
      <c r="F23" s="74"/>
      <c r="G23" s="569"/>
      <c r="H23" s="41"/>
      <c r="I23" s="41"/>
      <c r="J23" s="41"/>
      <c r="K23" s="566"/>
      <c r="L23" s="566"/>
      <c r="M23" s="566"/>
      <c r="N23" s="566"/>
      <c r="O23" s="566"/>
      <c r="P23" s="566"/>
      <c r="Q23" s="41"/>
      <c r="R23" s="566"/>
      <c r="S23" s="566"/>
      <c r="T23" s="81">
        <f t="shared" ref="T23:AD23" si="3">SUM(T22:T22)</f>
        <v>0.26637673475638673</v>
      </c>
      <c r="U23" s="81">
        <f t="shared" si="3"/>
        <v>0.49175834087924974</v>
      </c>
      <c r="V23" s="81">
        <f t="shared" si="3"/>
        <v>6.0081794034523593E-2</v>
      </c>
      <c r="W23" s="81">
        <f t="shared" si="3"/>
        <v>3.7062969082866061E-3</v>
      </c>
      <c r="X23" s="81">
        <f t="shared" si="3"/>
        <v>9.698523965373633E-2</v>
      </c>
      <c r="Y23" s="81">
        <f t="shared" si="3"/>
        <v>6.444293062127307E-2</v>
      </c>
      <c r="Z23" s="81">
        <f t="shared" si="3"/>
        <v>4.7099065596680367E-2</v>
      </c>
      <c r="AA23" s="81">
        <f t="shared" si="3"/>
        <v>9.8908037753028775E-3</v>
      </c>
      <c r="AB23" s="81">
        <f t="shared" si="3"/>
        <v>258.17094824068437</v>
      </c>
      <c r="AC23" s="81">
        <f t="shared" si="3"/>
        <v>1.4752662495317424E-2</v>
      </c>
      <c r="AD23" s="81">
        <f t="shared" si="3"/>
        <v>6.6133070101333695E-3</v>
      </c>
    </row>
    <row r="24" spans="1:30">
      <c r="A24" s="75" t="s">
        <v>388</v>
      </c>
      <c r="B24" s="74"/>
      <c r="C24" s="112"/>
      <c r="D24" s="112"/>
      <c r="E24" s="74"/>
      <c r="F24" s="74"/>
      <c r="G24" s="569"/>
      <c r="H24" s="41"/>
      <c r="I24" s="41"/>
      <c r="J24" s="41"/>
      <c r="K24" s="566"/>
      <c r="L24" s="566"/>
      <c r="M24" s="566"/>
      <c r="N24" s="566"/>
      <c r="O24" s="566"/>
      <c r="P24" s="566"/>
      <c r="Q24" s="41"/>
      <c r="R24" s="566"/>
      <c r="S24" s="566"/>
      <c r="T24" s="81">
        <f t="shared" ref="T24:AD24" si="4">T11+T15+T19+T23</f>
        <v>1.2564529063147993</v>
      </c>
      <c r="U24" s="81">
        <f t="shared" si="4"/>
        <v>2.8438202223028646</v>
      </c>
      <c r="V24" s="81">
        <f t="shared" si="4"/>
        <v>0.2866209878623685</v>
      </c>
      <c r="W24" s="81">
        <f t="shared" si="4"/>
        <v>1.6714438807114103E-2</v>
      </c>
      <c r="X24" s="81">
        <f t="shared" si="4"/>
        <v>0.41782158038967221</v>
      </c>
      <c r="Y24" s="81">
        <f t="shared" si="4"/>
        <v>0.27978370713122347</v>
      </c>
      <c r="Z24" s="81">
        <f t="shared" si="4"/>
        <v>0.14325965785656947</v>
      </c>
      <c r="AA24" s="81">
        <f t="shared" si="4"/>
        <v>3.0084528149879584E-2</v>
      </c>
      <c r="AB24" s="81">
        <f t="shared" si="4"/>
        <v>1334.4058026863029</v>
      </c>
      <c r="AC24" s="81">
        <f t="shared" si="4"/>
        <v>6.1697701509310768E-2</v>
      </c>
      <c r="AD24" s="81">
        <f t="shared" si="4"/>
        <v>3.4182139041612332E-2</v>
      </c>
    </row>
    <row r="25" spans="1:30">
      <c r="A25" s="370"/>
      <c r="B25" s="371"/>
      <c r="C25" s="372"/>
      <c r="D25" s="372"/>
      <c r="E25" s="371"/>
      <c r="F25" s="371"/>
      <c r="G25" s="373"/>
      <c r="H25" s="373"/>
      <c r="I25" s="373"/>
      <c r="J25" s="373"/>
      <c r="K25" s="373"/>
      <c r="L25" s="373"/>
      <c r="M25" s="373"/>
      <c r="N25" s="373"/>
      <c r="O25" s="373"/>
      <c r="P25" s="373"/>
      <c r="Q25" s="373"/>
      <c r="R25" s="373"/>
      <c r="S25" s="373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</row>
    <row r="26" spans="1:30">
      <c r="A26" s="370"/>
      <c r="B26" s="371"/>
      <c r="C26" s="372"/>
      <c r="D26" s="372"/>
      <c r="E26" s="371"/>
      <c r="F26" s="371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</row>
    <row r="27" spans="1:30">
      <c r="A27" s="370"/>
      <c r="B27" s="371"/>
      <c r="C27" s="372"/>
      <c r="D27" s="372"/>
      <c r="E27" s="371"/>
      <c r="F27" s="371"/>
      <c r="G27" s="373"/>
      <c r="H27" s="373"/>
      <c r="I27" s="373"/>
      <c r="J27" s="373"/>
      <c r="K27" s="373"/>
      <c r="L27" s="373"/>
      <c r="M27" s="373"/>
      <c r="N27" s="373"/>
      <c r="O27" s="373"/>
      <c r="P27" s="373"/>
      <c r="Q27" s="373"/>
      <c r="R27" s="373"/>
      <c r="S27" s="373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</row>
    <row r="28" spans="1:30">
      <c r="A28" s="370"/>
      <c r="B28" s="371"/>
      <c r="C28" s="372"/>
      <c r="D28" s="372"/>
      <c r="E28" s="371"/>
      <c r="F28" s="371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</row>
    <row r="376" spans="1:1" ht="25.5">
      <c r="A376" s="82" t="s">
        <v>109</v>
      </c>
    </row>
    <row r="378" spans="1:1">
      <c r="A378" s="36" t="s">
        <v>81</v>
      </c>
    </row>
    <row r="379" spans="1:1">
      <c r="A379" s="36" t="s">
        <v>82</v>
      </c>
    </row>
    <row r="380" spans="1:1">
      <c r="A380" s="36" t="s">
        <v>83</v>
      </c>
    </row>
    <row r="381" spans="1:1">
      <c r="A381" s="37" t="s">
        <v>96</v>
      </c>
    </row>
    <row r="382" spans="1:1">
      <c r="A382" s="36" t="s">
        <v>85</v>
      </c>
    </row>
    <row r="383" spans="1:1">
      <c r="A383" s="36" t="s">
        <v>86</v>
      </c>
    </row>
    <row r="384" spans="1:1">
      <c r="A384" s="36" t="s">
        <v>87</v>
      </c>
    </row>
    <row r="385" spans="1:2">
      <c r="A385" s="36" t="s">
        <v>0</v>
      </c>
    </row>
    <row r="386" spans="1:2">
      <c r="A386" s="37" t="s">
        <v>97</v>
      </c>
      <c r="B386" s="36">
        <f>(0.016*(0.03/2)^0.65*(2/3)^1.5)-0.00047</f>
        <v>9.8123053326417428E-5</v>
      </c>
    </row>
    <row r="387" spans="1:2">
      <c r="A387" s="37" t="s">
        <v>98</v>
      </c>
      <c r="B387" s="36">
        <f>(0.016*(0.03/2)^0.65*(13/3)^1.5)-0.00047</f>
        <v>8.9448292388582783E-3</v>
      </c>
    </row>
    <row r="388" spans="1:2">
      <c r="A388" s="37" t="s">
        <v>99</v>
      </c>
      <c r="B388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1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598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315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C9*(F9)*$B$117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C10*(F10)*$B$117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334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C14*(F14)*$B$219</f>
        <v>0</v>
      </c>
      <c r="AA14" s="50">
        <f>Z14*0.21</f>
        <v>0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8" t="s">
        <v>331</v>
      </c>
      <c r="B15" s="76" t="s">
        <v>105</v>
      </c>
      <c r="C15" s="374">
        <v>16</v>
      </c>
      <c r="D15" s="77"/>
      <c r="E15" s="77">
        <v>35</v>
      </c>
      <c r="F15" s="77">
        <v>80</v>
      </c>
      <c r="G15" s="106">
        <v>1.08263976628415</v>
      </c>
      <c r="H15" s="106">
        <v>4.9712718909585103</v>
      </c>
      <c r="I15" s="106">
        <v>0.26248012575016899</v>
      </c>
      <c r="J15" s="106">
        <v>1.0711818E-2</v>
      </c>
      <c r="K15" s="106">
        <v>7.1679901072141505E-2</v>
      </c>
      <c r="L15" s="576">
        <v>3.59998119015979E-2</v>
      </c>
      <c r="M15" s="576">
        <v>6.1739677411240299E-2</v>
      </c>
      <c r="N15" s="106">
        <v>6.5945508986370194E-2</v>
      </c>
      <c r="O15" s="576">
        <v>2.9999843251331498E-3</v>
      </c>
      <c r="P15" s="576">
        <v>5.5859708133979398E-2</v>
      </c>
      <c r="Q15" s="106">
        <v>1710.7260798814</v>
      </c>
      <c r="R15" s="47">
        <v>1.5235246282551899E-2</v>
      </c>
      <c r="S15" s="80">
        <f>0.000025616*Q15</f>
        <v>4.3821959262241944E-2</v>
      </c>
      <c r="T15" s="50">
        <f>C15*($F15*$G15)/453.59</f>
        <v>3.0551354766280387</v>
      </c>
      <c r="U15" s="50">
        <f>C15*($F15*$H15)/453.59</f>
        <v>14.028589740573853</v>
      </c>
      <c r="V15" s="50">
        <f>C15*(($F15*$I15))/453.59</f>
        <v>0.74070098758838676</v>
      </c>
      <c r="W15" s="50">
        <f>C15*($F15*$J15)/453.59</f>
        <v>3.0228018783482882E-2</v>
      </c>
      <c r="X15" s="50">
        <f>C15*(($F15*($K15+$L15+$M15)))/453.59</f>
        <v>0.47808994839563052</v>
      </c>
      <c r="Y15" s="50">
        <f>C15*(($F15*($N15+$O15+$P15)))/453.59</f>
        <v>0.35219175433809813</v>
      </c>
      <c r="Z15" s="50">
        <f>C15*(F15)*$B$117</f>
        <v>0</v>
      </c>
      <c r="AA15" s="50">
        <f>Z15*0.21</f>
        <v>0</v>
      </c>
      <c r="AB15" s="50">
        <f>C15*(($F15*($Q15)))/453.59</f>
        <v>4827.5521555770456</v>
      </c>
      <c r="AC15" s="50">
        <f>C15*(($F15*($R15)))/453.59</f>
        <v>4.2992824448657235E-2</v>
      </c>
      <c r="AD15" s="50">
        <f>C15*(($F15*($S15)))/453.59</f>
        <v>0.12366257601726161</v>
      </c>
    </row>
    <row r="16" spans="1:30">
      <c r="A16" s="75" t="s">
        <v>28</v>
      </c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>
        <f>SUM(T14:T15)</f>
        <v>3.2549180276953287</v>
      </c>
      <c r="U16" s="81">
        <f t="shared" ref="U16:AD16" si="1">SUM(U14:U15)</f>
        <v>14.39740849623329</v>
      </c>
      <c r="V16" s="81">
        <f t="shared" si="1"/>
        <v>0.78576233311427945</v>
      </c>
      <c r="W16" s="81">
        <f t="shared" si="1"/>
        <v>3.3007741464697836E-2</v>
      </c>
      <c r="X16" s="81">
        <f t="shared" si="1"/>
        <v>0.55082887813593273</v>
      </c>
      <c r="Y16" s="81">
        <f t="shared" si="1"/>
        <v>0.40052395230405291</v>
      </c>
      <c r="Z16" s="81">
        <f t="shared" si="1"/>
        <v>0</v>
      </c>
      <c r="AA16" s="81">
        <f t="shared" si="1"/>
        <v>0</v>
      </c>
      <c r="AB16" s="81">
        <f t="shared" si="1"/>
        <v>5021.1803667575587</v>
      </c>
      <c r="AC16" s="81">
        <f t="shared" si="1"/>
        <v>5.4057321320145305E-2</v>
      </c>
      <c r="AD16" s="81">
        <f t="shared" si="1"/>
        <v>0.12862255627486163</v>
      </c>
    </row>
    <row r="17" spans="1:30">
      <c r="A17" s="75" t="s">
        <v>388</v>
      </c>
      <c r="B17" s="74"/>
      <c r="C17" s="112"/>
      <c r="D17" s="112"/>
      <c r="E17" s="74"/>
      <c r="F17" s="74"/>
      <c r="G17" s="547"/>
      <c r="H17" s="41"/>
      <c r="I17" s="41"/>
      <c r="J17" s="41"/>
      <c r="K17" s="544"/>
      <c r="L17" s="544"/>
      <c r="M17" s="544"/>
      <c r="N17" s="544"/>
      <c r="O17" s="544"/>
      <c r="P17" s="544"/>
      <c r="Q17" s="41"/>
      <c r="R17" s="544"/>
      <c r="S17" s="544"/>
      <c r="T17" s="81">
        <f>T11+T16</f>
        <v>3.5457552705182263</v>
      </c>
      <c r="U17" s="81">
        <f t="shared" ref="U17:AD17" si="2">U11+U16</f>
        <v>15.458604732848874</v>
      </c>
      <c r="V17" s="81">
        <f t="shared" si="2"/>
        <v>0.85458681760150002</v>
      </c>
      <c r="W17" s="81">
        <f t="shared" si="2"/>
        <v>3.628685397927299E-2</v>
      </c>
      <c r="X17" s="81">
        <f t="shared" si="2"/>
        <v>0.61707896478081081</v>
      </c>
      <c r="Y17" s="81">
        <f t="shared" si="2"/>
        <v>0.44670203593316143</v>
      </c>
      <c r="Z17" s="81">
        <f t="shared" si="2"/>
        <v>0</v>
      </c>
      <c r="AA17" s="81">
        <f t="shared" si="2"/>
        <v>0</v>
      </c>
      <c r="AB17" s="81">
        <f t="shared" si="2"/>
        <v>5419.7164820713806</v>
      </c>
      <c r="AC17" s="81">
        <f t="shared" si="2"/>
        <v>6.2276621283930411E-2</v>
      </c>
      <c r="AD17" s="81">
        <f t="shared" si="2"/>
        <v>0.13883145740474051</v>
      </c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369" spans="1:2" ht="25.5">
      <c r="A369" s="82" t="s">
        <v>109</v>
      </c>
    </row>
    <row r="371" spans="1:2">
      <c r="A371" s="36" t="s">
        <v>81</v>
      </c>
    </row>
    <row r="372" spans="1:2">
      <c r="A372" s="36" t="s">
        <v>82</v>
      </c>
    </row>
    <row r="373" spans="1:2">
      <c r="A373" s="36" t="s">
        <v>83</v>
      </c>
    </row>
    <row r="374" spans="1:2">
      <c r="A374" s="37" t="s">
        <v>96</v>
      </c>
    </row>
    <row r="375" spans="1:2">
      <c r="A375" s="36" t="s">
        <v>85</v>
      </c>
    </row>
    <row r="376" spans="1:2">
      <c r="A376" s="36" t="s">
        <v>86</v>
      </c>
    </row>
    <row r="377" spans="1:2">
      <c r="A377" s="36" t="s">
        <v>87</v>
      </c>
    </row>
    <row r="378" spans="1:2">
      <c r="A378" s="36" t="s">
        <v>0</v>
      </c>
    </row>
    <row r="379" spans="1:2">
      <c r="A379" s="37" t="s">
        <v>97</v>
      </c>
      <c r="B379" s="36">
        <f>(0.016*(0.03/2)^0.65*(2/3)^1.5)-0.00047</f>
        <v>9.8123053326417428E-5</v>
      </c>
    </row>
    <row r="380" spans="1:2">
      <c r="A380" s="37" t="s">
        <v>98</v>
      </c>
      <c r="B380" s="36">
        <f>(0.016*(0.03/2)^0.65*(13/3)^1.5)-0.00047</f>
        <v>8.9448292388582783E-3</v>
      </c>
    </row>
    <row r="381" spans="1:2">
      <c r="A381" s="37" t="s">
        <v>99</v>
      </c>
      <c r="B381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2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599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516</v>
      </c>
      <c r="B5" s="45" t="s">
        <v>102</v>
      </c>
      <c r="C5" s="46">
        <v>12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63"/>
      <c r="AE6" s="53"/>
    </row>
    <row r="7" spans="1:67">
      <c r="A7" s="52"/>
      <c r="B7" s="52"/>
      <c r="C7" s="53"/>
      <c r="D7" s="54"/>
      <c r="E7" s="54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</row>
    <row r="8" spans="1:67" ht="25.5">
      <c r="A8" s="55" t="s">
        <v>504</v>
      </c>
      <c r="B8" s="37"/>
      <c r="C8" s="37"/>
    </row>
    <row r="9" spans="1:67">
      <c r="A9" s="55" t="s">
        <v>77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84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</row>
    <row r="10" spans="1:67">
      <c r="A10" s="55" t="s">
        <v>78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t="38.25" hidden="1">
      <c r="A11" s="55" t="s">
        <v>79</v>
      </c>
      <c r="B11" s="37"/>
      <c r="C11" s="37"/>
      <c r="AA11" s="57"/>
      <c r="AB11" s="58" t="s">
        <v>80</v>
      </c>
      <c r="AC11" s="57"/>
      <c r="AD11" s="57"/>
      <c r="AE11" s="57"/>
      <c r="AF11" s="57" t="e">
        <f>#REF!/60</f>
        <v>#REF!</v>
      </c>
      <c r="AG11" s="57" t="e">
        <f>#REF!/60</f>
        <v>#REF!</v>
      </c>
      <c r="AH11" s="57" t="e">
        <f>#REF!/60</f>
        <v>#REF!</v>
      </c>
      <c r="AI11" s="57" t="e">
        <f>#REF!/60</f>
        <v>#REF!</v>
      </c>
      <c r="AJ11" s="57" t="e">
        <f>#REF!/60</f>
        <v>#REF!</v>
      </c>
      <c r="AK11" s="57" t="e">
        <f>#REF!/60</f>
        <v>#REF!</v>
      </c>
      <c r="AL11" s="57" t="e">
        <f>#REF!/60</f>
        <v>#REF!</v>
      </c>
      <c r="AM11" s="57" t="e">
        <f>#REF!/60</f>
        <v>#REF!</v>
      </c>
      <c r="AN11" s="57" t="e">
        <f>#REF!/60</f>
        <v>#REF!</v>
      </c>
      <c r="AO11" s="57" t="e">
        <f>#REF!/60</f>
        <v>#REF!</v>
      </c>
      <c r="AP11" s="57"/>
      <c r="AQ11" s="57"/>
      <c r="AR11" s="57" t="e">
        <f>#REF!/60</f>
        <v>#REF!</v>
      </c>
      <c r="AS11" s="57" t="e">
        <f>#REF!/60</f>
        <v>#REF!</v>
      </c>
      <c r="AT11" s="57" t="e">
        <f>#REF!/60</f>
        <v>#REF!</v>
      </c>
      <c r="AU11" s="57" t="e">
        <f>#REF!/60</f>
        <v>#REF!</v>
      </c>
      <c r="AV11" s="57" t="e">
        <f>#REF!/60</f>
        <v>#REF!</v>
      </c>
      <c r="AW11" s="57" t="e">
        <f>#REF!/60</f>
        <v>#REF!</v>
      </c>
      <c r="AX11" s="57" t="e">
        <f>#REF!/60</f>
        <v>#REF!</v>
      </c>
      <c r="AY11" s="57" t="e">
        <f>#REF!/60</f>
        <v>#REF!</v>
      </c>
      <c r="AZ11" s="57" t="e">
        <f>#REF!/60</f>
        <v>#REF!</v>
      </c>
      <c r="BA11" s="57" t="e">
        <f>#REF!/60</f>
        <v>#REF!</v>
      </c>
    </row>
    <row r="12" spans="1:67" hidden="1">
      <c r="A12" s="55"/>
      <c r="B12" s="37"/>
      <c r="C12" s="3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9"/>
      <c r="AS12" s="59"/>
      <c r="AT12" s="59"/>
      <c r="AU12" s="59"/>
      <c r="AV12" s="59"/>
      <c r="AW12" s="59"/>
      <c r="AX12" s="59"/>
      <c r="AY12" s="59"/>
      <c r="AZ12" s="60"/>
      <c r="BA12" s="59"/>
    </row>
    <row r="13" spans="1:67" hidden="1">
      <c r="A13" s="37"/>
      <c r="B13" s="37"/>
      <c r="C13" s="37"/>
      <c r="AF13" s="596" t="s">
        <v>64</v>
      </c>
      <c r="AG13" s="596"/>
      <c r="AH13" s="596"/>
      <c r="AI13" s="596"/>
      <c r="AJ13" s="596"/>
      <c r="AK13" s="597"/>
      <c r="AL13" s="597"/>
      <c r="AM13" s="597"/>
      <c r="AN13" s="597"/>
      <c r="AO13" s="597"/>
      <c r="AP13" s="546"/>
      <c r="AQ13" s="56"/>
      <c r="AR13" s="596" t="s">
        <v>65</v>
      </c>
      <c r="AS13" s="596"/>
      <c r="AT13" s="596"/>
      <c r="AU13" s="596"/>
      <c r="AV13" s="596"/>
      <c r="AW13" s="597"/>
      <c r="AX13" s="597"/>
      <c r="AY13" s="597"/>
      <c r="AZ13" s="597"/>
      <c r="BA13" s="597"/>
    </row>
    <row r="14" spans="1:67" ht="63.75" hidden="1">
      <c r="A14" s="37"/>
      <c r="B14" s="37"/>
      <c r="C14" s="37"/>
      <c r="AF14" s="61" t="s">
        <v>55</v>
      </c>
      <c r="AG14" s="61" t="s">
        <v>73</v>
      </c>
      <c r="AH14" s="61" t="s">
        <v>74</v>
      </c>
      <c r="AI14" s="61" t="s">
        <v>58</v>
      </c>
      <c r="AJ14" s="61" t="s">
        <v>59</v>
      </c>
      <c r="AK14" s="61" t="s">
        <v>60</v>
      </c>
      <c r="AL14" s="62" t="s">
        <v>75</v>
      </c>
      <c r="AM14" s="62" t="s">
        <v>76</v>
      </c>
      <c r="AN14" s="62" t="s">
        <v>61</v>
      </c>
      <c r="AO14" s="62" t="s">
        <v>62</v>
      </c>
      <c r="AP14" s="62"/>
      <c r="AQ14" s="43"/>
      <c r="AR14" s="61" t="s">
        <v>55</v>
      </c>
      <c r="AS14" s="61" t="s">
        <v>73</v>
      </c>
      <c r="AT14" s="61" t="s">
        <v>74</v>
      </c>
      <c r="AU14" s="61" t="s">
        <v>58</v>
      </c>
      <c r="AV14" s="61" t="s">
        <v>59</v>
      </c>
      <c r="AW14" s="61" t="s">
        <v>60</v>
      </c>
      <c r="AX14" s="62" t="s">
        <v>75</v>
      </c>
      <c r="AY14" s="62" t="s">
        <v>76</v>
      </c>
      <c r="AZ14" s="63" t="s">
        <v>61</v>
      </c>
      <c r="BA14" s="61" t="s">
        <v>62</v>
      </c>
    </row>
    <row r="15" spans="1:67" hidden="1">
      <c r="A15" s="37" t="s">
        <v>81</v>
      </c>
      <c r="B15" s="37"/>
      <c r="C15" s="37"/>
      <c r="AA15" s="64" t="s">
        <v>29</v>
      </c>
      <c r="AB15" s="65" t="s">
        <v>30</v>
      </c>
      <c r="AC15" s="65" t="s">
        <v>31</v>
      </c>
      <c r="AD15" s="65"/>
      <c r="AE15" s="65"/>
      <c r="AQ15" s="38"/>
    </row>
    <row r="16" spans="1:67" hidden="1">
      <c r="A16" s="37" t="s">
        <v>82</v>
      </c>
      <c r="B16" s="37"/>
      <c r="C16" s="37"/>
      <c r="AA16" s="64"/>
      <c r="AB16" s="65" t="s">
        <v>32</v>
      </c>
      <c r="AC16" s="65">
        <v>13.25</v>
      </c>
      <c r="AD16" s="65"/>
      <c r="AE16" s="65"/>
      <c r="AF16" s="36" t="e">
        <f>AF$11*$AC16</f>
        <v>#REF!</v>
      </c>
      <c r="AG16" s="36" t="e">
        <f t="shared" ref="AG16:AO24" si="2">AG$11*$AC16</f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>AR$11*$AC16</f>
        <v>#REF!</v>
      </c>
      <c r="AS16" s="36" t="e">
        <f t="shared" ref="AS16:BA24" si="3">AS$11*$AC16</f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83</v>
      </c>
      <c r="B17" s="37"/>
      <c r="C17" s="37"/>
      <c r="AA17" s="64"/>
      <c r="AB17" s="65" t="s">
        <v>33</v>
      </c>
      <c r="AC17" s="65">
        <v>20.298999999999999</v>
      </c>
      <c r="AD17" s="65"/>
      <c r="AE17" s="65"/>
      <c r="AF17" s="36" t="e">
        <f t="shared" ref="AF17:AF24" si="4">AF$11*$AC17</f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ref="AR17:AR24" si="5">AR$11*$AC17</f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84</v>
      </c>
      <c r="B18" s="37"/>
      <c r="C18" s="37"/>
      <c r="AA18" s="64"/>
      <c r="AB18" s="65" t="s">
        <v>34</v>
      </c>
      <c r="AC18" s="65">
        <v>21.68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85</v>
      </c>
      <c r="B19" s="37"/>
      <c r="C19" s="37"/>
      <c r="AA19" s="64"/>
      <c r="AB19" s="65" t="s">
        <v>35</v>
      </c>
      <c r="AC19" s="65">
        <v>9.3046500000000005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86</v>
      </c>
      <c r="B20" s="37"/>
      <c r="C20" s="37"/>
      <c r="AA20" s="64"/>
      <c r="AB20" s="65" t="s">
        <v>36</v>
      </c>
      <c r="AC20" s="65">
        <v>5.0347999999999997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87</v>
      </c>
      <c r="B21" s="37"/>
      <c r="C21" s="37"/>
      <c r="AA21" s="64"/>
      <c r="AB21" s="65" t="s">
        <v>37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0</v>
      </c>
      <c r="B22" s="37"/>
      <c r="C22" s="37"/>
      <c r="AA22" s="64"/>
      <c r="AB22" s="65" t="s">
        <v>38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59</v>
      </c>
      <c r="B23" s="37">
        <f>(0.016*(0.03/2)^0.65*(2/3)^1.5)-0.00047</f>
        <v>9.8123053326417428E-5</v>
      </c>
      <c r="C23" s="37"/>
      <c r="AA23" s="64"/>
      <c r="AB23" s="65" t="s">
        <v>39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 t="s">
        <v>40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/>
      <c r="AC25" s="65"/>
      <c r="AD25" s="65"/>
      <c r="AE25" s="65"/>
      <c r="AQ25" s="38"/>
    </row>
    <row r="26" spans="1:53" hidden="1">
      <c r="A26" s="37"/>
      <c r="B26" s="37"/>
      <c r="C26" s="37"/>
      <c r="AA26" s="64" t="s">
        <v>41</v>
      </c>
      <c r="AB26" s="65" t="s">
        <v>30</v>
      </c>
      <c r="AC26" s="65" t="s">
        <v>31</v>
      </c>
      <c r="AD26" s="65"/>
      <c r="AE26" s="65"/>
      <c r="AQ26" s="38"/>
    </row>
    <row r="27" spans="1:53" hidden="1">
      <c r="A27" s="37" t="s">
        <v>88</v>
      </c>
      <c r="B27" s="37"/>
      <c r="C27" s="37"/>
      <c r="AA27" s="64"/>
      <c r="AB27" s="65" t="s">
        <v>32</v>
      </c>
      <c r="AC27" s="65">
        <v>0</v>
      </c>
      <c r="AD27" s="65"/>
      <c r="AE27" s="65"/>
      <c r="AF27" s="36" t="e">
        <f t="shared" ref="AF27:AO35" si="6">AF$11*$AC27</f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ref="AR27:BA35" si="7">AR$11*$AC27</f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89</v>
      </c>
      <c r="B28" s="37"/>
      <c r="C28" s="37"/>
      <c r="AA28" s="64"/>
      <c r="AB28" s="65" t="s">
        <v>33</v>
      </c>
      <c r="AC28" s="65">
        <v>6.2010000000000005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90</v>
      </c>
      <c r="B29" s="37"/>
      <c r="C29" s="37"/>
      <c r="AA29" s="64"/>
      <c r="AB29" s="65" t="s">
        <v>34</v>
      </c>
      <c r="AC29" s="65">
        <v>0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91</v>
      </c>
      <c r="B30" s="37"/>
      <c r="C30" s="37"/>
      <c r="AA30" s="64"/>
      <c r="AB30" s="65" t="s">
        <v>35</v>
      </c>
      <c r="AC30" s="65">
        <v>9.8037500000000009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92</v>
      </c>
      <c r="B31" s="37"/>
      <c r="C31" s="37"/>
      <c r="AA31" s="64"/>
      <c r="AB31" s="65" t="s">
        <v>36</v>
      </c>
      <c r="AC31" s="65">
        <v>7.2451999999999996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84</v>
      </c>
      <c r="B32" s="37"/>
      <c r="C32" s="37"/>
      <c r="AA32" s="64"/>
      <c r="AB32" s="65" t="s">
        <v>37</v>
      </c>
      <c r="AC32" s="65">
        <v>3.6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93</v>
      </c>
      <c r="B33" s="37"/>
      <c r="C33" s="37"/>
      <c r="AA33" s="64"/>
      <c r="AB33" s="65" t="s">
        <v>38</v>
      </c>
      <c r="AC33" s="65">
        <v>6.1984000000000004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94</v>
      </c>
      <c r="B34" s="37"/>
      <c r="C34" s="37"/>
      <c r="AA34" s="64"/>
      <c r="AB34" s="65" t="s">
        <v>39</v>
      </c>
      <c r="AC34" s="65">
        <v>5.1995100000000001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0</v>
      </c>
      <c r="B35" s="37"/>
      <c r="C35" s="37"/>
      <c r="AA35" s="64"/>
      <c r="AB35" s="65" t="s">
        <v>40</v>
      </c>
      <c r="AC35" s="65">
        <v>17.71416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59</v>
      </c>
      <c r="B36" s="37">
        <f>0.39*1.5*(8.5/12)^0.9*(2/3)^0.45</f>
        <v>0.35737873826145539</v>
      </c>
      <c r="C36" s="37"/>
      <c r="AA36" s="64"/>
      <c r="AB36" s="65"/>
      <c r="AC36" s="65"/>
      <c r="AD36" s="65"/>
      <c r="AE36" s="65"/>
      <c r="AQ36" s="38"/>
    </row>
    <row r="37" spans="1:53" hidden="1">
      <c r="A37" s="37" t="s">
        <v>60</v>
      </c>
      <c r="B37" s="37">
        <f>0.39*0.15*(8.5/12)^0.9*(2/3)^0.45</f>
        <v>3.5737873826145544E-2</v>
      </c>
      <c r="C37" s="37"/>
      <c r="AA37" s="64" t="s">
        <v>42</v>
      </c>
      <c r="AB37" s="65" t="s">
        <v>30</v>
      </c>
      <c r="AC37" s="65" t="s">
        <v>31</v>
      </c>
      <c r="AD37" s="65"/>
      <c r="AE37" s="65"/>
      <c r="AQ37" s="38"/>
    </row>
    <row r="38" spans="1:53" hidden="1">
      <c r="AA38" s="64"/>
      <c r="AB38" s="65" t="s">
        <v>32</v>
      </c>
      <c r="AC38" s="65">
        <v>0</v>
      </c>
      <c r="AD38" s="65"/>
      <c r="AE38" s="65"/>
      <c r="AF38" s="36" t="e">
        <f t="shared" ref="AF38:AO46" si="8">AF$11*$AC38</f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ref="AR38:BA46" si="9">AR$11*$AC38</f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33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34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35</v>
      </c>
      <c r="AC41" s="65">
        <v>16.541599999999999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36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37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38</v>
      </c>
      <c r="AC44" s="65">
        <v>14.601599999999999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39</v>
      </c>
      <c r="AC45" s="65">
        <v>14.570489999999999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40</v>
      </c>
      <c r="AC46" s="65">
        <v>14.14584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Q47" s="38"/>
    </row>
    <row r="48" spans="1:53" hidden="1">
      <c r="AQ48" s="38"/>
    </row>
    <row r="49" spans="27:53" ht="63.75" hidden="1">
      <c r="AA49" s="66" t="s">
        <v>43</v>
      </c>
      <c r="AB49" s="67"/>
      <c r="AC49" s="68"/>
      <c r="AD49" s="68"/>
      <c r="AE49" s="68"/>
      <c r="AF49" s="61" t="s">
        <v>55</v>
      </c>
      <c r="AG49" s="61" t="s">
        <v>73</v>
      </c>
      <c r="AH49" s="61" t="s">
        <v>57</v>
      </c>
      <c r="AI49" s="61" t="s">
        <v>58</v>
      </c>
      <c r="AJ49" s="61" t="s">
        <v>59</v>
      </c>
      <c r="AK49" s="61" t="s">
        <v>60</v>
      </c>
      <c r="AL49" s="62" t="s">
        <v>75</v>
      </c>
      <c r="AM49" s="62" t="s">
        <v>76</v>
      </c>
      <c r="AN49" s="62" t="s">
        <v>61</v>
      </c>
      <c r="AO49" s="62" t="s">
        <v>62</v>
      </c>
      <c r="AP49" s="62"/>
      <c r="AQ49" s="43"/>
      <c r="AR49" s="61" t="s">
        <v>55</v>
      </c>
      <c r="AS49" s="61" t="s">
        <v>73</v>
      </c>
      <c r="AT49" s="61" t="s">
        <v>74</v>
      </c>
      <c r="AU49" s="61" t="s">
        <v>58</v>
      </c>
      <c r="AV49" s="61" t="s">
        <v>59</v>
      </c>
      <c r="AW49" s="61" t="s">
        <v>60</v>
      </c>
      <c r="AX49" s="62" t="s">
        <v>75</v>
      </c>
      <c r="AY49" s="62" t="s">
        <v>76</v>
      </c>
      <c r="AZ49" s="63" t="s">
        <v>61</v>
      </c>
      <c r="BA49" s="61" t="s">
        <v>62</v>
      </c>
    </row>
    <row r="50" spans="27:53" hidden="1">
      <c r="AA50" s="69" t="s">
        <v>44</v>
      </c>
      <c r="AB50" s="35"/>
      <c r="AG50" s="70"/>
      <c r="AQ50" s="38"/>
    </row>
    <row r="51" spans="27:53" hidden="1">
      <c r="AA51" s="71" t="s">
        <v>29</v>
      </c>
      <c r="AB51" s="35"/>
      <c r="AF51" s="70" t="e">
        <f t="shared" ref="AF51:AO51" si="10">AF16+AF18+AF19</f>
        <v>#REF!</v>
      </c>
      <c r="AG51" s="70" t="e">
        <f t="shared" si="10"/>
        <v>#REF!</v>
      </c>
      <c r="AH51" s="70" t="e">
        <f t="shared" si="10"/>
        <v>#REF!</v>
      </c>
      <c r="AI51" s="70" t="e">
        <f t="shared" si="10"/>
        <v>#REF!</v>
      </c>
      <c r="AJ51" s="70" t="e">
        <f t="shared" si="10"/>
        <v>#REF!</v>
      </c>
      <c r="AK51" s="70" t="e">
        <f t="shared" si="10"/>
        <v>#REF!</v>
      </c>
      <c r="AL51" s="70" t="e">
        <f t="shared" si="10"/>
        <v>#REF!</v>
      </c>
      <c r="AM51" s="70" t="e">
        <f t="shared" si="10"/>
        <v>#REF!</v>
      </c>
      <c r="AN51" s="70" t="e">
        <f t="shared" si="10"/>
        <v>#REF!</v>
      </c>
      <c r="AO51" s="70" t="e">
        <f t="shared" si="10"/>
        <v>#REF!</v>
      </c>
      <c r="AP51" s="70"/>
      <c r="AQ51" s="70"/>
      <c r="AR51" s="70" t="e">
        <f t="shared" ref="AR51:BA51" si="11">AR16+AR18+AR19</f>
        <v>#REF!</v>
      </c>
      <c r="AS51" s="70" t="e">
        <f t="shared" si="11"/>
        <v>#REF!</v>
      </c>
      <c r="AT51" s="70" t="e">
        <f t="shared" si="11"/>
        <v>#REF!</v>
      </c>
      <c r="AU51" s="70" t="e">
        <f t="shared" si="11"/>
        <v>#REF!</v>
      </c>
      <c r="AV51" s="70" t="e">
        <f t="shared" si="11"/>
        <v>#REF!</v>
      </c>
      <c r="AW51" s="70" t="e">
        <f t="shared" si="11"/>
        <v>#REF!</v>
      </c>
      <c r="AX51" s="70" t="e">
        <f t="shared" si="11"/>
        <v>#REF!</v>
      </c>
      <c r="AY51" s="70" t="e">
        <f t="shared" si="11"/>
        <v>#REF!</v>
      </c>
      <c r="AZ51" s="70" t="e">
        <f t="shared" si="11"/>
        <v>#REF!</v>
      </c>
      <c r="BA51" s="70" t="e">
        <f t="shared" si="11"/>
        <v>#REF!</v>
      </c>
    </row>
    <row r="52" spans="27:53" hidden="1">
      <c r="AA52" s="71" t="s">
        <v>41</v>
      </c>
      <c r="AB52" s="35"/>
      <c r="AF52" s="70" t="e">
        <f t="shared" ref="AF52:AO52" si="12">AF27+AF29+AF30</f>
        <v>#REF!</v>
      </c>
      <c r="AG52" s="70" t="e">
        <f t="shared" si="12"/>
        <v>#REF!</v>
      </c>
      <c r="AH52" s="70" t="e">
        <f t="shared" si="12"/>
        <v>#REF!</v>
      </c>
      <c r="AI52" s="70" t="e">
        <f t="shared" si="12"/>
        <v>#REF!</v>
      </c>
      <c r="AJ52" s="70" t="e">
        <f t="shared" si="12"/>
        <v>#REF!</v>
      </c>
      <c r="AK52" s="70" t="e">
        <f t="shared" si="12"/>
        <v>#REF!</v>
      </c>
      <c r="AL52" s="70" t="e">
        <f t="shared" si="12"/>
        <v>#REF!</v>
      </c>
      <c r="AM52" s="70" t="e">
        <f t="shared" si="12"/>
        <v>#REF!</v>
      </c>
      <c r="AN52" s="70" t="e">
        <f t="shared" si="12"/>
        <v>#REF!</v>
      </c>
      <c r="AO52" s="70" t="e">
        <f t="shared" si="12"/>
        <v>#REF!</v>
      </c>
      <c r="AP52" s="70"/>
      <c r="AQ52" s="70"/>
      <c r="AR52" s="70" t="e">
        <f t="shared" ref="AR52:BA52" si="13">AR27+AR29+AR30</f>
        <v>#REF!</v>
      </c>
      <c r="AS52" s="70" t="e">
        <f t="shared" si="13"/>
        <v>#REF!</v>
      </c>
      <c r="AT52" s="70" t="e">
        <f t="shared" si="13"/>
        <v>#REF!</v>
      </c>
      <c r="AU52" s="70" t="e">
        <f t="shared" si="13"/>
        <v>#REF!</v>
      </c>
      <c r="AV52" s="70" t="e">
        <f t="shared" si="13"/>
        <v>#REF!</v>
      </c>
      <c r="AW52" s="70" t="e">
        <f t="shared" si="13"/>
        <v>#REF!</v>
      </c>
      <c r="AX52" s="70" t="e">
        <f t="shared" si="13"/>
        <v>#REF!</v>
      </c>
      <c r="AY52" s="70" t="e">
        <f t="shared" si="13"/>
        <v>#REF!</v>
      </c>
      <c r="AZ52" s="70" t="e">
        <f t="shared" si="13"/>
        <v>#REF!</v>
      </c>
      <c r="BA52" s="70" t="e">
        <f t="shared" si="13"/>
        <v>#REF!</v>
      </c>
    </row>
    <row r="53" spans="27:53" hidden="1">
      <c r="AA53" s="71" t="s">
        <v>42</v>
      </c>
      <c r="AB53" s="35"/>
      <c r="AF53" s="70" t="e">
        <f t="shared" ref="AF53:AO53" si="14">AF38+AF40+AF41</f>
        <v>#REF!</v>
      </c>
      <c r="AG53" s="70" t="e">
        <f t="shared" si="14"/>
        <v>#REF!</v>
      </c>
      <c r="AH53" s="70" t="e">
        <f t="shared" si="14"/>
        <v>#REF!</v>
      </c>
      <c r="AI53" s="70" t="e">
        <f t="shared" si="14"/>
        <v>#REF!</v>
      </c>
      <c r="AJ53" s="70" t="e">
        <f t="shared" si="14"/>
        <v>#REF!</v>
      </c>
      <c r="AK53" s="70" t="e">
        <f t="shared" si="14"/>
        <v>#REF!</v>
      </c>
      <c r="AL53" s="70" t="e">
        <f t="shared" si="14"/>
        <v>#REF!</v>
      </c>
      <c r="AM53" s="70" t="e">
        <f t="shared" si="14"/>
        <v>#REF!</v>
      </c>
      <c r="AN53" s="70" t="e">
        <f t="shared" si="14"/>
        <v>#REF!</v>
      </c>
      <c r="AO53" s="70" t="e">
        <f t="shared" si="14"/>
        <v>#REF!</v>
      </c>
      <c r="AP53" s="70"/>
      <c r="AQ53" s="70"/>
      <c r="AR53" s="70" t="e">
        <f t="shared" ref="AR53:BA53" si="15">AR38+AR40+AR41</f>
        <v>#REF!</v>
      </c>
      <c r="AS53" s="70" t="e">
        <f t="shared" si="15"/>
        <v>#REF!</v>
      </c>
      <c r="AT53" s="70" t="e">
        <f t="shared" si="15"/>
        <v>#REF!</v>
      </c>
      <c r="AU53" s="70" t="e">
        <f t="shared" si="15"/>
        <v>#REF!</v>
      </c>
      <c r="AV53" s="70" t="e">
        <f t="shared" si="15"/>
        <v>#REF!</v>
      </c>
      <c r="AW53" s="70" t="e">
        <f t="shared" si="15"/>
        <v>#REF!</v>
      </c>
      <c r="AX53" s="70" t="e">
        <f t="shared" si="15"/>
        <v>#REF!</v>
      </c>
      <c r="AY53" s="70" t="e">
        <f t="shared" si="15"/>
        <v>#REF!</v>
      </c>
      <c r="AZ53" s="70" t="e">
        <f t="shared" si="15"/>
        <v>#REF!</v>
      </c>
      <c r="BA53" s="70" t="e">
        <f t="shared" si="15"/>
        <v>#REF!</v>
      </c>
    </row>
    <row r="54" spans="27:53" hidden="1">
      <c r="AA54" s="69" t="s">
        <v>45</v>
      </c>
      <c r="AB54" s="35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27:53" hidden="1">
      <c r="AA55" s="71" t="s">
        <v>29</v>
      </c>
      <c r="AB55" s="35"/>
      <c r="AF55" s="70" t="e">
        <f t="shared" ref="AF55:AO55" si="16">AF16+AF18+AF20+AF22</f>
        <v>#REF!</v>
      </c>
      <c r="AG55" s="70" t="e">
        <f t="shared" si="16"/>
        <v>#REF!</v>
      </c>
      <c r="AH55" s="70" t="e">
        <f t="shared" si="16"/>
        <v>#REF!</v>
      </c>
      <c r="AI55" s="70" t="e">
        <f t="shared" si="16"/>
        <v>#REF!</v>
      </c>
      <c r="AJ55" s="70" t="e">
        <f t="shared" si="16"/>
        <v>#REF!</v>
      </c>
      <c r="AK55" s="70" t="e">
        <f t="shared" si="16"/>
        <v>#REF!</v>
      </c>
      <c r="AL55" s="70" t="e">
        <f t="shared" si="16"/>
        <v>#REF!</v>
      </c>
      <c r="AM55" s="70" t="e">
        <f t="shared" si="16"/>
        <v>#REF!</v>
      </c>
      <c r="AN55" s="70" t="e">
        <f t="shared" si="16"/>
        <v>#REF!</v>
      </c>
      <c r="AO55" s="70" t="e">
        <f t="shared" si="16"/>
        <v>#REF!</v>
      </c>
      <c r="AP55" s="70"/>
      <c r="AQ55" s="70"/>
      <c r="AR55" s="70" t="e">
        <f t="shared" ref="AR55:BA55" si="17">AR16+AR18+AR20+AR22</f>
        <v>#REF!</v>
      </c>
      <c r="AS55" s="70" t="e">
        <f t="shared" si="17"/>
        <v>#REF!</v>
      </c>
      <c r="AT55" s="70" t="e">
        <f t="shared" si="17"/>
        <v>#REF!</v>
      </c>
      <c r="AU55" s="70" t="e">
        <f t="shared" si="17"/>
        <v>#REF!</v>
      </c>
      <c r="AV55" s="70" t="e">
        <f t="shared" si="17"/>
        <v>#REF!</v>
      </c>
      <c r="AW55" s="70" t="e">
        <f t="shared" si="17"/>
        <v>#REF!</v>
      </c>
      <c r="AX55" s="70" t="e">
        <f t="shared" si="17"/>
        <v>#REF!</v>
      </c>
      <c r="AY55" s="70" t="e">
        <f t="shared" si="17"/>
        <v>#REF!</v>
      </c>
      <c r="AZ55" s="70" t="e">
        <f t="shared" si="17"/>
        <v>#REF!</v>
      </c>
      <c r="BA55" s="70" t="e">
        <f t="shared" si="17"/>
        <v>#REF!</v>
      </c>
    </row>
    <row r="56" spans="27:53" hidden="1">
      <c r="AA56" s="71" t="s">
        <v>41</v>
      </c>
      <c r="AB56" s="35"/>
      <c r="AF56" s="70" t="e">
        <f t="shared" ref="AF56:AO56" si="18">AF27+AF29+AF31+AF33</f>
        <v>#REF!</v>
      </c>
      <c r="AG56" s="70" t="e">
        <f t="shared" si="18"/>
        <v>#REF!</v>
      </c>
      <c r="AH56" s="70" t="e">
        <f t="shared" si="18"/>
        <v>#REF!</v>
      </c>
      <c r="AI56" s="70" t="e">
        <f t="shared" si="18"/>
        <v>#REF!</v>
      </c>
      <c r="AJ56" s="70" t="e">
        <f t="shared" si="18"/>
        <v>#REF!</v>
      </c>
      <c r="AK56" s="70" t="e">
        <f t="shared" si="18"/>
        <v>#REF!</v>
      </c>
      <c r="AL56" s="70" t="e">
        <f t="shared" si="18"/>
        <v>#REF!</v>
      </c>
      <c r="AM56" s="70" t="e">
        <f t="shared" si="18"/>
        <v>#REF!</v>
      </c>
      <c r="AN56" s="70" t="e">
        <f t="shared" si="18"/>
        <v>#REF!</v>
      </c>
      <c r="AO56" s="70" t="e">
        <f t="shared" si="18"/>
        <v>#REF!</v>
      </c>
      <c r="AP56" s="70"/>
      <c r="AQ56" s="70"/>
      <c r="AR56" s="70" t="e">
        <f t="shared" ref="AR56:BA56" si="19">AR27+AR29+AR31+AR33</f>
        <v>#REF!</v>
      </c>
      <c r="AS56" s="70" t="e">
        <f t="shared" si="19"/>
        <v>#REF!</v>
      </c>
      <c r="AT56" s="70" t="e">
        <f t="shared" si="19"/>
        <v>#REF!</v>
      </c>
      <c r="AU56" s="70" t="e">
        <f t="shared" si="19"/>
        <v>#REF!</v>
      </c>
      <c r="AV56" s="70" t="e">
        <f t="shared" si="19"/>
        <v>#REF!</v>
      </c>
      <c r="AW56" s="70" t="e">
        <f t="shared" si="19"/>
        <v>#REF!</v>
      </c>
      <c r="AX56" s="70" t="e">
        <f t="shared" si="19"/>
        <v>#REF!</v>
      </c>
      <c r="AY56" s="70" t="e">
        <f t="shared" si="19"/>
        <v>#REF!</v>
      </c>
      <c r="AZ56" s="70" t="e">
        <f t="shared" si="19"/>
        <v>#REF!</v>
      </c>
      <c r="BA56" s="70" t="e">
        <f t="shared" si="19"/>
        <v>#REF!</v>
      </c>
    </row>
    <row r="57" spans="27:53" hidden="1">
      <c r="AA57" s="71" t="s">
        <v>42</v>
      </c>
      <c r="AB57" s="35"/>
      <c r="AF57" s="70" t="e">
        <f t="shared" ref="AF57:AO57" si="20">AF38+AF40+AF42+AF44</f>
        <v>#REF!</v>
      </c>
      <c r="AG57" s="70" t="e">
        <f t="shared" si="20"/>
        <v>#REF!</v>
      </c>
      <c r="AH57" s="70" t="e">
        <f t="shared" si="20"/>
        <v>#REF!</v>
      </c>
      <c r="AI57" s="70" t="e">
        <f t="shared" si="20"/>
        <v>#REF!</v>
      </c>
      <c r="AJ57" s="70" t="e">
        <f t="shared" si="20"/>
        <v>#REF!</v>
      </c>
      <c r="AK57" s="70" t="e">
        <f t="shared" si="20"/>
        <v>#REF!</v>
      </c>
      <c r="AL57" s="70" t="e">
        <f t="shared" si="20"/>
        <v>#REF!</v>
      </c>
      <c r="AM57" s="70" t="e">
        <f t="shared" si="20"/>
        <v>#REF!</v>
      </c>
      <c r="AN57" s="70" t="e">
        <f t="shared" si="20"/>
        <v>#REF!</v>
      </c>
      <c r="AO57" s="70" t="e">
        <f t="shared" si="20"/>
        <v>#REF!</v>
      </c>
      <c r="AP57" s="70"/>
      <c r="AQ57" s="70"/>
      <c r="AR57" s="70" t="e">
        <f t="shared" ref="AR57:BA57" si="21">AR38+AR40+AR42+AR44</f>
        <v>#REF!</v>
      </c>
      <c r="AS57" s="70" t="e">
        <f t="shared" si="21"/>
        <v>#REF!</v>
      </c>
      <c r="AT57" s="70" t="e">
        <f t="shared" si="21"/>
        <v>#REF!</v>
      </c>
      <c r="AU57" s="70" t="e">
        <f t="shared" si="21"/>
        <v>#REF!</v>
      </c>
      <c r="AV57" s="70" t="e">
        <f t="shared" si="21"/>
        <v>#REF!</v>
      </c>
      <c r="AW57" s="70" t="e">
        <f t="shared" si="21"/>
        <v>#REF!</v>
      </c>
      <c r="AX57" s="70" t="e">
        <f t="shared" si="21"/>
        <v>#REF!</v>
      </c>
      <c r="AY57" s="70" t="e">
        <f t="shared" si="21"/>
        <v>#REF!</v>
      </c>
      <c r="AZ57" s="70" t="e">
        <f t="shared" si="21"/>
        <v>#REF!</v>
      </c>
      <c r="BA57" s="70" t="e">
        <f t="shared" si="21"/>
        <v>#REF!</v>
      </c>
    </row>
    <row r="58" spans="27:53" hidden="1">
      <c r="AA58" s="69" t="s">
        <v>46</v>
      </c>
      <c r="AB58" s="35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27:53" hidden="1">
      <c r="AA59" s="71" t="s">
        <v>29</v>
      </c>
      <c r="AB59" s="35"/>
      <c r="AF59" s="70" t="e">
        <f t="shared" ref="AF59:AO59" si="22">AF16+AF18+AF20+AF21+AF23</f>
        <v>#REF!</v>
      </c>
      <c r="AG59" s="70" t="e">
        <f t="shared" si="22"/>
        <v>#REF!</v>
      </c>
      <c r="AH59" s="70" t="e">
        <f t="shared" si="22"/>
        <v>#REF!</v>
      </c>
      <c r="AI59" s="70" t="e">
        <f t="shared" si="22"/>
        <v>#REF!</v>
      </c>
      <c r="AJ59" s="70" t="e">
        <f t="shared" si="22"/>
        <v>#REF!</v>
      </c>
      <c r="AK59" s="70" t="e">
        <f t="shared" si="22"/>
        <v>#REF!</v>
      </c>
      <c r="AL59" s="70" t="e">
        <f t="shared" si="22"/>
        <v>#REF!</v>
      </c>
      <c r="AM59" s="70" t="e">
        <f t="shared" si="22"/>
        <v>#REF!</v>
      </c>
      <c r="AN59" s="70" t="e">
        <f t="shared" si="22"/>
        <v>#REF!</v>
      </c>
      <c r="AO59" s="70" t="e">
        <f t="shared" si="22"/>
        <v>#REF!</v>
      </c>
      <c r="AP59" s="70"/>
      <c r="AQ59" s="70"/>
      <c r="AR59" s="70" t="e">
        <f t="shared" ref="AR59:BA59" si="23">AR16+AR18+AR20+AR21+AR23</f>
        <v>#REF!</v>
      </c>
      <c r="AS59" s="70" t="e">
        <f t="shared" si="23"/>
        <v>#REF!</v>
      </c>
      <c r="AT59" s="70" t="e">
        <f t="shared" si="23"/>
        <v>#REF!</v>
      </c>
      <c r="AU59" s="70" t="e">
        <f t="shared" si="23"/>
        <v>#REF!</v>
      </c>
      <c r="AV59" s="70" t="e">
        <f t="shared" si="23"/>
        <v>#REF!</v>
      </c>
      <c r="AW59" s="70" t="e">
        <f t="shared" si="23"/>
        <v>#REF!</v>
      </c>
      <c r="AX59" s="70" t="e">
        <f t="shared" si="23"/>
        <v>#REF!</v>
      </c>
      <c r="AY59" s="70" t="e">
        <f t="shared" si="23"/>
        <v>#REF!</v>
      </c>
      <c r="AZ59" s="70" t="e">
        <f t="shared" si="23"/>
        <v>#REF!</v>
      </c>
      <c r="BA59" s="70" t="e">
        <f t="shared" si="23"/>
        <v>#REF!</v>
      </c>
    </row>
    <row r="60" spans="27:53" hidden="1">
      <c r="AA60" s="71" t="s">
        <v>41</v>
      </c>
      <c r="AB60" s="35"/>
      <c r="AF60" s="70" t="e">
        <f t="shared" ref="AF60:AO60" si="24">AF27+AF29+AF31+AF32+AF34</f>
        <v>#REF!</v>
      </c>
      <c r="AG60" s="70" t="e">
        <f t="shared" si="24"/>
        <v>#REF!</v>
      </c>
      <c r="AH60" s="70" t="e">
        <f t="shared" si="24"/>
        <v>#REF!</v>
      </c>
      <c r="AI60" s="70" t="e">
        <f t="shared" si="24"/>
        <v>#REF!</v>
      </c>
      <c r="AJ60" s="70" t="e">
        <f t="shared" si="24"/>
        <v>#REF!</v>
      </c>
      <c r="AK60" s="70" t="e">
        <f t="shared" si="24"/>
        <v>#REF!</v>
      </c>
      <c r="AL60" s="70" t="e">
        <f t="shared" si="24"/>
        <v>#REF!</v>
      </c>
      <c r="AM60" s="70" t="e">
        <f t="shared" si="24"/>
        <v>#REF!</v>
      </c>
      <c r="AN60" s="70" t="e">
        <f t="shared" si="24"/>
        <v>#REF!</v>
      </c>
      <c r="AO60" s="70" t="e">
        <f t="shared" si="24"/>
        <v>#REF!</v>
      </c>
      <c r="AP60" s="70"/>
      <c r="AQ60" s="70"/>
      <c r="AR60" s="70" t="e">
        <f t="shared" ref="AR60:BA60" si="25">AR27+AR29+AR31+AR32+AR34</f>
        <v>#REF!</v>
      </c>
      <c r="AS60" s="70" t="e">
        <f t="shared" si="25"/>
        <v>#REF!</v>
      </c>
      <c r="AT60" s="70" t="e">
        <f t="shared" si="25"/>
        <v>#REF!</v>
      </c>
      <c r="AU60" s="70" t="e">
        <f t="shared" si="25"/>
        <v>#REF!</v>
      </c>
      <c r="AV60" s="70" t="e">
        <f t="shared" si="25"/>
        <v>#REF!</v>
      </c>
      <c r="AW60" s="70" t="e">
        <f t="shared" si="25"/>
        <v>#REF!</v>
      </c>
      <c r="AX60" s="70" t="e">
        <f t="shared" si="25"/>
        <v>#REF!</v>
      </c>
      <c r="AY60" s="70" t="e">
        <f t="shared" si="25"/>
        <v>#REF!</v>
      </c>
      <c r="AZ60" s="70" t="e">
        <f t="shared" si="25"/>
        <v>#REF!</v>
      </c>
      <c r="BA60" s="70" t="e">
        <f t="shared" si="25"/>
        <v>#REF!</v>
      </c>
    </row>
    <row r="61" spans="27:53" hidden="1">
      <c r="AA61" s="71" t="s">
        <v>42</v>
      </c>
      <c r="AB61" s="35"/>
      <c r="AF61" s="70" t="e">
        <f t="shared" ref="AF61:AO61" si="26">AF38+AF40+AF42+AF43+AF45</f>
        <v>#REF!</v>
      </c>
      <c r="AG61" s="70" t="e">
        <f t="shared" si="26"/>
        <v>#REF!</v>
      </c>
      <c r="AH61" s="70" t="e">
        <f t="shared" si="26"/>
        <v>#REF!</v>
      </c>
      <c r="AI61" s="70" t="e">
        <f t="shared" si="26"/>
        <v>#REF!</v>
      </c>
      <c r="AJ61" s="70" t="e">
        <f t="shared" si="26"/>
        <v>#REF!</v>
      </c>
      <c r="AK61" s="70" t="e">
        <f t="shared" si="26"/>
        <v>#REF!</v>
      </c>
      <c r="AL61" s="70" t="e">
        <f t="shared" si="26"/>
        <v>#REF!</v>
      </c>
      <c r="AM61" s="70" t="e">
        <f t="shared" si="26"/>
        <v>#REF!</v>
      </c>
      <c r="AN61" s="70" t="e">
        <f t="shared" si="26"/>
        <v>#REF!</v>
      </c>
      <c r="AO61" s="70" t="e">
        <f t="shared" si="26"/>
        <v>#REF!</v>
      </c>
      <c r="AP61" s="70"/>
      <c r="AQ61" s="70"/>
      <c r="AR61" s="70" t="e">
        <f t="shared" ref="AR61:BA61" si="27">AR38+AR40+AR42+AR43+AR45</f>
        <v>#REF!</v>
      </c>
      <c r="AS61" s="70" t="e">
        <f t="shared" si="27"/>
        <v>#REF!</v>
      </c>
      <c r="AT61" s="70" t="e">
        <f t="shared" si="27"/>
        <v>#REF!</v>
      </c>
      <c r="AU61" s="70" t="e">
        <f t="shared" si="27"/>
        <v>#REF!</v>
      </c>
      <c r="AV61" s="70" t="e">
        <f t="shared" si="27"/>
        <v>#REF!</v>
      </c>
      <c r="AW61" s="70" t="e">
        <f t="shared" si="27"/>
        <v>#REF!</v>
      </c>
      <c r="AX61" s="70" t="e">
        <f t="shared" si="27"/>
        <v>#REF!</v>
      </c>
      <c r="AY61" s="70" t="e">
        <f t="shared" si="27"/>
        <v>#REF!</v>
      </c>
      <c r="AZ61" s="70" t="e">
        <f t="shared" si="27"/>
        <v>#REF!</v>
      </c>
      <c r="BA61" s="70" t="e">
        <f t="shared" si="27"/>
        <v>#REF!</v>
      </c>
    </row>
    <row r="62" spans="27:53" hidden="1">
      <c r="AA62" s="69" t="s">
        <v>47</v>
      </c>
      <c r="AB62" s="35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27:53" hidden="1">
      <c r="AA63" s="71" t="s">
        <v>29</v>
      </c>
      <c r="AB63" s="35"/>
      <c r="AF63" s="70" t="e">
        <f t="shared" ref="AF63:AO63" si="28">AF16+AF18+AF20+AF21+AF24</f>
        <v>#REF!</v>
      </c>
      <c r="AG63" s="70" t="e">
        <f t="shared" si="28"/>
        <v>#REF!</v>
      </c>
      <c r="AH63" s="70" t="e">
        <f t="shared" si="28"/>
        <v>#REF!</v>
      </c>
      <c r="AI63" s="70" t="e">
        <f t="shared" si="28"/>
        <v>#REF!</v>
      </c>
      <c r="AJ63" s="70" t="e">
        <f t="shared" si="28"/>
        <v>#REF!</v>
      </c>
      <c r="AK63" s="70" t="e">
        <f t="shared" si="28"/>
        <v>#REF!</v>
      </c>
      <c r="AL63" s="70" t="e">
        <f t="shared" si="28"/>
        <v>#REF!</v>
      </c>
      <c r="AM63" s="70" t="e">
        <f t="shared" si="28"/>
        <v>#REF!</v>
      </c>
      <c r="AN63" s="70" t="e">
        <f t="shared" si="28"/>
        <v>#REF!</v>
      </c>
      <c r="AO63" s="70" t="e">
        <f t="shared" si="28"/>
        <v>#REF!</v>
      </c>
      <c r="AP63" s="70"/>
      <c r="AQ63" s="70"/>
      <c r="AR63" s="70" t="e">
        <f t="shared" ref="AR63:BA63" si="29">AR16+AR18+AR20+AR21+AR24</f>
        <v>#REF!</v>
      </c>
      <c r="AS63" s="70" t="e">
        <f t="shared" si="29"/>
        <v>#REF!</v>
      </c>
      <c r="AT63" s="70" t="e">
        <f t="shared" si="29"/>
        <v>#REF!</v>
      </c>
      <c r="AU63" s="70" t="e">
        <f t="shared" si="29"/>
        <v>#REF!</v>
      </c>
      <c r="AV63" s="70" t="e">
        <f t="shared" si="29"/>
        <v>#REF!</v>
      </c>
      <c r="AW63" s="70" t="e">
        <f t="shared" si="29"/>
        <v>#REF!</v>
      </c>
      <c r="AX63" s="70" t="e">
        <f t="shared" si="29"/>
        <v>#REF!</v>
      </c>
      <c r="AY63" s="70" t="e">
        <f t="shared" si="29"/>
        <v>#REF!</v>
      </c>
      <c r="AZ63" s="70" t="e">
        <f t="shared" si="29"/>
        <v>#REF!</v>
      </c>
      <c r="BA63" s="70" t="e">
        <f t="shared" si="29"/>
        <v>#REF!</v>
      </c>
    </row>
    <row r="64" spans="27:53" hidden="1">
      <c r="AA64" s="71" t="s">
        <v>41</v>
      </c>
      <c r="AB64" s="35"/>
      <c r="AF64" s="70" t="e">
        <f t="shared" ref="AF64:AO64" si="30">AF27+AF29+AF31+AF32+AF35</f>
        <v>#REF!</v>
      </c>
      <c r="AG64" s="70" t="e">
        <f t="shared" si="30"/>
        <v>#REF!</v>
      </c>
      <c r="AH64" s="70" t="e">
        <f t="shared" si="30"/>
        <v>#REF!</v>
      </c>
      <c r="AI64" s="70" t="e">
        <f t="shared" si="30"/>
        <v>#REF!</v>
      </c>
      <c r="AJ64" s="70" t="e">
        <f t="shared" si="30"/>
        <v>#REF!</v>
      </c>
      <c r="AK64" s="70" t="e">
        <f t="shared" si="30"/>
        <v>#REF!</v>
      </c>
      <c r="AL64" s="70" t="e">
        <f t="shared" si="30"/>
        <v>#REF!</v>
      </c>
      <c r="AM64" s="70" t="e">
        <f t="shared" si="30"/>
        <v>#REF!</v>
      </c>
      <c r="AN64" s="70" t="e">
        <f t="shared" si="30"/>
        <v>#REF!</v>
      </c>
      <c r="AO64" s="70" t="e">
        <f t="shared" si="30"/>
        <v>#REF!</v>
      </c>
      <c r="AP64" s="70"/>
      <c r="AQ64" s="70"/>
      <c r="AR64" s="70" t="e">
        <f t="shared" ref="AR64:BA64" si="31">AR27+AR29+AR31+AR32+AR35</f>
        <v>#REF!</v>
      </c>
      <c r="AS64" s="70" t="e">
        <f t="shared" si="31"/>
        <v>#REF!</v>
      </c>
      <c r="AT64" s="70" t="e">
        <f t="shared" si="31"/>
        <v>#REF!</v>
      </c>
      <c r="AU64" s="70" t="e">
        <f t="shared" si="31"/>
        <v>#REF!</v>
      </c>
      <c r="AV64" s="70" t="e">
        <f t="shared" si="31"/>
        <v>#REF!</v>
      </c>
      <c r="AW64" s="70" t="e">
        <f t="shared" si="31"/>
        <v>#REF!</v>
      </c>
      <c r="AX64" s="70" t="e">
        <f t="shared" si="31"/>
        <v>#REF!</v>
      </c>
      <c r="AY64" s="70" t="e">
        <f t="shared" si="31"/>
        <v>#REF!</v>
      </c>
      <c r="AZ64" s="70" t="e">
        <f t="shared" si="31"/>
        <v>#REF!</v>
      </c>
      <c r="BA64" s="70" t="e">
        <f t="shared" si="31"/>
        <v>#REF!</v>
      </c>
    </row>
    <row r="65" spans="27:53" hidden="1">
      <c r="AA65" s="71" t="s">
        <v>42</v>
      </c>
      <c r="AB65" s="35"/>
      <c r="AF65" s="70" t="e">
        <f t="shared" ref="AF65:AO65" si="32">AF38+AF40+AF42+AF43+AF46</f>
        <v>#REF!</v>
      </c>
      <c r="AG65" s="70" t="e">
        <f t="shared" si="32"/>
        <v>#REF!</v>
      </c>
      <c r="AH65" s="70" t="e">
        <f t="shared" si="32"/>
        <v>#REF!</v>
      </c>
      <c r="AI65" s="70" t="e">
        <f t="shared" si="32"/>
        <v>#REF!</v>
      </c>
      <c r="AJ65" s="70" t="e">
        <f t="shared" si="32"/>
        <v>#REF!</v>
      </c>
      <c r="AK65" s="70" t="e">
        <f t="shared" si="32"/>
        <v>#REF!</v>
      </c>
      <c r="AL65" s="70" t="e">
        <f t="shared" si="32"/>
        <v>#REF!</v>
      </c>
      <c r="AM65" s="70" t="e">
        <f t="shared" si="32"/>
        <v>#REF!</v>
      </c>
      <c r="AN65" s="70" t="e">
        <f t="shared" si="32"/>
        <v>#REF!</v>
      </c>
      <c r="AO65" s="70" t="e">
        <f t="shared" si="32"/>
        <v>#REF!</v>
      </c>
      <c r="AP65" s="70"/>
      <c r="AQ65" s="70"/>
      <c r="AR65" s="70" t="e">
        <f t="shared" ref="AR65:BA65" si="33">AR38+AR40+AR42+AR43+AR46</f>
        <v>#REF!</v>
      </c>
      <c r="AS65" s="70" t="e">
        <f t="shared" si="33"/>
        <v>#REF!</v>
      </c>
      <c r="AT65" s="70" t="e">
        <f t="shared" si="33"/>
        <v>#REF!</v>
      </c>
      <c r="AU65" s="70" t="e">
        <f t="shared" si="33"/>
        <v>#REF!</v>
      </c>
      <c r="AV65" s="70" t="e">
        <f t="shared" si="33"/>
        <v>#REF!</v>
      </c>
      <c r="AW65" s="70" t="e">
        <f t="shared" si="33"/>
        <v>#REF!</v>
      </c>
      <c r="AX65" s="70" t="e">
        <f t="shared" si="33"/>
        <v>#REF!</v>
      </c>
      <c r="AY65" s="70" t="e">
        <f t="shared" si="33"/>
        <v>#REF!</v>
      </c>
      <c r="AZ65" s="70" t="e">
        <f t="shared" si="33"/>
        <v>#REF!</v>
      </c>
      <c r="BA65" s="70" t="e">
        <f t="shared" si="33"/>
        <v>#REF!</v>
      </c>
    </row>
    <row r="66" spans="27:53" hidden="1">
      <c r="AA66" s="69" t="s">
        <v>48</v>
      </c>
      <c r="AB66" s="35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27:53" hidden="1">
      <c r="AA67" s="71" t="s">
        <v>29</v>
      </c>
      <c r="AB67" s="35"/>
      <c r="AF67" s="70" t="e">
        <f t="shared" ref="AF67:AO67" si="34">AF16+AF17+AF22</f>
        <v>#REF!</v>
      </c>
      <c r="AG67" s="70" t="e">
        <f t="shared" si="34"/>
        <v>#REF!</v>
      </c>
      <c r="AH67" s="70" t="e">
        <f t="shared" si="34"/>
        <v>#REF!</v>
      </c>
      <c r="AI67" s="70" t="e">
        <f t="shared" si="34"/>
        <v>#REF!</v>
      </c>
      <c r="AJ67" s="70" t="e">
        <f t="shared" si="34"/>
        <v>#REF!</v>
      </c>
      <c r="AK67" s="70" t="e">
        <f t="shared" si="34"/>
        <v>#REF!</v>
      </c>
      <c r="AL67" s="70" t="e">
        <f t="shared" si="34"/>
        <v>#REF!</v>
      </c>
      <c r="AM67" s="70" t="e">
        <f t="shared" si="34"/>
        <v>#REF!</v>
      </c>
      <c r="AN67" s="70" t="e">
        <f t="shared" si="34"/>
        <v>#REF!</v>
      </c>
      <c r="AO67" s="70" t="e">
        <f t="shared" si="34"/>
        <v>#REF!</v>
      </c>
      <c r="AP67" s="70"/>
      <c r="AQ67" s="70"/>
      <c r="AR67" s="70" t="e">
        <f t="shared" ref="AR67:BA67" si="35">AR16+AR17+AR22</f>
        <v>#REF!</v>
      </c>
      <c r="AS67" s="70" t="e">
        <f t="shared" si="35"/>
        <v>#REF!</v>
      </c>
      <c r="AT67" s="70" t="e">
        <f t="shared" si="35"/>
        <v>#REF!</v>
      </c>
      <c r="AU67" s="70" t="e">
        <f t="shared" si="35"/>
        <v>#REF!</v>
      </c>
      <c r="AV67" s="70" t="e">
        <f t="shared" si="35"/>
        <v>#REF!</v>
      </c>
      <c r="AW67" s="70" t="e">
        <f t="shared" si="35"/>
        <v>#REF!</v>
      </c>
      <c r="AX67" s="70" t="e">
        <f t="shared" si="35"/>
        <v>#REF!</v>
      </c>
      <c r="AY67" s="70" t="e">
        <f t="shared" si="35"/>
        <v>#REF!</v>
      </c>
      <c r="AZ67" s="70" t="e">
        <f t="shared" si="35"/>
        <v>#REF!</v>
      </c>
      <c r="BA67" s="70" t="e">
        <f t="shared" si="35"/>
        <v>#REF!</v>
      </c>
    </row>
    <row r="68" spans="27:53" hidden="1">
      <c r="AA68" s="71" t="s">
        <v>41</v>
      </c>
      <c r="AB68" s="35"/>
      <c r="AF68" s="70" t="e">
        <f t="shared" ref="AF68:AO68" si="36">AF27+AF28+AF33</f>
        <v>#REF!</v>
      </c>
      <c r="AG68" s="70" t="e">
        <f t="shared" si="36"/>
        <v>#REF!</v>
      </c>
      <c r="AH68" s="70" t="e">
        <f t="shared" si="36"/>
        <v>#REF!</v>
      </c>
      <c r="AI68" s="70" t="e">
        <f t="shared" si="36"/>
        <v>#REF!</v>
      </c>
      <c r="AJ68" s="70" t="e">
        <f t="shared" si="36"/>
        <v>#REF!</v>
      </c>
      <c r="AK68" s="70" t="e">
        <f t="shared" si="36"/>
        <v>#REF!</v>
      </c>
      <c r="AL68" s="70" t="e">
        <f t="shared" si="36"/>
        <v>#REF!</v>
      </c>
      <c r="AM68" s="70" t="e">
        <f t="shared" si="36"/>
        <v>#REF!</v>
      </c>
      <c r="AN68" s="70" t="e">
        <f t="shared" si="36"/>
        <v>#REF!</v>
      </c>
      <c r="AO68" s="70" t="e">
        <f t="shared" si="36"/>
        <v>#REF!</v>
      </c>
      <c r="AP68" s="70"/>
      <c r="AQ68" s="70"/>
      <c r="AR68" s="70" t="e">
        <f t="shared" ref="AR68:BA68" si="37">AR27+AR28+AR33</f>
        <v>#REF!</v>
      </c>
      <c r="AS68" s="70" t="e">
        <f t="shared" si="37"/>
        <v>#REF!</v>
      </c>
      <c r="AT68" s="70" t="e">
        <f t="shared" si="37"/>
        <v>#REF!</v>
      </c>
      <c r="AU68" s="70" t="e">
        <f t="shared" si="37"/>
        <v>#REF!</v>
      </c>
      <c r="AV68" s="70" t="e">
        <f t="shared" si="37"/>
        <v>#REF!</v>
      </c>
      <c r="AW68" s="70" t="e">
        <f t="shared" si="37"/>
        <v>#REF!</v>
      </c>
      <c r="AX68" s="70" t="e">
        <f t="shared" si="37"/>
        <v>#REF!</v>
      </c>
      <c r="AY68" s="70" t="e">
        <f t="shared" si="37"/>
        <v>#REF!</v>
      </c>
      <c r="AZ68" s="70" t="e">
        <f t="shared" si="37"/>
        <v>#REF!</v>
      </c>
      <c r="BA68" s="70" t="e">
        <f t="shared" si="37"/>
        <v>#REF!</v>
      </c>
    </row>
    <row r="69" spans="27:53" hidden="1">
      <c r="AA69" s="71" t="s">
        <v>42</v>
      </c>
      <c r="AB69" s="35"/>
      <c r="AF69" s="70" t="e">
        <f t="shared" ref="AF69:AO69" si="38">AF38+AF39+AF44</f>
        <v>#REF!</v>
      </c>
      <c r="AG69" s="70" t="e">
        <f t="shared" si="38"/>
        <v>#REF!</v>
      </c>
      <c r="AH69" s="70" t="e">
        <f t="shared" si="38"/>
        <v>#REF!</v>
      </c>
      <c r="AI69" s="70" t="e">
        <f t="shared" si="38"/>
        <v>#REF!</v>
      </c>
      <c r="AJ69" s="70" t="e">
        <f t="shared" si="38"/>
        <v>#REF!</v>
      </c>
      <c r="AK69" s="70" t="e">
        <f t="shared" si="38"/>
        <v>#REF!</v>
      </c>
      <c r="AL69" s="70" t="e">
        <f t="shared" si="38"/>
        <v>#REF!</v>
      </c>
      <c r="AM69" s="70" t="e">
        <f t="shared" si="38"/>
        <v>#REF!</v>
      </c>
      <c r="AN69" s="70" t="e">
        <f t="shared" si="38"/>
        <v>#REF!</v>
      </c>
      <c r="AO69" s="70" t="e">
        <f t="shared" si="38"/>
        <v>#REF!</v>
      </c>
      <c r="AP69" s="70"/>
      <c r="AQ69" s="70"/>
      <c r="AR69" s="70" t="e">
        <f t="shared" ref="AR69:BA69" si="39">AR38+AR39+AR44</f>
        <v>#REF!</v>
      </c>
      <c r="AS69" s="70" t="e">
        <f t="shared" si="39"/>
        <v>#REF!</v>
      </c>
      <c r="AT69" s="70" t="e">
        <f t="shared" si="39"/>
        <v>#REF!</v>
      </c>
      <c r="AU69" s="70" t="e">
        <f t="shared" si="39"/>
        <v>#REF!</v>
      </c>
      <c r="AV69" s="70" t="e">
        <f t="shared" si="39"/>
        <v>#REF!</v>
      </c>
      <c r="AW69" s="70" t="e">
        <f t="shared" si="39"/>
        <v>#REF!</v>
      </c>
      <c r="AX69" s="70" t="e">
        <f t="shared" si="39"/>
        <v>#REF!</v>
      </c>
      <c r="AY69" s="70" t="e">
        <f t="shared" si="39"/>
        <v>#REF!</v>
      </c>
      <c r="AZ69" s="70" t="e">
        <f t="shared" si="39"/>
        <v>#REF!</v>
      </c>
      <c r="BA69" s="70" t="e">
        <f t="shared" si="39"/>
        <v>#REF!</v>
      </c>
    </row>
    <row r="70" spans="27:53" hidden="1">
      <c r="AA70" s="72" t="s">
        <v>49</v>
      </c>
      <c r="AB70" s="35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</row>
    <row r="71" spans="27:53" hidden="1">
      <c r="AA71" s="71" t="s">
        <v>29</v>
      </c>
      <c r="AB71" s="35"/>
      <c r="AF71" s="70" t="e">
        <f t="shared" ref="AF71:AO71" si="40">AF16+AF17+AF21+AF23</f>
        <v>#REF!</v>
      </c>
      <c r="AG71" s="70" t="e">
        <f t="shared" si="40"/>
        <v>#REF!</v>
      </c>
      <c r="AH71" s="70" t="e">
        <f t="shared" si="40"/>
        <v>#REF!</v>
      </c>
      <c r="AI71" s="70" t="e">
        <f t="shared" si="40"/>
        <v>#REF!</v>
      </c>
      <c r="AJ71" s="70" t="e">
        <f t="shared" si="40"/>
        <v>#REF!</v>
      </c>
      <c r="AK71" s="70" t="e">
        <f t="shared" si="40"/>
        <v>#REF!</v>
      </c>
      <c r="AL71" s="70" t="e">
        <f t="shared" si="40"/>
        <v>#REF!</v>
      </c>
      <c r="AM71" s="70" t="e">
        <f t="shared" si="40"/>
        <v>#REF!</v>
      </c>
      <c r="AN71" s="70" t="e">
        <f t="shared" si="40"/>
        <v>#REF!</v>
      </c>
      <c r="AO71" s="70" t="e">
        <f t="shared" si="40"/>
        <v>#REF!</v>
      </c>
      <c r="AP71" s="70"/>
      <c r="AQ71" s="70"/>
      <c r="AR71" s="70" t="e">
        <f t="shared" ref="AR71:BA71" si="41">AR16+AR17+AR21+AR23</f>
        <v>#REF!</v>
      </c>
      <c r="AS71" s="70" t="e">
        <f t="shared" si="41"/>
        <v>#REF!</v>
      </c>
      <c r="AT71" s="70" t="e">
        <f t="shared" si="41"/>
        <v>#REF!</v>
      </c>
      <c r="AU71" s="70" t="e">
        <f t="shared" si="41"/>
        <v>#REF!</v>
      </c>
      <c r="AV71" s="70" t="e">
        <f t="shared" si="41"/>
        <v>#REF!</v>
      </c>
      <c r="AW71" s="70" t="e">
        <f t="shared" si="41"/>
        <v>#REF!</v>
      </c>
      <c r="AX71" s="70" t="e">
        <f t="shared" si="41"/>
        <v>#REF!</v>
      </c>
      <c r="AY71" s="70" t="e">
        <f t="shared" si="41"/>
        <v>#REF!</v>
      </c>
      <c r="AZ71" s="70" t="e">
        <f t="shared" si="41"/>
        <v>#REF!</v>
      </c>
      <c r="BA71" s="70" t="e">
        <f t="shared" si="41"/>
        <v>#REF!</v>
      </c>
    </row>
    <row r="72" spans="27:53" hidden="1">
      <c r="AA72" s="71" t="s">
        <v>41</v>
      </c>
      <c r="AB72" s="35"/>
      <c r="AF72" s="70" t="e">
        <f t="shared" ref="AF72:AO72" si="42">AF27+AF28+AF32+AF34</f>
        <v>#REF!</v>
      </c>
      <c r="AG72" s="70" t="e">
        <f t="shared" si="42"/>
        <v>#REF!</v>
      </c>
      <c r="AH72" s="70" t="e">
        <f t="shared" si="42"/>
        <v>#REF!</v>
      </c>
      <c r="AI72" s="70" t="e">
        <f t="shared" si="42"/>
        <v>#REF!</v>
      </c>
      <c r="AJ72" s="70" t="e">
        <f t="shared" si="42"/>
        <v>#REF!</v>
      </c>
      <c r="AK72" s="70" t="e">
        <f t="shared" si="42"/>
        <v>#REF!</v>
      </c>
      <c r="AL72" s="70" t="e">
        <f t="shared" si="42"/>
        <v>#REF!</v>
      </c>
      <c r="AM72" s="70" t="e">
        <f t="shared" si="42"/>
        <v>#REF!</v>
      </c>
      <c r="AN72" s="70" t="e">
        <f t="shared" si="42"/>
        <v>#REF!</v>
      </c>
      <c r="AO72" s="70" t="e">
        <f t="shared" si="42"/>
        <v>#REF!</v>
      </c>
      <c r="AP72" s="70"/>
      <c r="AQ72" s="70"/>
      <c r="AR72" s="70" t="e">
        <f t="shared" ref="AR72:BA72" si="43">AR27+AR28+AR32+AR34</f>
        <v>#REF!</v>
      </c>
      <c r="AS72" s="70" t="e">
        <f t="shared" si="43"/>
        <v>#REF!</v>
      </c>
      <c r="AT72" s="70" t="e">
        <f t="shared" si="43"/>
        <v>#REF!</v>
      </c>
      <c r="AU72" s="70" t="e">
        <f t="shared" si="43"/>
        <v>#REF!</v>
      </c>
      <c r="AV72" s="70" t="e">
        <f t="shared" si="43"/>
        <v>#REF!</v>
      </c>
      <c r="AW72" s="70" t="e">
        <f t="shared" si="43"/>
        <v>#REF!</v>
      </c>
      <c r="AX72" s="70" t="e">
        <f t="shared" si="43"/>
        <v>#REF!</v>
      </c>
      <c r="AY72" s="70" t="e">
        <f t="shared" si="43"/>
        <v>#REF!</v>
      </c>
      <c r="AZ72" s="70" t="e">
        <f t="shared" si="43"/>
        <v>#REF!</v>
      </c>
      <c r="BA72" s="70" t="e">
        <f t="shared" si="43"/>
        <v>#REF!</v>
      </c>
    </row>
    <row r="73" spans="27:53" hidden="1">
      <c r="AA73" s="71" t="s">
        <v>42</v>
      </c>
      <c r="AB73" s="35"/>
      <c r="AF73" s="70" t="e">
        <f t="shared" ref="AF73:AO73" si="44">AF38+AF39+AF43+AF45</f>
        <v>#REF!</v>
      </c>
      <c r="AG73" s="70" t="e">
        <f t="shared" si="44"/>
        <v>#REF!</v>
      </c>
      <c r="AH73" s="70" t="e">
        <f t="shared" si="44"/>
        <v>#REF!</v>
      </c>
      <c r="AI73" s="70" t="e">
        <f t="shared" si="44"/>
        <v>#REF!</v>
      </c>
      <c r="AJ73" s="70" t="e">
        <f t="shared" si="44"/>
        <v>#REF!</v>
      </c>
      <c r="AK73" s="70" t="e">
        <f t="shared" si="44"/>
        <v>#REF!</v>
      </c>
      <c r="AL73" s="70" t="e">
        <f t="shared" si="44"/>
        <v>#REF!</v>
      </c>
      <c r="AM73" s="70" t="e">
        <f t="shared" si="44"/>
        <v>#REF!</v>
      </c>
      <c r="AN73" s="70" t="e">
        <f t="shared" si="44"/>
        <v>#REF!</v>
      </c>
      <c r="AO73" s="70" t="e">
        <f t="shared" si="44"/>
        <v>#REF!</v>
      </c>
      <c r="AP73" s="70"/>
      <c r="AQ73" s="70"/>
      <c r="AR73" s="70" t="e">
        <f t="shared" ref="AR73:BA73" si="45">AR38+AR39+AR43+AR45</f>
        <v>#REF!</v>
      </c>
      <c r="AS73" s="70" t="e">
        <f t="shared" si="45"/>
        <v>#REF!</v>
      </c>
      <c r="AT73" s="70" t="e">
        <f t="shared" si="45"/>
        <v>#REF!</v>
      </c>
      <c r="AU73" s="70" t="e">
        <f t="shared" si="45"/>
        <v>#REF!</v>
      </c>
      <c r="AV73" s="70" t="e">
        <f t="shared" si="45"/>
        <v>#REF!</v>
      </c>
      <c r="AW73" s="70" t="e">
        <f t="shared" si="45"/>
        <v>#REF!</v>
      </c>
      <c r="AX73" s="70" t="e">
        <f t="shared" si="45"/>
        <v>#REF!</v>
      </c>
      <c r="AY73" s="70" t="e">
        <f t="shared" si="45"/>
        <v>#REF!</v>
      </c>
      <c r="AZ73" s="70" t="e">
        <f t="shared" si="45"/>
        <v>#REF!</v>
      </c>
      <c r="BA73" s="70" t="e">
        <f t="shared" si="45"/>
        <v>#REF!</v>
      </c>
    </row>
    <row r="74" spans="27:53" hidden="1">
      <c r="AA74" s="69" t="s">
        <v>50</v>
      </c>
      <c r="AB74" s="35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</row>
    <row r="75" spans="27:53" hidden="1">
      <c r="AA75" s="71" t="s">
        <v>29</v>
      </c>
      <c r="AB75" s="35"/>
      <c r="AF75" s="70" t="e">
        <f t="shared" ref="AF75:AO75" si="46">AF16+AF17+AF21+AF24</f>
        <v>#REF!</v>
      </c>
      <c r="AG75" s="70" t="e">
        <f t="shared" si="46"/>
        <v>#REF!</v>
      </c>
      <c r="AH75" s="70" t="e">
        <f t="shared" si="46"/>
        <v>#REF!</v>
      </c>
      <c r="AI75" s="70" t="e">
        <f t="shared" si="46"/>
        <v>#REF!</v>
      </c>
      <c r="AJ75" s="70" t="e">
        <f t="shared" si="46"/>
        <v>#REF!</v>
      </c>
      <c r="AK75" s="70" t="e">
        <f t="shared" si="46"/>
        <v>#REF!</v>
      </c>
      <c r="AL75" s="70" t="e">
        <f t="shared" si="46"/>
        <v>#REF!</v>
      </c>
      <c r="AM75" s="70" t="e">
        <f t="shared" si="46"/>
        <v>#REF!</v>
      </c>
      <c r="AN75" s="70" t="e">
        <f t="shared" si="46"/>
        <v>#REF!</v>
      </c>
      <c r="AO75" s="70" t="e">
        <f t="shared" si="46"/>
        <v>#REF!</v>
      </c>
      <c r="AP75" s="70"/>
      <c r="AQ75" s="70"/>
      <c r="AR75" s="70" t="e">
        <f t="shared" ref="AR75:BA75" si="47">AR16+AR17+AR21+AR24</f>
        <v>#REF!</v>
      </c>
      <c r="AS75" s="70" t="e">
        <f t="shared" si="47"/>
        <v>#REF!</v>
      </c>
      <c r="AT75" s="70" t="e">
        <f t="shared" si="47"/>
        <v>#REF!</v>
      </c>
      <c r="AU75" s="70" t="e">
        <f t="shared" si="47"/>
        <v>#REF!</v>
      </c>
      <c r="AV75" s="70" t="e">
        <f t="shared" si="47"/>
        <v>#REF!</v>
      </c>
      <c r="AW75" s="70" t="e">
        <f t="shared" si="47"/>
        <v>#REF!</v>
      </c>
      <c r="AX75" s="70" t="e">
        <f t="shared" si="47"/>
        <v>#REF!</v>
      </c>
      <c r="AY75" s="70" t="e">
        <f t="shared" si="47"/>
        <v>#REF!</v>
      </c>
      <c r="AZ75" s="70" t="e">
        <f t="shared" si="47"/>
        <v>#REF!</v>
      </c>
      <c r="BA75" s="70" t="e">
        <f t="shared" si="47"/>
        <v>#REF!</v>
      </c>
    </row>
    <row r="76" spans="27:53" hidden="1">
      <c r="AA76" s="71" t="s">
        <v>41</v>
      </c>
      <c r="AB76" s="35"/>
      <c r="AF76" s="70" t="e">
        <f t="shared" ref="AF76:AO76" si="48">AF27+AF28+AF32+AF35</f>
        <v>#REF!</v>
      </c>
      <c r="AG76" s="70" t="e">
        <f t="shared" si="48"/>
        <v>#REF!</v>
      </c>
      <c r="AH76" s="70" t="e">
        <f t="shared" si="48"/>
        <v>#REF!</v>
      </c>
      <c r="AI76" s="70" t="e">
        <f t="shared" si="48"/>
        <v>#REF!</v>
      </c>
      <c r="AJ76" s="70" t="e">
        <f t="shared" si="48"/>
        <v>#REF!</v>
      </c>
      <c r="AK76" s="70" t="e">
        <f t="shared" si="48"/>
        <v>#REF!</v>
      </c>
      <c r="AL76" s="70" t="e">
        <f t="shared" si="48"/>
        <v>#REF!</v>
      </c>
      <c r="AM76" s="70" t="e">
        <f t="shared" si="48"/>
        <v>#REF!</v>
      </c>
      <c r="AN76" s="70" t="e">
        <f t="shared" si="48"/>
        <v>#REF!</v>
      </c>
      <c r="AO76" s="70" t="e">
        <f t="shared" si="48"/>
        <v>#REF!</v>
      </c>
      <c r="AP76" s="70"/>
      <c r="AQ76" s="70"/>
      <c r="AR76" s="70" t="e">
        <f t="shared" ref="AR76:BA76" si="49">AR27+AR28+AR32+AR35</f>
        <v>#REF!</v>
      </c>
      <c r="AS76" s="70" t="e">
        <f t="shared" si="49"/>
        <v>#REF!</v>
      </c>
      <c r="AT76" s="70" t="e">
        <f t="shared" si="49"/>
        <v>#REF!</v>
      </c>
      <c r="AU76" s="70" t="e">
        <f t="shared" si="49"/>
        <v>#REF!</v>
      </c>
      <c r="AV76" s="70" t="e">
        <f t="shared" si="49"/>
        <v>#REF!</v>
      </c>
      <c r="AW76" s="70" t="e">
        <f t="shared" si="49"/>
        <v>#REF!</v>
      </c>
      <c r="AX76" s="70" t="e">
        <f t="shared" si="49"/>
        <v>#REF!</v>
      </c>
      <c r="AY76" s="70" t="e">
        <f t="shared" si="49"/>
        <v>#REF!</v>
      </c>
      <c r="AZ76" s="70" t="e">
        <f t="shared" si="49"/>
        <v>#REF!</v>
      </c>
      <c r="BA76" s="70" t="e">
        <f t="shared" si="49"/>
        <v>#REF!</v>
      </c>
    </row>
    <row r="77" spans="27:53" hidden="1">
      <c r="AA77" s="71" t="s">
        <v>42</v>
      </c>
      <c r="AB77" s="35"/>
      <c r="AF77" s="70" t="e">
        <f t="shared" ref="AF77:AO77" si="50">AF38+AF39+AF43+AF46</f>
        <v>#REF!</v>
      </c>
      <c r="AG77" s="70" t="e">
        <f t="shared" si="50"/>
        <v>#REF!</v>
      </c>
      <c r="AH77" s="70" t="e">
        <f t="shared" si="50"/>
        <v>#REF!</v>
      </c>
      <c r="AI77" s="70" t="e">
        <f t="shared" si="50"/>
        <v>#REF!</v>
      </c>
      <c r="AJ77" s="70" t="e">
        <f t="shared" si="50"/>
        <v>#REF!</v>
      </c>
      <c r="AK77" s="70" t="e">
        <f t="shared" si="50"/>
        <v>#REF!</v>
      </c>
      <c r="AL77" s="70" t="e">
        <f t="shared" si="50"/>
        <v>#REF!</v>
      </c>
      <c r="AM77" s="70" t="e">
        <f t="shared" si="50"/>
        <v>#REF!</v>
      </c>
      <c r="AN77" s="70" t="e">
        <f t="shared" si="50"/>
        <v>#REF!</v>
      </c>
      <c r="AO77" s="70" t="e">
        <f t="shared" si="50"/>
        <v>#REF!</v>
      </c>
      <c r="AP77" s="70"/>
      <c r="AQ77" s="70"/>
      <c r="AR77" s="70" t="e">
        <f t="shared" ref="AR77:BA77" si="51">AR38+AR39+AR43+AR46</f>
        <v>#REF!</v>
      </c>
      <c r="AS77" s="70" t="e">
        <f t="shared" si="51"/>
        <v>#REF!</v>
      </c>
      <c r="AT77" s="70" t="e">
        <f t="shared" si="51"/>
        <v>#REF!</v>
      </c>
      <c r="AU77" s="70" t="e">
        <f t="shared" si="51"/>
        <v>#REF!</v>
      </c>
      <c r="AV77" s="70" t="e">
        <f t="shared" si="51"/>
        <v>#REF!</v>
      </c>
      <c r="AW77" s="70" t="e">
        <f t="shared" si="51"/>
        <v>#REF!</v>
      </c>
      <c r="AX77" s="70" t="e">
        <f t="shared" si="51"/>
        <v>#REF!</v>
      </c>
      <c r="AY77" s="70" t="e">
        <f t="shared" si="51"/>
        <v>#REF!</v>
      </c>
      <c r="AZ77" s="70" t="e">
        <f t="shared" si="51"/>
        <v>#REF!</v>
      </c>
      <c r="BA77" s="70" t="e">
        <f t="shared" si="51"/>
        <v>#REF!</v>
      </c>
    </row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8" spans="1:52">
      <c r="A88" s="598" t="s">
        <v>108</v>
      </c>
      <c r="B88" s="598" t="s">
        <v>52</v>
      </c>
      <c r="C88" s="39" t="s">
        <v>101</v>
      </c>
      <c r="D88" s="39" t="s">
        <v>53</v>
      </c>
      <c r="E88" s="39" t="s">
        <v>54</v>
      </c>
      <c r="F88" s="587" t="s">
        <v>64</v>
      </c>
      <c r="G88" s="600"/>
      <c r="H88" s="600"/>
      <c r="I88" s="600"/>
      <c r="J88" s="600"/>
      <c r="K88" s="600"/>
      <c r="L88" s="600"/>
      <c r="M88" s="600"/>
      <c r="N88" s="600"/>
      <c r="O88" s="600"/>
      <c r="P88" s="590"/>
      <c r="AN88" s="38"/>
      <c r="AZ88" s="36"/>
    </row>
    <row r="89" spans="1:52" ht="63.75">
      <c r="A89" s="599"/>
      <c r="B89" s="599"/>
      <c r="C89" s="41" t="s">
        <v>66</v>
      </c>
      <c r="D89" s="41" t="s">
        <v>67</v>
      </c>
      <c r="E89" s="41" t="s">
        <v>68</v>
      </c>
      <c r="F89" s="545" t="s">
        <v>55</v>
      </c>
      <c r="G89" s="545" t="s">
        <v>73</v>
      </c>
      <c r="H89" s="545" t="s">
        <v>74</v>
      </c>
      <c r="I89" s="545" t="s">
        <v>58</v>
      </c>
      <c r="J89" s="545" t="s">
        <v>59</v>
      </c>
      <c r="K89" s="545" t="s">
        <v>60</v>
      </c>
      <c r="L89" s="544" t="s">
        <v>75</v>
      </c>
      <c r="M89" s="544" t="s">
        <v>76</v>
      </c>
      <c r="N89" s="544" t="s">
        <v>61</v>
      </c>
      <c r="O89" s="544" t="s">
        <v>62</v>
      </c>
      <c r="P89" s="544" t="s">
        <v>63</v>
      </c>
      <c r="AN89" s="38"/>
      <c r="AZ89" s="36"/>
    </row>
    <row r="90" spans="1:52" ht="25.5">
      <c r="A90" s="44" t="str">
        <f t="shared" ref="A90:C91" si="52">A4</f>
        <v>Substation General Construction</v>
      </c>
      <c r="B90" s="45" t="str">
        <f t="shared" si="52"/>
        <v>Light-Duty Truck, catalyst</v>
      </c>
      <c r="C90" s="46">
        <f t="shared" si="52"/>
        <v>3</v>
      </c>
      <c r="D90" s="46">
        <v>35</v>
      </c>
      <c r="E90" s="46">
        <v>80</v>
      </c>
      <c r="F90" s="50">
        <f>C4*($E4*$F4+($G4))/453.59</f>
        <v>1.4571581576427601</v>
      </c>
      <c r="G90" s="50">
        <f>C4*($E4*$H4+($I4))/453.59</f>
        <v>0.13101197188313402</v>
      </c>
      <c r="H90" s="50">
        <f>C4*(($E4*$J4)+($K4)+($L4)+($E4*$N4)+(($M4+$O4)))/453.59</f>
        <v>0.15149994097185998</v>
      </c>
      <c r="I90" s="50">
        <f>C4*($E4*$P4+($Q4))/453.59</f>
        <v>2.1803910814818476E-3</v>
      </c>
      <c r="J90" s="50">
        <f>C4*(($E4*($R4+$T4+$U4))+($S4))/453.59</f>
        <v>2.5572271365623688E-2</v>
      </c>
      <c r="K90" s="50">
        <f>$C4*(($E4*($V4+$X4+$Y4))+($W4))/453.59</f>
        <v>1.1136015972759426E-2</v>
      </c>
      <c r="L90" s="50">
        <f>$B$23*C4*(E4+6)</f>
        <v>2.5315747758215698E-2</v>
      </c>
      <c r="M90" s="50">
        <f t="shared" ref="M90" si="53">0.41*L90</f>
        <v>1.0379456580868435E-2</v>
      </c>
      <c r="N90" s="50">
        <f>C4*($E4*$Z4+($AA4))/453.59</f>
        <v>166.27073017811671</v>
      </c>
      <c r="O90" s="50">
        <f>C4*($E4*$AB4+($AC4))/453.59</f>
        <v>9.5114261670907474E-3</v>
      </c>
      <c r="P90" s="50">
        <f>C4*($E4*$AD4+($AE4))/453.59</f>
        <v>1.7313359741530081E-2</v>
      </c>
      <c r="AN90" s="38"/>
      <c r="AZ90" s="36"/>
    </row>
    <row r="91" spans="1:52" ht="25.5">
      <c r="A91" s="44" t="str">
        <f t="shared" si="52"/>
        <v>Substation Below Grade</v>
      </c>
      <c r="B91" s="45" t="str">
        <f t="shared" si="52"/>
        <v>Light-Duty Truck, catalyst</v>
      </c>
      <c r="C91" s="46">
        <f t="shared" si="52"/>
        <v>12</v>
      </c>
      <c r="D91" s="46">
        <v>35</v>
      </c>
      <c r="E91" s="46">
        <v>80</v>
      </c>
      <c r="F91" s="50">
        <f>C5*($E5*$F5+($G5))/453.59</f>
        <v>5.8286326305710405</v>
      </c>
      <c r="G91" s="50">
        <f>C5*($E5*$H5+($I5))/453.59</f>
        <v>0.52404788753253606</v>
      </c>
      <c r="H91" s="50">
        <f>C5*(($E5*$J5)+($K5)+($L5)+($E5*$N5)+(($M5+$O5)))/453.59</f>
        <v>0.60599976388743992</v>
      </c>
      <c r="I91" s="50">
        <f>C5*($E5*$P5+($Q5))/453.59</f>
        <v>8.7215643259273903E-3</v>
      </c>
      <c r="J91" s="50">
        <f>C5*(($E5*($R5+$T5+$U5))+($S5))/453.59</f>
        <v>0.10228908546249475</v>
      </c>
      <c r="K91" s="50">
        <f>$C5*(($E5*($V5+$X5+$Y5))+($W5))/453.59</f>
        <v>4.4544063891037704E-2</v>
      </c>
      <c r="L91" s="50">
        <f>$B$23*C5*(E5+6)</f>
        <v>0.10126299103286279</v>
      </c>
      <c r="M91" s="50">
        <f t="shared" ref="M91" si="54">0.41*L91</f>
        <v>4.1517826323473742E-2</v>
      </c>
      <c r="N91" s="50">
        <f>C5*($E5*$Z5+($AA5))/453.59</f>
        <v>665.08292071246683</v>
      </c>
      <c r="O91" s="50">
        <f>C5*($E5*$AB5+($AC5))/453.59</f>
        <v>3.804570466836299E-2</v>
      </c>
      <c r="P91" s="50">
        <f>C5*($E5*$AD5+($AE5))/453.59</f>
        <v>6.9253438966120323E-2</v>
      </c>
      <c r="AN91" s="38"/>
      <c r="AZ91" s="36"/>
    </row>
    <row r="92" spans="1:52">
      <c r="A92" s="61" t="s">
        <v>389</v>
      </c>
      <c r="B92" s="40"/>
      <c r="C92" s="40"/>
      <c r="D92" s="40"/>
      <c r="E92" s="40"/>
      <c r="F92" s="81">
        <f t="shared" ref="F92:P92" si="55">SUM(F90:F91)</f>
        <v>7.2857907882138004</v>
      </c>
      <c r="G92" s="81">
        <f t="shared" si="55"/>
        <v>0.65505985941567002</v>
      </c>
      <c r="H92" s="81">
        <f t="shared" si="55"/>
        <v>0.75749970485929996</v>
      </c>
      <c r="I92" s="81">
        <f t="shared" si="55"/>
        <v>1.0901955407409238E-2</v>
      </c>
      <c r="J92" s="81">
        <f t="shared" si="55"/>
        <v>0.12786135682811844</v>
      </c>
      <c r="K92" s="81">
        <f t="shared" si="55"/>
        <v>5.5680079863797131E-2</v>
      </c>
      <c r="L92" s="81">
        <f t="shared" si="55"/>
        <v>0.1265787387910785</v>
      </c>
      <c r="M92" s="81">
        <f t="shared" si="55"/>
        <v>5.1897282904342174E-2</v>
      </c>
      <c r="N92" s="81">
        <f t="shared" si="55"/>
        <v>831.35365089058359</v>
      </c>
      <c r="O92" s="81">
        <f t="shared" si="55"/>
        <v>4.7557130835453737E-2</v>
      </c>
      <c r="P92" s="81">
        <f t="shared" si="55"/>
        <v>8.6566798707650411E-2</v>
      </c>
      <c r="AN92" s="38"/>
      <c r="AZ92" s="36"/>
    </row>
  </sheetData>
  <mergeCells count="16">
    <mergeCell ref="AR13:BA13"/>
    <mergeCell ref="A88:A89"/>
    <mergeCell ref="B88:B89"/>
    <mergeCell ref="F88:P88"/>
    <mergeCell ref="R2:U2"/>
    <mergeCell ref="V2:Y2"/>
    <mergeCell ref="Z2:AA2"/>
    <mergeCell ref="AB2:AC2"/>
    <mergeCell ref="AD2:AE2"/>
    <mergeCell ref="AF13:AO13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0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600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398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>
      <c r="A14" s="100" t="s">
        <v>125</v>
      </c>
      <c r="B14" s="97" t="s">
        <v>27</v>
      </c>
      <c r="C14" s="22">
        <v>87</v>
      </c>
      <c r="D14" s="22">
        <v>0.37</v>
      </c>
      <c r="E14" s="108">
        <v>5.2437519504869065E-2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0.26257275132275132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0.33506412037037031</v>
      </c>
      <c r="H14" s="108">
        <v>6.0679618797898508E-4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2.1289682539682539E-2</v>
      </c>
      <c r="J14" s="100">
        <f t="shared" ref="J14:J18" si="4">0.89*I14</f>
        <v>1.894781746031746E-2</v>
      </c>
      <c r="K14" s="108">
        <v>51.728016924248784</v>
      </c>
      <c r="L14" s="108">
        <v>5.2037096026823848E-3</v>
      </c>
      <c r="M14" s="102">
        <f t="shared" ref="M14:M18" si="5">0.095*G14</f>
        <v>3.1831091435185178E-2</v>
      </c>
      <c r="N14" s="88">
        <v>1</v>
      </c>
      <c r="O14" s="88">
        <v>6</v>
      </c>
      <c r="P14" s="367">
        <v>15</v>
      </c>
      <c r="Q14" s="26">
        <f t="shared" ref="Q14:Y18" si="6">(E14*$N14*$O14)</f>
        <v>0.31462511702921436</v>
      </c>
      <c r="R14" s="26">
        <f t="shared" si="6"/>
        <v>1.5754365079365078</v>
      </c>
      <c r="S14" s="26">
        <f t="shared" si="6"/>
        <v>2.0103847222222218</v>
      </c>
      <c r="T14" s="26">
        <f t="shared" si="6"/>
        <v>3.6407771278739107E-3</v>
      </c>
      <c r="U14" s="26">
        <f t="shared" si="6"/>
        <v>0.12773809523809523</v>
      </c>
      <c r="V14" s="26">
        <f t="shared" si="6"/>
        <v>0.11368690476190477</v>
      </c>
      <c r="W14" s="26">
        <f t="shared" si="6"/>
        <v>310.36810154549272</v>
      </c>
      <c r="X14" s="26">
        <f t="shared" si="6"/>
        <v>3.1222257616094311E-2</v>
      </c>
      <c r="Y14" s="26">
        <f t="shared" si="6"/>
        <v>0.19098654861111108</v>
      </c>
    </row>
    <row r="15" spans="1:25">
      <c r="A15" s="100" t="s">
        <v>287</v>
      </c>
      <c r="B15" s="97" t="s">
        <v>27</v>
      </c>
      <c r="C15" s="97">
        <v>37</v>
      </c>
      <c r="D15" s="22">
        <v>0.37</v>
      </c>
      <c r="E15" s="102">
        <v>3.2313389441625637E-2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0.12374118165784832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0.16056172839506169</v>
      </c>
      <c r="H15" s="102">
        <v>3.2989906092678058E-4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1.3581349206349205E-2</v>
      </c>
      <c r="J15" s="100">
        <f t="shared" si="4"/>
        <v>1.2087400793650793E-2</v>
      </c>
      <c r="K15" s="103">
        <v>25.519156990664225</v>
      </c>
      <c r="L15" s="102">
        <v>3.413848047070189E-3</v>
      </c>
      <c r="M15" s="104">
        <f t="shared" si="5"/>
        <v>1.5253364197530862E-2</v>
      </c>
      <c r="N15" s="88">
        <v>1</v>
      </c>
      <c r="O15" s="88">
        <v>1</v>
      </c>
      <c r="P15" s="367">
        <v>75</v>
      </c>
      <c r="Q15" s="26">
        <f t="shared" si="6"/>
        <v>3.2313389441625637E-2</v>
      </c>
      <c r="R15" s="26">
        <f t="shared" si="6"/>
        <v>0.12374118165784832</v>
      </c>
      <c r="S15" s="26">
        <f t="shared" si="6"/>
        <v>0.16056172839506169</v>
      </c>
      <c r="T15" s="26">
        <f t="shared" si="6"/>
        <v>3.2989906092678058E-4</v>
      </c>
      <c r="U15" s="26">
        <f t="shared" si="6"/>
        <v>1.3581349206349205E-2</v>
      </c>
      <c r="V15" s="26">
        <f t="shared" si="6"/>
        <v>1.2087400793650793E-2</v>
      </c>
      <c r="W15" s="26">
        <f t="shared" si="6"/>
        <v>25.519156990664225</v>
      </c>
      <c r="X15" s="26">
        <f t="shared" si="6"/>
        <v>3.413848047070189E-3</v>
      </c>
      <c r="Y15" s="26">
        <f t="shared" si="6"/>
        <v>1.5253364197530862E-2</v>
      </c>
    </row>
    <row r="16" spans="1:25">
      <c r="A16" s="100" t="s">
        <v>292</v>
      </c>
      <c r="B16" s="22" t="s">
        <v>27</v>
      </c>
      <c r="C16" s="97">
        <v>69</v>
      </c>
      <c r="D16" s="22">
        <v>0.5</v>
      </c>
      <c r="E16" s="102">
        <v>0.10796897189848784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0.2814153439153439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0.40462962962962956</v>
      </c>
      <c r="H16" s="102">
        <v>7.6125329247041284E-4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2.2817460317460316E-2</v>
      </c>
      <c r="J16" s="100">
        <f t="shared" si="4"/>
        <v>2.030753968253968E-2</v>
      </c>
      <c r="K16" s="103">
        <v>64.895144949977833</v>
      </c>
      <c r="L16" s="102">
        <v>1.0324742188913067E-2</v>
      </c>
      <c r="M16" s="104">
        <f t="shared" si="5"/>
        <v>3.8439814814814809E-2</v>
      </c>
      <c r="N16" s="87">
        <v>1</v>
      </c>
      <c r="O16" s="87">
        <v>6</v>
      </c>
      <c r="P16" s="88">
        <f>8*22</f>
        <v>176</v>
      </c>
      <c r="Q16" s="34">
        <f t="shared" si="6"/>
        <v>0.64781383139092696</v>
      </c>
      <c r="R16" s="26">
        <f t="shared" si="6"/>
        <v>1.6884920634920633</v>
      </c>
      <c r="S16" s="26">
        <f t="shared" si="6"/>
        <v>2.4277777777777771</v>
      </c>
      <c r="T16" s="26">
        <f t="shared" si="6"/>
        <v>4.567519754822477E-3</v>
      </c>
      <c r="U16" s="26">
        <f t="shared" si="6"/>
        <v>0.13690476190476189</v>
      </c>
      <c r="V16" s="26">
        <f t="shared" si="6"/>
        <v>0.12184523809523809</v>
      </c>
      <c r="W16" s="26">
        <f t="shared" si="6"/>
        <v>389.370869699867</v>
      </c>
      <c r="X16" s="26">
        <f t="shared" si="6"/>
        <v>6.1948453133478402E-2</v>
      </c>
      <c r="Y16" s="26">
        <f t="shared" si="6"/>
        <v>0.23063888888888884</v>
      </c>
    </row>
    <row r="17" spans="1:25">
      <c r="A17" s="100" t="s">
        <v>113</v>
      </c>
      <c r="B17" s="22" t="s">
        <v>27</v>
      </c>
      <c r="C17" s="97">
        <v>8</v>
      </c>
      <c r="D17" s="97"/>
      <c r="E17" s="23">
        <v>5.0214940278324668E-3</v>
      </c>
      <c r="F17" s="102">
        <v>2.6339776897464882E-2</v>
      </c>
      <c r="G17" s="102">
        <v>3.1446511855053767E-2</v>
      </c>
      <c r="H17" s="102">
        <v>6.7126585936112015E-5</v>
      </c>
      <c r="I17" s="102">
        <v>1.2318111482797186E-3</v>
      </c>
      <c r="J17" s="100">
        <f t="shared" si="4"/>
        <v>1.0963119219689495E-3</v>
      </c>
      <c r="K17" s="103">
        <v>4.3138036171262613</v>
      </c>
      <c r="L17" s="102">
        <v>4.5308138614573088E-4</v>
      </c>
      <c r="M17" s="104">
        <f t="shared" si="5"/>
        <v>2.9874186262301081E-3</v>
      </c>
      <c r="N17" s="87">
        <v>1</v>
      </c>
      <c r="O17" s="88">
        <v>6</v>
      </c>
      <c r="P17" s="88">
        <v>20</v>
      </c>
      <c r="Q17" s="34">
        <f t="shared" si="6"/>
        <v>3.0128964166994801E-2</v>
      </c>
      <c r="R17" s="26">
        <f t="shared" si="6"/>
        <v>0.15803866138478928</v>
      </c>
      <c r="S17" s="26">
        <f t="shared" si="6"/>
        <v>0.18867907113032262</v>
      </c>
      <c r="T17" s="26">
        <f t="shared" si="6"/>
        <v>4.0275951561667212E-4</v>
      </c>
      <c r="U17" s="26">
        <f t="shared" si="6"/>
        <v>7.3908668896783113E-3</v>
      </c>
      <c r="V17" s="26">
        <f t="shared" si="6"/>
        <v>6.5778715318136971E-3</v>
      </c>
      <c r="W17" s="26">
        <f t="shared" si="6"/>
        <v>25.882821702757568</v>
      </c>
      <c r="X17" s="26">
        <f t="shared" si="6"/>
        <v>2.718488316874385E-3</v>
      </c>
      <c r="Y17" s="26">
        <f t="shared" si="6"/>
        <v>1.7924511757380648E-2</v>
      </c>
    </row>
    <row r="18" spans="1:25">
      <c r="A18" s="100" t="s">
        <v>126</v>
      </c>
      <c r="B18" s="22" t="s">
        <v>27</v>
      </c>
      <c r="C18" s="22">
        <v>175</v>
      </c>
      <c r="D18" s="22"/>
      <c r="E18" s="102">
        <v>0.11792220738547983</v>
      </c>
      <c r="F18" s="102">
        <v>0.36512193352152528</v>
      </c>
      <c r="G18" s="102">
        <v>0.86781464282266541</v>
      </c>
      <c r="H18" s="102">
        <v>1.8739217498104396E-3</v>
      </c>
      <c r="I18" s="102">
        <v>2.9041712295589866E-2</v>
      </c>
      <c r="J18" s="100">
        <f t="shared" si="4"/>
        <v>2.5847123943074982E-2</v>
      </c>
      <c r="K18" s="103">
        <v>166.54541562452522</v>
      </c>
      <c r="L18" s="102">
        <v>1.063993297769634E-2</v>
      </c>
      <c r="M18" s="104">
        <f t="shared" si="5"/>
        <v>8.2442391068153209E-2</v>
      </c>
      <c r="N18" s="88">
        <v>1</v>
      </c>
      <c r="O18" s="88">
        <v>3</v>
      </c>
      <c r="P18" s="367">
        <v>40</v>
      </c>
      <c r="Q18" s="26">
        <f t="shared" si="6"/>
        <v>0.3537666221564395</v>
      </c>
      <c r="R18" s="26">
        <f t="shared" si="6"/>
        <v>1.0953658005645759</v>
      </c>
      <c r="S18" s="26">
        <f t="shared" si="6"/>
        <v>2.6034439284679962</v>
      </c>
      <c r="T18" s="26">
        <f t="shared" si="6"/>
        <v>5.6217652494313184E-3</v>
      </c>
      <c r="U18" s="26">
        <f t="shared" si="6"/>
        <v>8.7125136886769594E-2</v>
      </c>
      <c r="V18" s="26">
        <f t="shared" si="6"/>
        <v>7.754137182922495E-2</v>
      </c>
      <c r="W18" s="26">
        <f t="shared" si="6"/>
        <v>499.63624687357566</v>
      </c>
      <c r="X18" s="26">
        <f t="shared" si="6"/>
        <v>3.1919798933089022E-2</v>
      </c>
      <c r="Y18" s="26">
        <f t="shared" si="6"/>
        <v>0.24732717320445963</v>
      </c>
    </row>
    <row r="19" spans="1:25">
      <c r="A19" s="17" t="s">
        <v>28</v>
      </c>
      <c r="B19" s="97"/>
      <c r="C19" s="22"/>
      <c r="D19" s="22"/>
      <c r="E19" s="23"/>
      <c r="F19" s="23"/>
      <c r="G19" s="23"/>
      <c r="H19" s="23"/>
      <c r="I19" s="23"/>
      <c r="J19" s="24"/>
      <c r="K19" s="25"/>
      <c r="L19" s="23"/>
      <c r="M19" s="23"/>
      <c r="N19" s="88"/>
      <c r="O19" s="88"/>
      <c r="P19" s="88"/>
      <c r="Q19" s="27">
        <f t="shared" ref="Q19:Y19" si="7">SUM(Q14:Q18)</f>
        <v>1.3786479241852012</v>
      </c>
      <c r="R19" s="27">
        <f t="shared" si="7"/>
        <v>4.6410742150357844</v>
      </c>
      <c r="S19" s="27">
        <f t="shared" si="7"/>
        <v>7.3908472279933788</v>
      </c>
      <c r="T19" s="27">
        <f t="shared" si="7"/>
        <v>1.4562720708671158E-2</v>
      </c>
      <c r="U19" s="27">
        <f t="shared" si="7"/>
        <v>0.37274021012565423</v>
      </c>
      <c r="V19" s="27">
        <f t="shared" si="7"/>
        <v>0.33173878701183229</v>
      </c>
      <c r="W19" s="27">
        <f t="shared" si="7"/>
        <v>1250.7771968123573</v>
      </c>
      <c r="X19" s="27">
        <f t="shared" si="7"/>
        <v>0.13122284604660631</v>
      </c>
      <c r="Y19" s="27">
        <f t="shared" si="7"/>
        <v>0.70213048665937106</v>
      </c>
    </row>
    <row r="20" spans="1:25">
      <c r="A20" s="17" t="s">
        <v>387</v>
      </c>
      <c r="B20" s="549"/>
      <c r="C20" s="18"/>
      <c r="D20" s="22"/>
      <c r="E20" s="19"/>
      <c r="F20" s="19"/>
      <c r="G20" s="19"/>
      <c r="H20" s="19"/>
      <c r="I20" s="19"/>
      <c r="J20" s="19"/>
      <c r="K20" s="19"/>
      <c r="L20" s="19"/>
      <c r="M20" s="19"/>
      <c r="N20" s="30"/>
      <c r="O20" s="30"/>
      <c r="P20" s="364"/>
      <c r="Q20" s="20">
        <f>Q11+Q19</f>
        <v>2.0932250472767984</v>
      </c>
      <c r="R20" s="20">
        <f t="shared" ref="R20:Y20" si="8">R11+R19</f>
        <v>7.5952334259941789</v>
      </c>
      <c r="S20" s="20">
        <f t="shared" si="8"/>
        <v>11.811903674132536</v>
      </c>
      <c r="T20" s="20">
        <f t="shared" si="8"/>
        <v>2.2885786944749038E-2</v>
      </c>
      <c r="U20" s="20">
        <f t="shared" si="8"/>
        <v>0.61854850244170168</v>
      </c>
      <c r="V20" s="20">
        <f t="shared" si="8"/>
        <v>0.55050816717311446</v>
      </c>
      <c r="W20" s="20">
        <f t="shared" si="8"/>
        <v>1947.2306892973854</v>
      </c>
      <c r="X20" s="20">
        <f t="shared" si="8"/>
        <v>0.20376265223717605</v>
      </c>
      <c r="Y20" s="20">
        <f t="shared" si="8"/>
        <v>1.122130849042591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1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601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315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C9*(F9)*$B$99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C10*(F10)*$B$99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334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C14*(F14)*$B$201</f>
        <v>0</v>
      </c>
      <c r="AA14" s="50">
        <f>Z14*0.21</f>
        <v>0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8" t="s">
        <v>331</v>
      </c>
      <c r="B15" s="76" t="s">
        <v>105</v>
      </c>
      <c r="C15" s="374">
        <v>16</v>
      </c>
      <c r="D15" s="77"/>
      <c r="E15" s="77">
        <v>35</v>
      </c>
      <c r="F15" s="77">
        <v>80</v>
      </c>
      <c r="G15" s="106">
        <v>1.08263976628415</v>
      </c>
      <c r="H15" s="106">
        <v>4.9712718909585103</v>
      </c>
      <c r="I15" s="106">
        <v>0.26248012575016899</v>
      </c>
      <c r="J15" s="106">
        <v>1.0711818E-2</v>
      </c>
      <c r="K15" s="106">
        <v>7.1679901072141505E-2</v>
      </c>
      <c r="L15" s="576">
        <v>3.59998119015979E-2</v>
      </c>
      <c r="M15" s="576">
        <v>6.1739677411240299E-2</v>
      </c>
      <c r="N15" s="106">
        <v>6.5945508986370194E-2</v>
      </c>
      <c r="O15" s="576">
        <v>2.9999843251331498E-3</v>
      </c>
      <c r="P15" s="576">
        <v>5.5859708133979398E-2</v>
      </c>
      <c r="Q15" s="106">
        <v>1710.7260798814</v>
      </c>
      <c r="R15" s="47">
        <v>1.5235246282551899E-2</v>
      </c>
      <c r="S15" s="80">
        <f>0.000025616*Q15</f>
        <v>4.3821959262241944E-2</v>
      </c>
      <c r="T15" s="50">
        <f>C15*($F15*$G15)/453.59</f>
        <v>3.0551354766280387</v>
      </c>
      <c r="U15" s="50">
        <f>C15*($F15*$H15)/453.59</f>
        <v>14.028589740573853</v>
      </c>
      <c r="V15" s="50">
        <f>C15*(($F15*$I15))/453.59</f>
        <v>0.74070098758838676</v>
      </c>
      <c r="W15" s="50">
        <f>C15*($F15*$J15)/453.59</f>
        <v>3.0228018783482882E-2</v>
      </c>
      <c r="X15" s="50">
        <f>C15*(($F15*($K15+$L15+$M15)))/453.59</f>
        <v>0.47808994839563052</v>
      </c>
      <c r="Y15" s="50">
        <f>C15*(($F15*($N15+$O15+$P15)))/453.59</f>
        <v>0.35219175433809813</v>
      </c>
      <c r="Z15" s="50">
        <f>C15*(F15)*$B$99</f>
        <v>0</v>
      </c>
      <c r="AA15" s="50">
        <f>Z15*0.21</f>
        <v>0</v>
      </c>
      <c r="AB15" s="50">
        <f>C15*(($F15*($Q15)))/453.59</f>
        <v>4827.5521555770456</v>
      </c>
      <c r="AC15" s="50">
        <f>C15*(($F15*($R15)))/453.59</f>
        <v>4.2992824448657235E-2</v>
      </c>
      <c r="AD15" s="50">
        <f>C15*(($F15*($S15)))/453.59</f>
        <v>0.12366257601726161</v>
      </c>
    </row>
    <row r="16" spans="1:30">
      <c r="A16" s="75" t="s">
        <v>28</v>
      </c>
      <c r="B16" s="74"/>
      <c r="C16" s="112"/>
      <c r="D16" s="112"/>
      <c r="E16" s="74"/>
      <c r="F16" s="74"/>
      <c r="G16" s="577"/>
      <c r="H16" s="41"/>
      <c r="I16" s="41"/>
      <c r="J16" s="41"/>
      <c r="K16" s="574"/>
      <c r="L16" s="574"/>
      <c r="M16" s="574"/>
      <c r="N16" s="574"/>
      <c r="O16" s="574"/>
      <c r="P16" s="574"/>
      <c r="Q16" s="41"/>
      <c r="R16" s="574"/>
      <c r="S16" s="574"/>
      <c r="T16" s="81">
        <f>SUM(T14:T15)</f>
        <v>3.2549180276953287</v>
      </c>
      <c r="U16" s="81">
        <f t="shared" ref="U16:AD16" si="1">SUM(U14:U15)</f>
        <v>14.39740849623329</v>
      </c>
      <c r="V16" s="81">
        <f t="shared" si="1"/>
        <v>0.78576233311427945</v>
      </c>
      <c r="W16" s="81">
        <f t="shared" si="1"/>
        <v>3.3007741464697836E-2</v>
      </c>
      <c r="X16" s="81">
        <f t="shared" si="1"/>
        <v>0.55082887813593273</v>
      </c>
      <c r="Y16" s="81">
        <f t="shared" si="1"/>
        <v>0.40052395230405291</v>
      </c>
      <c r="Z16" s="81">
        <f t="shared" si="1"/>
        <v>0</v>
      </c>
      <c r="AA16" s="81">
        <f t="shared" si="1"/>
        <v>0</v>
      </c>
      <c r="AB16" s="81">
        <f t="shared" si="1"/>
        <v>5021.1803667575587</v>
      </c>
      <c r="AC16" s="81">
        <f t="shared" si="1"/>
        <v>5.4057321320145305E-2</v>
      </c>
      <c r="AD16" s="81">
        <f t="shared" si="1"/>
        <v>0.12862255627486163</v>
      </c>
    </row>
    <row r="17" spans="1:30">
      <c r="A17" s="75" t="s">
        <v>388</v>
      </c>
      <c r="B17" s="74"/>
      <c r="C17" s="112"/>
      <c r="D17" s="112"/>
      <c r="E17" s="74"/>
      <c r="F17" s="74"/>
      <c r="G17" s="547"/>
      <c r="H17" s="41"/>
      <c r="I17" s="41"/>
      <c r="J17" s="41"/>
      <c r="K17" s="544"/>
      <c r="L17" s="544"/>
      <c r="M17" s="544"/>
      <c r="N17" s="544"/>
      <c r="O17" s="544"/>
      <c r="P17" s="544"/>
      <c r="Q17" s="41"/>
      <c r="R17" s="544"/>
      <c r="S17" s="544"/>
      <c r="T17" s="81">
        <f>T11+T16</f>
        <v>3.5457552705182263</v>
      </c>
      <c r="U17" s="81">
        <f t="shared" ref="U17:AD17" si="2">U11+U16</f>
        <v>15.458604732848874</v>
      </c>
      <c r="V17" s="81">
        <f t="shared" si="2"/>
        <v>0.85458681760150002</v>
      </c>
      <c r="W17" s="81">
        <f t="shared" si="2"/>
        <v>3.628685397927299E-2</v>
      </c>
      <c r="X17" s="81">
        <f t="shared" si="2"/>
        <v>0.61707896478081081</v>
      </c>
      <c r="Y17" s="81">
        <f t="shared" si="2"/>
        <v>0.44670203593316143</v>
      </c>
      <c r="Z17" s="81">
        <f t="shared" si="2"/>
        <v>0</v>
      </c>
      <c r="AA17" s="81">
        <f t="shared" si="2"/>
        <v>0</v>
      </c>
      <c r="AB17" s="81">
        <f t="shared" si="2"/>
        <v>5419.7164820713806</v>
      </c>
      <c r="AC17" s="81">
        <f t="shared" si="2"/>
        <v>6.2276621283930411E-2</v>
      </c>
      <c r="AD17" s="81">
        <f t="shared" si="2"/>
        <v>0.13883145740474051</v>
      </c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21" spans="1:30">
      <c r="A21" s="370"/>
      <c r="B21" s="371"/>
      <c r="C21" s="372"/>
      <c r="D21" s="372"/>
      <c r="E21" s="371"/>
      <c r="F21" s="371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</row>
    <row r="369" spans="1:2" ht="25.5">
      <c r="A369" s="82" t="s">
        <v>109</v>
      </c>
    </row>
    <row r="371" spans="1:2">
      <c r="A371" s="36" t="s">
        <v>81</v>
      </c>
    </row>
    <row r="372" spans="1:2">
      <c r="A372" s="36" t="s">
        <v>82</v>
      </c>
    </row>
    <row r="373" spans="1:2">
      <c r="A373" s="36" t="s">
        <v>83</v>
      </c>
    </row>
    <row r="374" spans="1:2">
      <c r="A374" s="37" t="s">
        <v>96</v>
      </c>
    </row>
    <row r="375" spans="1:2">
      <c r="A375" s="36" t="s">
        <v>85</v>
      </c>
    </row>
    <row r="376" spans="1:2">
      <c r="A376" s="36" t="s">
        <v>86</v>
      </c>
    </row>
    <row r="377" spans="1:2">
      <c r="A377" s="36" t="s">
        <v>87</v>
      </c>
    </row>
    <row r="378" spans="1:2">
      <c r="A378" s="36" t="s">
        <v>0</v>
      </c>
    </row>
    <row r="379" spans="1:2">
      <c r="A379" s="37" t="s">
        <v>97</v>
      </c>
      <c r="B379" s="36">
        <f>(0.016*(0.03/2)^0.65*(2/3)^1.5)-0.00047</f>
        <v>9.8123053326417428E-5</v>
      </c>
    </row>
    <row r="380" spans="1:2">
      <c r="A380" s="37" t="s">
        <v>98</v>
      </c>
      <c r="B380" s="36">
        <f>(0.016*(0.03/2)^0.65*(13/3)^1.5)-0.00047</f>
        <v>8.9448292388582783E-3</v>
      </c>
    </row>
    <row r="381" spans="1:2">
      <c r="A381" s="37" t="s">
        <v>99</v>
      </c>
      <c r="B381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602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516</v>
      </c>
      <c r="B5" s="45" t="s">
        <v>102</v>
      </c>
      <c r="C5" s="46">
        <v>12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54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545" t="s">
        <v>55</v>
      </c>
      <c r="G88" s="545" t="s">
        <v>73</v>
      </c>
      <c r="H88" s="545" t="s">
        <v>74</v>
      </c>
      <c r="I88" s="545" t="s">
        <v>58</v>
      </c>
      <c r="J88" s="545" t="s">
        <v>59</v>
      </c>
      <c r="K88" s="545" t="s">
        <v>60</v>
      </c>
      <c r="L88" s="544" t="s">
        <v>75</v>
      </c>
      <c r="M88" s="544" t="s">
        <v>76</v>
      </c>
      <c r="N88" s="544" t="s">
        <v>61</v>
      </c>
      <c r="O88" s="544" t="s">
        <v>62</v>
      </c>
      <c r="P88" s="544" t="s">
        <v>63</v>
      </c>
      <c r="AN88" s="38"/>
      <c r="AZ88" s="36"/>
    </row>
    <row r="89" spans="1:52" ht="25.5">
      <c r="A89" s="44" t="str">
        <f t="shared" ref="A89:C90" si="52">A4</f>
        <v>Substation General Construction</v>
      </c>
      <c r="B89" s="45" t="str">
        <f t="shared" si="52"/>
        <v>Light-Duty Truck, catalyst</v>
      </c>
      <c r="C89" s="46">
        <f t="shared" si="52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53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si="52"/>
        <v>Substation Below Grade</v>
      </c>
      <c r="B90" s="45" t="str">
        <f t="shared" si="52"/>
        <v>Light-Duty Truck, catalyst</v>
      </c>
      <c r="C90" s="46">
        <f t="shared" si="52"/>
        <v>12</v>
      </c>
      <c r="D90" s="46">
        <v>35</v>
      </c>
      <c r="E90" s="46">
        <v>80</v>
      </c>
      <c r="F90" s="50">
        <f>C5*($E5*$F5+($G5))/453.59</f>
        <v>5.8286326305710405</v>
      </c>
      <c r="G90" s="50">
        <f>C5*($E5*$H5+($I5))/453.59</f>
        <v>0.52404788753253606</v>
      </c>
      <c r="H90" s="50">
        <f>C5*(($E5*$J5)+($K5)+($L5)+($E5*$N5)+(($M5+$O5)))/453.59</f>
        <v>0.60599976388743992</v>
      </c>
      <c r="I90" s="50">
        <f>C5*($E5*$P5+($Q5))/453.59</f>
        <v>8.7215643259273903E-3</v>
      </c>
      <c r="J90" s="50">
        <f>C5*(($E5*($R5+$T5+$U5))+($S5))/453.59</f>
        <v>0.10228908546249475</v>
      </c>
      <c r="K90" s="50">
        <f>$C5*(($E5*($V5+$X5+$Y5))+($W5))/453.59</f>
        <v>4.4544063891037704E-2</v>
      </c>
      <c r="L90" s="50">
        <f>$B$22*C5*(E5+6)</f>
        <v>0.10126299103286279</v>
      </c>
      <c r="M90" s="50">
        <f t="shared" si="53"/>
        <v>4.1517826323473742E-2</v>
      </c>
      <c r="N90" s="50">
        <f>C5*($E5*$Z5+($AA5))/453.59</f>
        <v>665.08292071246683</v>
      </c>
      <c r="O90" s="50">
        <f>C5*($E5*$AB5+($AC5))/453.59</f>
        <v>3.804570466836299E-2</v>
      </c>
      <c r="P90" s="50">
        <f>C5*($E5*$AD5+($AE5))/453.59</f>
        <v>6.9253438966120323E-2</v>
      </c>
      <c r="AN90" s="38"/>
      <c r="AZ90" s="36"/>
    </row>
    <row r="91" spans="1:52">
      <c r="A91" s="61" t="s">
        <v>389</v>
      </c>
      <c r="B91" s="40"/>
      <c r="C91" s="40"/>
      <c r="D91" s="40"/>
      <c r="E91" s="40"/>
      <c r="F91" s="81">
        <f t="shared" ref="F91:P91" si="54">SUM(F89:F90)</f>
        <v>7.2857907882138004</v>
      </c>
      <c r="G91" s="81">
        <f t="shared" si="54"/>
        <v>0.65505985941567002</v>
      </c>
      <c r="H91" s="81">
        <f t="shared" si="54"/>
        <v>0.75749970485929996</v>
      </c>
      <c r="I91" s="81">
        <f t="shared" si="54"/>
        <v>1.0901955407409238E-2</v>
      </c>
      <c r="J91" s="81">
        <f t="shared" si="54"/>
        <v>0.12786135682811844</v>
      </c>
      <c r="K91" s="81">
        <f t="shared" si="54"/>
        <v>5.5680079863797131E-2</v>
      </c>
      <c r="L91" s="81">
        <f t="shared" si="54"/>
        <v>0.1265787387910785</v>
      </c>
      <c r="M91" s="81">
        <f t="shared" si="54"/>
        <v>5.1897282904342174E-2</v>
      </c>
      <c r="N91" s="81">
        <f t="shared" si="54"/>
        <v>831.35365089058359</v>
      </c>
      <c r="O91" s="81">
        <f t="shared" si="54"/>
        <v>4.7557130835453737E-2</v>
      </c>
      <c r="P91" s="81">
        <f t="shared" si="54"/>
        <v>8.6566798707650411E-2</v>
      </c>
      <c r="AN91" s="38"/>
      <c r="AZ91" s="36"/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0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603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398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100" t="s">
        <v>125</v>
      </c>
      <c r="B14" s="97" t="s">
        <v>27</v>
      </c>
      <c r="C14" s="22">
        <v>87</v>
      </c>
      <c r="D14" s="22">
        <v>0.37</v>
      </c>
      <c r="E14" s="108">
        <v>5.2437519504869065E-2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0.26257275132275132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0.33506412037037031</v>
      </c>
      <c r="H14" s="108">
        <v>6.0679618797898508E-4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2.1289682539682539E-2</v>
      </c>
      <c r="J14" s="100">
        <f t="shared" ref="J14:J18" si="4">0.89*I14</f>
        <v>1.894781746031746E-2</v>
      </c>
      <c r="K14" s="108">
        <v>51.728016924248784</v>
      </c>
      <c r="L14" s="108">
        <v>5.2037096026823848E-3</v>
      </c>
      <c r="M14" s="102">
        <f t="shared" ref="M14:M18" si="5">0.095*G14</f>
        <v>3.1831091435185178E-2</v>
      </c>
      <c r="N14" s="88">
        <v>1</v>
      </c>
      <c r="O14" s="88">
        <v>6</v>
      </c>
      <c r="P14" s="367">
        <v>15</v>
      </c>
      <c r="Q14" s="26">
        <f t="shared" ref="Q14:Y18" si="6">(E14*$N14*$O14)</f>
        <v>0.31462511702921436</v>
      </c>
      <c r="R14" s="26">
        <f t="shared" si="6"/>
        <v>1.5754365079365078</v>
      </c>
      <c r="S14" s="26">
        <f t="shared" si="6"/>
        <v>2.0103847222222218</v>
      </c>
      <c r="T14" s="26">
        <f t="shared" si="6"/>
        <v>3.6407771278739107E-3</v>
      </c>
      <c r="U14" s="26">
        <f t="shared" si="6"/>
        <v>0.12773809523809523</v>
      </c>
      <c r="V14" s="26">
        <f t="shared" si="6"/>
        <v>0.11368690476190477</v>
      </c>
      <c r="W14" s="26">
        <f t="shared" si="6"/>
        <v>310.36810154549272</v>
      </c>
      <c r="X14" s="26">
        <f t="shared" si="6"/>
        <v>3.1222257616094311E-2</v>
      </c>
      <c r="Y14" s="26">
        <f t="shared" si="6"/>
        <v>0.19098654861111108</v>
      </c>
    </row>
    <row r="15" spans="1:25" s="3" customFormat="1">
      <c r="A15" s="100" t="s">
        <v>287</v>
      </c>
      <c r="B15" s="97" t="s">
        <v>27</v>
      </c>
      <c r="C15" s="97">
        <v>37</v>
      </c>
      <c r="D15" s="22">
        <v>0.37</v>
      </c>
      <c r="E15" s="102">
        <v>3.2313389441625637E-2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0.12374118165784832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0.16056172839506169</v>
      </c>
      <c r="H15" s="102">
        <v>3.2989906092678058E-4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1.3581349206349205E-2</v>
      </c>
      <c r="J15" s="100">
        <f t="shared" si="4"/>
        <v>1.2087400793650793E-2</v>
      </c>
      <c r="K15" s="103">
        <v>25.519156990664225</v>
      </c>
      <c r="L15" s="102">
        <v>3.413848047070189E-3</v>
      </c>
      <c r="M15" s="104">
        <f t="shared" si="5"/>
        <v>1.5253364197530862E-2</v>
      </c>
      <c r="N15" s="88">
        <v>1</v>
      </c>
      <c r="O15" s="88">
        <v>1</v>
      </c>
      <c r="P15" s="367">
        <v>75</v>
      </c>
      <c r="Q15" s="26">
        <f t="shared" si="6"/>
        <v>3.2313389441625637E-2</v>
      </c>
      <c r="R15" s="26">
        <f t="shared" si="6"/>
        <v>0.12374118165784832</v>
      </c>
      <c r="S15" s="26">
        <f t="shared" si="6"/>
        <v>0.16056172839506169</v>
      </c>
      <c r="T15" s="26">
        <f t="shared" si="6"/>
        <v>3.2989906092678058E-4</v>
      </c>
      <c r="U15" s="26">
        <f t="shared" si="6"/>
        <v>1.3581349206349205E-2</v>
      </c>
      <c r="V15" s="26">
        <f t="shared" si="6"/>
        <v>1.2087400793650793E-2</v>
      </c>
      <c r="W15" s="26">
        <f t="shared" si="6"/>
        <v>25.519156990664225</v>
      </c>
      <c r="X15" s="26">
        <f t="shared" si="6"/>
        <v>3.413848047070189E-3</v>
      </c>
      <c r="Y15" s="26">
        <f t="shared" si="6"/>
        <v>1.5253364197530862E-2</v>
      </c>
    </row>
    <row r="16" spans="1:25" s="3" customFormat="1">
      <c r="A16" s="100" t="s">
        <v>292</v>
      </c>
      <c r="B16" s="22" t="s">
        <v>27</v>
      </c>
      <c r="C16" s="97">
        <v>69</v>
      </c>
      <c r="D16" s="22">
        <v>0.5</v>
      </c>
      <c r="E16" s="102">
        <v>0.10796897189848784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0.2814153439153439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0.40462962962962956</v>
      </c>
      <c r="H16" s="102">
        <v>7.6125329247041284E-4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2.2817460317460316E-2</v>
      </c>
      <c r="J16" s="100">
        <f t="shared" si="4"/>
        <v>2.030753968253968E-2</v>
      </c>
      <c r="K16" s="103">
        <v>64.895144949977833</v>
      </c>
      <c r="L16" s="102">
        <v>1.0324742188913067E-2</v>
      </c>
      <c r="M16" s="104">
        <f t="shared" si="5"/>
        <v>3.8439814814814809E-2</v>
      </c>
      <c r="N16" s="87">
        <v>1</v>
      </c>
      <c r="O16" s="87">
        <v>6</v>
      </c>
      <c r="P16" s="88">
        <f>8*22</f>
        <v>176</v>
      </c>
      <c r="Q16" s="34">
        <f t="shared" si="6"/>
        <v>0.64781383139092696</v>
      </c>
      <c r="R16" s="26">
        <f t="shared" si="6"/>
        <v>1.6884920634920633</v>
      </c>
      <c r="S16" s="26">
        <f t="shared" si="6"/>
        <v>2.4277777777777771</v>
      </c>
      <c r="T16" s="26">
        <f t="shared" si="6"/>
        <v>4.567519754822477E-3</v>
      </c>
      <c r="U16" s="26">
        <f t="shared" si="6"/>
        <v>0.13690476190476189</v>
      </c>
      <c r="V16" s="26">
        <f t="shared" si="6"/>
        <v>0.12184523809523809</v>
      </c>
      <c r="W16" s="26">
        <f t="shared" si="6"/>
        <v>389.370869699867</v>
      </c>
      <c r="X16" s="26">
        <f t="shared" si="6"/>
        <v>6.1948453133478402E-2</v>
      </c>
      <c r="Y16" s="26">
        <f t="shared" si="6"/>
        <v>0.23063888888888884</v>
      </c>
    </row>
    <row r="17" spans="1:25" s="3" customFormat="1">
      <c r="A17" s="100" t="s">
        <v>113</v>
      </c>
      <c r="B17" s="22" t="s">
        <v>27</v>
      </c>
      <c r="C17" s="97">
        <v>8</v>
      </c>
      <c r="D17" s="97"/>
      <c r="E17" s="23">
        <v>5.0214940278324668E-3</v>
      </c>
      <c r="F17" s="102">
        <v>2.6339776897464882E-2</v>
      </c>
      <c r="G17" s="102">
        <v>3.1446511855053767E-2</v>
      </c>
      <c r="H17" s="102">
        <v>6.7126585936112015E-5</v>
      </c>
      <c r="I17" s="102">
        <v>1.2318111482797186E-3</v>
      </c>
      <c r="J17" s="100">
        <f t="shared" si="4"/>
        <v>1.0963119219689495E-3</v>
      </c>
      <c r="K17" s="103">
        <v>4.3138036171262613</v>
      </c>
      <c r="L17" s="102">
        <v>4.5308138614573088E-4</v>
      </c>
      <c r="M17" s="104">
        <f t="shared" si="5"/>
        <v>2.9874186262301081E-3</v>
      </c>
      <c r="N17" s="87">
        <v>1</v>
      </c>
      <c r="O17" s="88">
        <v>6</v>
      </c>
      <c r="P17" s="88">
        <v>20</v>
      </c>
      <c r="Q17" s="34">
        <f t="shared" si="6"/>
        <v>3.0128964166994801E-2</v>
      </c>
      <c r="R17" s="26">
        <f t="shared" si="6"/>
        <v>0.15803866138478928</v>
      </c>
      <c r="S17" s="26">
        <f t="shared" si="6"/>
        <v>0.18867907113032262</v>
      </c>
      <c r="T17" s="26">
        <f t="shared" si="6"/>
        <v>4.0275951561667212E-4</v>
      </c>
      <c r="U17" s="26">
        <f t="shared" si="6"/>
        <v>7.3908668896783113E-3</v>
      </c>
      <c r="V17" s="26">
        <f t="shared" si="6"/>
        <v>6.5778715318136971E-3</v>
      </c>
      <c r="W17" s="26">
        <f t="shared" si="6"/>
        <v>25.882821702757568</v>
      </c>
      <c r="X17" s="26">
        <f t="shared" si="6"/>
        <v>2.718488316874385E-3</v>
      </c>
      <c r="Y17" s="26">
        <f t="shared" si="6"/>
        <v>1.7924511757380648E-2</v>
      </c>
    </row>
    <row r="18" spans="1:25" s="3" customFormat="1">
      <c r="A18" s="100" t="s">
        <v>126</v>
      </c>
      <c r="B18" s="22" t="s">
        <v>27</v>
      </c>
      <c r="C18" s="22">
        <v>175</v>
      </c>
      <c r="D18" s="22"/>
      <c r="E18" s="102">
        <v>0.11792220738547983</v>
      </c>
      <c r="F18" s="102">
        <v>0.36512193352152528</v>
      </c>
      <c r="G18" s="102">
        <v>0.86781464282266541</v>
      </c>
      <c r="H18" s="102">
        <v>1.8739217498104396E-3</v>
      </c>
      <c r="I18" s="102">
        <v>2.9041712295589866E-2</v>
      </c>
      <c r="J18" s="100">
        <f t="shared" si="4"/>
        <v>2.5847123943074982E-2</v>
      </c>
      <c r="K18" s="103">
        <v>166.54541562452522</v>
      </c>
      <c r="L18" s="102">
        <v>1.063993297769634E-2</v>
      </c>
      <c r="M18" s="104">
        <f t="shared" si="5"/>
        <v>8.2442391068153209E-2</v>
      </c>
      <c r="N18" s="88">
        <v>1</v>
      </c>
      <c r="O18" s="88">
        <v>3</v>
      </c>
      <c r="P18" s="367">
        <v>40</v>
      </c>
      <c r="Q18" s="26">
        <f t="shared" si="6"/>
        <v>0.3537666221564395</v>
      </c>
      <c r="R18" s="26">
        <f t="shared" si="6"/>
        <v>1.0953658005645759</v>
      </c>
      <c r="S18" s="26">
        <f t="shared" si="6"/>
        <v>2.6034439284679962</v>
      </c>
      <c r="T18" s="26">
        <f t="shared" si="6"/>
        <v>5.6217652494313184E-3</v>
      </c>
      <c r="U18" s="26">
        <f t="shared" si="6"/>
        <v>8.7125136886769594E-2</v>
      </c>
      <c r="V18" s="26">
        <f t="shared" si="6"/>
        <v>7.754137182922495E-2</v>
      </c>
      <c r="W18" s="26">
        <f t="shared" si="6"/>
        <v>499.63624687357566</v>
      </c>
      <c r="X18" s="26">
        <f t="shared" si="6"/>
        <v>3.1919798933089022E-2</v>
      </c>
      <c r="Y18" s="26">
        <f t="shared" si="6"/>
        <v>0.24732717320445963</v>
      </c>
    </row>
    <row r="19" spans="1:25" s="3" customFormat="1">
      <c r="A19" s="17" t="s">
        <v>28</v>
      </c>
      <c r="B19" s="97"/>
      <c r="C19" s="22"/>
      <c r="D19" s="22"/>
      <c r="E19" s="23"/>
      <c r="F19" s="23"/>
      <c r="G19" s="23"/>
      <c r="H19" s="23"/>
      <c r="I19" s="23"/>
      <c r="J19" s="24"/>
      <c r="K19" s="25"/>
      <c r="L19" s="23"/>
      <c r="M19" s="23"/>
      <c r="N19" s="88"/>
      <c r="O19" s="88"/>
      <c r="P19" s="88"/>
      <c r="Q19" s="27">
        <f t="shared" ref="Q19:Y19" si="7">SUM(Q14:Q18)</f>
        <v>1.3786479241852012</v>
      </c>
      <c r="R19" s="27">
        <f t="shared" si="7"/>
        <v>4.6410742150357844</v>
      </c>
      <c r="S19" s="27">
        <f t="shared" si="7"/>
        <v>7.3908472279933788</v>
      </c>
      <c r="T19" s="27">
        <f t="shared" si="7"/>
        <v>1.4562720708671158E-2</v>
      </c>
      <c r="U19" s="27">
        <f t="shared" si="7"/>
        <v>0.37274021012565423</v>
      </c>
      <c r="V19" s="27">
        <f t="shared" si="7"/>
        <v>0.33173878701183229</v>
      </c>
      <c r="W19" s="27">
        <f t="shared" si="7"/>
        <v>1250.7771968123573</v>
      </c>
      <c r="X19" s="27">
        <f t="shared" si="7"/>
        <v>0.13122284604660631</v>
      </c>
      <c r="Y19" s="27">
        <f t="shared" si="7"/>
        <v>0.70213048665937106</v>
      </c>
    </row>
    <row r="20" spans="1:25">
      <c r="A20" s="17" t="s">
        <v>387</v>
      </c>
      <c r="B20" s="549"/>
      <c r="C20" s="18"/>
      <c r="D20" s="22"/>
      <c r="E20" s="19"/>
      <c r="F20" s="19"/>
      <c r="G20" s="19"/>
      <c r="H20" s="19"/>
      <c r="I20" s="19"/>
      <c r="J20" s="19"/>
      <c r="K20" s="19"/>
      <c r="L20" s="19"/>
      <c r="M20" s="19"/>
      <c r="N20" s="30"/>
      <c r="O20" s="30"/>
      <c r="P20" s="364"/>
      <c r="Q20" s="20">
        <f>Q11+Q19</f>
        <v>2.0932250472767984</v>
      </c>
      <c r="R20" s="20">
        <f t="shared" ref="R20:Y20" si="8">R11+R19</f>
        <v>7.5952334259941789</v>
      </c>
      <c r="S20" s="20">
        <f t="shared" si="8"/>
        <v>11.811903674132536</v>
      </c>
      <c r="T20" s="20">
        <f t="shared" si="8"/>
        <v>2.2885786944749038E-2</v>
      </c>
      <c r="U20" s="20">
        <f t="shared" si="8"/>
        <v>0.61854850244170168</v>
      </c>
      <c r="V20" s="20">
        <f t="shared" si="8"/>
        <v>0.55050816717311446</v>
      </c>
      <c r="W20" s="20">
        <f t="shared" si="8"/>
        <v>1947.2306892973854</v>
      </c>
      <c r="X20" s="20">
        <f t="shared" si="8"/>
        <v>0.20376265223717605</v>
      </c>
      <c r="Y20" s="20">
        <f t="shared" si="8"/>
        <v>1.122130849042591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0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604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315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C9*(F9)*$B$80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C10*(F10)*$B$80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334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C14*(F14)*$B$182</f>
        <v>0</v>
      </c>
      <c r="AA14" s="50">
        <f>Z14*0.21</f>
        <v>0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0.19978255106729004</v>
      </c>
      <c r="U15" s="81">
        <f t="shared" si="1"/>
        <v>0.36881875565943734</v>
      </c>
      <c r="V15" s="81">
        <f t="shared" si="1"/>
        <v>4.50613455258927E-2</v>
      </c>
      <c r="W15" s="81">
        <f t="shared" si="1"/>
        <v>2.7797226812149543E-3</v>
      </c>
      <c r="X15" s="81">
        <f t="shared" si="1"/>
        <v>7.2738929740302244E-2</v>
      </c>
      <c r="Y15" s="81">
        <f t="shared" si="1"/>
        <v>4.8332197965954803E-2</v>
      </c>
      <c r="Z15" s="81">
        <f t="shared" si="1"/>
        <v>0</v>
      </c>
      <c r="AA15" s="81">
        <f t="shared" si="1"/>
        <v>0</v>
      </c>
      <c r="AB15" s="81">
        <f t="shared" si="1"/>
        <v>193.62821118051326</v>
      </c>
      <c r="AC15" s="81">
        <f t="shared" si="1"/>
        <v>1.1064496871488068E-2</v>
      </c>
      <c r="AD15" s="81">
        <f t="shared" si="1"/>
        <v>4.9599802576000274E-3</v>
      </c>
    </row>
    <row r="16" spans="1:30">
      <c r="A16" s="75" t="s">
        <v>388</v>
      </c>
      <c r="B16" s="74"/>
      <c r="C16" s="112"/>
      <c r="D16" s="112"/>
      <c r="E16" s="74"/>
      <c r="F16" s="74"/>
      <c r="G16" s="547"/>
      <c r="H16" s="41"/>
      <c r="I16" s="41"/>
      <c r="J16" s="41"/>
      <c r="K16" s="544"/>
      <c r="L16" s="544"/>
      <c r="M16" s="544"/>
      <c r="N16" s="544"/>
      <c r="O16" s="544"/>
      <c r="P16" s="544"/>
      <c r="Q16" s="41"/>
      <c r="R16" s="544"/>
      <c r="S16" s="544"/>
      <c r="T16" s="81">
        <f>T11+T15</f>
        <v>0.49061979389018751</v>
      </c>
      <c r="U16" s="81">
        <f t="shared" ref="U16:AD16" si="2">U11+U15</f>
        <v>1.4300149922750218</v>
      </c>
      <c r="V16" s="81">
        <f t="shared" si="2"/>
        <v>0.11388583001311323</v>
      </c>
      <c r="W16" s="81">
        <f t="shared" si="2"/>
        <v>6.0588351957901118E-3</v>
      </c>
      <c r="X16" s="81">
        <f t="shared" si="2"/>
        <v>0.13898901638518027</v>
      </c>
      <c r="Y16" s="81">
        <f t="shared" si="2"/>
        <v>9.4510281595063333E-2</v>
      </c>
      <c r="Z16" s="81">
        <f t="shared" si="2"/>
        <v>0</v>
      </c>
      <c r="AA16" s="81">
        <f t="shared" si="2"/>
        <v>0</v>
      </c>
      <c r="AB16" s="81">
        <f t="shared" si="2"/>
        <v>592.16432649433523</v>
      </c>
      <c r="AC16" s="81">
        <f t="shared" si="2"/>
        <v>1.9283796835273176E-2</v>
      </c>
      <c r="AD16" s="81">
        <f t="shared" si="2"/>
        <v>1.5168881387478891E-2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368" spans="1:1" ht="25.5">
      <c r="A368" s="82" t="s">
        <v>109</v>
      </c>
    </row>
    <row r="370" spans="1:2">
      <c r="A370" s="36" t="s">
        <v>81</v>
      </c>
    </row>
    <row r="371" spans="1:2">
      <c r="A371" s="36" t="s">
        <v>82</v>
      </c>
    </row>
    <row r="372" spans="1:2">
      <c r="A372" s="36" t="s">
        <v>83</v>
      </c>
    </row>
    <row r="373" spans="1:2">
      <c r="A373" s="37" t="s">
        <v>96</v>
      </c>
    </row>
    <row r="374" spans="1:2">
      <c r="A374" s="36" t="s">
        <v>85</v>
      </c>
    </row>
    <row r="375" spans="1:2">
      <c r="A375" s="36" t="s">
        <v>86</v>
      </c>
    </row>
    <row r="376" spans="1:2">
      <c r="A376" s="36" t="s">
        <v>87</v>
      </c>
    </row>
    <row r="377" spans="1:2">
      <c r="A377" s="36" t="s">
        <v>0</v>
      </c>
    </row>
    <row r="378" spans="1:2">
      <c r="A378" s="37" t="s">
        <v>97</v>
      </c>
      <c r="B378" s="36">
        <f>(0.016*(0.03/2)^0.65*(2/3)^1.5)-0.00047</f>
        <v>9.8123053326417428E-5</v>
      </c>
    </row>
    <row r="379" spans="1:2">
      <c r="A379" s="37" t="s">
        <v>98</v>
      </c>
      <c r="B379" s="36">
        <f>(0.016*(0.03/2)^0.65*(13/3)^1.5)-0.00047</f>
        <v>8.9448292388582783E-3</v>
      </c>
    </row>
    <row r="380" spans="1:2">
      <c r="A380" s="37" t="s">
        <v>99</v>
      </c>
      <c r="B38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605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516</v>
      </c>
      <c r="B5" s="45" t="s">
        <v>102</v>
      </c>
      <c r="C5" s="46">
        <v>12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84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9"/>
      <c r="AS8" s="59"/>
      <c r="AT8" s="59"/>
      <c r="AU8" s="59"/>
      <c r="AV8" s="59"/>
      <c r="AW8" s="59"/>
      <c r="AX8" s="59"/>
      <c r="AY8" s="59"/>
      <c r="AZ8" s="60"/>
      <c r="BA8" s="59"/>
    </row>
    <row r="9" spans="1:67" hidden="1">
      <c r="A9" s="55" t="s">
        <v>78</v>
      </c>
      <c r="B9" s="37"/>
      <c r="C9" s="37"/>
      <c r="AA9" s="57"/>
      <c r="AB9" s="57"/>
      <c r="AC9" s="57"/>
      <c r="AD9" s="57"/>
      <c r="AE9" s="57"/>
      <c r="AF9" s="57" t="e">
        <f>#REF!/60</f>
        <v>#REF!</v>
      </c>
      <c r="AG9" s="57" t="e">
        <f>#REF!/60</f>
        <v>#REF!</v>
      </c>
      <c r="AH9" s="57" t="e">
        <f>#REF!/60</f>
        <v>#REF!</v>
      </c>
      <c r="AI9" s="57" t="e">
        <f>#REF!/60</f>
        <v>#REF!</v>
      </c>
      <c r="AJ9" s="57" t="e">
        <f>#REF!/60</f>
        <v>#REF!</v>
      </c>
      <c r="AK9" s="57" t="e">
        <f>#REF!/60</f>
        <v>#REF!</v>
      </c>
      <c r="AL9" s="57" t="e">
        <f>#REF!/60</f>
        <v>#REF!</v>
      </c>
      <c r="AM9" s="57" t="e">
        <f>#REF!/60</f>
        <v>#REF!</v>
      </c>
      <c r="AN9" s="57" t="e">
        <f>#REF!/60</f>
        <v>#REF!</v>
      </c>
      <c r="AO9" s="57" t="e">
        <f>#REF!/60</f>
        <v>#REF!</v>
      </c>
      <c r="AP9" s="57"/>
      <c r="AQ9" s="57"/>
      <c r="AR9" s="57" t="e">
        <f>#REF!/60</f>
        <v>#REF!</v>
      </c>
      <c r="AS9" s="57" t="e">
        <f>#REF!/60</f>
        <v>#REF!</v>
      </c>
      <c r="AT9" s="57" t="e">
        <f>#REF!/60</f>
        <v>#REF!</v>
      </c>
      <c r="AU9" s="57" t="e">
        <f>#REF!/60</f>
        <v>#REF!</v>
      </c>
      <c r="AV9" s="57" t="e">
        <f>#REF!/60</f>
        <v>#REF!</v>
      </c>
      <c r="AW9" s="57" t="e">
        <f>#REF!/60</f>
        <v>#REF!</v>
      </c>
      <c r="AX9" s="57" t="e">
        <f>#REF!/60</f>
        <v>#REF!</v>
      </c>
      <c r="AY9" s="57" t="e">
        <f>#REF!/60</f>
        <v>#REF!</v>
      </c>
      <c r="AZ9" s="57" t="e">
        <f>#REF!/60</f>
        <v>#REF!</v>
      </c>
      <c r="BA9" s="57" t="e">
        <f>#REF!/60</f>
        <v>#REF!</v>
      </c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9"/>
      <c r="AS10" s="59"/>
      <c r="AT10" s="59"/>
      <c r="AU10" s="59"/>
      <c r="AV10" s="59"/>
      <c r="AW10" s="59"/>
      <c r="AX10" s="59"/>
      <c r="AY10" s="59"/>
      <c r="AZ10" s="60"/>
      <c r="BA10" s="59"/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96" t="s">
        <v>64</v>
      </c>
      <c r="AG11" s="596"/>
      <c r="AH11" s="596"/>
      <c r="AI11" s="596"/>
      <c r="AJ11" s="596"/>
      <c r="AK11" s="597"/>
      <c r="AL11" s="597"/>
      <c r="AM11" s="597"/>
      <c r="AN11" s="597"/>
      <c r="AO11" s="597"/>
      <c r="AP11" s="546"/>
      <c r="AQ11" s="56"/>
      <c r="AR11" s="596" t="s">
        <v>65</v>
      </c>
      <c r="AS11" s="596"/>
      <c r="AT11" s="596"/>
      <c r="AU11" s="596"/>
      <c r="AV11" s="596"/>
      <c r="AW11" s="597"/>
      <c r="AX11" s="597"/>
      <c r="AY11" s="597"/>
      <c r="AZ11" s="597"/>
      <c r="BA11" s="597"/>
    </row>
    <row r="12" spans="1:67" ht="63.75" hidden="1">
      <c r="A12" s="37"/>
      <c r="B12" s="37"/>
      <c r="C12" s="37"/>
      <c r="AF12" s="61" t="s">
        <v>55</v>
      </c>
      <c r="AG12" s="61" t="s">
        <v>73</v>
      </c>
      <c r="AH12" s="61" t="s">
        <v>74</v>
      </c>
      <c r="AI12" s="61" t="s">
        <v>58</v>
      </c>
      <c r="AJ12" s="61" t="s">
        <v>59</v>
      </c>
      <c r="AK12" s="61" t="s">
        <v>60</v>
      </c>
      <c r="AL12" s="62" t="s">
        <v>75</v>
      </c>
      <c r="AM12" s="62" t="s">
        <v>76</v>
      </c>
      <c r="AN12" s="62" t="s">
        <v>61</v>
      </c>
      <c r="AO12" s="62" t="s">
        <v>62</v>
      </c>
      <c r="AP12" s="62"/>
      <c r="AQ12" s="43"/>
      <c r="AR12" s="61" t="s">
        <v>55</v>
      </c>
      <c r="AS12" s="61" t="s">
        <v>73</v>
      </c>
      <c r="AT12" s="61" t="s">
        <v>74</v>
      </c>
      <c r="AU12" s="61" t="s">
        <v>58</v>
      </c>
      <c r="AV12" s="61" t="s">
        <v>59</v>
      </c>
      <c r="AW12" s="61" t="s">
        <v>60</v>
      </c>
      <c r="AX12" s="62" t="s">
        <v>75</v>
      </c>
      <c r="AY12" s="62" t="s">
        <v>76</v>
      </c>
      <c r="AZ12" s="63" t="s">
        <v>61</v>
      </c>
      <c r="BA12" s="61" t="s">
        <v>62</v>
      </c>
    </row>
    <row r="13" spans="1:67" hidden="1">
      <c r="A13" s="37"/>
      <c r="B13" s="37"/>
      <c r="C13" s="37"/>
      <c r="AQ13" s="38"/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F14" s="36" t="e">
        <f t="shared" ref="AF14:AF22" si="2">AF$9*$AC15</f>
        <v>#REF!</v>
      </c>
      <c r="AG14" s="36" t="e">
        <f t="shared" ref="AG14:AG22" si="3">AG$9*$AC15</f>
        <v>#REF!</v>
      </c>
      <c r="AH14" s="36" t="e">
        <f t="shared" ref="AH14:AH22" si="4">AH$9*$AC15</f>
        <v>#REF!</v>
      </c>
      <c r="AI14" s="36" t="e">
        <f t="shared" ref="AI14:AI22" si="5">AI$9*$AC15</f>
        <v>#REF!</v>
      </c>
      <c r="AJ14" s="36" t="e">
        <f t="shared" ref="AJ14:AJ22" si="6">AJ$9*$AC15</f>
        <v>#REF!</v>
      </c>
      <c r="AK14" s="36" t="e">
        <f t="shared" ref="AK14:AK22" si="7">AK$9*$AC15</f>
        <v>#REF!</v>
      </c>
      <c r="AL14" s="36" t="e">
        <f t="shared" ref="AL14:AL22" si="8">AL$9*$AC15</f>
        <v>#REF!</v>
      </c>
      <c r="AM14" s="36" t="e">
        <f t="shared" ref="AM14:AM22" si="9">AM$9*$AC15</f>
        <v>#REF!</v>
      </c>
      <c r="AN14" s="36" t="e">
        <f t="shared" ref="AN14:AN22" si="10">AN$9*$AC15</f>
        <v>#REF!</v>
      </c>
      <c r="AO14" s="36" t="e">
        <f t="shared" ref="AO14:AO22" si="11">AO$9*$AC15</f>
        <v>#REF!</v>
      </c>
      <c r="AQ14" s="38"/>
      <c r="AR14" s="36" t="e">
        <f t="shared" ref="AR14:AR22" si="12">AR$9*$AC15</f>
        <v>#REF!</v>
      </c>
      <c r="AS14" s="36" t="e">
        <f t="shared" ref="AS14:AS22" si="13">AS$9*$AC15</f>
        <v>#REF!</v>
      </c>
      <c r="AT14" s="36" t="e">
        <f t="shared" ref="AT14:AT22" si="14">AT$9*$AC15</f>
        <v>#REF!</v>
      </c>
      <c r="AU14" s="36" t="e">
        <f t="shared" ref="AU14:AU22" si="15">AU$9*$AC15</f>
        <v>#REF!</v>
      </c>
      <c r="AV14" s="36" t="e">
        <f t="shared" ref="AV14:AV22" si="16">AV$9*$AC15</f>
        <v>#REF!</v>
      </c>
      <c r="AW14" s="36" t="e">
        <f t="shared" ref="AW14:AW22" si="17">AW$9*$AC15</f>
        <v>#REF!</v>
      </c>
      <c r="AX14" s="36" t="e">
        <f t="shared" ref="AX14:AX22" si="18">AX$9*$AC15</f>
        <v>#REF!</v>
      </c>
      <c r="AY14" s="36" t="e">
        <f t="shared" ref="AY14:AY22" si="19">AY$9*$AC15</f>
        <v>#REF!</v>
      </c>
      <c r="AZ14" s="36" t="e">
        <f t="shared" ref="AZ14:AZ22" si="20">AZ$9*$AC15</f>
        <v>#REF!</v>
      </c>
      <c r="BA14" s="36" t="e">
        <f t="shared" ref="BA14:BA22" si="21">BA$9*$AC15</f>
        <v>#REF!</v>
      </c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 t="shared" si="2"/>
        <v>#REF!</v>
      </c>
      <c r="AG15" s="36" t="e">
        <f t="shared" si="3"/>
        <v>#REF!</v>
      </c>
      <c r="AH15" s="36" t="e">
        <f t="shared" si="4"/>
        <v>#REF!</v>
      </c>
      <c r="AI15" s="36" t="e">
        <f t="shared" si="5"/>
        <v>#REF!</v>
      </c>
      <c r="AJ15" s="36" t="e">
        <f t="shared" si="6"/>
        <v>#REF!</v>
      </c>
      <c r="AK15" s="36" t="e">
        <f t="shared" si="7"/>
        <v>#REF!</v>
      </c>
      <c r="AL15" s="36" t="e">
        <f t="shared" si="8"/>
        <v>#REF!</v>
      </c>
      <c r="AM15" s="36" t="e">
        <f t="shared" si="9"/>
        <v>#REF!</v>
      </c>
      <c r="AN15" s="36" t="e">
        <f t="shared" si="10"/>
        <v>#REF!</v>
      </c>
      <c r="AO15" s="36" t="e">
        <f t="shared" si="11"/>
        <v>#REF!</v>
      </c>
      <c r="AQ15" s="38"/>
      <c r="AR15" s="36" t="e">
        <f t="shared" si="12"/>
        <v>#REF!</v>
      </c>
      <c r="AS15" s="36" t="e">
        <f t="shared" si="13"/>
        <v>#REF!</v>
      </c>
      <c r="AT15" s="36" t="e">
        <f t="shared" si="14"/>
        <v>#REF!</v>
      </c>
      <c r="AU15" s="36" t="e">
        <f t="shared" si="15"/>
        <v>#REF!</v>
      </c>
      <c r="AV15" s="36" t="e">
        <f t="shared" si="16"/>
        <v>#REF!</v>
      </c>
      <c r="AW15" s="36" t="e">
        <f t="shared" si="17"/>
        <v>#REF!</v>
      </c>
      <c r="AX15" s="36" t="e">
        <f t="shared" si="18"/>
        <v>#REF!</v>
      </c>
      <c r="AY15" s="36" t="e">
        <f t="shared" si="19"/>
        <v>#REF!</v>
      </c>
      <c r="AZ15" s="36" t="e">
        <f t="shared" si="20"/>
        <v>#REF!</v>
      </c>
      <c r="BA15" s="36" t="e">
        <f t="shared" si="21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si="2"/>
        <v>#REF!</v>
      </c>
      <c r="AG16" s="36" t="e">
        <f t="shared" si="3"/>
        <v>#REF!</v>
      </c>
      <c r="AH16" s="36" t="e">
        <f t="shared" si="4"/>
        <v>#REF!</v>
      </c>
      <c r="AI16" s="36" t="e">
        <f t="shared" si="5"/>
        <v>#REF!</v>
      </c>
      <c r="AJ16" s="36" t="e">
        <f t="shared" si="6"/>
        <v>#REF!</v>
      </c>
      <c r="AK16" s="36" t="e">
        <f t="shared" si="7"/>
        <v>#REF!</v>
      </c>
      <c r="AL16" s="36" t="e">
        <f t="shared" si="8"/>
        <v>#REF!</v>
      </c>
      <c r="AM16" s="36" t="e">
        <f t="shared" si="9"/>
        <v>#REF!</v>
      </c>
      <c r="AN16" s="36" t="e">
        <f t="shared" si="10"/>
        <v>#REF!</v>
      </c>
      <c r="AO16" s="36" t="e">
        <f t="shared" si="11"/>
        <v>#REF!</v>
      </c>
      <c r="AQ16" s="38"/>
      <c r="AR16" s="36" t="e">
        <f t="shared" si="12"/>
        <v>#REF!</v>
      </c>
      <c r="AS16" s="36" t="e">
        <f t="shared" si="13"/>
        <v>#REF!</v>
      </c>
      <c r="AT16" s="36" t="e">
        <f t="shared" si="14"/>
        <v>#REF!</v>
      </c>
      <c r="AU16" s="36" t="e">
        <f t="shared" si="15"/>
        <v>#REF!</v>
      </c>
      <c r="AV16" s="36" t="e">
        <f t="shared" si="16"/>
        <v>#REF!</v>
      </c>
      <c r="AW16" s="36" t="e">
        <f t="shared" si="17"/>
        <v>#REF!</v>
      </c>
      <c r="AX16" s="36" t="e">
        <f t="shared" si="18"/>
        <v>#REF!</v>
      </c>
      <c r="AY16" s="36" t="e">
        <f t="shared" si="19"/>
        <v>#REF!</v>
      </c>
      <c r="AZ16" s="36" t="e">
        <f t="shared" si="20"/>
        <v>#REF!</v>
      </c>
      <c r="BA16" s="36" t="e">
        <f t="shared" si="21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2"/>
        <v>#REF!</v>
      </c>
      <c r="AG17" s="36" t="e">
        <f t="shared" si="3"/>
        <v>#REF!</v>
      </c>
      <c r="AH17" s="36" t="e">
        <f t="shared" si="4"/>
        <v>#REF!</v>
      </c>
      <c r="AI17" s="36" t="e">
        <f t="shared" si="5"/>
        <v>#REF!</v>
      </c>
      <c r="AJ17" s="36" t="e">
        <f t="shared" si="6"/>
        <v>#REF!</v>
      </c>
      <c r="AK17" s="36" t="e">
        <f t="shared" si="7"/>
        <v>#REF!</v>
      </c>
      <c r="AL17" s="36" t="e">
        <f t="shared" si="8"/>
        <v>#REF!</v>
      </c>
      <c r="AM17" s="36" t="e">
        <f t="shared" si="9"/>
        <v>#REF!</v>
      </c>
      <c r="AN17" s="36" t="e">
        <f t="shared" si="10"/>
        <v>#REF!</v>
      </c>
      <c r="AO17" s="36" t="e">
        <f t="shared" si="11"/>
        <v>#REF!</v>
      </c>
      <c r="AQ17" s="38"/>
      <c r="AR17" s="36" t="e">
        <f t="shared" si="12"/>
        <v>#REF!</v>
      </c>
      <c r="AS17" s="36" t="e">
        <f t="shared" si="13"/>
        <v>#REF!</v>
      </c>
      <c r="AT17" s="36" t="e">
        <f t="shared" si="14"/>
        <v>#REF!</v>
      </c>
      <c r="AU17" s="36" t="e">
        <f t="shared" si="15"/>
        <v>#REF!</v>
      </c>
      <c r="AV17" s="36" t="e">
        <f t="shared" si="16"/>
        <v>#REF!</v>
      </c>
      <c r="AW17" s="36" t="e">
        <f t="shared" si="17"/>
        <v>#REF!</v>
      </c>
      <c r="AX17" s="36" t="e">
        <f t="shared" si="18"/>
        <v>#REF!</v>
      </c>
      <c r="AY17" s="36" t="e">
        <f t="shared" si="19"/>
        <v>#REF!</v>
      </c>
      <c r="AZ17" s="36" t="e">
        <f t="shared" si="20"/>
        <v>#REF!</v>
      </c>
      <c r="BA17" s="36" t="e">
        <f t="shared" si="21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2"/>
        <v>#REF!</v>
      </c>
      <c r="AG18" s="36" t="e">
        <f t="shared" si="3"/>
        <v>#REF!</v>
      </c>
      <c r="AH18" s="36" t="e">
        <f t="shared" si="4"/>
        <v>#REF!</v>
      </c>
      <c r="AI18" s="36" t="e">
        <f t="shared" si="5"/>
        <v>#REF!</v>
      </c>
      <c r="AJ18" s="36" t="e">
        <f t="shared" si="6"/>
        <v>#REF!</v>
      </c>
      <c r="AK18" s="36" t="e">
        <f t="shared" si="7"/>
        <v>#REF!</v>
      </c>
      <c r="AL18" s="36" t="e">
        <f t="shared" si="8"/>
        <v>#REF!</v>
      </c>
      <c r="AM18" s="36" t="e">
        <f t="shared" si="9"/>
        <v>#REF!</v>
      </c>
      <c r="AN18" s="36" t="e">
        <f t="shared" si="10"/>
        <v>#REF!</v>
      </c>
      <c r="AO18" s="36" t="e">
        <f t="shared" si="11"/>
        <v>#REF!</v>
      </c>
      <c r="AQ18" s="38"/>
      <c r="AR18" s="36" t="e">
        <f t="shared" si="12"/>
        <v>#REF!</v>
      </c>
      <c r="AS18" s="36" t="e">
        <f t="shared" si="13"/>
        <v>#REF!</v>
      </c>
      <c r="AT18" s="36" t="e">
        <f t="shared" si="14"/>
        <v>#REF!</v>
      </c>
      <c r="AU18" s="36" t="e">
        <f t="shared" si="15"/>
        <v>#REF!</v>
      </c>
      <c r="AV18" s="36" t="e">
        <f t="shared" si="16"/>
        <v>#REF!</v>
      </c>
      <c r="AW18" s="36" t="e">
        <f t="shared" si="17"/>
        <v>#REF!</v>
      </c>
      <c r="AX18" s="36" t="e">
        <f t="shared" si="18"/>
        <v>#REF!</v>
      </c>
      <c r="AY18" s="36" t="e">
        <f t="shared" si="19"/>
        <v>#REF!</v>
      </c>
      <c r="AZ18" s="36" t="e">
        <f t="shared" si="20"/>
        <v>#REF!</v>
      </c>
      <c r="BA18" s="36" t="e">
        <f t="shared" si="21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2"/>
        <v>#REF!</v>
      </c>
      <c r="AG19" s="36" t="e">
        <f t="shared" si="3"/>
        <v>#REF!</v>
      </c>
      <c r="AH19" s="36" t="e">
        <f t="shared" si="4"/>
        <v>#REF!</v>
      </c>
      <c r="AI19" s="36" t="e">
        <f t="shared" si="5"/>
        <v>#REF!</v>
      </c>
      <c r="AJ19" s="36" t="e">
        <f t="shared" si="6"/>
        <v>#REF!</v>
      </c>
      <c r="AK19" s="36" t="e">
        <f t="shared" si="7"/>
        <v>#REF!</v>
      </c>
      <c r="AL19" s="36" t="e">
        <f t="shared" si="8"/>
        <v>#REF!</v>
      </c>
      <c r="AM19" s="36" t="e">
        <f t="shared" si="9"/>
        <v>#REF!</v>
      </c>
      <c r="AN19" s="36" t="e">
        <f t="shared" si="10"/>
        <v>#REF!</v>
      </c>
      <c r="AO19" s="36" t="e">
        <f t="shared" si="11"/>
        <v>#REF!</v>
      </c>
      <c r="AQ19" s="38"/>
      <c r="AR19" s="36" t="e">
        <f t="shared" si="12"/>
        <v>#REF!</v>
      </c>
      <c r="AS19" s="36" t="e">
        <f t="shared" si="13"/>
        <v>#REF!</v>
      </c>
      <c r="AT19" s="36" t="e">
        <f t="shared" si="14"/>
        <v>#REF!</v>
      </c>
      <c r="AU19" s="36" t="e">
        <f t="shared" si="15"/>
        <v>#REF!</v>
      </c>
      <c r="AV19" s="36" t="e">
        <f t="shared" si="16"/>
        <v>#REF!</v>
      </c>
      <c r="AW19" s="36" t="e">
        <f t="shared" si="17"/>
        <v>#REF!</v>
      </c>
      <c r="AX19" s="36" t="e">
        <f t="shared" si="18"/>
        <v>#REF!</v>
      </c>
      <c r="AY19" s="36" t="e">
        <f t="shared" si="19"/>
        <v>#REF!</v>
      </c>
      <c r="AZ19" s="36" t="e">
        <f t="shared" si="20"/>
        <v>#REF!</v>
      </c>
      <c r="BA19" s="36" t="e">
        <f t="shared" si="21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2"/>
        <v>#REF!</v>
      </c>
      <c r="AG20" s="36" t="e">
        <f t="shared" si="3"/>
        <v>#REF!</v>
      </c>
      <c r="AH20" s="36" t="e">
        <f t="shared" si="4"/>
        <v>#REF!</v>
      </c>
      <c r="AI20" s="36" t="e">
        <f t="shared" si="5"/>
        <v>#REF!</v>
      </c>
      <c r="AJ20" s="36" t="e">
        <f t="shared" si="6"/>
        <v>#REF!</v>
      </c>
      <c r="AK20" s="36" t="e">
        <f t="shared" si="7"/>
        <v>#REF!</v>
      </c>
      <c r="AL20" s="36" t="e">
        <f t="shared" si="8"/>
        <v>#REF!</v>
      </c>
      <c r="AM20" s="36" t="e">
        <f t="shared" si="9"/>
        <v>#REF!</v>
      </c>
      <c r="AN20" s="36" t="e">
        <f t="shared" si="10"/>
        <v>#REF!</v>
      </c>
      <c r="AO20" s="36" t="e">
        <f t="shared" si="11"/>
        <v>#REF!</v>
      </c>
      <c r="AQ20" s="38"/>
      <c r="AR20" s="36" t="e">
        <f t="shared" si="12"/>
        <v>#REF!</v>
      </c>
      <c r="AS20" s="36" t="e">
        <f t="shared" si="13"/>
        <v>#REF!</v>
      </c>
      <c r="AT20" s="36" t="e">
        <f t="shared" si="14"/>
        <v>#REF!</v>
      </c>
      <c r="AU20" s="36" t="e">
        <f t="shared" si="15"/>
        <v>#REF!</v>
      </c>
      <c r="AV20" s="36" t="e">
        <f t="shared" si="16"/>
        <v>#REF!</v>
      </c>
      <c r="AW20" s="36" t="e">
        <f t="shared" si="17"/>
        <v>#REF!</v>
      </c>
      <c r="AX20" s="36" t="e">
        <f t="shared" si="18"/>
        <v>#REF!</v>
      </c>
      <c r="AY20" s="36" t="e">
        <f t="shared" si="19"/>
        <v>#REF!</v>
      </c>
      <c r="AZ20" s="36" t="e">
        <f t="shared" si="20"/>
        <v>#REF!</v>
      </c>
      <c r="BA20" s="36" t="e">
        <f t="shared" si="21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2"/>
        <v>#REF!</v>
      </c>
      <c r="AG21" s="36" t="e">
        <f t="shared" si="3"/>
        <v>#REF!</v>
      </c>
      <c r="AH21" s="36" t="e">
        <f t="shared" si="4"/>
        <v>#REF!</v>
      </c>
      <c r="AI21" s="36" t="e">
        <f t="shared" si="5"/>
        <v>#REF!</v>
      </c>
      <c r="AJ21" s="36" t="e">
        <f t="shared" si="6"/>
        <v>#REF!</v>
      </c>
      <c r="AK21" s="36" t="e">
        <f t="shared" si="7"/>
        <v>#REF!</v>
      </c>
      <c r="AL21" s="36" t="e">
        <f t="shared" si="8"/>
        <v>#REF!</v>
      </c>
      <c r="AM21" s="36" t="e">
        <f t="shared" si="9"/>
        <v>#REF!</v>
      </c>
      <c r="AN21" s="36" t="e">
        <f t="shared" si="10"/>
        <v>#REF!</v>
      </c>
      <c r="AO21" s="36" t="e">
        <f t="shared" si="11"/>
        <v>#REF!</v>
      </c>
      <c r="AQ21" s="38"/>
      <c r="AR21" s="36" t="e">
        <f t="shared" si="12"/>
        <v>#REF!</v>
      </c>
      <c r="AS21" s="36" t="e">
        <f t="shared" si="13"/>
        <v>#REF!</v>
      </c>
      <c r="AT21" s="36" t="e">
        <f t="shared" si="14"/>
        <v>#REF!</v>
      </c>
      <c r="AU21" s="36" t="e">
        <f t="shared" si="15"/>
        <v>#REF!</v>
      </c>
      <c r="AV21" s="36" t="e">
        <f t="shared" si="16"/>
        <v>#REF!</v>
      </c>
      <c r="AW21" s="36" t="e">
        <f t="shared" si="17"/>
        <v>#REF!</v>
      </c>
      <c r="AX21" s="36" t="e">
        <f t="shared" si="18"/>
        <v>#REF!</v>
      </c>
      <c r="AY21" s="36" t="e">
        <f t="shared" si="19"/>
        <v>#REF!</v>
      </c>
      <c r="AZ21" s="36" t="e">
        <f t="shared" si="20"/>
        <v>#REF!</v>
      </c>
      <c r="BA21" s="36" t="e">
        <f t="shared" si="21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2"/>
        <v>#REF!</v>
      </c>
      <c r="AG22" s="36" t="e">
        <f t="shared" si="3"/>
        <v>#REF!</v>
      </c>
      <c r="AH22" s="36" t="e">
        <f t="shared" si="4"/>
        <v>#REF!</v>
      </c>
      <c r="AI22" s="36" t="e">
        <f t="shared" si="5"/>
        <v>#REF!</v>
      </c>
      <c r="AJ22" s="36" t="e">
        <f t="shared" si="6"/>
        <v>#REF!</v>
      </c>
      <c r="AK22" s="36" t="e">
        <f t="shared" si="7"/>
        <v>#REF!</v>
      </c>
      <c r="AL22" s="36" t="e">
        <f t="shared" si="8"/>
        <v>#REF!</v>
      </c>
      <c r="AM22" s="36" t="e">
        <f t="shared" si="9"/>
        <v>#REF!</v>
      </c>
      <c r="AN22" s="36" t="e">
        <f t="shared" si="10"/>
        <v>#REF!</v>
      </c>
      <c r="AO22" s="36" t="e">
        <f t="shared" si="11"/>
        <v>#REF!</v>
      </c>
      <c r="AQ22" s="38"/>
      <c r="AR22" s="36" t="e">
        <f t="shared" si="12"/>
        <v>#REF!</v>
      </c>
      <c r="AS22" s="36" t="e">
        <f t="shared" si="13"/>
        <v>#REF!</v>
      </c>
      <c r="AT22" s="36" t="e">
        <f t="shared" si="14"/>
        <v>#REF!</v>
      </c>
      <c r="AU22" s="36" t="e">
        <f t="shared" si="15"/>
        <v>#REF!</v>
      </c>
      <c r="AV22" s="36" t="e">
        <f t="shared" si="16"/>
        <v>#REF!</v>
      </c>
      <c r="AW22" s="36" t="e">
        <f t="shared" si="17"/>
        <v>#REF!</v>
      </c>
      <c r="AX22" s="36" t="e">
        <f t="shared" si="18"/>
        <v>#REF!</v>
      </c>
      <c r="AY22" s="36" t="e">
        <f t="shared" si="19"/>
        <v>#REF!</v>
      </c>
      <c r="AZ22" s="36" t="e">
        <f t="shared" si="20"/>
        <v>#REF!</v>
      </c>
      <c r="BA22" s="36" t="e">
        <f t="shared" si="21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Q23" s="38"/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F25" s="36" t="e">
        <f t="shared" ref="AF25:AF33" si="22">AF$9*$AC26</f>
        <v>#REF!</v>
      </c>
      <c r="AG25" s="36" t="e">
        <f t="shared" ref="AG25:AG33" si="23">AG$9*$AC26</f>
        <v>#REF!</v>
      </c>
      <c r="AH25" s="36" t="e">
        <f t="shared" ref="AH25:AH33" si="24">AH$9*$AC26</f>
        <v>#REF!</v>
      </c>
      <c r="AI25" s="36" t="e">
        <f t="shared" ref="AI25:AI33" si="25">AI$9*$AC26</f>
        <v>#REF!</v>
      </c>
      <c r="AJ25" s="36" t="e">
        <f t="shared" ref="AJ25:AJ33" si="26">AJ$9*$AC26</f>
        <v>#REF!</v>
      </c>
      <c r="AK25" s="36" t="e">
        <f t="shared" ref="AK25:AK33" si="27">AK$9*$AC26</f>
        <v>#REF!</v>
      </c>
      <c r="AL25" s="36" t="e">
        <f t="shared" ref="AL25:AL33" si="28">AL$9*$AC26</f>
        <v>#REF!</v>
      </c>
      <c r="AM25" s="36" t="e">
        <f t="shared" ref="AM25:AM33" si="29">AM$9*$AC26</f>
        <v>#REF!</v>
      </c>
      <c r="AN25" s="36" t="e">
        <f t="shared" ref="AN25:AN33" si="30">AN$9*$AC26</f>
        <v>#REF!</v>
      </c>
      <c r="AO25" s="36" t="e">
        <f t="shared" ref="AO25:AO33" si="31">AO$9*$AC26</f>
        <v>#REF!</v>
      </c>
      <c r="AQ25" s="38"/>
      <c r="AR25" s="36" t="e">
        <f t="shared" ref="AR25:AR33" si="32">AR$9*$AC26</f>
        <v>#REF!</v>
      </c>
      <c r="AS25" s="36" t="e">
        <f t="shared" ref="AS25:AS33" si="33">AS$9*$AC26</f>
        <v>#REF!</v>
      </c>
      <c r="AT25" s="36" t="e">
        <f t="shared" ref="AT25:AT33" si="34">AT$9*$AC26</f>
        <v>#REF!</v>
      </c>
      <c r="AU25" s="36" t="e">
        <f t="shared" ref="AU25:AU33" si="35">AU$9*$AC26</f>
        <v>#REF!</v>
      </c>
      <c r="AV25" s="36" t="e">
        <f t="shared" ref="AV25:AV33" si="36">AV$9*$AC26</f>
        <v>#REF!</v>
      </c>
      <c r="AW25" s="36" t="e">
        <f t="shared" ref="AW25:AW33" si="37">AW$9*$AC26</f>
        <v>#REF!</v>
      </c>
      <c r="AX25" s="36" t="e">
        <f t="shared" ref="AX25:AX33" si="38">AX$9*$AC26</f>
        <v>#REF!</v>
      </c>
      <c r="AY25" s="36" t="e">
        <f t="shared" ref="AY25:AY33" si="39">AY$9*$AC26</f>
        <v>#REF!</v>
      </c>
      <c r="AZ25" s="36" t="e">
        <f t="shared" ref="AZ25:AZ33" si="40">AZ$9*$AC26</f>
        <v>#REF!</v>
      </c>
      <c r="BA25" s="36" t="e">
        <f t="shared" ref="BA25:BA33" si="41">BA$9*$AC26</f>
        <v>#REF!</v>
      </c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si="22"/>
        <v>#REF!</v>
      </c>
      <c r="AG26" s="36" t="e">
        <f t="shared" si="23"/>
        <v>#REF!</v>
      </c>
      <c r="AH26" s="36" t="e">
        <f t="shared" si="24"/>
        <v>#REF!</v>
      </c>
      <c r="AI26" s="36" t="e">
        <f t="shared" si="25"/>
        <v>#REF!</v>
      </c>
      <c r="AJ26" s="36" t="e">
        <f t="shared" si="26"/>
        <v>#REF!</v>
      </c>
      <c r="AK26" s="36" t="e">
        <f t="shared" si="27"/>
        <v>#REF!</v>
      </c>
      <c r="AL26" s="36" t="e">
        <f t="shared" si="28"/>
        <v>#REF!</v>
      </c>
      <c r="AM26" s="36" t="e">
        <f t="shared" si="29"/>
        <v>#REF!</v>
      </c>
      <c r="AN26" s="36" t="e">
        <f t="shared" si="30"/>
        <v>#REF!</v>
      </c>
      <c r="AO26" s="36" t="e">
        <f t="shared" si="31"/>
        <v>#REF!</v>
      </c>
      <c r="AQ26" s="38"/>
      <c r="AR26" s="36" t="e">
        <f t="shared" si="32"/>
        <v>#REF!</v>
      </c>
      <c r="AS26" s="36" t="e">
        <f t="shared" si="33"/>
        <v>#REF!</v>
      </c>
      <c r="AT26" s="36" t="e">
        <f t="shared" si="34"/>
        <v>#REF!</v>
      </c>
      <c r="AU26" s="36" t="e">
        <f t="shared" si="35"/>
        <v>#REF!</v>
      </c>
      <c r="AV26" s="36" t="e">
        <f t="shared" si="36"/>
        <v>#REF!</v>
      </c>
      <c r="AW26" s="36" t="e">
        <f t="shared" si="37"/>
        <v>#REF!</v>
      </c>
      <c r="AX26" s="36" t="e">
        <f t="shared" si="38"/>
        <v>#REF!</v>
      </c>
      <c r="AY26" s="36" t="e">
        <f t="shared" si="39"/>
        <v>#REF!</v>
      </c>
      <c r="AZ26" s="36" t="e">
        <f t="shared" si="40"/>
        <v>#REF!</v>
      </c>
      <c r="BA26" s="36" t="e">
        <f t="shared" si="41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22"/>
        <v>#REF!</v>
      </c>
      <c r="AG27" s="36" t="e">
        <f t="shared" si="23"/>
        <v>#REF!</v>
      </c>
      <c r="AH27" s="36" t="e">
        <f t="shared" si="24"/>
        <v>#REF!</v>
      </c>
      <c r="AI27" s="36" t="e">
        <f t="shared" si="25"/>
        <v>#REF!</v>
      </c>
      <c r="AJ27" s="36" t="e">
        <f t="shared" si="26"/>
        <v>#REF!</v>
      </c>
      <c r="AK27" s="36" t="e">
        <f t="shared" si="27"/>
        <v>#REF!</v>
      </c>
      <c r="AL27" s="36" t="e">
        <f t="shared" si="28"/>
        <v>#REF!</v>
      </c>
      <c r="AM27" s="36" t="e">
        <f t="shared" si="29"/>
        <v>#REF!</v>
      </c>
      <c r="AN27" s="36" t="e">
        <f t="shared" si="30"/>
        <v>#REF!</v>
      </c>
      <c r="AO27" s="36" t="e">
        <f t="shared" si="31"/>
        <v>#REF!</v>
      </c>
      <c r="AQ27" s="38"/>
      <c r="AR27" s="36" t="e">
        <f t="shared" si="32"/>
        <v>#REF!</v>
      </c>
      <c r="AS27" s="36" t="e">
        <f t="shared" si="33"/>
        <v>#REF!</v>
      </c>
      <c r="AT27" s="36" t="e">
        <f t="shared" si="34"/>
        <v>#REF!</v>
      </c>
      <c r="AU27" s="36" t="e">
        <f t="shared" si="35"/>
        <v>#REF!</v>
      </c>
      <c r="AV27" s="36" t="e">
        <f t="shared" si="36"/>
        <v>#REF!</v>
      </c>
      <c r="AW27" s="36" t="e">
        <f t="shared" si="37"/>
        <v>#REF!</v>
      </c>
      <c r="AX27" s="36" t="e">
        <f t="shared" si="38"/>
        <v>#REF!</v>
      </c>
      <c r="AY27" s="36" t="e">
        <f t="shared" si="39"/>
        <v>#REF!</v>
      </c>
      <c r="AZ27" s="36" t="e">
        <f t="shared" si="40"/>
        <v>#REF!</v>
      </c>
      <c r="BA27" s="36" t="e">
        <f t="shared" si="41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22"/>
        <v>#REF!</v>
      </c>
      <c r="AG28" s="36" t="e">
        <f t="shared" si="23"/>
        <v>#REF!</v>
      </c>
      <c r="AH28" s="36" t="e">
        <f t="shared" si="24"/>
        <v>#REF!</v>
      </c>
      <c r="AI28" s="36" t="e">
        <f t="shared" si="25"/>
        <v>#REF!</v>
      </c>
      <c r="AJ28" s="36" t="e">
        <f t="shared" si="26"/>
        <v>#REF!</v>
      </c>
      <c r="AK28" s="36" t="e">
        <f t="shared" si="27"/>
        <v>#REF!</v>
      </c>
      <c r="AL28" s="36" t="e">
        <f t="shared" si="28"/>
        <v>#REF!</v>
      </c>
      <c r="AM28" s="36" t="e">
        <f t="shared" si="29"/>
        <v>#REF!</v>
      </c>
      <c r="AN28" s="36" t="e">
        <f t="shared" si="30"/>
        <v>#REF!</v>
      </c>
      <c r="AO28" s="36" t="e">
        <f t="shared" si="31"/>
        <v>#REF!</v>
      </c>
      <c r="AQ28" s="38"/>
      <c r="AR28" s="36" t="e">
        <f t="shared" si="32"/>
        <v>#REF!</v>
      </c>
      <c r="AS28" s="36" t="e">
        <f t="shared" si="33"/>
        <v>#REF!</v>
      </c>
      <c r="AT28" s="36" t="e">
        <f t="shared" si="34"/>
        <v>#REF!</v>
      </c>
      <c r="AU28" s="36" t="e">
        <f t="shared" si="35"/>
        <v>#REF!</v>
      </c>
      <c r="AV28" s="36" t="e">
        <f t="shared" si="36"/>
        <v>#REF!</v>
      </c>
      <c r="AW28" s="36" t="e">
        <f t="shared" si="37"/>
        <v>#REF!</v>
      </c>
      <c r="AX28" s="36" t="e">
        <f t="shared" si="38"/>
        <v>#REF!</v>
      </c>
      <c r="AY28" s="36" t="e">
        <f t="shared" si="39"/>
        <v>#REF!</v>
      </c>
      <c r="AZ28" s="36" t="e">
        <f t="shared" si="40"/>
        <v>#REF!</v>
      </c>
      <c r="BA28" s="36" t="e">
        <f t="shared" si="41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22"/>
        <v>#REF!</v>
      </c>
      <c r="AG29" s="36" t="e">
        <f t="shared" si="23"/>
        <v>#REF!</v>
      </c>
      <c r="AH29" s="36" t="e">
        <f t="shared" si="24"/>
        <v>#REF!</v>
      </c>
      <c r="AI29" s="36" t="e">
        <f t="shared" si="25"/>
        <v>#REF!</v>
      </c>
      <c r="AJ29" s="36" t="e">
        <f t="shared" si="26"/>
        <v>#REF!</v>
      </c>
      <c r="AK29" s="36" t="e">
        <f t="shared" si="27"/>
        <v>#REF!</v>
      </c>
      <c r="AL29" s="36" t="e">
        <f t="shared" si="28"/>
        <v>#REF!</v>
      </c>
      <c r="AM29" s="36" t="e">
        <f t="shared" si="29"/>
        <v>#REF!</v>
      </c>
      <c r="AN29" s="36" t="e">
        <f t="shared" si="30"/>
        <v>#REF!</v>
      </c>
      <c r="AO29" s="36" t="e">
        <f t="shared" si="31"/>
        <v>#REF!</v>
      </c>
      <c r="AQ29" s="38"/>
      <c r="AR29" s="36" t="e">
        <f t="shared" si="32"/>
        <v>#REF!</v>
      </c>
      <c r="AS29" s="36" t="e">
        <f t="shared" si="33"/>
        <v>#REF!</v>
      </c>
      <c r="AT29" s="36" t="e">
        <f t="shared" si="34"/>
        <v>#REF!</v>
      </c>
      <c r="AU29" s="36" t="e">
        <f t="shared" si="35"/>
        <v>#REF!</v>
      </c>
      <c r="AV29" s="36" t="e">
        <f t="shared" si="36"/>
        <v>#REF!</v>
      </c>
      <c r="AW29" s="36" t="e">
        <f t="shared" si="37"/>
        <v>#REF!</v>
      </c>
      <c r="AX29" s="36" t="e">
        <f t="shared" si="38"/>
        <v>#REF!</v>
      </c>
      <c r="AY29" s="36" t="e">
        <f t="shared" si="39"/>
        <v>#REF!</v>
      </c>
      <c r="AZ29" s="36" t="e">
        <f t="shared" si="40"/>
        <v>#REF!</v>
      </c>
      <c r="BA29" s="36" t="e">
        <f t="shared" si="41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22"/>
        <v>#REF!</v>
      </c>
      <c r="AG30" s="36" t="e">
        <f t="shared" si="23"/>
        <v>#REF!</v>
      </c>
      <c r="AH30" s="36" t="e">
        <f t="shared" si="24"/>
        <v>#REF!</v>
      </c>
      <c r="AI30" s="36" t="e">
        <f t="shared" si="25"/>
        <v>#REF!</v>
      </c>
      <c r="AJ30" s="36" t="e">
        <f t="shared" si="26"/>
        <v>#REF!</v>
      </c>
      <c r="AK30" s="36" t="e">
        <f t="shared" si="27"/>
        <v>#REF!</v>
      </c>
      <c r="AL30" s="36" t="e">
        <f t="shared" si="28"/>
        <v>#REF!</v>
      </c>
      <c r="AM30" s="36" t="e">
        <f t="shared" si="29"/>
        <v>#REF!</v>
      </c>
      <c r="AN30" s="36" t="e">
        <f t="shared" si="30"/>
        <v>#REF!</v>
      </c>
      <c r="AO30" s="36" t="e">
        <f t="shared" si="31"/>
        <v>#REF!</v>
      </c>
      <c r="AQ30" s="38"/>
      <c r="AR30" s="36" t="e">
        <f t="shared" si="32"/>
        <v>#REF!</v>
      </c>
      <c r="AS30" s="36" t="e">
        <f t="shared" si="33"/>
        <v>#REF!</v>
      </c>
      <c r="AT30" s="36" t="e">
        <f t="shared" si="34"/>
        <v>#REF!</v>
      </c>
      <c r="AU30" s="36" t="e">
        <f t="shared" si="35"/>
        <v>#REF!</v>
      </c>
      <c r="AV30" s="36" t="e">
        <f t="shared" si="36"/>
        <v>#REF!</v>
      </c>
      <c r="AW30" s="36" t="e">
        <f t="shared" si="37"/>
        <v>#REF!</v>
      </c>
      <c r="AX30" s="36" t="e">
        <f t="shared" si="38"/>
        <v>#REF!</v>
      </c>
      <c r="AY30" s="36" t="e">
        <f t="shared" si="39"/>
        <v>#REF!</v>
      </c>
      <c r="AZ30" s="36" t="e">
        <f t="shared" si="40"/>
        <v>#REF!</v>
      </c>
      <c r="BA30" s="36" t="e">
        <f t="shared" si="41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22"/>
        <v>#REF!</v>
      </c>
      <c r="AG31" s="36" t="e">
        <f t="shared" si="23"/>
        <v>#REF!</v>
      </c>
      <c r="AH31" s="36" t="e">
        <f t="shared" si="24"/>
        <v>#REF!</v>
      </c>
      <c r="AI31" s="36" t="e">
        <f t="shared" si="25"/>
        <v>#REF!</v>
      </c>
      <c r="AJ31" s="36" t="e">
        <f t="shared" si="26"/>
        <v>#REF!</v>
      </c>
      <c r="AK31" s="36" t="e">
        <f t="shared" si="27"/>
        <v>#REF!</v>
      </c>
      <c r="AL31" s="36" t="e">
        <f t="shared" si="28"/>
        <v>#REF!</v>
      </c>
      <c r="AM31" s="36" t="e">
        <f t="shared" si="29"/>
        <v>#REF!</v>
      </c>
      <c r="AN31" s="36" t="e">
        <f t="shared" si="30"/>
        <v>#REF!</v>
      </c>
      <c r="AO31" s="36" t="e">
        <f t="shared" si="31"/>
        <v>#REF!</v>
      </c>
      <c r="AQ31" s="38"/>
      <c r="AR31" s="36" t="e">
        <f t="shared" si="32"/>
        <v>#REF!</v>
      </c>
      <c r="AS31" s="36" t="e">
        <f t="shared" si="33"/>
        <v>#REF!</v>
      </c>
      <c r="AT31" s="36" t="e">
        <f t="shared" si="34"/>
        <v>#REF!</v>
      </c>
      <c r="AU31" s="36" t="e">
        <f t="shared" si="35"/>
        <v>#REF!</v>
      </c>
      <c r="AV31" s="36" t="e">
        <f t="shared" si="36"/>
        <v>#REF!</v>
      </c>
      <c r="AW31" s="36" t="e">
        <f t="shared" si="37"/>
        <v>#REF!</v>
      </c>
      <c r="AX31" s="36" t="e">
        <f t="shared" si="38"/>
        <v>#REF!</v>
      </c>
      <c r="AY31" s="36" t="e">
        <f t="shared" si="39"/>
        <v>#REF!</v>
      </c>
      <c r="AZ31" s="36" t="e">
        <f t="shared" si="40"/>
        <v>#REF!</v>
      </c>
      <c r="BA31" s="36" t="e">
        <f t="shared" si="41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22"/>
        <v>#REF!</v>
      </c>
      <c r="AG32" s="36" t="e">
        <f t="shared" si="23"/>
        <v>#REF!</v>
      </c>
      <c r="AH32" s="36" t="e">
        <f t="shared" si="24"/>
        <v>#REF!</v>
      </c>
      <c r="AI32" s="36" t="e">
        <f t="shared" si="25"/>
        <v>#REF!</v>
      </c>
      <c r="AJ32" s="36" t="e">
        <f t="shared" si="26"/>
        <v>#REF!</v>
      </c>
      <c r="AK32" s="36" t="e">
        <f t="shared" si="27"/>
        <v>#REF!</v>
      </c>
      <c r="AL32" s="36" t="e">
        <f t="shared" si="28"/>
        <v>#REF!</v>
      </c>
      <c r="AM32" s="36" t="e">
        <f t="shared" si="29"/>
        <v>#REF!</v>
      </c>
      <c r="AN32" s="36" t="e">
        <f t="shared" si="30"/>
        <v>#REF!</v>
      </c>
      <c r="AO32" s="36" t="e">
        <f t="shared" si="31"/>
        <v>#REF!</v>
      </c>
      <c r="AQ32" s="38"/>
      <c r="AR32" s="36" t="e">
        <f t="shared" si="32"/>
        <v>#REF!</v>
      </c>
      <c r="AS32" s="36" t="e">
        <f t="shared" si="33"/>
        <v>#REF!</v>
      </c>
      <c r="AT32" s="36" t="e">
        <f t="shared" si="34"/>
        <v>#REF!</v>
      </c>
      <c r="AU32" s="36" t="e">
        <f t="shared" si="35"/>
        <v>#REF!</v>
      </c>
      <c r="AV32" s="36" t="e">
        <f t="shared" si="36"/>
        <v>#REF!</v>
      </c>
      <c r="AW32" s="36" t="e">
        <f t="shared" si="37"/>
        <v>#REF!</v>
      </c>
      <c r="AX32" s="36" t="e">
        <f t="shared" si="38"/>
        <v>#REF!</v>
      </c>
      <c r="AY32" s="36" t="e">
        <f t="shared" si="39"/>
        <v>#REF!</v>
      </c>
      <c r="AZ32" s="36" t="e">
        <f t="shared" si="40"/>
        <v>#REF!</v>
      </c>
      <c r="BA32" s="36" t="e">
        <f t="shared" si="41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22"/>
        <v>#REF!</v>
      </c>
      <c r="AG33" s="36" t="e">
        <f t="shared" si="23"/>
        <v>#REF!</v>
      </c>
      <c r="AH33" s="36" t="e">
        <f t="shared" si="24"/>
        <v>#REF!</v>
      </c>
      <c r="AI33" s="36" t="e">
        <f t="shared" si="25"/>
        <v>#REF!</v>
      </c>
      <c r="AJ33" s="36" t="e">
        <f t="shared" si="26"/>
        <v>#REF!</v>
      </c>
      <c r="AK33" s="36" t="e">
        <f t="shared" si="27"/>
        <v>#REF!</v>
      </c>
      <c r="AL33" s="36" t="e">
        <f t="shared" si="28"/>
        <v>#REF!</v>
      </c>
      <c r="AM33" s="36" t="e">
        <f t="shared" si="29"/>
        <v>#REF!</v>
      </c>
      <c r="AN33" s="36" t="e">
        <f t="shared" si="30"/>
        <v>#REF!</v>
      </c>
      <c r="AO33" s="36" t="e">
        <f t="shared" si="31"/>
        <v>#REF!</v>
      </c>
      <c r="AQ33" s="38"/>
      <c r="AR33" s="36" t="e">
        <f t="shared" si="32"/>
        <v>#REF!</v>
      </c>
      <c r="AS33" s="36" t="e">
        <f t="shared" si="33"/>
        <v>#REF!</v>
      </c>
      <c r="AT33" s="36" t="e">
        <f t="shared" si="34"/>
        <v>#REF!</v>
      </c>
      <c r="AU33" s="36" t="e">
        <f t="shared" si="35"/>
        <v>#REF!</v>
      </c>
      <c r="AV33" s="36" t="e">
        <f t="shared" si="36"/>
        <v>#REF!</v>
      </c>
      <c r="AW33" s="36" t="e">
        <f t="shared" si="37"/>
        <v>#REF!</v>
      </c>
      <c r="AX33" s="36" t="e">
        <f t="shared" si="38"/>
        <v>#REF!</v>
      </c>
      <c r="AY33" s="36" t="e">
        <f t="shared" si="39"/>
        <v>#REF!</v>
      </c>
      <c r="AZ33" s="36" t="e">
        <f t="shared" si="40"/>
        <v>#REF!</v>
      </c>
      <c r="BA33" s="36" t="e">
        <f t="shared" si="41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Q34" s="38"/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F36" s="36" t="e">
        <f t="shared" ref="AF36:AF44" si="42">AF$9*$AC37</f>
        <v>#REF!</v>
      </c>
      <c r="AG36" s="36" t="e">
        <f t="shared" ref="AG36:AG44" si="43">AG$9*$AC37</f>
        <v>#REF!</v>
      </c>
      <c r="AH36" s="36" t="e">
        <f t="shared" ref="AH36:AH44" si="44">AH$9*$AC37</f>
        <v>#REF!</v>
      </c>
      <c r="AI36" s="36" t="e">
        <f t="shared" ref="AI36:AI44" si="45">AI$9*$AC37</f>
        <v>#REF!</v>
      </c>
      <c r="AJ36" s="36" t="e">
        <f t="shared" ref="AJ36:AJ44" si="46">AJ$9*$AC37</f>
        <v>#REF!</v>
      </c>
      <c r="AK36" s="36" t="e">
        <f t="shared" ref="AK36:AK44" si="47">AK$9*$AC37</f>
        <v>#REF!</v>
      </c>
      <c r="AL36" s="36" t="e">
        <f t="shared" ref="AL36:AL44" si="48">AL$9*$AC37</f>
        <v>#REF!</v>
      </c>
      <c r="AM36" s="36" t="e">
        <f t="shared" ref="AM36:AM44" si="49">AM$9*$AC37</f>
        <v>#REF!</v>
      </c>
      <c r="AN36" s="36" t="e">
        <f t="shared" ref="AN36:AN44" si="50">AN$9*$AC37</f>
        <v>#REF!</v>
      </c>
      <c r="AO36" s="36" t="e">
        <f t="shared" ref="AO36:AO44" si="51">AO$9*$AC37</f>
        <v>#REF!</v>
      </c>
      <c r="AQ36" s="38"/>
      <c r="AR36" s="36" t="e">
        <f t="shared" ref="AR36:AR44" si="52">AR$9*$AC37</f>
        <v>#REF!</v>
      </c>
      <c r="AS36" s="36" t="e">
        <f t="shared" ref="AS36:AS44" si="53">AS$9*$AC37</f>
        <v>#REF!</v>
      </c>
      <c r="AT36" s="36" t="e">
        <f t="shared" ref="AT36:AT44" si="54">AT$9*$AC37</f>
        <v>#REF!</v>
      </c>
      <c r="AU36" s="36" t="e">
        <f t="shared" ref="AU36:AU44" si="55">AU$9*$AC37</f>
        <v>#REF!</v>
      </c>
      <c r="AV36" s="36" t="e">
        <f t="shared" ref="AV36:AV44" si="56">AV$9*$AC37</f>
        <v>#REF!</v>
      </c>
      <c r="AW36" s="36" t="e">
        <f t="shared" ref="AW36:AW44" si="57">AW$9*$AC37</f>
        <v>#REF!</v>
      </c>
      <c r="AX36" s="36" t="e">
        <f t="shared" ref="AX36:AX44" si="58">AX$9*$AC37</f>
        <v>#REF!</v>
      </c>
      <c r="AY36" s="36" t="e">
        <f t="shared" ref="AY36:AY44" si="59">AY$9*$AC37</f>
        <v>#REF!</v>
      </c>
      <c r="AZ36" s="36" t="e">
        <f t="shared" ref="AZ36:AZ44" si="60">AZ$9*$AC37</f>
        <v>#REF!</v>
      </c>
      <c r="BA36" s="36" t="e">
        <f t="shared" ref="BA36:BA44" si="61">BA$9*$AC37</f>
        <v>#REF!</v>
      </c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si="42"/>
        <v>#REF!</v>
      </c>
      <c r="AG37" s="36" t="e">
        <f t="shared" si="43"/>
        <v>#REF!</v>
      </c>
      <c r="AH37" s="36" t="e">
        <f t="shared" si="44"/>
        <v>#REF!</v>
      </c>
      <c r="AI37" s="36" t="e">
        <f t="shared" si="45"/>
        <v>#REF!</v>
      </c>
      <c r="AJ37" s="36" t="e">
        <f t="shared" si="46"/>
        <v>#REF!</v>
      </c>
      <c r="AK37" s="36" t="e">
        <f t="shared" si="47"/>
        <v>#REF!</v>
      </c>
      <c r="AL37" s="36" t="e">
        <f t="shared" si="48"/>
        <v>#REF!</v>
      </c>
      <c r="AM37" s="36" t="e">
        <f t="shared" si="49"/>
        <v>#REF!</v>
      </c>
      <c r="AN37" s="36" t="e">
        <f t="shared" si="50"/>
        <v>#REF!</v>
      </c>
      <c r="AO37" s="36" t="e">
        <f t="shared" si="51"/>
        <v>#REF!</v>
      </c>
      <c r="AQ37" s="38"/>
      <c r="AR37" s="36" t="e">
        <f t="shared" si="52"/>
        <v>#REF!</v>
      </c>
      <c r="AS37" s="36" t="e">
        <f t="shared" si="53"/>
        <v>#REF!</v>
      </c>
      <c r="AT37" s="36" t="e">
        <f t="shared" si="54"/>
        <v>#REF!</v>
      </c>
      <c r="AU37" s="36" t="e">
        <f t="shared" si="55"/>
        <v>#REF!</v>
      </c>
      <c r="AV37" s="36" t="e">
        <f t="shared" si="56"/>
        <v>#REF!</v>
      </c>
      <c r="AW37" s="36" t="e">
        <f t="shared" si="57"/>
        <v>#REF!</v>
      </c>
      <c r="AX37" s="36" t="e">
        <f t="shared" si="58"/>
        <v>#REF!</v>
      </c>
      <c r="AY37" s="36" t="e">
        <f t="shared" si="59"/>
        <v>#REF!</v>
      </c>
      <c r="AZ37" s="36" t="e">
        <f t="shared" si="60"/>
        <v>#REF!</v>
      </c>
      <c r="BA37" s="36" t="e">
        <f t="shared" si="61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42"/>
        <v>#REF!</v>
      </c>
      <c r="AG38" s="36" t="e">
        <f t="shared" si="43"/>
        <v>#REF!</v>
      </c>
      <c r="AH38" s="36" t="e">
        <f t="shared" si="44"/>
        <v>#REF!</v>
      </c>
      <c r="AI38" s="36" t="e">
        <f t="shared" si="45"/>
        <v>#REF!</v>
      </c>
      <c r="AJ38" s="36" t="e">
        <f t="shared" si="46"/>
        <v>#REF!</v>
      </c>
      <c r="AK38" s="36" t="e">
        <f t="shared" si="47"/>
        <v>#REF!</v>
      </c>
      <c r="AL38" s="36" t="e">
        <f t="shared" si="48"/>
        <v>#REF!</v>
      </c>
      <c r="AM38" s="36" t="e">
        <f t="shared" si="49"/>
        <v>#REF!</v>
      </c>
      <c r="AN38" s="36" t="e">
        <f t="shared" si="50"/>
        <v>#REF!</v>
      </c>
      <c r="AO38" s="36" t="e">
        <f t="shared" si="51"/>
        <v>#REF!</v>
      </c>
      <c r="AQ38" s="38"/>
      <c r="AR38" s="36" t="e">
        <f t="shared" si="52"/>
        <v>#REF!</v>
      </c>
      <c r="AS38" s="36" t="e">
        <f t="shared" si="53"/>
        <v>#REF!</v>
      </c>
      <c r="AT38" s="36" t="e">
        <f t="shared" si="54"/>
        <v>#REF!</v>
      </c>
      <c r="AU38" s="36" t="e">
        <f t="shared" si="55"/>
        <v>#REF!</v>
      </c>
      <c r="AV38" s="36" t="e">
        <f t="shared" si="56"/>
        <v>#REF!</v>
      </c>
      <c r="AW38" s="36" t="e">
        <f t="shared" si="57"/>
        <v>#REF!</v>
      </c>
      <c r="AX38" s="36" t="e">
        <f t="shared" si="58"/>
        <v>#REF!</v>
      </c>
      <c r="AY38" s="36" t="e">
        <f t="shared" si="59"/>
        <v>#REF!</v>
      </c>
      <c r="AZ38" s="36" t="e">
        <f t="shared" si="60"/>
        <v>#REF!</v>
      </c>
      <c r="BA38" s="36" t="e">
        <f t="shared" si="61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42"/>
        <v>#REF!</v>
      </c>
      <c r="AG39" s="36" t="e">
        <f t="shared" si="43"/>
        <v>#REF!</v>
      </c>
      <c r="AH39" s="36" t="e">
        <f t="shared" si="44"/>
        <v>#REF!</v>
      </c>
      <c r="AI39" s="36" t="e">
        <f t="shared" si="45"/>
        <v>#REF!</v>
      </c>
      <c r="AJ39" s="36" t="e">
        <f t="shared" si="46"/>
        <v>#REF!</v>
      </c>
      <c r="AK39" s="36" t="e">
        <f t="shared" si="47"/>
        <v>#REF!</v>
      </c>
      <c r="AL39" s="36" t="e">
        <f t="shared" si="48"/>
        <v>#REF!</v>
      </c>
      <c r="AM39" s="36" t="e">
        <f t="shared" si="49"/>
        <v>#REF!</v>
      </c>
      <c r="AN39" s="36" t="e">
        <f t="shared" si="50"/>
        <v>#REF!</v>
      </c>
      <c r="AO39" s="36" t="e">
        <f t="shared" si="51"/>
        <v>#REF!</v>
      </c>
      <c r="AQ39" s="38"/>
      <c r="AR39" s="36" t="e">
        <f t="shared" si="52"/>
        <v>#REF!</v>
      </c>
      <c r="AS39" s="36" t="e">
        <f t="shared" si="53"/>
        <v>#REF!</v>
      </c>
      <c r="AT39" s="36" t="e">
        <f t="shared" si="54"/>
        <v>#REF!</v>
      </c>
      <c r="AU39" s="36" t="e">
        <f t="shared" si="55"/>
        <v>#REF!</v>
      </c>
      <c r="AV39" s="36" t="e">
        <f t="shared" si="56"/>
        <v>#REF!</v>
      </c>
      <c r="AW39" s="36" t="e">
        <f t="shared" si="57"/>
        <v>#REF!</v>
      </c>
      <c r="AX39" s="36" t="e">
        <f t="shared" si="58"/>
        <v>#REF!</v>
      </c>
      <c r="AY39" s="36" t="e">
        <f t="shared" si="59"/>
        <v>#REF!</v>
      </c>
      <c r="AZ39" s="36" t="e">
        <f t="shared" si="60"/>
        <v>#REF!</v>
      </c>
      <c r="BA39" s="36" t="e">
        <f t="shared" si="61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42"/>
        <v>#REF!</v>
      </c>
      <c r="AG40" s="36" t="e">
        <f t="shared" si="43"/>
        <v>#REF!</v>
      </c>
      <c r="AH40" s="36" t="e">
        <f t="shared" si="44"/>
        <v>#REF!</v>
      </c>
      <c r="AI40" s="36" t="e">
        <f t="shared" si="45"/>
        <v>#REF!</v>
      </c>
      <c r="AJ40" s="36" t="e">
        <f t="shared" si="46"/>
        <v>#REF!</v>
      </c>
      <c r="AK40" s="36" t="e">
        <f t="shared" si="47"/>
        <v>#REF!</v>
      </c>
      <c r="AL40" s="36" t="e">
        <f t="shared" si="48"/>
        <v>#REF!</v>
      </c>
      <c r="AM40" s="36" t="e">
        <f t="shared" si="49"/>
        <v>#REF!</v>
      </c>
      <c r="AN40" s="36" t="e">
        <f t="shared" si="50"/>
        <v>#REF!</v>
      </c>
      <c r="AO40" s="36" t="e">
        <f t="shared" si="51"/>
        <v>#REF!</v>
      </c>
      <c r="AQ40" s="38"/>
      <c r="AR40" s="36" t="e">
        <f t="shared" si="52"/>
        <v>#REF!</v>
      </c>
      <c r="AS40" s="36" t="e">
        <f t="shared" si="53"/>
        <v>#REF!</v>
      </c>
      <c r="AT40" s="36" t="e">
        <f t="shared" si="54"/>
        <v>#REF!</v>
      </c>
      <c r="AU40" s="36" t="e">
        <f t="shared" si="55"/>
        <v>#REF!</v>
      </c>
      <c r="AV40" s="36" t="e">
        <f t="shared" si="56"/>
        <v>#REF!</v>
      </c>
      <c r="AW40" s="36" t="e">
        <f t="shared" si="57"/>
        <v>#REF!</v>
      </c>
      <c r="AX40" s="36" t="e">
        <f t="shared" si="58"/>
        <v>#REF!</v>
      </c>
      <c r="AY40" s="36" t="e">
        <f t="shared" si="59"/>
        <v>#REF!</v>
      </c>
      <c r="AZ40" s="36" t="e">
        <f t="shared" si="60"/>
        <v>#REF!</v>
      </c>
      <c r="BA40" s="36" t="e">
        <f t="shared" si="61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42"/>
        <v>#REF!</v>
      </c>
      <c r="AG41" s="36" t="e">
        <f t="shared" si="43"/>
        <v>#REF!</v>
      </c>
      <c r="AH41" s="36" t="e">
        <f t="shared" si="44"/>
        <v>#REF!</v>
      </c>
      <c r="AI41" s="36" t="e">
        <f t="shared" si="45"/>
        <v>#REF!</v>
      </c>
      <c r="AJ41" s="36" t="e">
        <f t="shared" si="46"/>
        <v>#REF!</v>
      </c>
      <c r="AK41" s="36" t="e">
        <f t="shared" si="47"/>
        <v>#REF!</v>
      </c>
      <c r="AL41" s="36" t="e">
        <f t="shared" si="48"/>
        <v>#REF!</v>
      </c>
      <c r="AM41" s="36" t="e">
        <f t="shared" si="49"/>
        <v>#REF!</v>
      </c>
      <c r="AN41" s="36" t="e">
        <f t="shared" si="50"/>
        <v>#REF!</v>
      </c>
      <c r="AO41" s="36" t="e">
        <f t="shared" si="51"/>
        <v>#REF!</v>
      </c>
      <c r="AQ41" s="38"/>
      <c r="AR41" s="36" t="e">
        <f t="shared" si="52"/>
        <v>#REF!</v>
      </c>
      <c r="AS41" s="36" t="e">
        <f t="shared" si="53"/>
        <v>#REF!</v>
      </c>
      <c r="AT41" s="36" t="e">
        <f t="shared" si="54"/>
        <v>#REF!</v>
      </c>
      <c r="AU41" s="36" t="e">
        <f t="shared" si="55"/>
        <v>#REF!</v>
      </c>
      <c r="AV41" s="36" t="e">
        <f t="shared" si="56"/>
        <v>#REF!</v>
      </c>
      <c r="AW41" s="36" t="e">
        <f t="shared" si="57"/>
        <v>#REF!</v>
      </c>
      <c r="AX41" s="36" t="e">
        <f t="shared" si="58"/>
        <v>#REF!</v>
      </c>
      <c r="AY41" s="36" t="e">
        <f t="shared" si="59"/>
        <v>#REF!</v>
      </c>
      <c r="AZ41" s="36" t="e">
        <f t="shared" si="60"/>
        <v>#REF!</v>
      </c>
      <c r="BA41" s="36" t="e">
        <f t="shared" si="61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42"/>
        <v>#REF!</v>
      </c>
      <c r="AG42" s="36" t="e">
        <f t="shared" si="43"/>
        <v>#REF!</v>
      </c>
      <c r="AH42" s="36" t="e">
        <f t="shared" si="44"/>
        <v>#REF!</v>
      </c>
      <c r="AI42" s="36" t="e">
        <f t="shared" si="45"/>
        <v>#REF!</v>
      </c>
      <c r="AJ42" s="36" t="e">
        <f t="shared" si="46"/>
        <v>#REF!</v>
      </c>
      <c r="AK42" s="36" t="e">
        <f t="shared" si="47"/>
        <v>#REF!</v>
      </c>
      <c r="AL42" s="36" t="e">
        <f t="shared" si="48"/>
        <v>#REF!</v>
      </c>
      <c r="AM42" s="36" t="e">
        <f t="shared" si="49"/>
        <v>#REF!</v>
      </c>
      <c r="AN42" s="36" t="e">
        <f t="shared" si="50"/>
        <v>#REF!</v>
      </c>
      <c r="AO42" s="36" t="e">
        <f t="shared" si="51"/>
        <v>#REF!</v>
      </c>
      <c r="AQ42" s="38"/>
      <c r="AR42" s="36" t="e">
        <f t="shared" si="52"/>
        <v>#REF!</v>
      </c>
      <c r="AS42" s="36" t="e">
        <f t="shared" si="53"/>
        <v>#REF!</v>
      </c>
      <c r="AT42" s="36" t="e">
        <f t="shared" si="54"/>
        <v>#REF!</v>
      </c>
      <c r="AU42" s="36" t="e">
        <f t="shared" si="55"/>
        <v>#REF!</v>
      </c>
      <c r="AV42" s="36" t="e">
        <f t="shared" si="56"/>
        <v>#REF!</v>
      </c>
      <c r="AW42" s="36" t="e">
        <f t="shared" si="57"/>
        <v>#REF!</v>
      </c>
      <c r="AX42" s="36" t="e">
        <f t="shared" si="58"/>
        <v>#REF!</v>
      </c>
      <c r="AY42" s="36" t="e">
        <f t="shared" si="59"/>
        <v>#REF!</v>
      </c>
      <c r="AZ42" s="36" t="e">
        <f t="shared" si="60"/>
        <v>#REF!</v>
      </c>
      <c r="BA42" s="36" t="e">
        <f t="shared" si="61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42"/>
        <v>#REF!</v>
      </c>
      <c r="AG43" s="36" t="e">
        <f t="shared" si="43"/>
        <v>#REF!</v>
      </c>
      <c r="AH43" s="36" t="e">
        <f t="shared" si="44"/>
        <v>#REF!</v>
      </c>
      <c r="AI43" s="36" t="e">
        <f t="shared" si="45"/>
        <v>#REF!</v>
      </c>
      <c r="AJ43" s="36" t="e">
        <f t="shared" si="46"/>
        <v>#REF!</v>
      </c>
      <c r="AK43" s="36" t="e">
        <f t="shared" si="47"/>
        <v>#REF!</v>
      </c>
      <c r="AL43" s="36" t="e">
        <f t="shared" si="48"/>
        <v>#REF!</v>
      </c>
      <c r="AM43" s="36" t="e">
        <f t="shared" si="49"/>
        <v>#REF!</v>
      </c>
      <c r="AN43" s="36" t="e">
        <f t="shared" si="50"/>
        <v>#REF!</v>
      </c>
      <c r="AO43" s="36" t="e">
        <f t="shared" si="51"/>
        <v>#REF!</v>
      </c>
      <c r="AQ43" s="38"/>
      <c r="AR43" s="36" t="e">
        <f t="shared" si="52"/>
        <v>#REF!</v>
      </c>
      <c r="AS43" s="36" t="e">
        <f t="shared" si="53"/>
        <v>#REF!</v>
      </c>
      <c r="AT43" s="36" t="e">
        <f t="shared" si="54"/>
        <v>#REF!</v>
      </c>
      <c r="AU43" s="36" t="e">
        <f t="shared" si="55"/>
        <v>#REF!</v>
      </c>
      <c r="AV43" s="36" t="e">
        <f t="shared" si="56"/>
        <v>#REF!</v>
      </c>
      <c r="AW43" s="36" t="e">
        <f t="shared" si="57"/>
        <v>#REF!</v>
      </c>
      <c r="AX43" s="36" t="e">
        <f t="shared" si="58"/>
        <v>#REF!</v>
      </c>
      <c r="AY43" s="36" t="e">
        <f t="shared" si="59"/>
        <v>#REF!</v>
      </c>
      <c r="AZ43" s="36" t="e">
        <f t="shared" si="60"/>
        <v>#REF!</v>
      </c>
      <c r="BA43" s="36" t="e">
        <f t="shared" si="61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42"/>
        <v>#REF!</v>
      </c>
      <c r="AG44" s="36" t="e">
        <f t="shared" si="43"/>
        <v>#REF!</v>
      </c>
      <c r="AH44" s="36" t="e">
        <f t="shared" si="44"/>
        <v>#REF!</v>
      </c>
      <c r="AI44" s="36" t="e">
        <f t="shared" si="45"/>
        <v>#REF!</v>
      </c>
      <c r="AJ44" s="36" t="e">
        <f t="shared" si="46"/>
        <v>#REF!</v>
      </c>
      <c r="AK44" s="36" t="e">
        <f t="shared" si="47"/>
        <v>#REF!</v>
      </c>
      <c r="AL44" s="36" t="e">
        <f t="shared" si="48"/>
        <v>#REF!</v>
      </c>
      <c r="AM44" s="36" t="e">
        <f t="shared" si="49"/>
        <v>#REF!</v>
      </c>
      <c r="AN44" s="36" t="e">
        <f t="shared" si="50"/>
        <v>#REF!</v>
      </c>
      <c r="AO44" s="36" t="e">
        <f t="shared" si="51"/>
        <v>#REF!</v>
      </c>
      <c r="AQ44" s="38"/>
      <c r="AR44" s="36" t="e">
        <f t="shared" si="52"/>
        <v>#REF!</v>
      </c>
      <c r="AS44" s="36" t="e">
        <f t="shared" si="53"/>
        <v>#REF!</v>
      </c>
      <c r="AT44" s="36" t="e">
        <f t="shared" si="54"/>
        <v>#REF!</v>
      </c>
      <c r="AU44" s="36" t="e">
        <f t="shared" si="55"/>
        <v>#REF!</v>
      </c>
      <c r="AV44" s="36" t="e">
        <f t="shared" si="56"/>
        <v>#REF!</v>
      </c>
      <c r="AW44" s="36" t="e">
        <f t="shared" si="57"/>
        <v>#REF!</v>
      </c>
      <c r="AX44" s="36" t="e">
        <f t="shared" si="58"/>
        <v>#REF!</v>
      </c>
      <c r="AY44" s="36" t="e">
        <f t="shared" si="59"/>
        <v>#REF!</v>
      </c>
      <c r="AZ44" s="36" t="e">
        <f t="shared" si="60"/>
        <v>#REF!</v>
      </c>
      <c r="BA44" s="36" t="e">
        <f t="shared" si="61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Q45" s="38"/>
    </row>
    <row r="46" spans="1:53" hidden="1">
      <c r="AQ46" s="38"/>
    </row>
    <row r="47" spans="1:53" ht="63.75" hidden="1">
      <c r="AF47" s="61" t="s">
        <v>55</v>
      </c>
      <c r="AG47" s="61" t="s">
        <v>73</v>
      </c>
      <c r="AH47" s="61" t="s">
        <v>57</v>
      </c>
      <c r="AI47" s="61" t="s">
        <v>58</v>
      </c>
      <c r="AJ47" s="61" t="s">
        <v>59</v>
      </c>
      <c r="AK47" s="61" t="s">
        <v>60</v>
      </c>
      <c r="AL47" s="62" t="s">
        <v>75</v>
      </c>
      <c r="AM47" s="62" t="s">
        <v>76</v>
      </c>
      <c r="AN47" s="62" t="s">
        <v>61</v>
      </c>
      <c r="AO47" s="62" t="s">
        <v>62</v>
      </c>
      <c r="AP47" s="62"/>
      <c r="AQ47" s="43"/>
      <c r="AR47" s="61" t="s">
        <v>55</v>
      </c>
      <c r="AS47" s="61" t="s">
        <v>73</v>
      </c>
      <c r="AT47" s="61" t="s">
        <v>74</v>
      </c>
      <c r="AU47" s="61" t="s">
        <v>58</v>
      </c>
      <c r="AV47" s="61" t="s">
        <v>59</v>
      </c>
      <c r="AW47" s="61" t="s">
        <v>60</v>
      </c>
      <c r="AX47" s="62" t="s">
        <v>75</v>
      </c>
      <c r="AY47" s="62" t="s">
        <v>76</v>
      </c>
      <c r="AZ47" s="63" t="s">
        <v>61</v>
      </c>
      <c r="BA47" s="61" t="s">
        <v>62</v>
      </c>
    </row>
    <row r="48" spans="1:53" hidden="1">
      <c r="AA48" s="66" t="s">
        <v>43</v>
      </c>
      <c r="AB48" s="67"/>
      <c r="AC48" s="68"/>
      <c r="AD48" s="68"/>
      <c r="AE48" s="68"/>
      <c r="AG48" s="70"/>
      <c r="AQ48" s="38"/>
    </row>
    <row r="49" spans="27:53" hidden="1">
      <c r="AA49" s="69" t="s">
        <v>44</v>
      </c>
      <c r="AB49" s="35"/>
      <c r="AF49" s="70" t="e">
        <f t="shared" ref="AF49:AO49" si="62">AF14+AF16+AF17</f>
        <v>#REF!</v>
      </c>
      <c r="AG49" s="70" t="e">
        <f t="shared" si="62"/>
        <v>#REF!</v>
      </c>
      <c r="AH49" s="70" t="e">
        <f t="shared" si="62"/>
        <v>#REF!</v>
      </c>
      <c r="AI49" s="70" t="e">
        <f t="shared" si="62"/>
        <v>#REF!</v>
      </c>
      <c r="AJ49" s="70" t="e">
        <f t="shared" si="62"/>
        <v>#REF!</v>
      </c>
      <c r="AK49" s="70" t="e">
        <f t="shared" si="62"/>
        <v>#REF!</v>
      </c>
      <c r="AL49" s="70" t="e">
        <f t="shared" si="62"/>
        <v>#REF!</v>
      </c>
      <c r="AM49" s="70" t="e">
        <f t="shared" si="62"/>
        <v>#REF!</v>
      </c>
      <c r="AN49" s="70" t="e">
        <f t="shared" si="62"/>
        <v>#REF!</v>
      </c>
      <c r="AO49" s="70" t="e">
        <f t="shared" si="62"/>
        <v>#REF!</v>
      </c>
      <c r="AP49" s="70"/>
      <c r="AQ49" s="70"/>
      <c r="AR49" s="70" t="e">
        <f t="shared" ref="AR49:BA49" si="63">AR14+AR16+AR17</f>
        <v>#REF!</v>
      </c>
      <c r="AS49" s="70" t="e">
        <f t="shared" si="63"/>
        <v>#REF!</v>
      </c>
      <c r="AT49" s="70" t="e">
        <f t="shared" si="63"/>
        <v>#REF!</v>
      </c>
      <c r="AU49" s="70" t="e">
        <f t="shared" si="63"/>
        <v>#REF!</v>
      </c>
      <c r="AV49" s="70" t="e">
        <f t="shared" si="63"/>
        <v>#REF!</v>
      </c>
      <c r="AW49" s="70" t="e">
        <f t="shared" si="63"/>
        <v>#REF!</v>
      </c>
      <c r="AX49" s="70" t="e">
        <f t="shared" si="63"/>
        <v>#REF!</v>
      </c>
      <c r="AY49" s="70" t="e">
        <f t="shared" si="63"/>
        <v>#REF!</v>
      </c>
      <c r="AZ49" s="70" t="e">
        <f t="shared" si="63"/>
        <v>#REF!</v>
      </c>
      <c r="BA49" s="70" t="e">
        <f t="shared" si="63"/>
        <v>#REF!</v>
      </c>
    </row>
    <row r="50" spans="27:53" hidden="1">
      <c r="AA50" s="71" t="s">
        <v>29</v>
      </c>
      <c r="AB50" s="35"/>
      <c r="AF50" s="70" t="e">
        <f t="shared" ref="AF50:AO50" si="64">AF25+AF27+AF28</f>
        <v>#REF!</v>
      </c>
      <c r="AG50" s="70" t="e">
        <f t="shared" si="64"/>
        <v>#REF!</v>
      </c>
      <c r="AH50" s="70" t="e">
        <f t="shared" si="64"/>
        <v>#REF!</v>
      </c>
      <c r="AI50" s="70" t="e">
        <f t="shared" si="64"/>
        <v>#REF!</v>
      </c>
      <c r="AJ50" s="70" t="e">
        <f t="shared" si="64"/>
        <v>#REF!</v>
      </c>
      <c r="AK50" s="70" t="e">
        <f t="shared" si="64"/>
        <v>#REF!</v>
      </c>
      <c r="AL50" s="70" t="e">
        <f t="shared" si="64"/>
        <v>#REF!</v>
      </c>
      <c r="AM50" s="70" t="e">
        <f t="shared" si="64"/>
        <v>#REF!</v>
      </c>
      <c r="AN50" s="70" t="e">
        <f t="shared" si="64"/>
        <v>#REF!</v>
      </c>
      <c r="AO50" s="70" t="e">
        <f t="shared" si="64"/>
        <v>#REF!</v>
      </c>
      <c r="AP50" s="70"/>
      <c r="AQ50" s="70"/>
      <c r="AR50" s="70" t="e">
        <f t="shared" ref="AR50:BA50" si="65">AR25+AR27+AR28</f>
        <v>#REF!</v>
      </c>
      <c r="AS50" s="70" t="e">
        <f t="shared" si="65"/>
        <v>#REF!</v>
      </c>
      <c r="AT50" s="70" t="e">
        <f t="shared" si="65"/>
        <v>#REF!</v>
      </c>
      <c r="AU50" s="70" t="e">
        <f t="shared" si="65"/>
        <v>#REF!</v>
      </c>
      <c r="AV50" s="70" t="e">
        <f t="shared" si="65"/>
        <v>#REF!</v>
      </c>
      <c r="AW50" s="70" t="e">
        <f t="shared" si="65"/>
        <v>#REF!</v>
      </c>
      <c r="AX50" s="70" t="e">
        <f t="shared" si="65"/>
        <v>#REF!</v>
      </c>
      <c r="AY50" s="70" t="e">
        <f t="shared" si="65"/>
        <v>#REF!</v>
      </c>
      <c r="AZ50" s="70" t="e">
        <f t="shared" si="65"/>
        <v>#REF!</v>
      </c>
      <c r="BA50" s="70" t="e">
        <f t="shared" si="65"/>
        <v>#REF!</v>
      </c>
    </row>
    <row r="51" spans="27:53" hidden="1">
      <c r="AA51" s="71" t="s">
        <v>41</v>
      </c>
      <c r="AB51" s="35"/>
      <c r="AF51" s="70" t="e">
        <f t="shared" ref="AF51:AO51" si="66">AF36+AF38+AF39</f>
        <v>#REF!</v>
      </c>
      <c r="AG51" s="70" t="e">
        <f t="shared" si="66"/>
        <v>#REF!</v>
      </c>
      <c r="AH51" s="70" t="e">
        <f t="shared" si="66"/>
        <v>#REF!</v>
      </c>
      <c r="AI51" s="70" t="e">
        <f t="shared" si="66"/>
        <v>#REF!</v>
      </c>
      <c r="AJ51" s="70" t="e">
        <f t="shared" si="66"/>
        <v>#REF!</v>
      </c>
      <c r="AK51" s="70" t="e">
        <f t="shared" si="66"/>
        <v>#REF!</v>
      </c>
      <c r="AL51" s="70" t="e">
        <f t="shared" si="66"/>
        <v>#REF!</v>
      </c>
      <c r="AM51" s="70" t="e">
        <f t="shared" si="66"/>
        <v>#REF!</v>
      </c>
      <c r="AN51" s="70" t="e">
        <f t="shared" si="66"/>
        <v>#REF!</v>
      </c>
      <c r="AO51" s="70" t="e">
        <f t="shared" si="66"/>
        <v>#REF!</v>
      </c>
      <c r="AP51" s="70"/>
      <c r="AQ51" s="70"/>
      <c r="AR51" s="70" t="e">
        <f t="shared" ref="AR51:BA51" si="67">AR36+AR38+AR39</f>
        <v>#REF!</v>
      </c>
      <c r="AS51" s="70" t="e">
        <f t="shared" si="67"/>
        <v>#REF!</v>
      </c>
      <c r="AT51" s="70" t="e">
        <f t="shared" si="67"/>
        <v>#REF!</v>
      </c>
      <c r="AU51" s="70" t="e">
        <f t="shared" si="67"/>
        <v>#REF!</v>
      </c>
      <c r="AV51" s="70" t="e">
        <f t="shared" si="67"/>
        <v>#REF!</v>
      </c>
      <c r="AW51" s="70" t="e">
        <f t="shared" si="67"/>
        <v>#REF!</v>
      </c>
      <c r="AX51" s="70" t="e">
        <f t="shared" si="67"/>
        <v>#REF!</v>
      </c>
      <c r="AY51" s="70" t="e">
        <f t="shared" si="67"/>
        <v>#REF!</v>
      </c>
      <c r="AZ51" s="70" t="e">
        <f t="shared" si="67"/>
        <v>#REF!</v>
      </c>
      <c r="BA51" s="70" t="e">
        <f t="shared" si="67"/>
        <v>#REF!</v>
      </c>
    </row>
    <row r="52" spans="27:53" hidden="1">
      <c r="AA52" s="71" t="s">
        <v>42</v>
      </c>
      <c r="AB52" s="35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</row>
    <row r="53" spans="27:53" hidden="1">
      <c r="AA53" s="69" t="s">
        <v>45</v>
      </c>
      <c r="AB53" s="35"/>
      <c r="AF53" s="70" t="e">
        <f t="shared" ref="AF53:AO53" si="68">AF14+AF16+AF18+AF20</f>
        <v>#REF!</v>
      </c>
      <c r="AG53" s="70" t="e">
        <f t="shared" si="68"/>
        <v>#REF!</v>
      </c>
      <c r="AH53" s="70" t="e">
        <f t="shared" si="68"/>
        <v>#REF!</v>
      </c>
      <c r="AI53" s="70" t="e">
        <f t="shared" si="68"/>
        <v>#REF!</v>
      </c>
      <c r="AJ53" s="70" t="e">
        <f t="shared" si="68"/>
        <v>#REF!</v>
      </c>
      <c r="AK53" s="70" t="e">
        <f t="shared" si="68"/>
        <v>#REF!</v>
      </c>
      <c r="AL53" s="70" t="e">
        <f t="shared" si="68"/>
        <v>#REF!</v>
      </c>
      <c r="AM53" s="70" t="e">
        <f t="shared" si="68"/>
        <v>#REF!</v>
      </c>
      <c r="AN53" s="70" t="e">
        <f t="shared" si="68"/>
        <v>#REF!</v>
      </c>
      <c r="AO53" s="70" t="e">
        <f t="shared" si="68"/>
        <v>#REF!</v>
      </c>
      <c r="AP53" s="70"/>
      <c r="AQ53" s="70"/>
      <c r="AR53" s="70" t="e">
        <f t="shared" ref="AR53:BA53" si="69">AR14+AR16+AR18+AR20</f>
        <v>#REF!</v>
      </c>
      <c r="AS53" s="70" t="e">
        <f t="shared" si="69"/>
        <v>#REF!</v>
      </c>
      <c r="AT53" s="70" t="e">
        <f t="shared" si="69"/>
        <v>#REF!</v>
      </c>
      <c r="AU53" s="70" t="e">
        <f t="shared" si="69"/>
        <v>#REF!</v>
      </c>
      <c r="AV53" s="70" t="e">
        <f t="shared" si="69"/>
        <v>#REF!</v>
      </c>
      <c r="AW53" s="70" t="e">
        <f t="shared" si="69"/>
        <v>#REF!</v>
      </c>
      <c r="AX53" s="70" t="e">
        <f t="shared" si="69"/>
        <v>#REF!</v>
      </c>
      <c r="AY53" s="70" t="e">
        <f t="shared" si="69"/>
        <v>#REF!</v>
      </c>
      <c r="AZ53" s="70" t="e">
        <f t="shared" si="69"/>
        <v>#REF!</v>
      </c>
      <c r="BA53" s="70" t="e">
        <f t="shared" si="69"/>
        <v>#REF!</v>
      </c>
    </row>
    <row r="54" spans="27:53" hidden="1">
      <c r="AA54" s="71" t="s">
        <v>29</v>
      </c>
      <c r="AB54" s="35"/>
      <c r="AF54" s="70" t="e">
        <f t="shared" ref="AF54:AO54" si="70">AF25+AF27+AF29+AF31</f>
        <v>#REF!</v>
      </c>
      <c r="AG54" s="70" t="e">
        <f t="shared" si="70"/>
        <v>#REF!</v>
      </c>
      <c r="AH54" s="70" t="e">
        <f t="shared" si="70"/>
        <v>#REF!</v>
      </c>
      <c r="AI54" s="70" t="e">
        <f t="shared" si="70"/>
        <v>#REF!</v>
      </c>
      <c r="AJ54" s="70" t="e">
        <f t="shared" si="70"/>
        <v>#REF!</v>
      </c>
      <c r="AK54" s="70" t="e">
        <f t="shared" si="70"/>
        <v>#REF!</v>
      </c>
      <c r="AL54" s="70" t="e">
        <f t="shared" si="70"/>
        <v>#REF!</v>
      </c>
      <c r="AM54" s="70" t="e">
        <f t="shared" si="70"/>
        <v>#REF!</v>
      </c>
      <c r="AN54" s="70" t="e">
        <f t="shared" si="70"/>
        <v>#REF!</v>
      </c>
      <c r="AO54" s="70" t="e">
        <f t="shared" si="70"/>
        <v>#REF!</v>
      </c>
      <c r="AP54" s="70"/>
      <c r="AQ54" s="70"/>
      <c r="AR54" s="70" t="e">
        <f t="shared" ref="AR54:BA54" si="71">AR25+AR27+AR29+AR31</f>
        <v>#REF!</v>
      </c>
      <c r="AS54" s="70" t="e">
        <f t="shared" si="71"/>
        <v>#REF!</v>
      </c>
      <c r="AT54" s="70" t="e">
        <f t="shared" si="71"/>
        <v>#REF!</v>
      </c>
      <c r="AU54" s="70" t="e">
        <f t="shared" si="71"/>
        <v>#REF!</v>
      </c>
      <c r="AV54" s="70" t="e">
        <f t="shared" si="71"/>
        <v>#REF!</v>
      </c>
      <c r="AW54" s="70" t="e">
        <f t="shared" si="71"/>
        <v>#REF!</v>
      </c>
      <c r="AX54" s="70" t="e">
        <f t="shared" si="71"/>
        <v>#REF!</v>
      </c>
      <c r="AY54" s="70" t="e">
        <f t="shared" si="71"/>
        <v>#REF!</v>
      </c>
      <c r="AZ54" s="70" t="e">
        <f t="shared" si="71"/>
        <v>#REF!</v>
      </c>
      <c r="BA54" s="70" t="e">
        <f t="shared" si="71"/>
        <v>#REF!</v>
      </c>
    </row>
    <row r="55" spans="27:53" hidden="1">
      <c r="AA55" s="71" t="s">
        <v>41</v>
      </c>
      <c r="AB55" s="35"/>
      <c r="AF55" s="70" t="e">
        <f t="shared" ref="AF55:AO55" si="72">AF36+AF38+AF40+AF42</f>
        <v>#REF!</v>
      </c>
      <c r="AG55" s="70" t="e">
        <f t="shared" si="72"/>
        <v>#REF!</v>
      </c>
      <c r="AH55" s="70" t="e">
        <f t="shared" si="72"/>
        <v>#REF!</v>
      </c>
      <c r="AI55" s="70" t="e">
        <f t="shared" si="72"/>
        <v>#REF!</v>
      </c>
      <c r="AJ55" s="70" t="e">
        <f t="shared" si="72"/>
        <v>#REF!</v>
      </c>
      <c r="AK55" s="70" t="e">
        <f t="shared" si="72"/>
        <v>#REF!</v>
      </c>
      <c r="AL55" s="70" t="e">
        <f t="shared" si="72"/>
        <v>#REF!</v>
      </c>
      <c r="AM55" s="70" t="e">
        <f t="shared" si="72"/>
        <v>#REF!</v>
      </c>
      <c r="AN55" s="70" t="e">
        <f t="shared" si="72"/>
        <v>#REF!</v>
      </c>
      <c r="AO55" s="70" t="e">
        <f t="shared" si="72"/>
        <v>#REF!</v>
      </c>
      <c r="AP55" s="70"/>
      <c r="AQ55" s="70"/>
      <c r="AR55" s="70" t="e">
        <f t="shared" ref="AR55:BA55" si="73">AR36+AR38+AR40+AR42</f>
        <v>#REF!</v>
      </c>
      <c r="AS55" s="70" t="e">
        <f t="shared" si="73"/>
        <v>#REF!</v>
      </c>
      <c r="AT55" s="70" t="e">
        <f t="shared" si="73"/>
        <v>#REF!</v>
      </c>
      <c r="AU55" s="70" t="e">
        <f t="shared" si="73"/>
        <v>#REF!</v>
      </c>
      <c r="AV55" s="70" t="e">
        <f t="shared" si="73"/>
        <v>#REF!</v>
      </c>
      <c r="AW55" s="70" t="e">
        <f t="shared" si="73"/>
        <v>#REF!</v>
      </c>
      <c r="AX55" s="70" t="e">
        <f t="shared" si="73"/>
        <v>#REF!</v>
      </c>
      <c r="AY55" s="70" t="e">
        <f t="shared" si="73"/>
        <v>#REF!</v>
      </c>
      <c r="AZ55" s="70" t="e">
        <f t="shared" si="73"/>
        <v>#REF!</v>
      </c>
      <c r="BA55" s="70" t="e">
        <f t="shared" si="73"/>
        <v>#REF!</v>
      </c>
    </row>
    <row r="56" spans="27:53" hidden="1">
      <c r="AA56" s="71" t="s">
        <v>42</v>
      </c>
      <c r="AB56" s="35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27:53" hidden="1">
      <c r="AA57" s="69" t="s">
        <v>46</v>
      </c>
      <c r="AB57" s="35"/>
      <c r="AF57" s="70" t="e">
        <f t="shared" ref="AF57:AO57" si="74">AF14+AF16+AF18+AF19+AF21</f>
        <v>#REF!</v>
      </c>
      <c r="AG57" s="70" t="e">
        <f t="shared" si="74"/>
        <v>#REF!</v>
      </c>
      <c r="AH57" s="70" t="e">
        <f t="shared" si="74"/>
        <v>#REF!</v>
      </c>
      <c r="AI57" s="70" t="e">
        <f t="shared" si="74"/>
        <v>#REF!</v>
      </c>
      <c r="AJ57" s="70" t="e">
        <f t="shared" si="74"/>
        <v>#REF!</v>
      </c>
      <c r="AK57" s="70" t="e">
        <f t="shared" si="74"/>
        <v>#REF!</v>
      </c>
      <c r="AL57" s="70" t="e">
        <f t="shared" si="74"/>
        <v>#REF!</v>
      </c>
      <c r="AM57" s="70" t="e">
        <f t="shared" si="74"/>
        <v>#REF!</v>
      </c>
      <c r="AN57" s="70" t="e">
        <f t="shared" si="74"/>
        <v>#REF!</v>
      </c>
      <c r="AO57" s="70" t="e">
        <f t="shared" si="74"/>
        <v>#REF!</v>
      </c>
      <c r="AP57" s="70"/>
      <c r="AQ57" s="70"/>
      <c r="AR57" s="70" t="e">
        <f t="shared" ref="AR57:BA57" si="75">AR14+AR16+AR18+AR19+AR21</f>
        <v>#REF!</v>
      </c>
      <c r="AS57" s="70" t="e">
        <f t="shared" si="75"/>
        <v>#REF!</v>
      </c>
      <c r="AT57" s="70" t="e">
        <f t="shared" si="75"/>
        <v>#REF!</v>
      </c>
      <c r="AU57" s="70" t="e">
        <f t="shared" si="75"/>
        <v>#REF!</v>
      </c>
      <c r="AV57" s="70" t="e">
        <f t="shared" si="75"/>
        <v>#REF!</v>
      </c>
      <c r="AW57" s="70" t="e">
        <f t="shared" si="75"/>
        <v>#REF!</v>
      </c>
      <c r="AX57" s="70" t="e">
        <f t="shared" si="75"/>
        <v>#REF!</v>
      </c>
      <c r="AY57" s="70" t="e">
        <f t="shared" si="75"/>
        <v>#REF!</v>
      </c>
      <c r="AZ57" s="70" t="e">
        <f t="shared" si="75"/>
        <v>#REF!</v>
      </c>
      <c r="BA57" s="70" t="e">
        <f t="shared" si="75"/>
        <v>#REF!</v>
      </c>
    </row>
    <row r="58" spans="27:53" hidden="1">
      <c r="AA58" s="71" t="s">
        <v>29</v>
      </c>
      <c r="AB58" s="35"/>
      <c r="AF58" s="70" t="e">
        <f t="shared" ref="AF58:AO58" si="76">AF25+AF27+AF29+AF30+AF32</f>
        <v>#REF!</v>
      </c>
      <c r="AG58" s="70" t="e">
        <f t="shared" si="76"/>
        <v>#REF!</v>
      </c>
      <c r="AH58" s="70" t="e">
        <f t="shared" si="76"/>
        <v>#REF!</v>
      </c>
      <c r="AI58" s="70" t="e">
        <f t="shared" si="76"/>
        <v>#REF!</v>
      </c>
      <c r="AJ58" s="70" t="e">
        <f t="shared" si="76"/>
        <v>#REF!</v>
      </c>
      <c r="AK58" s="70" t="e">
        <f t="shared" si="76"/>
        <v>#REF!</v>
      </c>
      <c r="AL58" s="70" t="e">
        <f t="shared" si="76"/>
        <v>#REF!</v>
      </c>
      <c r="AM58" s="70" t="e">
        <f t="shared" si="76"/>
        <v>#REF!</v>
      </c>
      <c r="AN58" s="70" t="e">
        <f t="shared" si="76"/>
        <v>#REF!</v>
      </c>
      <c r="AO58" s="70" t="e">
        <f t="shared" si="76"/>
        <v>#REF!</v>
      </c>
      <c r="AP58" s="70"/>
      <c r="AQ58" s="70"/>
      <c r="AR58" s="70" t="e">
        <f t="shared" ref="AR58:BA58" si="77">AR25+AR27+AR29+AR30+AR32</f>
        <v>#REF!</v>
      </c>
      <c r="AS58" s="70" t="e">
        <f t="shared" si="77"/>
        <v>#REF!</v>
      </c>
      <c r="AT58" s="70" t="e">
        <f t="shared" si="77"/>
        <v>#REF!</v>
      </c>
      <c r="AU58" s="70" t="e">
        <f t="shared" si="77"/>
        <v>#REF!</v>
      </c>
      <c r="AV58" s="70" t="e">
        <f t="shared" si="77"/>
        <v>#REF!</v>
      </c>
      <c r="AW58" s="70" t="e">
        <f t="shared" si="77"/>
        <v>#REF!</v>
      </c>
      <c r="AX58" s="70" t="e">
        <f t="shared" si="77"/>
        <v>#REF!</v>
      </c>
      <c r="AY58" s="70" t="e">
        <f t="shared" si="77"/>
        <v>#REF!</v>
      </c>
      <c r="AZ58" s="70" t="e">
        <f t="shared" si="77"/>
        <v>#REF!</v>
      </c>
      <c r="BA58" s="70" t="e">
        <f t="shared" si="77"/>
        <v>#REF!</v>
      </c>
    </row>
    <row r="59" spans="27:53" hidden="1">
      <c r="AA59" s="71" t="s">
        <v>41</v>
      </c>
      <c r="AB59" s="35"/>
      <c r="AF59" s="70" t="e">
        <f t="shared" ref="AF59:AO59" si="78">AF36+AF38+AF40+AF41+AF43</f>
        <v>#REF!</v>
      </c>
      <c r="AG59" s="70" t="e">
        <f t="shared" si="78"/>
        <v>#REF!</v>
      </c>
      <c r="AH59" s="70" t="e">
        <f t="shared" si="78"/>
        <v>#REF!</v>
      </c>
      <c r="AI59" s="70" t="e">
        <f t="shared" si="78"/>
        <v>#REF!</v>
      </c>
      <c r="AJ59" s="70" t="e">
        <f t="shared" si="78"/>
        <v>#REF!</v>
      </c>
      <c r="AK59" s="70" t="e">
        <f t="shared" si="78"/>
        <v>#REF!</v>
      </c>
      <c r="AL59" s="70" t="e">
        <f t="shared" si="78"/>
        <v>#REF!</v>
      </c>
      <c r="AM59" s="70" t="e">
        <f t="shared" si="78"/>
        <v>#REF!</v>
      </c>
      <c r="AN59" s="70" t="e">
        <f t="shared" si="78"/>
        <v>#REF!</v>
      </c>
      <c r="AO59" s="70" t="e">
        <f t="shared" si="78"/>
        <v>#REF!</v>
      </c>
      <c r="AP59" s="70"/>
      <c r="AQ59" s="70"/>
      <c r="AR59" s="70" t="e">
        <f t="shared" ref="AR59:BA59" si="79">AR36+AR38+AR40+AR41+AR43</f>
        <v>#REF!</v>
      </c>
      <c r="AS59" s="70" t="e">
        <f t="shared" si="79"/>
        <v>#REF!</v>
      </c>
      <c r="AT59" s="70" t="e">
        <f t="shared" si="79"/>
        <v>#REF!</v>
      </c>
      <c r="AU59" s="70" t="e">
        <f t="shared" si="79"/>
        <v>#REF!</v>
      </c>
      <c r="AV59" s="70" t="e">
        <f t="shared" si="79"/>
        <v>#REF!</v>
      </c>
      <c r="AW59" s="70" t="e">
        <f t="shared" si="79"/>
        <v>#REF!</v>
      </c>
      <c r="AX59" s="70" t="e">
        <f t="shared" si="79"/>
        <v>#REF!</v>
      </c>
      <c r="AY59" s="70" t="e">
        <f t="shared" si="79"/>
        <v>#REF!</v>
      </c>
      <c r="AZ59" s="70" t="e">
        <f t="shared" si="79"/>
        <v>#REF!</v>
      </c>
      <c r="BA59" s="70" t="e">
        <f t="shared" si="79"/>
        <v>#REF!</v>
      </c>
    </row>
    <row r="60" spans="27:53" hidden="1">
      <c r="AA60" s="71" t="s">
        <v>42</v>
      </c>
      <c r="AB60" s="35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27:53" hidden="1">
      <c r="AA61" s="69" t="s">
        <v>47</v>
      </c>
      <c r="AB61" s="35"/>
      <c r="AF61" s="70" t="e">
        <f t="shared" ref="AF61:AO61" si="80">AF14+AF16+AF18+AF19+AF22</f>
        <v>#REF!</v>
      </c>
      <c r="AG61" s="70" t="e">
        <f t="shared" si="80"/>
        <v>#REF!</v>
      </c>
      <c r="AH61" s="70" t="e">
        <f t="shared" si="80"/>
        <v>#REF!</v>
      </c>
      <c r="AI61" s="70" t="e">
        <f t="shared" si="80"/>
        <v>#REF!</v>
      </c>
      <c r="AJ61" s="70" t="e">
        <f t="shared" si="80"/>
        <v>#REF!</v>
      </c>
      <c r="AK61" s="70" t="e">
        <f t="shared" si="80"/>
        <v>#REF!</v>
      </c>
      <c r="AL61" s="70" t="e">
        <f t="shared" si="80"/>
        <v>#REF!</v>
      </c>
      <c r="AM61" s="70" t="e">
        <f t="shared" si="80"/>
        <v>#REF!</v>
      </c>
      <c r="AN61" s="70" t="e">
        <f t="shared" si="80"/>
        <v>#REF!</v>
      </c>
      <c r="AO61" s="70" t="e">
        <f t="shared" si="80"/>
        <v>#REF!</v>
      </c>
      <c r="AP61" s="70"/>
      <c r="AQ61" s="70"/>
      <c r="AR61" s="70" t="e">
        <f t="shared" ref="AR61:BA61" si="81">AR14+AR16+AR18+AR19+AR22</f>
        <v>#REF!</v>
      </c>
      <c r="AS61" s="70" t="e">
        <f t="shared" si="81"/>
        <v>#REF!</v>
      </c>
      <c r="AT61" s="70" t="e">
        <f t="shared" si="81"/>
        <v>#REF!</v>
      </c>
      <c r="AU61" s="70" t="e">
        <f t="shared" si="81"/>
        <v>#REF!</v>
      </c>
      <c r="AV61" s="70" t="e">
        <f t="shared" si="81"/>
        <v>#REF!</v>
      </c>
      <c r="AW61" s="70" t="e">
        <f t="shared" si="81"/>
        <v>#REF!</v>
      </c>
      <c r="AX61" s="70" t="e">
        <f t="shared" si="81"/>
        <v>#REF!</v>
      </c>
      <c r="AY61" s="70" t="e">
        <f t="shared" si="81"/>
        <v>#REF!</v>
      </c>
      <c r="AZ61" s="70" t="e">
        <f t="shared" si="81"/>
        <v>#REF!</v>
      </c>
      <c r="BA61" s="70" t="e">
        <f t="shared" si="81"/>
        <v>#REF!</v>
      </c>
    </row>
    <row r="62" spans="27:53" hidden="1">
      <c r="AA62" s="71" t="s">
        <v>29</v>
      </c>
      <c r="AB62" s="35"/>
      <c r="AF62" s="70" t="e">
        <f t="shared" ref="AF62:AO62" si="82">AF25+AF27+AF29+AF30+AF33</f>
        <v>#REF!</v>
      </c>
      <c r="AG62" s="70" t="e">
        <f t="shared" si="82"/>
        <v>#REF!</v>
      </c>
      <c r="AH62" s="70" t="e">
        <f t="shared" si="82"/>
        <v>#REF!</v>
      </c>
      <c r="AI62" s="70" t="e">
        <f t="shared" si="82"/>
        <v>#REF!</v>
      </c>
      <c r="AJ62" s="70" t="e">
        <f t="shared" si="82"/>
        <v>#REF!</v>
      </c>
      <c r="AK62" s="70" t="e">
        <f t="shared" si="82"/>
        <v>#REF!</v>
      </c>
      <c r="AL62" s="70" t="e">
        <f t="shared" si="82"/>
        <v>#REF!</v>
      </c>
      <c r="AM62" s="70" t="e">
        <f t="shared" si="82"/>
        <v>#REF!</v>
      </c>
      <c r="AN62" s="70" t="e">
        <f t="shared" si="82"/>
        <v>#REF!</v>
      </c>
      <c r="AO62" s="70" t="e">
        <f t="shared" si="82"/>
        <v>#REF!</v>
      </c>
      <c r="AP62" s="70"/>
      <c r="AQ62" s="70"/>
      <c r="AR62" s="70" t="e">
        <f t="shared" ref="AR62:BA62" si="83">AR25+AR27+AR29+AR30+AR33</f>
        <v>#REF!</v>
      </c>
      <c r="AS62" s="70" t="e">
        <f t="shared" si="83"/>
        <v>#REF!</v>
      </c>
      <c r="AT62" s="70" t="e">
        <f t="shared" si="83"/>
        <v>#REF!</v>
      </c>
      <c r="AU62" s="70" t="e">
        <f t="shared" si="83"/>
        <v>#REF!</v>
      </c>
      <c r="AV62" s="70" t="e">
        <f t="shared" si="83"/>
        <v>#REF!</v>
      </c>
      <c r="AW62" s="70" t="e">
        <f t="shared" si="83"/>
        <v>#REF!</v>
      </c>
      <c r="AX62" s="70" t="e">
        <f t="shared" si="83"/>
        <v>#REF!</v>
      </c>
      <c r="AY62" s="70" t="e">
        <f t="shared" si="83"/>
        <v>#REF!</v>
      </c>
      <c r="AZ62" s="70" t="e">
        <f t="shared" si="83"/>
        <v>#REF!</v>
      </c>
      <c r="BA62" s="70" t="e">
        <f t="shared" si="83"/>
        <v>#REF!</v>
      </c>
    </row>
    <row r="63" spans="27:53" hidden="1">
      <c r="AA63" s="71" t="s">
        <v>41</v>
      </c>
      <c r="AB63" s="35"/>
      <c r="AF63" s="70" t="e">
        <f t="shared" ref="AF63:AO63" si="84">AF36+AF38+AF40+AF41+AF44</f>
        <v>#REF!</v>
      </c>
      <c r="AG63" s="70" t="e">
        <f t="shared" si="84"/>
        <v>#REF!</v>
      </c>
      <c r="AH63" s="70" t="e">
        <f t="shared" si="84"/>
        <v>#REF!</v>
      </c>
      <c r="AI63" s="70" t="e">
        <f t="shared" si="84"/>
        <v>#REF!</v>
      </c>
      <c r="AJ63" s="70" t="e">
        <f t="shared" si="84"/>
        <v>#REF!</v>
      </c>
      <c r="AK63" s="70" t="e">
        <f t="shared" si="84"/>
        <v>#REF!</v>
      </c>
      <c r="AL63" s="70" t="e">
        <f t="shared" si="84"/>
        <v>#REF!</v>
      </c>
      <c r="AM63" s="70" t="e">
        <f t="shared" si="84"/>
        <v>#REF!</v>
      </c>
      <c r="AN63" s="70" t="e">
        <f t="shared" si="84"/>
        <v>#REF!</v>
      </c>
      <c r="AO63" s="70" t="e">
        <f t="shared" si="84"/>
        <v>#REF!</v>
      </c>
      <c r="AP63" s="70"/>
      <c r="AQ63" s="70"/>
      <c r="AR63" s="70" t="e">
        <f t="shared" ref="AR63:BA63" si="85">AR36+AR38+AR40+AR41+AR44</f>
        <v>#REF!</v>
      </c>
      <c r="AS63" s="70" t="e">
        <f t="shared" si="85"/>
        <v>#REF!</v>
      </c>
      <c r="AT63" s="70" t="e">
        <f t="shared" si="85"/>
        <v>#REF!</v>
      </c>
      <c r="AU63" s="70" t="e">
        <f t="shared" si="85"/>
        <v>#REF!</v>
      </c>
      <c r="AV63" s="70" t="e">
        <f t="shared" si="85"/>
        <v>#REF!</v>
      </c>
      <c r="AW63" s="70" t="e">
        <f t="shared" si="85"/>
        <v>#REF!</v>
      </c>
      <c r="AX63" s="70" t="e">
        <f t="shared" si="85"/>
        <v>#REF!</v>
      </c>
      <c r="AY63" s="70" t="e">
        <f t="shared" si="85"/>
        <v>#REF!</v>
      </c>
      <c r="AZ63" s="70" t="e">
        <f t="shared" si="85"/>
        <v>#REF!</v>
      </c>
      <c r="BA63" s="70" t="e">
        <f t="shared" si="85"/>
        <v>#REF!</v>
      </c>
    </row>
    <row r="64" spans="27:53" hidden="1">
      <c r="AA64" s="71" t="s">
        <v>42</v>
      </c>
      <c r="AB64" s="35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27:53" hidden="1">
      <c r="AA65" s="69" t="s">
        <v>48</v>
      </c>
      <c r="AB65" s="35"/>
      <c r="AF65" s="70" t="e">
        <f t="shared" ref="AF65:AO65" si="86">AF14+AF15+AF20</f>
        <v>#REF!</v>
      </c>
      <c r="AG65" s="70" t="e">
        <f t="shared" si="86"/>
        <v>#REF!</v>
      </c>
      <c r="AH65" s="70" t="e">
        <f t="shared" si="86"/>
        <v>#REF!</v>
      </c>
      <c r="AI65" s="70" t="e">
        <f t="shared" si="86"/>
        <v>#REF!</v>
      </c>
      <c r="AJ65" s="70" t="e">
        <f t="shared" si="86"/>
        <v>#REF!</v>
      </c>
      <c r="AK65" s="70" t="e">
        <f t="shared" si="86"/>
        <v>#REF!</v>
      </c>
      <c r="AL65" s="70" t="e">
        <f t="shared" si="86"/>
        <v>#REF!</v>
      </c>
      <c r="AM65" s="70" t="e">
        <f t="shared" si="86"/>
        <v>#REF!</v>
      </c>
      <c r="AN65" s="70" t="e">
        <f t="shared" si="86"/>
        <v>#REF!</v>
      </c>
      <c r="AO65" s="70" t="e">
        <f t="shared" si="86"/>
        <v>#REF!</v>
      </c>
      <c r="AP65" s="70"/>
      <c r="AQ65" s="70"/>
      <c r="AR65" s="70" t="e">
        <f t="shared" ref="AR65:BA65" si="87">AR14+AR15+AR20</f>
        <v>#REF!</v>
      </c>
      <c r="AS65" s="70" t="e">
        <f t="shared" si="87"/>
        <v>#REF!</v>
      </c>
      <c r="AT65" s="70" t="e">
        <f t="shared" si="87"/>
        <v>#REF!</v>
      </c>
      <c r="AU65" s="70" t="e">
        <f t="shared" si="87"/>
        <v>#REF!</v>
      </c>
      <c r="AV65" s="70" t="e">
        <f t="shared" si="87"/>
        <v>#REF!</v>
      </c>
      <c r="AW65" s="70" t="e">
        <f t="shared" si="87"/>
        <v>#REF!</v>
      </c>
      <c r="AX65" s="70" t="e">
        <f t="shared" si="87"/>
        <v>#REF!</v>
      </c>
      <c r="AY65" s="70" t="e">
        <f t="shared" si="87"/>
        <v>#REF!</v>
      </c>
      <c r="AZ65" s="70" t="e">
        <f t="shared" si="87"/>
        <v>#REF!</v>
      </c>
      <c r="BA65" s="70" t="e">
        <f t="shared" si="87"/>
        <v>#REF!</v>
      </c>
    </row>
    <row r="66" spans="27:53" hidden="1">
      <c r="AA66" s="71" t="s">
        <v>29</v>
      </c>
      <c r="AB66" s="35"/>
      <c r="AF66" s="70" t="e">
        <f t="shared" ref="AF66:AO66" si="88">AF25+AF26+AF31</f>
        <v>#REF!</v>
      </c>
      <c r="AG66" s="70" t="e">
        <f t="shared" si="88"/>
        <v>#REF!</v>
      </c>
      <c r="AH66" s="70" t="e">
        <f t="shared" si="88"/>
        <v>#REF!</v>
      </c>
      <c r="AI66" s="70" t="e">
        <f t="shared" si="88"/>
        <v>#REF!</v>
      </c>
      <c r="AJ66" s="70" t="e">
        <f t="shared" si="88"/>
        <v>#REF!</v>
      </c>
      <c r="AK66" s="70" t="e">
        <f t="shared" si="88"/>
        <v>#REF!</v>
      </c>
      <c r="AL66" s="70" t="e">
        <f t="shared" si="88"/>
        <v>#REF!</v>
      </c>
      <c r="AM66" s="70" t="e">
        <f t="shared" si="88"/>
        <v>#REF!</v>
      </c>
      <c r="AN66" s="70" t="e">
        <f t="shared" si="88"/>
        <v>#REF!</v>
      </c>
      <c r="AO66" s="70" t="e">
        <f t="shared" si="88"/>
        <v>#REF!</v>
      </c>
      <c r="AP66" s="70"/>
      <c r="AQ66" s="70"/>
      <c r="AR66" s="70" t="e">
        <f t="shared" ref="AR66:BA66" si="89">AR25+AR26+AR31</f>
        <v>#REF!</v>
      </c>
      <c r="AS66" s="70" t="e">
        <f t="shared" si="89"/>
        <v>#REF!</v>
      </c>
      <c r="AT66" s="70" t="e">
        <f t="shared" si="89"/>
        <v>#REF!</v>
      </c>
      <c r="AU66" s="70" t="e">
        <f t="shared" si="89"/>
        <v>#REF!</v>
      </c>
      <c r="AV66" s="70" t="e">
        <f t="shared" si="89"/>
        <v>#REF!</v>
      </c>
      <c r="AW66" s="70" t="e">
        <f t="shared" si="89"/>
        <v>#REF!</v>
      </c>
      <c r="AX66" s="70" t="e">
        <f t="shared" si="89"/>
        <v>#REF!</v>
      </c>
      <c r="AY66" s="70" t="e">
        <f t="shared" si="89"/>
        <v>#REF!</v>
      </c>
      <c r="AZ66" s="70" t="e">
        <f t="shared" si="89"/>
        <v>#REF!</v>
      </c>
      <c r="BA66" s="70" t="e">
        <f t="shared" si="89"/>
        <v>#REF!</v>
      </c>
    </row>
    <row r="67" spans="27:53" hidden="1">
      <c r="AA67" s="71" t="s">
        <v>41</v>
      </c>
      <c r="AB67" s="35"/>
      <c r="AF67" s="70" t="e">
        <f t="shared" ref="AF67:AO67" si="90">AF36+AF37+AF42</f>
        <v>#REF!</v>
      </c>
      <c r="AG67" s="70" t="e">
        <f t="shared" si="90"/>
        <v>#REF!</v>
      </c>
      <c r="AH67" s="70" t="e">
        <f t="shared" si="90"/>
        <v>#REF!</v>
      </c>
      <c r="AI67" s="70" t="e">
        <f t="shared" si="90"/>
        <v>#REF!</v>
      </c>
      <c r="AJ67" s="70" t="e">
        <f t="shared" si="90"/>
        <v>#REF!</v>
      </c>
      <c r="AK67" s="70" t="e">
        <f t="shared" si="90"/>
        <v>#REF!</v>
      </c>
      <c r="AL67" s="70" t="e">
        <f t="shared" si="90"/>
        <v>#REF!</v>
      </c>
      <c r="AM67" s="70" t="e">
        <f t="shared" si="90"/>
        <v>#REF!</v>
      </c>
      <c r="AN67" s="70" t="e">
        <f t="shared" si="90"/>
        <v>#REF!</v>
      </c>
      <c r="AO67" s="70" t="e">
        <f t="shared" si="90"/>
        <v>#REF!</v>
      </c>
      <c r="AP67" s="70"/>
      <c r="AQ67" s="70"/>
      <c r="AR67" s="70" t="e">
        <f t="shared" ref="AR67:BA67" si="91">AR36+AR37+AR42</f>
        <v>#REF!</v>
      </c>
      <c r="AS67" s="70" t="e">
        <f t="shared" si="91"/>
        <v>#REF!</v>
      </c>
      <c r="AT67" s="70" t="e">
        <f t="shared" si="91"/>
        <v>#REF!</v>
      </c>
      <c r="AU67" s="70" t="e">
        <f t="shared" si="91"/>
        <v>#REF!</v>
      </c>
      <c r="AV67" s="70" t="e">
        <f t="shared" si="91"/>
        <v>#REF!</v>
      </c>
      <c r="AW67" s="70" t="e">
        <f t="shared" si="91"/>
        <v>#REF!</v>
      </c>
      <c r="AX67" s="70" t="e">
        <f t="shared" si="91"/>
        <v>#REF!</v>
      </c>
      <c r="AY67" s="70" t="e">
        <f t="shared" si="91"/>
        <v>#REF!</v>
      </c>
      <c r="AZ67" s="70" t="e">
        <f t="shared" si="91"/>
        <v>#REF!</v>
      </c>
      <c r="BA67" s="70" t="e">
        <f t="shared" si="91"/>
        <v>#REF!</v>
      </c>
    </row>
    <row r="68" spans="27:53" hidden="1">
      <c r="AA68" s="71" t="s">
        <v>42</v>
      </c>
      <c r="AB68" s="35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27:53" hidden="1">
      <c r="AA69" s="72" t="s">
        <v>49</v>
      </c>
      <c r="AB69" s="35"/>
      <c r="AF69" s="70" t="e">
        <f t="shared" ref="AF69:AO69" si="92">AF14+AF15+AF19+AF21</f>
        <v>#REF!</v>
      </c>
      <c r="AG69" s="70" t="e">
        <f t="shared" si="92"/>
        <v>#REF!</v>
      </c>
      <c r="AH69" s="70" t="e">
        <f t="shared" si="92"/>
        <v>#REF!</v>
      </c>
      <c r="AI69" s="70" t="e">
        <f t="shared" si="92"/>
        <v>#REF!</v>
      </c>
      <c r="AJ69" s="70" t="e">
        <f t="shared" si="92"/>
        <v>#REF!</v>
      </c>
      <c r="AK69" s="70" t="e">
        <f t="shared" si="92"/>
        <v>#REF!</v>
      </c>
      <c r="AL69" s="70" t="e">
        <f t="shared" si="92"/>
        <v>#REF!</v>
      </c>
      <c r="AM69" s="70" t="e">
        <f t="shared" si="92"/>
        <v>#REF!</v>
      </c>
      <c r="AN69" s="70" t="e">
        <f t="shared" si="92"/>
        <v>#REF!</v>
      </c>
      <c r="AO69" s="70" t="e">
        <f t="shared" si="92"/>
        <v>#REF!</v>
      </c>
      <c r="AP69" s="70"/>
      <c r="AQ69" s="70"/>
      <c r="AR69" s="70" t="e">
        <f t="shared" ref="AR69:BA69" si="93">AR14+AR15+AR19+AR21</f>
        <v>#REF!</v>
      </c>
      <c r="AS69" s="70" t="e">
        <f t="shared" si="93"/>
        <v>#REF!</v>
      </c>
      <c r="AT69" s="70" t="e">
        <f t="shared" si="93"/>
        <v>#REF!</v>
      </c>
      <c r="AU69" s="70" t="e">
        <f t="shared" si="93"/>
        <v>#REF!</v>
      </c>
      <c r="AV69" s="70" t="e">
        <f t="shared" si="93"/>
        <v>#REF!</v>
      </c>
      <c r="AW69" s="70" t="e">
        <f t="shared" si="93"/>
        <v>#REF!</v>
      </c>
      <c r="AX69" s="70" t="e">
        <f t="shared" si="93"/>
        <v>#REF!</v>
      </c>
      <c r="AY69" s="70" t="e">
        <f t="shared" si="93"/>
        <v>#REF!</v>
      </c>
      <c r="AZ69" s="70" t="e">
        <f t="shared" si="93"/>
        <v>#REF!</v>
      </c>
      <c r="BA69" s="70" t="e">
        <f t="shared" si="93"/>
        <v>#REF!</v>
      </c>
    </row>
    <row r="70" spans="27:53" hidden="1">
      <c r="AA70" s="71" t="s">
        <v>29</v>
      </c>
      <c r="AB70" s="35"/>
      <c r="AF70" s="70" t="e">
        <f t="shared" ref="AF70:AO70" si="94">AF25+AF26+AF30+AF32</f>
        <v>#REF!</v>
      </c>
      <c r="AG70" s="70" t="e">
        <f t="shared" si="94"/>
        <v>#REF!</v>
      </c>
      <c r="AH70" s="70" t="e">
        <f t="shared" si="94"/>
        <v>#REF!</v>
      </c>
      <c r="AI70" s="70" t="e">
        <f t="shared" si="94"/>
        <v>#REF!</v>
      </c>
      <c r="AJ70" s="70" t="e">
        <f t="shared" si="94"/>
        <v>#REF!</v>
      </c>
      <c r="AK70" s="70" t="e">
        <f t="shared" si="94"/>
        <v>#REF!</v>
      </c>
      <c r="AL70" s="70" t="e">
        <f t="shared" si="94"/>
        <v>#REF!</v>
      </c>
      <c r="AM70" s="70" t="e">
        <f t="shared" si="94"/>
        <v>#REF!</v>
      </c>
      <c r="AN70" s="70" t="e">
        <f t="shared" si="94"/>
        <v>#REF!</v>
      </c>
      <c r="AO70" s="70" t="e">
        <f t="shared" si="94"/>
        <v>#REF!</v>
      </c>
      <c r="AP70" s="70"/>
      <c r="AQ70" s="70"/>
      <c r="AR70" s="70" t="e">
        <f t="shared" ref="AR70:BA70" si="95">AR25+AR26+AR30+AR32</f>
        <v>#REF!</v>
      </c>
      <c r="AS70" s="70" t="e">
        <f t="shared" si="95"/>
        <v>#REF!</v>
      </c>
      <c r="AT70" s="70" t="e">
        <f t="shared" si="95"/>
        <v>#REF!</v>
      </c>
      <c r="AU70" s="70" t="e">
        <f t="shared" si="95"/>
        <v>#REF!</v>
      </c>
      <c r="AV70" s="70" t="e">
        <f t="shared" si="95"/>
        <v>#REF!</v>
      </c>
      <c r="AW70" s="70" t="e">
        <f t="shared" si="95"/>
        <v>#REF!</v>
      </c>
      <c r="AX70" s="70" t="e">
        <f t="shared" si="95"/>
        <v>#REF!</v>
      </c>
      <c r="AY70" s="70" t="e">
        <f t="shared" si="95"/>
        <v>#REF!</v>
      </c>
      <c r="AZ70" s="70" t="e">
        <f t="shared" si="95"/>
        <v>#REF!</v>
      </c>
      <c r="BA70" s="70" t="e">
        <f t="shared" si="95"/>
        <v>#REF!</v>
      </c>
    </row>
    <row r="71" spans="27:53" hidden="1">
      <c r="AA71" s="71" t="s">
        <v>41</v>
      </c>
      <c r="AB71" s="35"/>
      <c r="AF71" s="70" t="e">
        <f t="shared" ref="AF71:AO71" si="96">AF36+AF37+AF41+AF43</f>
        <v>#REF!</v>
      </c>
      <c r="AG71" s="70" t="e">
        <f t="shared" si="96"/>
        <v>#REF!</v>
      </c>
      <c r="AH71" s="70" t="e">
        <f t="shared" si="96"/>
        <v>#REF!</v>
      </c>
      <c r="AI71" s="70" t="e">
        <f t="shared" si="96"/>
        <v>#REF!</v>
      </c>
      <c r="AJ71" s="70" t="e">
        <f t="shared" si="96"/>
        <v>#REF!</v>
      </c>
      <c r="AK71" s="70" t="e">
        <f t="shared" si="96"/>
        <v>#REF!</v>
      </c>
      <c r="AL71" s="70" t="e">
        <f t="shared" si="96"/>
        <v>#REF!</v>
      </c>
      <c r="AM71" s="70" t="e">
        <f t="shared" si="96"/>
        <v>#REF!</v>
      </c>
      <c r="AN71" s="70" t="e">
        <f t="shared" si="96"/>
        <v>#REF!</v>
      </c>
      <c r="AO71" s="70" t="e">
        <f t="shared" si="96"/>
        <v>#REF!</v>
      </c>
      <c r="AP71" s="70"/>
      <c r="AQ71" s="70"/>
      <c r="AR71" s="70" t="e">
        <f t="shared" ref="AR71:BA71" si="97">AR36+AR37+AR41+AR43</f>
        <v>#REF!</v>
      </c>
      <c r="AS71" s="70" t="e">
        <f t="shared" si="97"/>
        <v>#REF!</v>
      </c>
      <c r="AT71" s="70" t="e">
        <f t="shared" si="97"/>
        <v>#REF!</v>
      </c>
      <c r="AU71" s="70" t="e">
        <f t="shared" si="97"/>
        <v>#REF!</v>
      </c>
      <c r="AV71" s="70" t="e">
        <f t="shared" si="97"/>
        <v>#REF!</v>
      </c>
      <c r="AW71" s="70" t="e">
        <f t="shared" si="97"/>
        <v>#REF!</v>
      </c>
      <c r="AX71" s="70" t="e">
        <f t="shared" si="97"/>
        <v>#REF!</v>
      </c>
      <c r="AY71" s="70" t="e">
        <f t="shared" si="97"/>
        <v>#REF!</v>
      </c>
      <c r="AZ71" s="70" t="e">
        <f t="shared" si="97"/>
        <v>#REF!</v>
      </c>
      <c r="BA71" s="70" t="e">
        <f t="shared" si="97"/>
        <v>#REF!</v>
      </c>
    </row>
    <row r="72" spans="27:53" hidden="1">
      <c r="AA72" s="71" t="s">
        <v>42</v>
      </c>
      <c r="AB72" s="35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</row>
    <row r="73" spans="27:53" hidden="1">
      <c r="AA73" s="69" t="s">
        <v>50</v>
      </c>
      <c r="AB73" s="35"/>
      <c r="AF73" s="70" t="e">
        <f t="shared" ref="AF73:AO73" si="98">AF14+AF15+AF19+AF22</f>
        <v>#REF!</v>
      </c>
      <c r="AG73" s="70" t="e">
        <f t="shared" si="98"/>
        <v>#REF!</v>
      </c>
      <c r="AH73" s="70" t="e">
        <f t="shared" si="98"/>
        <v>#REF!</v>
      </c>
      <c r="AI73" s="70" t="e">
        <f t="shared" si="98"/>
        <v>#REF!</v>
      </c>
      <c r="AJ73" s="70" t="e">
        <f t="shared" si="98"/>
        <v>#REF!</v>
      </c>
      <c r="AK73" s="70" t="e">
        <f t="shared" si="98"/>
        <v>#REF!</v>
      </c>
      <c r="AL73" s="70" t="e">
        <f t="shared" si="98"/>
        <v>#REF!</v>
      </c>
      <c r="AM73" s="70" t="e">
        <f t="shared" si="98"/>
        <v>#REF!</v>
      </c>
      <c r="AN73" s="70" t="e">
        <f t="shared" si="98"/>
        <v>#REF!</v>
      </c>
      <c r="AO73" s="70" t="e">
        <f t="shared" si="98"/>
        <v>#REF!</v>
      </c>
      <c r="AP73" s="70"/>
      <c r="AQ73" s="70"/>
      <c r="AR73" s="70" t="e">
        <f t="shared" ref="AR73:BA73" si="99">AR14+AR15+AR19+AR22</f>
        <v>#REF!</v>
      </c>
      <c r="AS73" s="70" t="e">
        <f t="shared" si="99"/>
        <v>#REF!</v>
      </c>
      <c r="AT73" s="70" t="e">
        <f t="shared" si="99"/>
        <v>#REF!</v>
      </c>
      <c r="AU73" s="70" t="e">
        <f t="shared" si="99"/>
        <v>#REF!</v>
      </c>
      <c r="AV73" s="70" t="e">
        <f t="shared" si="99"/>
        <v>#REF!</v>
      </c>
      <c r="AW73" s="70" t="e">
        <f t="shared" si="99"/>
        <v>#REF!</v>
      </c>
      <c r="AX73" s="70" t="e">
        <f t="shared" si="99"/>
        <v>#REF!</v>
      </c>
      <c r="AY73" s="70" t="e">
        <f t="shared" si="99"/>
        <v>#REF!</v>
      </c>
      <c r="AZ73" s="70" t="e">
        <f t="shared" si="99"/>
        <v>#REF!</v>
      </c>
      <c r="BA73" s="70" t="e">
        <f t="shared" si="99"/>
        <v>#REF!</v>
      </c>
    </row>
    <row r="74" spans="27:53" hidden="1">
      <c r="AA74" s="71" t="s">
        <v>29</v>
      </c>
      <c r="AB74" s="35"/>
      <c r="AF74" s="70" t="e">
        <f t="shared" ref="AF74:AO74" si="100">AF25+AF26+AF30+AF33</f>
        <v>#REF!</v>
      </c>
      <c r="AG74" s="70" t="e">
        <f t="shared" si="100"/>
        <v>#REF!</v>
      </c>
      <c r="AH74" s="70" t="e">
        <f t="shared" si="100"/>
        <v>#REF!</v>
      </c>
      <c r="AI74" s="70" t="e">
        <f t="shared" si="100"/>
        <v>#REF!</v>
      </c>
      <c r="AJ74" s="70" t="e">
        <f t="shared" si="100"/>
        <v>#REF!</v>
      </c>
      <c r="AK74" s="70" t="e">
        <f t="shared" si="100"/>
        <v>#REF!</v>
      </c>
      <c r="AL74" s="70" t="e">
        <f t="shared" si="100"/>
        <v>#REF!</v>
      </c>
      <c r="AM74" s="70" t="e">
        <f t="shared" si="100"/>
        <v>#REF!</v>
      </c>
      <c r="AN74" s="70" t="e">
        <f t="shared" si="100"/>
        <v>#REF!</v>
      </c>
      <c r="AO74" s="70" t="e">
        <f t="shared" si="100"/>
        <v>#REF!</v>
      </c>
      <c r="AP74" s="70"/>
      <c r="AQ74" s="70"/>
      <c r="AR74" s="70" t="e">
        <f t="shared" ref="AR74:BA74" si="101">AR25+AR26+AR30+AR33</f>
        <v>#REF!</v>
      </c>
      <c r="AS74" s="70" t="e">
        <f t="shared" si="101"/>
        <v>#REF!</v>
      </c>
      <c r="AT74" s="70" t="e">
        <f t="shared" si="101"/>
        <v>#REF!</v>
      </c>
      <c r="AU74" s="70" t="e">
        <f t="shared" si="101"/>
        <v>#REF!</v>
      </c>
      <c r="AV74" s="70" t="e">
        <f t="shared" si="101"/>
        <v>#REF!</v>
      </c>
      <c r="AW74" s="70" t="e">
        <f t="shared" si="101"/>
        <v>#REF!</v>
      </c>
      <c r="AX74" s="70" t="e">
        <f t="shared" si="101"/>
        <v>#REF!</v>
      </c>
      <c r="AY74" s="70" t="e">
        <f t="shared" si="101"/>
        <v>#REF!</v>
      </c>
      <c r="AZ74" s="70" t="e">
        <f t="shared" si="101"/>
        <v>#REF!</v>
      </c>
      <c r="BA74" s="70" t="e">
        <f t="shared" si="101"/>
        <v>#REF!</v>
      </c>
    </row>
    <row r="75" spans="27:53" hidden="1">
      <c r="AA75" s="71" t="s">
        <v>41</v>
      </c>
      <c r="AB75" s="35"/>
      <c r="AF75" s="70" t="e">
        <f t="shared" ref="AF75:AO75" si="102">AF36+AF37+AF41+AF44</f>
        <v>#REF!</v>
      </c>
      <c r="AG75" s="70" t="e">
        <f t="shared" si="102"/>
        <v>#REF!</v>
      </c>
      <c r="AH75" s="70" t="e">
        <f t="shared" si="102"/>
        <v>#REF!</v>
      </c>
      <c r="AI75" s="70" t="e">
        <f t="shared" si="102"/>
        <v>#REF!</v>
      </c>
      <c r="AJ75" s="70" t="e">
        <f t="shared" si="102"/>
        <v>#REF!</v>
      </c>
      <c r="AK75" s="70" t="e">
        <f t="shared" si="102"/>
        <v>#REF!</v>
      </c>
      <c r="AL75" s="70" t="e">
        <f t="shared" si="102"/>
        <v>#REF!</v>
      </c>
      <c r="AM75" s="70" t="e">
        <f t="shared" si="102"/>
        <v>#REF!</v>
      </c>
      <c r="AN75" s="70" t="e">
        <f t="shared" si="102"/>
        <v>#REF!</v>
      </c>
      <c r="AO75" s="70" t="e">
        <f t="shared" si="102"/>
        <v>#REF!</v>
      </c>
      <c r="AP75" s="70"/>
      <c r="AQ75" s="70"/>
      <c r="AR75" s="70" t="e">
        <f t="shared" ref="AR75:BA75" si="103">AR36+AR37+AR41+AR44</f>
        <v>#REF!</v>
      </c>
      <c r="AS75" s="70" t="e">
        <f t="shared" si="103"/>
        <v>#REF!</v>
      </c>
      <c r="AT75" s="70" t="e">
        <f t="shared" si="103"/>
        <v>#REF!</v>
      </c>
      <c r="AU75" s="70" t="e">
        <f t="shared" si="103"/>
        <v>#REF!</v>
      </c>
      <c r="AV75" s="70" t="e">
        <f t="shared" si="103"/>
        <v>#REF!</v>
      </c>
      <c r="AW75" s="70" t="e">
        <f t="shared" si="103"/>
        <v>#REF!</v>
      </c>
      <c r="AX75" s="70" t="e">
        <f t="shared" si="103"/>
        <v>#REF!</v>
      </c>
      <c r="AY75" s="70" t="e">
        <f t="shared" si="103"/>
        <v>#REF!</v>
      </c>
      <c r="AZ75" s="70" t="e">
        <f t="shared" si="103"/>
        <v>#REF!</v>
      </c>
      <c r="BA75" s="70" t="e">
        <f t="shared" si="103"/>
        <v>#REF!</v>
      </c>
    </row>
    <row r="76" spans="27:53" hidden="1">
      <c r="AA76" s="71" t="s">
        <v>42</v>
      </c>
      <c r="AB76" s="35"/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6" spans="1:52">
      <c r="AN86" s="38"/>
      <c r="AZ86" s="36"/>
    </row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545" t="s">
        <v>55</v>
      </c>
      <c r="G88" s="545" t="s">
        <v>73</v>
      </c>
      <c r="H88" s="545" t="s">
        <v>74</v>
      </c>
      <c r="I88" s="545" t="s">
        <v>58</v>
      </c>
      <c r="J88" s="545" t="s">
        <v>59</v>
      </c>
      <c r="K88" s="545" t="s">
        <v>60</v>
      </c>
      <c r="L88" s="544" t="s">
        <v>75</v>
      </c>
      <c r="M88" s="544" t="s">
        <v>76</v>
      </c>
      <c r="N88" s="544" t="s">
        <v>61</v>
      </c>
      <c r="O88" s="544" t="s">
        <v>62</v>
      </c>
      <c r="P88" s="544" t="s">
        <v>63</v>
      </c>
      <c r="AN88" s="38"/>
      <c r="AZ88" s="36"/>
    </row>
    <row r="89" spans="1:52" ht="25.5">
      <c r="A89" s="44" t="str">
        <f t="shared" ref="A89:C90" si="104">A4</f>
        <v>Substation General Construction</v>
      </c>
      <c r="B89" s="45" t="str">
        <f t="shared" si="104"/>
        <v>Light-Duty Truck, catalyst</v>
      </c>
      <c r="C89" s="46">
        <f t="shared" si="104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" si="105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si="104"/>
        <v>Substation Below Grade</v>
      </c>
      <c r="B90" s="45" t="str">
        <f t="shared" si="104"/>
        <v>Light-Duty Truck, catalyst</v>
      </c>
      <c r="C90" s="46">
        <f t="shared" si="104"/>
        <v>12</v>
      </c>
      <c r="D90" s="46">
        <v>35</v>
      </c>
      <c r="E90" s="46">
        <v>80</v>
      </c>
      <c r="F90" s="50">
        <f>C5*($E5*$F5+($G5))/453.59</f>
        <v>5.8286326305710405</v>
      </c>
      <c r="G90" s="50">
        <f>C5*($E5*$H5+($I5))/453.59</f>
        <v>0.52404788753253606</v>
      </c>
      <c r="H90" s="50">
        <f>C5*(($E5*$J5)+($K5)+($L5)+($E5*$N5)+(($M5+$O5)))/453.59</f>
        <v>0.60599976388743992</v>
      </c>
      <c r="I90" s="50">
        <f>C5*($E5*$P5+($Q5))/453.59</f>
        <v>8.7215643259273903E-3</v>
      </c>
      <c r="J90" s="50">
        <f>C5*(($E5*($R5+$T5+$U5))+($S5))/453.59</f>
        <v>0.10228908546249475</v>
      </c>
      <c r="K90" s="50">
        <f>$C5*(($E5*($V5+$X5+$Y5))+($W5))/453.59</f>
        <v>4.4544063891037704E-2</v>
      </c>
      <c r="L90" s="50">
        <f>$B$22*C5*(E5+6)</f>
        <v>0.10126299103286279</v>
      </c>
      <c r="M90" s="50">
        <f t="shared" ref="M90" si="106">0.41*L90</f>
        <v>4.1517826323473742E-2</v>
      </c>
      <c r="N90" s="50">
        <f>C5*($E5*$Z5+($AA5))/453.59</f>
        <v>665.08292071246683</v>
      </c>
      <c r="O90" s="50">
        <f>C5*($E5*$AB5+($AC5))/453.59</f>
        <v>3.804570466836299E-2</v>
      </c>
      <c r="P90" s="50">
        <f>C5*($E5*$AD5+($AE5))/453.59</f>
        <v>6.9253438966120323E-2</v>
      </c>
      <c r="AN90" s="38"/>
      <c r="AZ90" s="36"/>
    </row>
    <row r="91" spans="1:52">
      <c r="A91" s="61" t="s">
        <v>389</v>
      </c>
      <c r="B91" s="40"/>
      <c r="C91" s="40"/>
      <c r="D91" s="40"/>
      <c r="E91" s="40"/>
      <c r="F91" s="81">
        <f t="shared" ref="F91:P91" si="107">SUM(F89:F90)</f>
        <v>7.2857907882138004</v>
      </c>
      <c r="G91" s="81">
        <f t="shared" si="107"/>
        <v>0.65505985941567002</v>
      </c>
      <c r="H91" s="81">
        <f t="shared" si="107"/>
        <v>0.75749970485929996</v>
      </c>
      <c r="I91" s="81">
        <f t="shared" si="107"/>
        <v>1.0901955407409238E-2</v>
      </c>
      <c r="J91" s="81">
        <f t="shared" si="107"/>
        <v>0.12786135682811844</v>
      </c>
      <c r="K91" s="81">
        <f t="shared" si="107"/>
        <v>5.5680079863797131E-2</v>
      </c>
      <c r="L91" s="81">
        <f t="shared" si="107"/>
        <v>0.1265787387910785</v>
      </c>
      <c r="M91" s="81">
        <f t="shared" si="107"/>
        <v>5.1897282904342174E-2</v>
      </c>
      <c r="N91" s="81">
        <f t="shared" si="107"/>
        <v>831.35365089058359</v>
      </c>
      <c r="O91" s="81">
        <f t="shared" si="107"/>
        <v>4.7557130835453737E-2</v>
      </c>
      <c r="P91" s="81">
        <f t="shared" si="107"/>
        <v>8.6566798707650411E-2</v>
      </c>
    </row>
  </sheetData>
  <mergeCells count="16">
    <mergeCell ref="AR11:BA11"/>
    <mergeCell ref="A87:A88"/>
    <mergeCell ref="B87:B88"/>
    <mergeCell ref="F87:P87"/>
    <mergeCell ref="R2:U2"/>
    <mergeCell ref="V2:Y2"/>
    <mergeCell ref="Z2:AA2"/>
    <mergeCell ref="AB2:AC2"/>
    <mergeCell ref="AD2:AE2"/>
    <mergeCell ref="AF11:AO11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9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606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398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100" t="s">
        <v>125</v>
      </c>
      <c r="B14" s="97" t="s">
        <v>27</v>
      </c>
      <c r="C14" s="22">
        <v>87</v>
      </c>
      <c r="D14" s="22">
        <v>0.37</v>
      </c>
      <c r="E14" s="108">
        <v>5.2437519504869065E-2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0.26257275132275132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0.33506412037037031</v>
      </c>
      <c r="H14" s="108">
        <v>6.0679618797898508E-4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2.1289682539682539E-2</v>
      </c>
      <c r="J14" s="100">
        <f t="shared" ref="J14:J17" si="4">0.89*I14</f>
        <v>1.894781746031746E-2</v>
      </c>
      <c r="K14" s="108">
        <v>51.728016924248784</v>
      </c>
      <c r="L14" s="108">
        <v>5.2037096026823848E-3</v>
      </c>
      <c r="M14" s="102">
        <f t="shared" ref="M14:M17" si="5">0.095*G14</f>
        <v>3.1831091435185178E-2</v>
      </c>
      <c r="N14" s="88">
        <v>1</v>
      </c>
      <c r="O14" s="88">
        <v>6</v>
      </c>
      <c r="P14" s="367">
        <v>15</v>
      </c>
      <c r="Q14" s="26">
        <f t="shared" ref="Q14:Y17" si="6">(E14*$N14*$O14)</f>
        <v>0.31462511702921436</v>
      </c>
      <c r="R14" s="26">
        <f t="shared" si="6"/>
        <v>1.5754365079365078</v>
      </c>
      <c r="S14" s="26">
        <f t="shared" si="6"/>
        <v>2.0103847222222218</v>
      </c>
      <c r="T14" s="26">
        <f t="shared" si="6"/>
        <v>3.6407771278739107E-3</v>
      </c>
      <c r="U14" s="26">
        <f t="shared" si="6"/>
        <v>0.12773809523809523</v>
      </c>
      <c r="V14" s="26">
        <f t="shared" si="6"/>
        <v>0.11368690476190477</v>
      </c>
      <c r="W14" s="26">
        <f t="shared" si="6"/>
        <v>310.36810154549272</v>
      </c>
      <c r="X14" s="26">
        <f t="shared" si="6"/>
        <v>3.1222257616094311E-2</v>
      </c>
      <c r="Y14" s="26">
        <f t="shared" si="6"/>
        <v>0.19098654861111108</v>
      </c>
    </row>
    <row r="15" spans="1:25" s="3" customFormat="1">
      <c r="A15" s="100" t="s">
        <v>287</v>
      </c>
      <c r="B15" s="97" t="s">
        <v>27</v>
      </c>
      <c r="C15" s="97">
        <v>37</v>
      </c>
      <c r="D15" s="22">
        <v>0.37</v>
      </c>
      <c r="E15" s="102">
        <v>3.2313389441625637E-2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0.12374118165784832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0.16056172839506169</v>
      </c>
      <c r="H15" s="102">
        <v>3.2989906092678058E-4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1.3581349206349205E-2</v>
      </c>
      <c r="J15" s="100">
        <f t="shared" si="4"/>
        <v>1.2087400793650793E-2</v>
      </c>
      <c r="K15" s="103">
        <v>25.519156990664225</v>
      </c>
      <c r="L15" s="102">
        <v>3.413848047070189E-3</v>
      </c>
      <c r="M15" s="104">
        <f t="shared" si="5"/>
        <v>1.5253364197530862E-2</v>
      </c>
      <c r="N15" s="88">
        <v>1</v>
      </c>
      <c r="O15" s="88">
        <v>1</v>
      </c>
      <c r="P15" s="367">
        <v>75</v>
      </c>
      <c r="Q15" s="26">
        <f t="shared" si="6"/>
        <v>3.2313389441625637E-2</v>
      </c>
      <c r="R15" s="26">
        <f t="shared" si="6"/>
        <v>0.12374118165784832</v>
      </c>
      <c r="S15" s="26">
        <f t="shared" si="6"/>
        <v>0.16056172839506169</v>
      </c>
      <c r="T15" s="26">
        <f t="shared" si="6"/>
        <v>3.2989906092678058E-4</v>
      </c>
      <c r="U15" s="26">
        <f t="shared" si="6"/>
        <v>1.3581349206349205E-2</v>
      </c>
      <c r="V15" s="26">
        <f t="shared" si="6"/>
        <v>1.2087400793650793E-2</v>
      </c>
      <c r="W15" s="26">
        <f t="shared" si="6"/>
        <v>25.519156990664225</v>
      </c>
      <c r="X15" s="26">
        <f t="shared" si="6"/>
        <v>3.413848047070189E-3</v>
      </c>
      <c r="Y15" s="26">
        <f t="shared" si="6"/>
        <v>1.5253364197530862E-2</v>
      </c>
    </row>
    <row r="16" spans="1:25" s="3" customFormat="1">
      <c r="A16" s="100" t="s">
        <v>292</v>
      </c>
      <c r="B16" s="22" t="s">
        <v>27</v>
      </c>
      <c r="C16" s="97">
        <v>69</v>
      </c>
      <c r="D16" s="22">
        <v>0.5</v>
      </c>
      <c r="E16" s="102">
        <v>0.10796897189848784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0.2814153439153439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0.40462962962962956</v>
      </c>
      <c r="H16" s="102">
        <v>7.6125329247041284E-4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2.2817460317460316E-2</v>
      </c>
      <c r="J16" s="100">
        <f t="shared" si="4"/>
        <v>2.030753968253968E-2</v>
      </c>
      <c r="K16" s="103">
        <v>64.895144949977833</v>
      </c>
      <c r="L16" s="102">
        <v>1.0324742188913067E-2</v>
      </c>
      <c r="M16" s="104">
        <f t="shared" si="5"/>
        <v>3.8439814814814809E-2</v>
      </c>
      <c r="N16" s="87">
        <v>1</v>
      </c>
      <c r="O16" s="87">
        <v>6</v>
      </c>
      <c r="P16" s="88">
        <f>8*22</f>
        <v>176</v>
      </c>
      <c r="Q16" s="34">
        <f t="shared" si="6"/>
        <v>0.64781383139092696</v>
      </c>
      <c r="R16" s="26">
        <f t="shared" si="6"/>
        <v>1.6884920634920633</v>
      </c>
      <c r="S16" s="26">
        <f t="shared" si="6"/>
        <v>2.4277777777777771</v>
      </c>
      <c r="T16" s="26">
        <f t="shared" si="6"/>
        <v>4.567519754822477E-3</v>
      </c>
      <c r="U16" s="26">
        <f t="shared" si="6"/>
        <v>0.13690476190476189</v>
      </c>
      <c r="V16" s="26">
        <f t="shared" si="6"/>
        <v>0.12184523809523809</v>
      </c>
      <c r="W16" s="26">
        <f t="shared" si="6"/>
        <v>389.370869699867</v>
      </c>
      <c r="X16" s="26">
        <f t="shared" si="6"/>
        <v>6.1948453133478402E-2</v>
      </c>
      <c r="Y16" s="26">
        <f t="shared" si="6"/>
        <v>0.23063888888888884</v>
      </c>
    </row>
    <row r="17" spans="1:25" s="3" customFormat="1">
      <c r="A17" s="100" t="s">
        <v>126</v>
      </c>
      <c r="B17" s="22" t="s">
        <v>27</v>
      </c>
      <c r="C17" s="22">
        <v>175</v>
      </c>
      <c r="D17" s="22"/>
      <c r="E17" s="102">
        <v>0.11792220738547983</v>
      </c>
      <c r="F17" s="102">
        <v>0.36512193352152528</v>
      </c>
      <c r="G17" s="102">
        <v>0.86781464282266541</v>
      </c>
      <c r="H17" s="102">
        <v>1.8739217498104396E-3</v>
      </c>
      <c r="I17" s="102">
        <v>2.9041712295589866E-2</v>
      </c>
      <c r="J17" s="100">
        <f t="shared" si="4"/>
        <v>2.5847123943074982E-2</v>
      </c>
      <c r="K17" s="103">
        <v>166.54541562452522</v>
      </c>
      <c r="L17" s="102">
        <v>1.063993297769634E-2</v>
      </c>
      <c r="M17" s="104">
        <f t="shared" si="5"/>
        <v>8.2442391068153209E-2</v>
      </c>
      <c r="N17" s="88">
        <v>1</v>
      </c>
      <c r="O17" s="88">
        <v>3</v>
      </c>
      <c r="P17" s="367">
        <v>40</v>
      </c>
      <c r="Q17" s="26">
        <f t="shared" si="6"/>
        <v>0.3537666221564395</v>
      </c>
      <c r="R17" s="26">
        <f t="shared" si="6"/>
        <v>1.0953658005645759</v>
      </c>
      <c r="S17" s="26">
        <f t="shared" si="6"/>
        <v>2.6034439284679962</v>
      </c>
      <c r="T17" s="26">
        <f t="shared" si="6"/>
        <v>5.6217652494313184E-3</v>
      </c>
      <c r="U17" s="26">
        <f t="shared" si="6"/>
        <v>8.7125136886769594E-2</v>
      </c>
      <c r="V17" s="26">
        <f t="shared" si="6"/>
        <v>7.754137182922495E-2</v>
      </c>
      <c r="W17" s="26">
        <f t="shared" si="6"/>
        <v>499.63624687357566</v>
      </c>
      <c r="X17" s="26">
        <f t="shared" si="6"/>
        <v>3.1919798933089022E-2</v>
      </c>
      <c r="Y17" s="26">
        <f t="shared" si="6"/>
        <v>0.24732717320445963</v>
      </c>
    </row>
    <row r="18" spans="1:25" s="3" customFormat="1">
      <c r="A18" s="17" t="s">
        <v>28</v>
      </c>
      <c r="B18" s="97"/>
      <c r="C18" s="22"/>
      <c r="D18" s="22"/>
      <c r="E18" s="23"/>
      <c r="F18" s="23"/>
      <c r="G18" s="23"/>
      <c r="H18" s="23"/>
      <c r="I18" s="23"/>
      <c r="J18" s="24"/>
      <c r="K18" s="25"/>
      <c r="L18" s="23"/>
      <c r="M18" s="23"/>
      <c r="N18" s="88"/>
      <c r="O18" s="88"/>
      <c r="P18" s="88"/>
      <c r="Q18" s="27">
        <f t="shared" ref="Q18:Y18" si="7">SUM(Q14:Q17)</f>
        <v>1.3485189600182066</v>
      </c>
      <c r="R18" s="27">
        <f t="shared" si="7"/>
        <v>4.4830355536509954</v>
      </c>
      <c r="S18" s="27">
        <f t="shared" si="7"/>
        <v>7.2021681568630562</v>
      </c>
      <c r="T18" s="27">
        <f t="shared" si="7"/>
        <v>1.4159961193054486E-2</v>
      </c>
      <c r="U18" s="27">
        <f t="shared" si="7"/>
        <v>0.3653493432359759</v>
      </c>
      <c r="V18" s="27">
        <f t="shared" si="7"/>
        <v>0.32516091548001858</v>
      </c>
      <c r="W18" s="27">
        <f t="shared" si="7"/>
        <v>1224.8943751095997</v>
      </c>
      <c r="X18" s="27">
        <f t="shared" si="7"/>
        <v>0.12850435772973193</v>
      </c>
      <c r="Y18" s="27">
        <f t="shared" si="7"/>
        <v>0.68420597490199042</v>
      </c>
    </row>
    <row r="19" spans="1:25">
      <c r="A19" s="17" t="s">
        <v>387</v>
      </c>
      <c r="B19" s="549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30"/>
      <c r="O19" s="30"/>
      <c r="P19" s="364"/>
      <c r="Q19" s="20">
        <f>Q11+Q18</f>
        <v>2.0630960831098037</v>
      </c>
      <c r="R19" s="20">
        <f t="shared" ref="R19:Y19" si="8">R11+R18</f>
        <v>7.437194764609389</v>
      </c>
      <c r="S19" s="20">
        <f t="shared" si="8"/>
        <v>11.623224603002214</v>
      </c>
      <c r="T19" s="20">
        <f t="shared" si="8"/>
        <v>2.2483027429132364E-2</v>
      </c>
      <c r="U19" s="20">
        <f t="shared" si="8"/>
        <v>0.6111576355520234</v>
      </c>
      <c r="V19" s="20">
        <f t="shared" si="8"/>
        <v>0.5439302956413008</v>
      </c>
      <c r="W19" s="20">
        <f t="shared" si="8"/>
        <v>1921.3478675946278</v>
      </c>
      <c r="X19" s="20">
        <f t="shared" si="8"/>
        <v>0.20104416392030167</v>
      </c>
      <c r="Y19" s="20">
        <f t="shared" si="8"/>
        <v>1.1042063372852104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0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607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315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C9*(F9)*$B$66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C10*(F10)*$B$66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334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C14*(F14)*$B$168</f>
        <v>0</v>
      </c>
      <c r="AA14" s="50">
        <f>Z14*0.21</f>
        <v>0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0.19978255106729004</v>
      </c>
      <c r="U15" s="81">
        <f t="shared" si="1"/>
        <v>0.36881875565943734</v>
      </c>
      <c r="V15" s="81">
        <f t="shared" si="1"/>
        <v>4.50613455258927E-2</v>
      </c>
      <c r="W15" s="81">
        <f t="shared" si="1"/>
        <v>2.7797226812149543E-3</v>
      </c>
      <c r="X15" s="81">
        <f t="shared" si="1"/>
        <v>7.2738929740302244E-2</v>
      </c>
      <c r="Y15" s="81">
        <f t="shared" si="1"/>
        <v>4.8332197965954803E-2</v>
      </c>
      <c r="Z15" s="81">
        <f t="shared" si="1"/>
        <v>0</v>
      </c>
      <c r="AA15" s="81">
        <f t="shared" si="1"/>
        <v>0</v>
      </c>
      <c r="AB15" s="81">
        <f t="shared" si="1"/>
        <v>193.62821118051326</v>
      </c>
      <c r="AC15" s="81">
        <f t="shared" si="1"/>
        <v>1.1064496871488068E-2</v>
      </c>
      <c r="AD15" s="81">
        <f t="shared" si="1"/>
        <v>4.9599802576000274E-3</v>
      </c>
    </row>
    <row r="16" spans="1:30">
      <c r="A16" s="75" t="s">
        <v>388</v>
      </c>
      <c r="B16" s="74"/>
      <c r="C16" s="112"/>
      <c r="D16" s="112"/>
      <c r="E16" s="74"/>
      <c r="F16" s="74"/>
      <c r="G16" s="547"/>
      <c r="H16" s="41"/>
      <c r="I16" s="41"/>
      <c r="J16" s="41"/>
      <c r="K16" s="544"/>
      <c r="L16" s="544"/>
      <c r="M16" s="544"/>
      <c r="N16" s="544"/>
      <c r="O16" s="544"/>
      <c r="P16" s="544"/>
      <c r="Q16" s="41"/>
      <c r="R16" s="544"/>
      <c r="S16" s="544"/>
      <c r="T16" s="81">
        <f>T11+T15</f>
        <v>0.49061979389018751</v>
      </c>
      <c r="U16" s="81">
        <f t="shared" ref="U16:AD16" si="2">U11+U15</f>
        <v>1.4300149922750218</v>
      </c>
      <c r="V16" s="81">
        <f t="shared" si="2"/>
        <v>0.11388583001311323</v>
      </c>
      <c r="W16" s="81">
        <f t="shared" si="2"/>
        <v>6.0588351957901118E-3</v>
      </c>
      <c r="X16" s="81">
        <f t="shared" si="2"/>
        <v>0.13898901638518027</v>
      </c>
      <c r="Y16" s="81">
        <f t="shared" si="2"/>
        <v>9.4510281595063333E-2</v>
      </c>
      <c r="Z16" s="81">
        <f t="shared" si="2"/>
        <v>0</v>
      </c>
      <c r="AA16" s="81">
        <f t="shared" si="2"/>
        <v>0</v>
      </c>
      <c r="AB16" s="81">
        <f t="shared" si="2"/>
        <v>592.16432649433523</v>
      </c>
      <c r="AC16" s="81">
        <f t="shared" si="2"/>
        <v>1.9283796835273176E-2</v>
      </c>
      <c r="AD16" s="81">
        <f t="shared" si="2"/>
        <v>1.5168881387478891E-2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368" spans="1:1" ht="25.5">
      <c r="A368" s="82" t="s">
        <v>109</v>
      </c>
    </row>
    <row r="370" spans="1:2">
      <c r="A370" s="36" t="s">
        <v>81</v>
      </c>
    </row>
    <row r="371" spans="1:2">
      <c r="A371" s="36" t="s">
        <v>82</v>
      </c>
    </row>
    <row r="372" spans="1:2">
      <c r="A372" s="36" t="s">
        <v>83</v>
      </c>
    </row>
    <row r="373" spans="1:2">
      <c r="A373" s="37" t="s">
        <v>96</v>
      </c>
    </row>
    <row r="374" spans="1:2">
      <c r="A374" s="36" t="s">
        <v>85</v>
      </c>
    </row>
    <row r="375" spans="1:2">
      <c r="A375" s="36" t="s">
        <v>86</v>
      </c>
    </row>
    <row r="376" spans="1:2">
      <c r="A376" s="36" t="s">
        <v>87</v>
      </c>
    </row>
    <row r="377" spans="1:2">
      <c r="A377" s="36" t="s">
        <v>0</v>
      </c>
    </row>
    <row r="378" spans="1:2">
      <c r="A378" s="37" t="s">
        <v>97</v>
      </c>
      <c r="B378" s="36">
        <f>(0.016*(0.03/2)^0.65*(2/3)^1.5)-0.00047</f>
        <v>9.8123053326417428E-5</v>
      </c>
    </row>
    <row r="379" spans="1:2">
      <c r="A379" s="37" t="s">
        <v>98</v>
      </c>
      <c r="B379" s="36">
        <f>(0.016*(0.03/2)^0.65*(13/3)^1.5)-0.00047</f>
        <v>8.9448292388582783E-3</v>
      </c>
    </row>
    <row r="380" spans="1:2">
      <c r="A380" s="37" t="s">
        <v>99</v>
      </c>
      <c r="B38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5"/>
  <sheetViews>
    <sheetView zoomScale="85" zoomScaleNormal="85" workbookViewId="0">
      <selection activeCell="C100" sqref="C100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527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69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66" t="s">
        <v>69</v>
      </c>
      <c r="S3" s="42" t="s">
        <v>118</v>
      </c>
      <c r="T3" s="566" t="s">
        <v>71</v>
      </c>
      <c r="U3" s="566" t="s">
        <v>72</v>
      </c>
      <c r="V3" s="566" t="s">
        <v>69</v>
      </c>
      <c r="W3" s="42" t="s">
        <v>118</v>
      </c>
      <c r="X3" s="566" t="s">
        <v>71</v>
      </c>
      <c r="Y3" s="566" t="s">
        <v>72</v>
      </c>
      <c r="Z3" s="41" t="s">
        <v>69</v>
      </c>
      <c r="AA3" s="42" t="s">
        <v>118</v>
      </c>
      <c r="AB3" s="566" t="s">
        <v>69</v>
      </c>
      <c r="AC3" s="42" t="s">
        <v>118</v>
      </c>
      <c r="AD3" s="566" t="s">
        <v>69</v>
      </c>
      <c r="AE3" s="42" t="s">
        <v>118</v>
      </c>
    </row>
    <row r="4" spans="1:67" ht="25.5">
      <c r="A4" s="44" t="s">
        <v>346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7" si="0">0.000049261*AA4</f>
        <v>2.2095931710230707E-2</v>
      </c>
      <c r="AD4" s="49">
        <v>3.2599999999999997E-2</v>
      </c>
      <c r="AE4" s="47">
        <f t="shared" ref="AE4:AE7" si="1">0.000021675*AA4</f>
        <v>9.7222817202097123E-3</v>
      </c>
    </row>
    <row r="5" spans="1:67" ht="25.5">
      <c r="A5" s="44" t="s">
        <v>329</v>
      </c>
      <c r="B5" s="45" t="s">
        <v>102</v>
      </c>
      <c r="C5" s="46">
        <v>18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 ht="25.5">
      <c r="A6" s="44" t="s">
        <v>330</v>
      </c>
      <c r="B6" s="45" t="s">
        <v>102</v>
      </c>
      <c r="C6" s="46">
        <v>20</v>
      </c>
      <c r="D6" s="46">
        <v>35</v>
      </c>
      <c r="E6" s="46">
        <v>80</v>
      </c>
      <c r="F6" s="47">
        <v>2.3611622044318601</v>
      </c>
      <c r="G6" s="48">
        <v>31.4244798871777</v>
      </c>
      <c r="H6" s="48">
        <v>0.22493614397154399</v>
      </c>
      <c r="I6" s="48">
        <v>1.8136819244333999</v>
      </c>
      <c r="J6" s="47">
        <v>5.7965153248686403E-2</v>
      </c>
      <c r="K6" s="48">
        <v>2.3946366793705498</v>
      </c>
      <c r="L6" s="48">
        <v>1.62197187247403</v>
      </c>
      <c r="M6" s="48">
        <v>0.70709499821369304</v>
      </c>
      <c r="N6" s="48">
        <v>0.16038404042738499</v>
      </c>
      <c r="O6" s="48">
        <v>0.71464703099800198</v>
      </c>
      <c r="P6" s="48">
        <v>4.0478385316323803E-3</v>
      </c>
      <c r="Q6" s="48">
        <v>5.8407810191933099E-3</v>
      </c>
      <c r="R6" s="47">
        <v>3.2157701660956101E-3</v>
      </c>
      <c r="S6" s="48">
        <v>2.9198634356063399E-2</v>
      </c>
      <c r="T6" s="48">
        <v>7.9999583995993707E-3</v>
      </c>
      <c r="U6" s="48">
        <v>3.6749815874576097E-2</v>
      </c>
      <c r="V6" s="48">
        <v>2.9606446234606999E-3</v>
      </c>
      <c r="W6" s="48">
        <v>2.6884174180557701E-2</v>
      </c>
      <c r="X6" s="48">
        <v>1.9999896010969099E-3</v>
      </c>
      <c r="Y6" s="48">
        <v>1.57499197860352E-2</v>
      </c>
      <c r="Z6" s="48">
        <v>308.63789988642998</v>
      </c>
      <c r="AA6" s="48">
        <v>448.54817624958298</v>
      </c>
      <c r="AB6" s="47">
        <v>1.77E-2</v>
      </c>
      <c r="AC6" s="47">
        <f t="shared" si="0"/>
        <v>2.2095931710230707E-2</v>
      </c>
      <c r="AD6" s="49">
        <v>3.2599999999999997E-2</v>
      </c>
      <c r="AE6" s="47">
        <f t="shared" si="1"/>
        <v>9.7222817202097123E-3</v>
      </c>
    </row>
    <row r="7" spans="1:67" ht="25.5">
      <c r="A7" s="44" t="s">
        <v>337</v>
      </c>
      <c r="B7" s="45" t="s">
        <v>102</v>
      </c>
      <c r="C7" s="46">
        <v>17</v>
      </c>
      <c r="D7" s="46">
        <v>35</v>
      </c>
      <c r="E7" s="46">
        <v>80</v>
      </c>
      <c r="F7" s="47">
        <v>2.3611622044318601</v>
      </c>
      <c r="G7" s="48">
        <v>31.4244798871777</v>
      </c>
      <c r="H7" s="48">
        <v>0.22493614397154399</v>
      </c>
      <c r="I7" s="48">
        <v>1.8136819244333999</v>
      </c>
      <c r="J7" s="47">
        <v>5.7965153248686403E-2</v>
      </c>
      <c r="K7" s="48">
        <v>2.3946366793705498</v>
      </c>
      <c r="L7" s="48">
        <v>1.62197187247403</v>
      </c>
      <c r="M7" s="48">
        <v>0.70709499821369304</v>
      </c>
      <c r="N7" s="48">
        <v>0.16038404042738499</v>
      </c>
      <c r="O7" s="48">
        <v>0.71464703099800198</v>
      </c>
      <c r="P7" s="48">
        <v>4.0478385316323803E-3</v>
      </c>
      <c r="Q7" s="48">
        <v>5.8407810191933099E-3</v>
      </c>
      <c r="R7" s="47">
        <v>3.2157701660956101E-3</v>
      </c>
      <c r="S7" s="48">
        <v>2.9198634356063399E-2</v>
      </c>
      <c r="T7" s="48">
        <v>7.9999583995993707E-3</v>
      </c>
      <c r="U7" s="48">
        <v>3.6749815874576097E-2</v>
      </c>
      <c r="V7" s="48">
        <v>2.9606446234606999E-3</v>
      </c>
      <c r="W7" s="48">
        <v>2.6884174180557701E-2</v>
      </c>
      <c r="X7" s="48">
        <v>1.9999896010969099E-3</v>
      </c>
      <c r="Y7" s="48">
        <v>1.57499197860352E-2</v>
      </c>
      <c r="Z7" s="48">
        <v>308.63789988642998</v>
      </c>
      <c r="AA7" s="48">
        <v>448.54817624958298</v>
      </c>
      <c r="AB7" s="47">
        <v>1.77E-2</v>
      </c>
      <c r="AC7" s="47">
        <f t="shared" si="0"/>
        <v>2.2095931710230707E-2</v>
      </c>
      <c r="AD7" s="49">
        <v>3.2599999999999997E-2</v>
      </c>
      <c r="AE7" s="47">
        <f t="shared" si="1"/>
        <v>9.7222817202097123E-3</v>
      </c>
    </row>
    <row r="8" spans="1:67">
      <c r="A8" s="52"/>
      <c r="B8" s="52"/>
      <c r="C8" s="53"/>
      <c r="D8" s="54"/>
      <c r="E8" s="54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</row>
    <row r="9" spans="1:67" ht="25.5">
      <c r="A9" s="55" t="s">
        <v>504</v>
      </c>
      <c r="B9" s="37"/>
      <c r="C9" s="37"/>
    </row>
    <row r="10" spans="1:67">
      <c r="A10" s="55" t="s">
        <v>77</v>
      </c>
      <c r="B10" s="37"/>
      <c r="C10" s="3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84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</row>
    <row r="11" spans="1:67">
      <c r="A11" s="55" t="s">
        <v>78</v>
      </c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t="38.25" hidden="1">
      <c r="A12" s="55" t="s">
        <v>79</v>
      </c>
      <c r="B12" s="37"/>
      <c r="C12" s="37"/>
      <c r="AA12" s="57"/>
      <c r="AB12" s="58" t="s">
        <v>80</v>
      </c>
      <c r="AC12" s="57"/>
      <c r="AD12" s="57"/>
      <c r="AE12" s="57"/>
      <c r="AF12" s="57" t="e">
        <f>#REF!/60</f>
        <v>#REF!</v>
      </c>
      <c r="AG12" s="57" t="e">
        <f>#REF!/60</f>
        <v>#REF!</v>
      </c>
      <c r="AH12" s="57" t="e">
        <f>#REF!/60</f>
        <v>#REF!</v>
      </c>
      <c r="AI12" s="57" t="e">
        <f>#REF!/60</f>
        <v>#REF!</v>
      </c>
      <c r="AJ12" s="57" t="e">
        <f>#REF!/60</f>
        <v>#REF!</v>
      </c>
      <c r="AK12" s="57" t="e">
        <f>#REF!/60</f>
        <v>#REF!</v>
      </c>
      <c r="AL12" s="57" t="e">
        <f>#REF!/60</f>
        <v>#REF!</v>
      </c>
      <c r="AM12" s="57" t="e">
        <f>#REF!/60</f>
        <v>#REF!</v>
      </c>
      <c r="AN12" s="57" t="e">
        <f>#REF!/60</f>
        <v>#REF!</v>
      </c>
      <c r="AO12" s="57" t="e">
        <f>#REF!/60</f>
        <v>#REF!</v>
      </c>
      <c r="AP12" s="57"/>
      <c r="AQ12" s="57"/>
      <c r="AR12" s="57" t="e">
        <f>#REF!/60</f>
        <v>#REF!</v>
      </c>
      <c r="AS12" s="57" t="e">
        <f>#REF!/60</f>
        <v>#REF!</v>
      </c>
      <c r="AT12" s="57" t="e">
        <f>#REF!/60</f>
        <v>#REF!</v>
      </c>
      <c r="AU12" s="57" t="e">
        <f>#REF!/60</f>
        <v>#REF!</v>
      </c>
      <c r="AV12" s="57" t="e">
        <f>#REF!/60</f>
        <v>#REF!</v>
      </c>
      <c r="AW12" s="57" t="e">
        <f>#REF!/60</f>
        <v>#REF!</v>
      </c>
      <c r="AX12" s="57" t="e">
        <f>#REF!/60</f>
        <v>#REF!</v>
      </c>
      <c r="AY12" s="57" t="e">
        <f>#REF!/60</f>
        <v>#REF!</v>
      </c>
      <c r="AZ12" s="57" t="e">
        <f>#REF!/60</f>
        <v>#REF!</v>
      </c>
      <c r="BA12" s="57" t="e">
        <f>#REF!/60</f>
        <v>#REF!</v>
      </c>
    </row>
    <row r="13" spans="1:67" hidden="1">
      <c r="A13" s="55"/>
      <c r="B13" s="37"/>
      <c r="C13" s="3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9"/>
      <c r="AS13" s="59"/>
      <c r="AT13" s="59"/>
      <c r="AU13" s="59"/>
      <c r="AV13" s="59"/>
      <c r="AW13" s="59"/>
      <c r="AX13" s="59"/>
      <c r="AY13" s="59"/>
      <c r="AZ13" s="60"/>
      <c r="BA13" s="59"/>
    </row>
    <row r="14" spans="1:67" hidden="1">
      <c r="A14" s="37"/>
      <c r="B14" s="37"/>
      <c r="C14" s="37"/>
      <c r="AF14" s="596" t="s">
        <v>64</v>
      </c>
      <c r="AG14" s="596"/>
      <c r="AH14" s="596"/>
      <c r="AI14" s="596"/>
      <c r="AJ14" s="596"/>
      <c r="AK14" s="597"/>
      <c r="AL14" s="597"/>
      <c r="AM14" s="597"/>
      <c r="AN14" s="597"/>
      <c r="AO14" s="597"/>
      <c r="AP14" s="568"/>
      <c r="AQ14" s="56"/>
      <c r="AR14" s="596" t="s">
        <v>65</v>
      </c>
      <c r="AS14" s="596"/>
      <c r="AT14" s="596"/>
      <c r="AU14" s="596"/>
      <c r="AV14" s="596"/>
      <c r="AW14" s="597"/>
      <c r="AX14" s="597"/>
      <c r="AY14" s="597"/>
      <c r="AZ14" s="597"/>
      <c r="BA14" s="597"/>
    </row>
    <row r="15" spans="1:67" ht="63.75" hidden="1">
      <c r="A15" s="37"/>
      <c r="B15" s="37"/>
      <c r="C15" s="37"/>
      <c r="AF15" s="61" t="s">
        <v>55</v>
      </c>
      <c r="AG15" s="61" t="s">
        <v>73</v>
      </c>
      <c r="AH15" s="61" t="s">
        <v>74</v>
      </c>
      <c r="AI15" s="61" t="s">
        <v>58</v>
      </c>
      <c r="AJ15" s="61" t="s">
        <v>59</v>
      </c>
      <c r="AK15" s="61" t="s">
        <v>60</v>
      </c>
      <c r="AL15" s="62" t="s">
        <v>75</v>
      </c>
      <c r="AM15" s="62" t="s">
        <v>76</v>
      </c>
      <c r="AN15" s="62" t="s">
        <v>61</v>
      </c>
      <c r="AO15" s="62" t="s">
        <v>62</v>
      </c>
      <c r="AP15" s="62"/>
      <c r="AQ15" s="43"/>
      <c r="AR15" s="61" t="s">
        <v>55</v>
      </c>
      <c r="AS15" s="61" t="s">
        <v>73</v>
      </c>
      <c r="AT15" s="61" t="s">
        <v>74</v>
      </c>
      <c r="AU15" s="61" t="s">
        <v>58</v>
      </c>
      <c r="AV15" s="61" t="s">
        <v>59</v>
      </c>
      <c r="AW15" s="61" t="s">
        <v>60</v>
      </c>
      <c r="AX15" s="62" t="s">
        <v>75</v>
      </c>
      <c r="AY15" s="62" t="s">
        <v>76</v>
      </c>
      <c r="AZ15" s="63" t="s">
        <v>61</v>
      </c>
      <c r="BA15" s="61" t="s">
        <v>62</v>
      </c>
    </row>
    <row r="16" spans="1:67" hidden="1">
      <c r="A16" s="37" t="s">
        <v>81</v>
      </c>
      <c r="B16" s="37"/>
      <c r="C16" s="37"/>
      <c r="AA16" s="64" t="s">
        <v>29</v>
      </c>
      <c r="AB16" s="65" t="s">
        <v>30</v>
      </c>
      <c r="AC16" s="65" t="s">
        <v>31</v>
      </c>
      <c r="AD16" s="65"/>
      <c r="AE16" s="65"/>
      <c r="AQ16" s="38"/>
    </row>
    <row r="17" spans="1:53" hidden="1">
      <c r="A17" s="37" t="s">
        <v>82</v>
      </c>
      <c r="B17" s="37"/>
      <c r="C17" s="37"/>
      <c r="AA17" s="64"/>
      <c r="AB17" s="65" t="s">
        <v>32</v>
      </c>
      <c r="AC17" s="65">
        <v>13.25</v>
      </c>
      <c r="AD17" s="65"/>
      <c r="AE17" s="65"/>
      <c r="AF17" s="36" t="e">
        <f>AF$12*$AC17</f>
        <v>#REF!</v>
      </c>
      <c r="AG17" s="36" t="e">
        <f t="shared" ref="AG17:AO25" si="2">AG$12*$AC17</f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>AR$12*$AC17</f>
        <v>#REF!</v>
      </c>
      <c r="AS17" s="36" t="e">
        <f t="shared" ref="AS17:BA25" si="3">AS$12*$AC17</f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83</v>
      </c>
      <c r="B18" s="37"/>
      <c r="C18" s="37"/>
      <c r="AA18" s="64"/>
      <c r="AB18" s="65" t="s">
        <v>33</v>
      </c>
      <c r="AC18" s="65">
        <v>20.298999999999999</v>
      </c>
      <c r="AD18" s="65"/>
      <c r="AE18" s="65"/>
      <c r="AF18" s="36" t="e">
        <f t="shared" ref="AF18:AF25" si="4">AF$12*$AC18</f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ref="AR18:AR25" si="5">AR$12*$AC18</f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84</v>
      </c>
      <c r="B19" s="37"/>
      <c r="C19" s="37"/>
      <c r="AA19" s="64"/>
      <c r="AB19" s="65" t="s">
        <v>34</v>
      </c>
      <c r="AC19" s="65">
        <v>21.68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85</v>
      </c>
      <c r="B20" s="37"/>
      <c r="C20" s="37"/>
      <c r="AA20" s="64"/>
      <c r="AB20" s="65" t="s">
        <v>35</v>
      </c>
      <c r="AC20" s="65">
        <v>9.3046500000000005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86</v>
      </c>
      <c r="B21" s="37"/>
      <c r="C21" s="37"/>
      <c r="AA21" s="64"/>
      <c r="AB21" s="65" t="s">
        <v>36</v>
      </c>
      <c r="AC21" s="65">
        <v>5.0347999999999997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87</v>
      </c>
      <c r="B22" s="37"/>
      <c r="C22" s="37"/>
      <c r="AA22" s="64"/>
      <c r="AB22" s="65" t="s">
        <v>37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 t="s">
        <v>0</v>
      </c>
      <c r="B23" s="37"/>
      <c r="C23" s="37"/>
      <c r="AA23" s="64"/>
      <c r="AB23" s="65" t="s">
        <v>38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 t="s">
        <v>59</v>
      </c>
      <c r="B24" s="37">
        <f>(0.016*(0.03/2)^0.65*(2/3)^1.5)-0.00047</f>
        <v>9.8123053326417428E-5</v>
      </c>
      <c r="C24" s="37"/>
      <c r="AA24" s="64"/>
      <c r="AB24" s="65" t="s">
        <v>39</v>
      </c>
      <c r="AC24" s="65">
        <v>0</v>
      </c>
      <c r="AD24" s="65"/>
      <c r="AE24" s="65"/>
      <c r="AF24" s="36" t="e">
        <f t="shared" si="4"/>
        <v>#REF!</v>
      </c>
      <c r="AG24" s="36" t="e">
        <f t="shared" si="2"/>
        <v>#REF!</v>
      </c>
      <c r="AH24" s="36" t="e">
        <f t="shared" si="2"/>
        <v>#REF!</v>
      </c>
      <c r="AI24" s="36" t="e">
        <f t="shared" si="2"/>
        <v>#REF!</v>
      </c>
      <c r="AJ24" s="36" t="e">
        <f t="shared" si="2"/>
        <v>#REF!</v>
      </c>
      <c r="AK24" s="36" t="e">
        <f t="shared" si="2"/>
        <v>#REF!</v>
      </c>
      <c r="AL24" s="36" t="e">
        <f t="shared" si="2"/>
        <v>#REF!</v>
      </c>
      <c r="AM24" s="36" t="e">
        <f t="shared" si="2"/>
        <v>#REF!</v>
      </c>
      <c r="AN24" s="36" t="e">
        <f t="shared" si="2"/>
        <v>#REF!</v>
      </c>
      <c r="AO24" s="36" t="e">
        <f t="shared" si="2"/>
        <v>#REF!</v>
      </c>
      <c r="AQ24" s="38"/>
      <c r="AR24" s="36" t="e">
        <f t="shared" si="5"/>
        <v>#REF!</v>
      </c>
      <c r="AS24" s="36" t="e">
        <f t="shared" si="3"/>
        <v>#REF!</v>
      </c>
      <c r="AT24" s="36" t="e">
        <f t="shared" si="3"/>
        <v>#REF!</v>
      </c>
      <c r="AU24" s="36" t="e">
        <f t="shared" si="3"/>
        <v>#REF!</v>
      </c>
      <c r="AV24" s="36" t="e">
        <f t="shared" si="3"/>
        <v>#REF!</v>
      </c>
      <c r="AW24" s="36" t="e">
        <f t="shared" si="3"/>
        <v>#REF!</v>
      </c>
      <c r="AX24" s="36" t="e">
        <f t="shared" si="3"/>
        <v>#REF!</v>
      </c>
      <c r="AY24" s="36" t="e">
        <f t="shared" si="3"/>
        <v>#REF!</v>
      </c>
      <c r="AZ24" s="36" t="e">
        <f t="shared" si="3"/>
        <v>#REF!</v>
      </c>
      <c r="BA24" s="36" t="e">
        <f t="shared" si="3"/>
        <v>#REF!</v>
      </c>
    </row>
    <row r="25" spans="1:53" hidden="1">
      <c r="A25" s="37"/>
      <c r="B25" s="37"/>
      <c r="C25" s="37"/>
      <c r="AA25" s="64"/>
      <c r="AB25" s="65" t="s">
        <v>40</v>
      </c>
      <c r="AC25" s="65">
        <v>0</v>
      </c>
      <c r="AD25" s="65"/>
      <c r="AE25" s="65"/>
      <c r="AF25" s="36" t="e">
        <f t="shared" si="4"/>
        <v>#REF!</v>
      </c>
      <c r="AG25" s="36" t="e">
        <f t="shared" si="2"/>
        <v>#REF!</v>
      </c>
      <c r="AH25" s="36" t="e">
        <f t="shared" si="2"/>
        <v>#REF!</v>
      </c>
      <c r="AI25" s="36" t="e">
        <f t="shared" si="2"/>
        <v>#REF!</v>
      </c>
      <c r="AJ25" s="36" t="e">
        <f t="shared" si="2"/>
        <v>#REF!</v>
      </c>
      <c r="AK25" s="36" t="e">
        <f t="shared" si="2"/>
        <v>#REF!</v>
      </c>
      <c r="AL25" s="36" t="e">
        <f t="shared" si="2"/>
        <v>#REF!</v>
      </c>
      <c r="AM25" s="36" t="e">
        <f t="shared" si="2"/>
        <v>#REF!</v>
      </c>
      <c r="AN25" s="36" t="e">
        <f t="shared" si="2"/>
        <v>#REF!</v>
      </c>
      <c r="AO25" s="36" t="e">
        <f t="shared" si="2"/>
        <v>#REF!</v>
      </c>
      <c r="AQ25" s="38"/>
      <c r="AR25" s="36" t="e">
        <f t="shared" si="5"/>
        <v>#REF!</v>
      </c>
      <c r="AS25" s="36" t="e">
        <f t="shared" si="3"/>
        <v>#REF!</v>
      </c>
      <c r="AT25" s="36" t="e">
        <f t="shared" si="3"/>
        <v>#REF!</v>
      </c>
      <c r="AU25" s="36" t="e">
        <f t="shared" si="3"/>
        <v>#REF!</v>
      </c>
      <c r="AV25" s="36" t="e">
        <f t="shared" si="3"/>
        <v>#REF!</v>
      </c>
      <c r="AW25" s="36" t="e">
        <f t="shared" si="3"/>
        <v>#REF!</v>
      </c>
      <c r="AX25" s="36" t="e">
        <f t="shared" si="3"/>
        <v>#REF!</v>
      </c>
      <c r="AY25" s="36" t="e">
        <f t="shared" si="3"/>
        <v>#REF!</v>
      </c>
      <c r="AZ25" s="36" t="e">
        <f t="shared" si="3"/>
        <v>#REF!</v>
      </c>
      <c r="BA25" s="36" t="e">
        <f t="shared" si="3"/>
        <v>#REF!</v>
      </c>
    </row>
    <row r="26" spans="1:53" hidden="1">
      <c r="A26" s="37"/>
      <c r="B26" s="37"/>
      <c r="C26" s="37"/>
      <c r="AA26" s="64"/>
      <c r="AB26" s="65"/>
      <c r="AC26" s="65"/>
      <c r="AD26" s="65"/>
      <c r="AE26" s="65"/>
      <c r="AQ26" s="38"/>
    </row>
    <row r="27" spans="1:53" hidden="1">
      <c r="A27" s="37"/>
      <c r="B27" s="37"/>
      <c r="C27" s="37"/>
      <c r="AA27" s="64" t="s">
        <v>41</v>
      </c>
      <c r="AB27" s="65" t="s">
        <v>30</v>
      </c>
      <c r="AC27" s="65" t="s">
        <v>31</v>
      </c>
      <c r="AD27" s="65"/>
      <c r="AE27" s="65"/>
      <c r="AQ27" s="38"/>
    </row>
    <row r="28" spans="1:53" hidden="1">
      <c r="A28" s="37" t="s">
        <v>88</v>
      </c>
      <c r="B28" s="37"/>
      <c r="C28" s="37"/>
      <c r="AA28" s="64"/>
      <c r="AB28" s="65" t="s">
        <v>32</v>
      </c>
      <c r="AC28" s="65">
        <v>0</v>
      </c>
      <c r="AD28" s="65"/>
      <c r="AE28" s="65"/>
      <c r="AF28" s="36" t="e">
        <f t="shared" ref="AF28:AO36" si="6">AF$12*$AC28</f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ref="AR28:BA36" si="7">AR$12*$AC28</f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89</v>
      </c>
      <c r="B29" s="37"/>
      <c r="C29" s="37"/>
      <c r="AA29" s="64"/>
      <c r="AB29" s="65" t="s">
        <v>33</v>
      </c>
      <c r="AC29" s="65">
        <v>6.2010000000000005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90</v>
      </c>
      <c r="B30" s="37"/>
      <c r="C30" s="37"/>
      <c r="AA30" s="64"/>
      <c r="AB30" s="65" t="s">
        <v>34</v>
      </c>
      <c r="AC30" s="65">
        <v>0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91</v>
      </c>
      <c r="B31" s="37"/>
      <c r="C31" s="37"/>
      <c r="AA31" s="64"/>
      <c r="AB31" s="65" t="s">
        <v>35</v>
      </c>
      <c r="AC31" s="65">
        <v>9.8037500000000009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92</v>
      </c>
      <c r="B32" s="37"/>
      <c r="C32" s="37"/>
      <c r="AA32" s="64"/>
      <c r="AB32" s="65" t="s">
        <v>36</v>
      </c>
      <c r="AC32" s="65">
        <v>7.2451999999999996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84</v>
      </c>
      <c r="B33" s="37"/>
      <c r="C33" s="37"/>
      <c r="AA33" s="64"/>
      <c r="AB33" s="65" t="s">
        <v>37</v>
      </c>
      <c r="AC33" s="65">
        <v>3.6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93</v>
      </c>
      <c r="B34" s="37"/>
      <c r="C34" s="37"/>
      <c r="AA34" s="64"/>
      <c r="AB34" s="65" t="s">
        <v>38</v>
      </c>
      <c r="AC34" s="65">
        <v>6.1984000000000004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94</v>
      </c>
      <c r="B35" s="37"/>
      <c r="C35" s="37"/>
      <c r="AA35" s="64"/>
      <c r="AB35" s="65" t="s">
        <v>39</v>
      </c>
      <c r="AC35" s="65">
        <v>5.1995100000000001</v>
      </c>
      <c r="AD35" s="65"/>
      <c r="AE35" s="65"/>
      <c r="AF35" s="36" t="e">
        <f t="shared" si="6"/>
        <v>#REF!</v>
      </c>
      <c r="AG35" s="36" t="e">
        <f t="shared" si="6"/>
        <v>#REF!</v>
      </c>
      <c r="AH35" s="36" t="e">
        <f t="shared" si="6"/>
        <v>#REF!</v>
      </c>
      <c r="AI35" s="36" t="e">
        <f t="shared" si="6"/>
        <v>#REF!</v>
      </c>
      <c r="AJ35" s="36" t="e">
        <f t="shared" si="6"/>
        <v>#REF!</v>
      </c>
      <c r="AK35" s="36" t="e">
        <f t="shared" si="6"/>
        <v>#REF!</v>
      </c>
      <c r="AL35" s="36" t="e">
        <f t="shared" si="6"/>
        <v>#REF!</v>
      </c>
      <c r="AM35" s="36" t="e">
        <f t="shared" si="6"/>
        <v>#REF!</v>
      </c>
      <c r="AN35" s="36" t="e">
        <f t="shared" si="6"/>
        <v>#REF!</v>
      </c>
      <c r="AO35" s="36" t="e">
        <f t="shared" si="6"/>
        <v>#REF!</v>
      </c>
      <c r="AQ35" s="38"/>
      <c r="AR35" s="36" t="e">
        <f t="shared" si="7"/>
        <v>#REF!</v>
      </c>
      <c r="AS35" s="36" t="e">
        <f t="shared" si="7"/>
        <v>#REF!</v>
      </c>
      <c r="AT35" s="36" t="e">
        <f t="shared" si="7"/>
        <v>#REF!</v>
      </c>
      <c r="AU35" s="36" t="e">
        <f t="shared" si="7"/>
        <v>#REF!</v>
      </c>
      <c r="AV35" s="36" t="e">
        <f t="shared" si="7"/>
        <v>#REF!</v>
      </c>
      <c r="AW35" s="36" t="e">
        <f t="shared" si="7"/>
        <v>#REF!</v>
      </c>
      <c r="AX35" s="36" t="e">
        <f t="shared" si="7"/>
        <v>#REF!</v>
      </c>
      <c r="AY35" s="36" t="e">
        <f t="shared" si="7"/>
        <v>#REF!</v>
      </c>
      <c r="AZ35" s="36" t="e">
        <f t="shared" si="7"/>
        <v>#REF!</v>
      </c>
      <c r="BA35" s="36" t="e">
        <f t="shared" si="7"/>
        <v>#REF!</v>
      </c>
    </row>
    <row r="36" spans="1:53" hidden="1">
      <c r="A36" s="37" t="s">
        <v>0</v>
      </c>
      <c r="B36" s="37"/>
      <c r="C36" s="37"/>
      <c r="AA36" s="64"/>
      <c r="AB36" s="65" t="s">
        <v>40</v>
      </c>
      <c r="AC36" s="65">
        <v>17.71416</v>
      </c>
      <c r="AD36" s="65"/>
      <c r="AE36" s="65"/>
      <c r="AF36" s="36" t="e">
        <f t="shared" si="6"/>
        <v>#REF!</v>
      </c>
      <c r="AG36" s="36" t="e">
        <f t="shared" si="6"/>
        <v>#REF!</v>
      </c>
      <c r="AH36" s="36" t="e">
        <f t="shared" si="6"/>
        <v>#REF!</v>
      </c>
      <c r="AI36" s="36" t="e">
        <f t="shared" si="6"/>
        <v>#REF!</v>
      </c>
      <c r="AJ36" s="36" t="e">
        <f t="shared" si="6"/>
        <v>#REF!</v>
      </c>
      <c r="AK36" s="36" t="e">
        <f t="shared" si="6"/>
        <v>#REF!</v>
      </c>
      <c r="AL36" s="36" t="e">
        <f t="shared" si="6"/>
        <v>#REF!</v>
      </c>
      <c r="AM36" s="36" t="e">
        <f t="shared" si="6"/>
        <v>#REF!</v>
      </c>
      <c r="AN36" s="36" t="e">
        <f t="shared" si="6"/>
        <v>#REF!</v>
      </c>
      <c r="AO36" s="36" t="e">
        <f t="shared" si="6"/>
        <v>#REF!</v>
      </c>
      <c r="AQ36" s="38"/>
      <c r="AR36" s="36" t="e">
        <f t="shared" si="7"/>
        <v>#REF!</v>
      </c>
      <c r="AS36" s="36" t="e">
        <f t="shared" si="7"/>
        <v>#REF!</v>
      </c>
      <c r="AT36" s="36" t="e">
        <f t="shared" si="7"/>
        <v>#REF!</v>
      </c>
      <c r="AU36" s="36" t="e">
        <f t="shared" si="7"/>
        <v>#REF!</v>
      </c>
      <c r="AV36" s="36" t="e">
        <f t="shared" si="7"/>
        <v>#REF!</v>
      </c>
      <c r="AW36" s="36" t="e">
        <f t="shared" si="7"/>
        <v>#REF!</v>
      </c>
      <c r="AX36" s="36" t="e">
        <f t="shared" si="7"/>
        <v>#REF!</v>
      </c>
      <c r="AY36" s="36" t="e">
        <f t="shared" si="7"/>
        <v>#REF!</v>
      </c>
      <c r="AZ36" s="36" t="e">
        <f t="shared" si="7"/>
        <v>#REF!</v>
      </c>
      <c r="BA36" s="36" t="e">
        <f t="shared" si="7"/>
        <v>#REF!</v>
      </c>
    </row>
    <row r="37" spans="1:53" hidden="1">
      <c r="A37" s="37" t="s">
        <v>59</v>
      </c>
      <c r="B37" s="37">
        <f>0.39*1.5*(8.5/12)^0.9*(2/3)^0.45</f>
        <v>0.35737873826145539</v>
      </c>
      <c r="C37" s="37"/>
      <c r="AA37" s="64"/>
      <c r="AB37" s="65"/>
      <c r="AC37" s="65"/>
      <c r="AD37" s="65"/>
      <c r="AE37" s="65"/>
      <c r="AQ37" s="38"/>
    </row>
    <row r="38" spans="1:53" hidden="1">
      <c r="A38" s="37" t="s">
        <v>60</v>
      </c>
      <c r="B38" s="37">
        <f>0.39*0.15*(8.5/12)^0.9*(2/3)^0.45</f>
        <v>3.5737873826145544E-2</v>
      </c>
      <c r="C38" s="37"/>
      <c r="AA38" s="64" t="s">
        <v>42</v>
      </c>
      <c r="AB38" s="65" t="s">
        <v>30</v>
      </c>
      <c r="AC38" s="65" t="s">
        <v>31</v>
      </c>
      <c r="AD38" s="65"/>
      <c r="AE38" s="65"/>
      <c r="AQ38" s="38"/>
    </row>
    <row r="39" spans="1:53" hidden="1">
      <c r="AA39" s="64"/>
      <c r="AB39" s="65" t="s">
        <v>32</v>
      </c>
      <c r="AC39" s="65">
        <v>0</v>
      </c>
      <c r="AD39" s="65"/>
      <c r="AE39" s="65"/>
      <c r="AF39" s="36" t="e">
        <f t="shared" ref="AF39:AO47" si="8">AF$12*$AC39</f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ref="AR39:BA47" si="9">AR$12*$AC39</f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33</v>
      </c>
      <c r="AC40" s="65">
        <v>0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34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35</v>
      </c>
      <c r="AC42" s="65">
        <v>16.541599999999999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36</v>
      </c>
      <c r="AC43" s="65">
        <v>0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37</v>
      </c>
      <c r="AC44" s="65">
        <v>0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38</v>
      </c>
      <c r="AC45" s="65">
        <v>14.601599999999999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A46" s="64"/>
      <c r="AB46" s="65" t="s">
        <v>39</v>
      </c>
      <c r="AC46" s="65">
        <v>14.570489999999999</v>
      </c>
      <c r="AD46" s="65"/>
      <c r="AE46" s="65"/>
      <c r="AF46" s="36" t="e">
        <f t="shared" si="8"/>
        <v>#REF!</v>
      </c>
      <c r="AG46" s="36" t="e">
        <f t="shared" si="8"/>
        <v>#REF!</v>
      </c>
      <c r="AH46" s="36" t="e">
        <f t="shared" si="8"/>
        <v>#REF!</v>
      </c>
      <c r="AI46" s="36" t="e">
        <f t="shared" si="8"/>
        <v>#REF!</v>
      </c>
      <c r="AJ46" s="36" t="e">
        <f t="shared" si="8"/>
        <v>#REF!</v>
      </c>
      <c r="AK46" s="36" t="e">
        <f t="shared" si="8"/>
        <v>#REF!</v>
      </c>
      <c r="AL46" s="36" t="e">
        <f t="shared" si="8"/>
        <v>#REF!</v>
      </c>
      <c r="AM46" s="36" t="e">
        <f t="shared" si="8"/>
        <v>#REF!</v>
      </c>
      <c r="AN46" s="36" t="e">
        <f t="shared" si="8"/>
        <v>#REF!</v>
      </c>
      <c r="AO46" s="36" t="e">
        <f t="shared" si="8"/>
        <v>#REF!</v>
      </c>
      <c r="AQ46" s="38"/>
      <c r="AR46" s="36" t="e">
        <f t="shared" si="9"/>
        <v>#REF!</v>
      </c>
      <c r="AS46" s="36" t="e">
        <f t="shared" si="9"/>
        <v>#REF!</v>
      </c>
      <c r="AT46" s="36" t="e">
        <f t="shared" si="9"/>
        <v>#REF!</v>
      </c>
      <c r="AU46" s="36" t="e">
        <f t="shared" si="9"/>
        <v>#REF!</v>
      </c>
      <c r="AV46" s="36" t="e">
        <f t="shared" si="9"/>
        <v>#REF!</v>
      </c>
      <c r="AW46" s="36" t="e">
        <f t="shared" si="9"/>
        <v>#REF!</v>
      </c>
      <c r="AX46" s="36" t="e">
        <f t="shared" si="9"/>
        <v>#REF!</v>
      </c>
      <c r="AY46" s="36" t="e">
        <f t="shared" si="9"/>
        <v>#REF!</v>
      </c>
      <c r="AZ46" s="36" t="e">
        <f t="shared" si="9"/>
        <v>#REF!</v>
      </c>
      <c r="BA46" s="36" t="e">
        <f t="shared" si="9"/>
        <v>#REF!</v>
      </c>
    </row>
    <row r="47" spans="1:53" hidden="1">
      <c r="AA47" s="64"/>
      <c r="AB47" s="65" t="s">
        <v>40</v>
      </c>
      <c r="AC47" s="65">
        <v>14.14584</v>
      </c>
      <c r="AD47" s="65"/>
      <c r="AE47" s="65"/>
      <c r="AF47" s="36" t="e">
        <f t="shared" si="8"/>
        <v>#REF!</v>
      </c>
      <c r="AG47" s="36" t="e">
        <f t="shared" si="8"/>
        <v>#REF!</v>
      </c>
      <c r="AH47" s="36" t="e">
        <f t="shared" si="8"/>
        <v>#REF!</v>
      </c>
      <c r="AI47" s="36" t="e">
        <f t="shared" si="8"/>
        <v>#REF!</v>
      </c>
      <c r="AJ47" s="36" t="e">
        <f t="shared" si="8"/>
        <v>#REF!</v>
      </c>
      <c r="AK47" s="36" t="e">
        <f t="shared" si="8"/>
        <v>#REF!</v>
      </c>
      <c r="AL47" s="36" t="e">
        <f t="shared" si="8"/>
        <v>#REF!</v>
      </c>
      <c r="AM47" s="36" t="e">
        <f t="shared" si="8"/>
        <v>#REF!</v>
      </c>
      <c r="AN47" s="36" t="e">
        <f t="shared" si="8"/>
        <v>#REF!</v>
      </c>
      <c r="AO47" s="36" t="e">
        <f t="shared" si="8"/>
        <v>#REF!</v>
      </c>
      <c r="AQ47" s="38"/>
      <c r="AR47" s="36" t="e">
        <f t="shared" si="9"/>
        <v>#REF!</v>
      </c>
      <c r="AS47" s="36" t="e">
        <f t="shared" si="9"/>
        <v>#REF!</v>
      </c>
      <c r="AT47" s="36" t="e">
        <f t="shared" si="9"/>
        <v>#REF!</v>
      </c>
      <c r="AU47" s="36" t="e">
        <f t="shared" si="9"/>
        <v>#REF!</v>
      </c>
      <c r="AV47" s="36" t="e">
        <f t="shared" si="9"/>
        <v>#REF!</v>
      </c>
      <c r="AW47" s="36" t="e">
        <f t="shared" si="9"/>
        <v>#REF!</v>
      </c>
      <c r="AX47" s="36" t="e">
        <f t="shared" si="9"/>
        <v>#REF!</v>
      </c>
      <c r="AY47" s="36" t="e">
        <f t="shared" si="9"/>
        <v>#REF!</v>
      </c>
      <c r="AZ47" s="36" t="e">
        <f t="shared" si="9"/>
        <v>#REF!</v>
      </c>
      <c r="BA47" s="36" t="e">
        <f t="shared" si="9"/>
        <v>#REF!</v>
      </c>
    </row>
    <row r="48" spans="1:53" hidden="1">
      <c r="AQ48" s="38"/>
    </row>
    <row r="49" spans="27:53" hidden="1">
      <c r="AQ49" s="38"/>
    </row>
    <row r="50" spans="27:53" ht="63.75" hidden="1">
      <c r="AA50" s="66" t="s">
        <v>43</v>
      </c>
      <c r="AB50" s="67"/>
      <c r="AC50" s="68"/>
      <c r="AD50" s="68"/>
      <c r="AE50" s="68"/>
      <c r="AF50" s="61" t="s">
        <v>55</v>
      </c>
      <c r="AG50" s="61" t="s">
        <v>73</v>
      </c>
      <c r="AH50" s="61" t="s">
        <v>57</v>
      </c>
      <c r="AI50" s="61" t="s">
        <v>58</v>
      </c>
      <c r="AJ50" s="61" t="s">
        <v>59</v>
      </c>
      <c r="AK50" s="61" t="s">
        <v>60</v>
      </c>
      <c r="AL50" s="62" t="s">
        <v>75</v>
      </c>
      <c r="AM50" s="62" t="s">
        <v>76</v>
      </c>
      <c r="AN50" s="62" t="s">
        <v>61</v>
      </c>
      <c r="AO50" s="62" t="s">
        <v>62</v>
      </c>
      <c r="AP50" s="62"/>
      <c r="AQ50" s="43"/>
      <c r="AR50" s="61" t="s">
        <v>55</v>
      </c>
      <c r="AS50" s="61" t="s">
        <v>73</v>
      </c>
      <c r="AT50" s="61" t="s">
        <v>74</v>
      </c>
      <c r="AU50" s="61" t="s">
        <v>58</v>
      </c>
      <c r="AV50" s="61" t="s">
        <v>59</v>
      </c>
      <c r="AW50" s="61" t="s">
        <v>60</v>
      </c>
      <c r="AX50" s="62" t="s">
        <v>75</v>
      </c>
      <c r="AY50" s="62" t="s">
        <v>76</v>
      </c>
      <c r="AZ50" s="63" t="s">
        <v>61</v>
      </c>
      <c r="BA50" s="61" t="s">
        <v>62</v>
      </c>
    </row>
    <row r="51" spans="27:53" hidden="1">
      <c r="AA51" s="69" t="s">
        <v>44</v>
      </c>
      <c r="AB51" s="35"/>
      <c r="AG51" s="70"/>
      <c r="AQ51" s="38"/>
    </row>
    <row r="52" spans="27:53" hidden="1">
      <c r="AA52" s="71" t="s">
        <v>29</v>
      </c>
      <c r="AB52" s="35"/>
      <c r="AF52" s="70" t="e">
        <f t="shared" ref="AF52:AO52" si="10">AF17+AF19+AF20</f>
        <v>#REF!</v>
      </c>
      <c r="AG52" s="70" t="e">
        <f t="shared" si="10"/>
        <v>#REF!</v>
      </c>
      <c r="AH52" s="70" t="e">
        <f t="shared" si="10"/>
        <v>#REF!</v>
      </c>
      <c r="AI52" s="70" t="e">
        <f t="shared" si="10"/>
        <v>#REF!</v>
      </c>
      <c r="AJ52" s="70" t="e">
        <f t="shared" si="10"/>
        <v>#REF!</v>
      </c>
      <c r="AK52" s="70" t="e">
        <f t="shared" si="10"/>
        <v>#REF!</v>
      </c>
      <c r="AL52" s="70" t="e">
        <f t="shared" si="10"/>
        <v>#REF!</v>
      </c>
      <c r="AM52" s="70" t="e">
        <f t="shared" si="10"/>
        <v>#REF!</v>
      </c>
      <c r="AN52" s="70" t="e">
        <f t="shared" si="10"/>
        <v>#REF!</v>
      </c>
      <c r="AO52" s="70" t="e">
        <f t="shared" si="10"/>
        <v>#REF!</v>
      </c>
      <c r="AP52" s="70"/>
      <c r="AQ52" s="70"/>
      <c r="AR52" s="70" t="e">
        <f t="shared" ref="AR52:BA52" si="11">AR17+AR19+AR20</f>
        <v>#REF!</v>
      </c>
      <c r="AS52" s="70" t="e">
        <f t="shared" si="11"/>
        <v>#REF!</v>
      </c>
      <c r="AT52" s="70" t="e">
        <f t="shared" si="11"/>
        <v>#REF!</v>
      </c>
      <c r="AU52" s="70" t="e">
        <f t="shared" si="11"/>
        <v>#REF!</v>
      </c>
      <c r="AV52" s="70" t="e">
        <f t="shared" si="11"/>
        <v>#REF!</v>
      </c>
      <c r="AW52" s="70" t="e">
        <f t="shared" si="11"/>
        <v>#REF!</v>
      </c>
      <c r="AX52" s="70" t="e">
        <f t="shared" si="11"/>
        <v>#REF!</v>
      </c>
      <c r="AY52" s="70" t="e">
        <f t="shared" si="11"/>
        <v>#REF!</v>
      </c>
      <c r="AZ52" s="70" t="e">
        <f t="shared" si="11"/>
        <v>#REF!</v>
      </c>
      <c r="BA52" s="70" t="e">
        <f t="shared" si="11"/>
        <v>#REF!</v>
      </c>
    </row>
    <row r="53" spans="27:53" hidden="1">
      <c r="AA53" s="71" t="s">
        <v>41</v>
      </c>
      <c r="AB53" s="35"/>
      <c r="AF53" s="70" t="e">
        <f t="shared" ref="AF53:AO53" si="12">AF28+AF30+AF31</f>
        <v>#REF!</v>
      </c>
      <c r="AG53" s="70" t="e">
        <f t="shared" si="12"/>
        <v>#REF!</v>
      </c>
      <c r="AH53" s="70" t="e">
        <f t="shared" si="12"/>
        <v>#REF!</v>
      </c>
      <c r="AI53" s="70" t="e">
        <f t="shared" si="12"/>
        <v>#REF!</v>
      </c>
      <c r="AJ53" s="70" t="e">
        <f t="shared" si="12"/>
        <v>#REF!</v>
      </c>
      <c r="AK53" s="70" t="e">
        <f t="shared" si="12"/>
        <v>#REF!</v>
      </c>
      <c r="AL53" s="70" t="e">
        <f t="shared" si="12"/>
        <v>#REF!</v>
      </c>
      <c r="AM53" s="70" t="e">
        <f t="shared" si="12"/>
        <v>#REF!</v>
      </c>
      <c r="AN53" s="70" t="e">
        <f t="shared" si="12"/>
        <v>#REF!</v>
      </c>
      <c r="AO53" s="70" t="e">
        <f t="shared" si="12"/>
        <v>#REF!</v>
      </c>
      <c r="AP53" s="70"/>
      <c r="AQ53" s="70"/>
      <c r="AR53" s="70" t="e">
        <f t="shared" ref="AR53:BA53" si="13">AR28+AR30+AR31</f>
        <v>#REF!</v>
      </c>
      <c r="AS53" s="70" t="e">
        <f t="shared" si="13"/>
        <v>#REF!</v>
      </c>
      <c r="AT53" s="70" t="e">
        <f t="shared" si="13"/>
        <v>#REF!</v>
      </c>
      <c r="AU53" s="70" t="e">
        <f t="shared" si="13"/>
        <v>#REF!</v>
      </c>
      <c r="AV53" s="70" t="e">
        <f t="shared" si="13"/>
        <v>#REF!</v>
      </c>
      <c r="AW53" s="70" t="e">
        <f t="shared" si="13"/>
        <v>#REF!</v>
      </c>
      <c r="AX53" s="70" t="e">
        <f t="shared" si="13"/>
        <v>#REF!</v>
      </c>
      <c r="AY53" s="70" t="e">
        <f t="shared" si="13"/>
        <v>#REF!</v>
      </c>
      <c r="AZ53" s="70" t="e">
        <f t="shared" si="13"/>
        <v>#REF!</v>
      </c>
      <c r="BA53" s="70" t="e">
        <f t="shared" si="13"/>
        <v>#REF!</v>
      </c>
    </row>
    <row r="54" spans="27:53" hidden="1">
      <c r="AA54" s="71" t="s">
        <v>42</v>
      </c>
      <c r="AB54" s="35"/>
      <c r="AF54" s="70" t="e">
        <f t="shared" ref="AF54:AO54" si="14">AF39+AF41+AF42</f>
        <v>#REF!</v>
      </c>
      <c r="AG54" s="70" t="e">
        <f t="shared" si="14"/>
        <v>#REF!</v>
      </c>
      <c r="AH54" s="70" t="e">
        <f t="shared" si="14"/>
        <v>#REF!</v>
      </c>
      <c r="AI54" s="70" t="e">
        <f t="shared" si="14"/>
        <v>#REF!</v>
      </c>
      <c r="AJ54" s="70" t="e">
        <f t="shared" si="14"/>
        <v>#REF!</v>
      </c>
      <c r="AK54" s="70" t="e">
        <f t="shared" si="14"/>
        <v>#REF!</v>
      </c>
      <c r="AL54" s="70" t="e">
        <f t="shared" si="14"/>
        <v>#REF!</v>
      </c>
      <c r="AM54" s="70" t="e">
        <f t="shared" si="14"/>
        <v>#REF!</v>
      </c>
      <c r="AN54" s="70" t="e">
        <f t="shared" si="14"/>
        <v>#REF!</v>
      </c>
      <c r="AO54" s="70" t="e">
        <f t="shared" si="14"/>
        <v>#REF!</v>
      </c>
      <c r="AP54" s="70"/>
      <c r="AQ54" s="70"/>
      <c r="AR54" s="70" t="e">
        <f t="shared" ref="AR54:BA54" si="15">AR39+AR41+AR42</f>
        <v>#REF!</v>
      </c>
      <c r="AS54" s="70" t="e">
        <f t="shared" si="15"/>
        <v>#REF!</v>
      </c>
      <c r="AT54" s="70" t="e">
        <f t="shared" si="15"/>
        <v>#REF!</v>
      </c>
      <c r="AU54" s="70" t="e">
        <f t="shared" si="15"/>
        <v>#REF!</v>
      </c>
      <c r="AV54" s="70" t="e">
        <f t="shared" si="15"/>
        <v>#REF!</v>
      </c>
      <c r="AW54" s="70" t="e">
        <f t="shared" si="15"/>
        <v>#REF!</v>
      </c>
      <c r="AX54" s="70" t="e">
        <f t="shared" si="15"/>
        <v>#REF!</v>
      </c>
      <c r="AY54" s="70" t="e">
        <f t="shared" si="15"/>
        <v>#REF!</v>
      </c>
      <c r="AZ54" s="70" t="e">
        <f t="shared" si="15"/>
        <v>#REF!</v>
      </c>
      <c r="BA54" s="70" t="e">
        <f t="shared" si="15"/>
        <v>#REF!</v>
      </c>
    </row>
    <row r="55" spans="27:53" hidden="1">
      <c r="AA55" s="69" t="s">
        <v>45</v>
      </c>
      <c r="AB55" s="35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</row>
    <row r="56" spans="27:53" hidden="1">
      <c r="AA56" s="71" t="s">
        <v>29</v>
      </c>
      <c r="AB56" s="35"/>
      <c r="AF56" s="70" t="e">
        <f t="shared" ref="AF56:AO56" si="16">AF17+AF19+AF21+AF23</f>
        <v>#REF!</v>
      </c>
      <c r="AG56" s="70" t="e">
        <f t="shared" si="16"/>
        <v>#REF!</v>
      </c>
      <c r="AH56" s="70" t="e">
        <f t="shared" si="16"/>
        <v>#REF!</v>
      </c>
      <c r="AI56" s="70" t="e">
        <f t="shared" si="16"/>
        <v>#REF!</v>
      </c>
      <c r="AJ56" s="70" t="e">
        <f t="shared" si="16"/>
        <v>#REF!</v>
      </c>
      <c r="AK56" s="70" t="e">
        <f t="shared" si="16"/>
        <v>#REF!</v>
      </c>
      <c r="AL56" s="70" t="e">
        <f t="shared" si="16"/>
        <v>#REF!</v>
      </c>
      <c r="AM56" s="70" t="e">
        <f t="shared" si="16"/>
        <v>#REF!</v>
      </c>
      <c r="AN56" s="70" t="e">
        <f t="shared" si="16"/>
        <v>#REF!</v>
      </c>
      <c r="AO56" s="70" t="e">
        <f t="shared" si="16"/>
        <v>#REF!</v>
      </c>
      <c r="AP56" s="70"/>
      <c r="AQ56" s="70"/>
      <c r="AR56" s="70" t="e">
        <f t="shared" ref="AR56:BA56" si="17">AR17+AR19+AR21+AR23</f>
        <v>#REF!</v>
      </c>
      <c r="AS56" s="70" t="e">
        <f t="shared" si="17"/>
        <v>#REF!</v>
      </c>
      <c r="AT56" s="70" t="e">
        <f t="shared" si="17"/>
        <v>#REF!</v>
      </c>
      <c r="AU56" s="70" t="e">
        <f t="shared" si="17"/>
        <v>#REF!</v>
      </c>
      <c r="AV56" s="70" t="e">
        <f t="shared" si="17"/>
        <v>#REF!</v>
      </c>
      <c r="AW56" s="70" t="e">
        <f t="shared" si="17"/>
        <v>#REF!</v>
      </c>
      <c r="AX56" s="70" t="e">
        <f t="shared" si="17"/>
        <v>#REF!</v>
      </c>
      <c r="AY56" s="70" t="e">
        <f t="shared" si="17"/>
        <v>#REF!</v>
      </c>
      <c r="AZ56" s="70" t="e">
        <f t="shared" si="17"/>
        <v>#REF!</v>
      </c>
      <c r="BA56" s="70" t="e">
        <f t="shared" si="17"/>
        <v>#REF!</v>
      </c>
    </row>
    <row r="57" spans="27:53" hidden="1">
      <c r="AA57" s="71" t="s">
        <v>41</v>
      </c>
      <c r="AB57" s="35"/>
      <c r="AF57" s="70" t="e">
        <f t="shared" ref="AF57:AO57" si="18">AF28+AF30+AF32+AF34</f>
        <v>#REF!</v>
      </c>
      <c r="AG57" s="70" t="e">
        <f t="shared" si="18"/>
        <v>#REF!</v>
      </c>
      <c r="AH57" s="70" t="e">
        <f t="shared" si="18"/>
        <v>#REF!</v>
      </c>
      <c r="AI57" s="70" t="e">
        <f t="shared" si="18"/>
        <v>#REF!</v>
      </c>
      <c r="AJ57" s="70" t="e">
        <f t="shared" si="18"/>
        <v>#REF!</v>
      </c>
      <c r="AK57" s="70" t="e">
        <f t="shared" si="18"/>
        <v>#REF!</v>
      </c>
      <c r="AL57" s="70" t="e">
        <f t="shared" si="18"/>
        <v>#REF!</v>
      </c>
      <c r="AM57" s="70" t="e">
        <f t="shared" si="18"/>
        <v>#REF!</v>
      </c>
      <c r="AN57" s="70" t="e">
        <f t="shared" si="18"/>
        <v>#REF!</v>
      </c>
      <c r="AO57" s="70" t="e">
        <f t="shared" si="18"/>
        <v>#REF!</v>
      </c>
      <c r="AP57" s="70"/>
      <c r="AQ57" s="70"/>
      <c r="AR57" s="70" t="e">
        <f t="shared" ref="AR57:BA57" si="19">AR28+AR30+AR32+AR34</f>
        <v>#REF!</v>
      </c>
      <c r="AS57" s="70" t="e">
        <f t="shared" si="19"/>
        <v>#REF!</v>
      </c>
      <c r="AT57" s="70" t="e">
        <f t="shared" si="19"/>
        <v>#REF!</v>
      </c>
      <c r="AU57" s="70" t="e">
        <f t="shared" si="19"/>
        <v>#REF!</v>
      </c>
      <c r="AV57" s="70" t="e">
        <f t="shared" si="19"/>
        <v>#REF!</v>
      </c>
      <c r="AW57" s="70" t="e">
        <f t="shared" si="19"/>
        <v>#REF!</v>
      </c>
      <c r="AX57" s="70" t="e">
        <f t="shared" si="19"/>
        <v>#REF!</v>
      </c>
      <c r="AY57" s="70" t="e">
        <f t="shared" si="19"/>
        <v>#REF!</v>
      </c>
      <c r="AZ57" s="70" t="e">
        <f t="shared" si="19"/>
        <v>#REF!</v>
      </c>
      <c r="BA57" s="70" t="e">
        <f t="shared" si="19"/>
        <v>#REF!</v>
      </c>
    </row>
    <row r="58" spans="27:53" hidden="1">
      <c r="AA58" s="71" t="s">
        <v>42</v>
      </c>
      <c r="AB58" s="35"/>
      <c r="AF58" s="70" t="e">
        <f t="shared" ref="AF58:AO58" si="20">AF39+AF41+AF43+AF45</f>
        <v>#REF!</v>
      </c>
      <c r="AG58" s="70" t="e">
        <f t="shared" si="20"/>
        <v>#REF!</v>
      </c>
      <c r="AH58" s="70" t="e">
        <f t="shared" si="20"/>
        <v>#REF!</v>
      </c>
      <c r="AI58" s="70" t="e">
        <f t="shared" si="20"/>
        <v>#REF!</v>
      </c>
      <c r="AJ58" s="70" t="e">
        <f t="shared" si="20"/>
        <v>#REF!</v>
      </c>
      <c r="AK58" s="70" t="e">
        <f t="shared" si="20"/>
        <v>#REF!</v>
      </c>
      <c r="AL58" s="70" t="e">
        <f t="shared" si="20"/>
        <v>#REF!</v>
      </c>
      <c r="AM58" s="70" t="e">
        <f t="shared" si="20"/>
        <v>#REF!</v>
      </c>
      <c r="AN58" s="70" t="e">
        <f t="shared" si="20"/>
        <v>#REF!</v>
      </c>
      <c r="AO58" s="70" t="e">
        <f t="shared" si="20"/>
        <v>#REF!</v>
      </c>
      <c r="AP58" s="70"/>
      <c r="AQ58" s="70"/>
      <c r="AR58" s="70" t="e">
        <f t="shared" ref="AR58:BA58" si="21">AR39+AR41+AR43+AR45</f>
        <v>#REF!</v>
      </c>
      <c r="AS58" s="70" t="e">
        <f t="shared" si="21"/>
        <v>#REF!</v>
      </c>
      <c r="AT58" s="70" t="e">
        <f t="shared" si="21"/>
        <v>#REF!</v>
      </c>
      <c r="AU58" s="70" t="e">
        <f t="shared" si="21"/>
        <v>#REF!</v>
      </c>
      <c r="AV58" s="70" t="e">
        <f t="shared" si="21"/>
        <v>#REF!</v>
      </c>
      <c r="AW58" s="70" t="e">
        <f t="shared" si="21"/>
        <v>#REF!</v>
      </c>
      <c r="AX58" s="70" t="e">
        <f t="shared" si="21"/>
        <v>#REF!</v>
      </c>
      <c r="AY58" s="70" t="e">
        <f t="shared" si="21"/>
        <v>#REF!</v>
      </c>
      <c r="AZ58" s="70" t="e">
        <f t="shared" si="21"/>
        <v>#REF!</v>
      </c>
      <c r="BA58" s="70" t="e">
        <f t="shared" si="21"/>
        <v>#REF!</v>
      </c>
    </row>
    <row r="59" spans="27:53" hidden="1">
      <c r="AA59" s="69" t="s">
        <v>46</v>
      </c>
      <c r="AB59" s="35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</row>
    <row r="60" spans="27:53" hidden="1">
      <c r="AA60" s="71" t="s">
        <v>29</v>
      </c>
      <c r="AB60" s="35"/>
      <c r="AF60" s="70" t="e">
        <f t="shared" ref="AF60:AO60" si="22">AF17+AF19+AF21+AF22+AF24</f>
        <v>#REF!</v>
      </c>
      <c r="AG60" s="70" t="e">
        <f t="shared" si="22"/>
        <v>#REF!</v>
      </c>
      <c r="AH60" s="70" t="e">
        <f t="shared" si="22"/>
        <v>#REF!</v>
      </c>
      <c r="AI60" s="70" t="e">
        <f t="shared" si="22"/>
        <v>#REF!</v>
      </c>
      <c r="AJ60" s="70" t="e">
        <f t="shared" si="22"/>
        <v>#REF!</v>
      </c>
      <c r="AK60" s="70" t="e">
        <f t="shared" si="22"/>
        <v>#REF!</v>
      </c>
      <c r="AL60" s="70" t="e">
        <f t="shared" si="22"/>
        <v>#REF!</v>
      </c>
      <c r="AM60" s="70" t="e">
        <f t="shared" si="22"/>
        <v>#REF!</v>
      </c>
      <c r="AN60" s="70" t="e">
        <f t="shared" si="22"/>
        <v>#REF!</v>
      </c>
      <c r="AO60" s="70" t="e">
        <f t="shared" si="22"/>
        <v>#REF!</v>
      </c>
      <c r="AP60" s="70"/>
      <c r="AQ60" s="70"/>
      <c r="AR60" s="70" t="e">
        <f t="shared" ref="AR60:BA60" si="23">AR17+AR19+AR21+AR22+AR24</f>
        <v>#REF!</v>
      </c>
      <c r="AS60" s="70" t="e">
        <f t="shared" si="23"/>
        <v>#REF!</v>
      </c>
      <c r="AT60" s="70" t="e">
        <f t="shared" si="23"/>
        <v>#REF!</v>
      </c>
      <c r="AU60" s="70" t="e">
        <f t="shared" si="23"/>
        <v>#REF!</v>
      </c>
      <c r="AV60" s="70" t="e">
        <f t="shared" si="23"/>
        <v>#REF!</v>
      </c>
      <c r="AW60" s="70" t="e">
        <f t="shared" si="23"/>
        <v>#REF!</v>
      </c>
      <c r="AX60" s="70" t="e">
        <f t="shared" si="23"/>
        <v>#REF!</v>
      </c>
      <c r="AY60" s="70" t="e">
        <f t="shared" si="23"/>
        <v>#REF!</v>
      </c>
      <c r="AZ60" s="70" t="e">
        <f t="shared" si="23"/>
        <v>#REF!</v>
      </c>
      <c r="BA60" s="70" t="e">
        <f t="shared" si="23"/>
        <v>#REF!</v>
      </c>
    </row>
    <row r="61" spans="27:53" hidden="1">
      <c r="AA61" s="71" t="s">
        <v>41</v>
      </c>
      <c r="AB61" s="35"/>
      <c r="AF61" s="70" t="e">
        <f t="shared" ref="AF61:AO61" si="24">AF28+AF30+AF32+AF33+AF35</f>
        <v>#REF!</v>
      </c>
      <c r="AG61" s="70" t="e">
        <f t="shared" si="24"/>
        <v>#REF!</v>
      </c>
      <c r="AH61" s="70" t="e">
        <f t="shared" si="24"/>
        <v>#REF!</v>
      </c>
      <c r="AI61" s="70" t="e">
        <f t="shared" si="24"/>
        <v>#REF!</v>
      </c>
      <c r="AJ61" s="70" t="e">
        <f t="shared" si="24"/>
        <v>#REF!</v>
      </c>
      <c r="AK61" s="70" t="e">
        <f t="shared" si="24"/>
        <v>#REF!</v>
      </c>
      <c r="AL61" s="70" t="e">
        <f t="shared" si="24"/>
        <v>#REF!</v>
      </c>
      <c r="AM61" s="70" t="e">
        <f t="shared" si="24"/>
        <v>#REF!</v>
      </c>
      <c r="AN61" s="70" t="e">
        <f t="shared" si="24"/>
        <v>#REF!</v>
      </c>
      <c r="AO61" s="70" t="e">
        <f t="shared" si="24"/>
        <v>#REF!</v>
      </c>
      <c r="AP61" s="70"/>
      <c r="AQ61" s="70"/>
      <c r="AR61" s="70" t="e">
        <f t="shared" ref="AR61:BA61" si="25">AR28+AR30+AR32+AR33+AR35</f>
        <v>#REF!</v>
      </c>
      <c r="AS61" s="70" t="e">
        <f t="shared" si="25"/>
        <v>#REF!</v>
      </c>
      <c r="AT61" s="70" t="e">
        <f t="shared" si="25"/>
        <v>#REF!</v>
      </c>
      <c r="AU61" s="70" t="e">
        <f t="shared" si="25"/>
        <v>#REF!</v>
      </c>
      <c r="AV61" s="70" t="e">
        <f t="shared" si="25"/>
        <v>#REF!</v>
      </c>
      <c r="AW61" s="70" t="e">
        <f t="shared" si="25"/>
        <v>#REF!</v>
      </c>
      <c r="AX61" s="70" t="e">
        <f t="shared" si="25"/>
        <v>#REF!</v>
      </c>
      <c r="AY61" s="70" t="e">
        <f t="shared" si="25"/>
        <v>#REF!</v>
      </c>
      <c r="AZ61" s="70" t="e">
        <f t="shared" si="25"/>
        <v>#REF!</v>
      </c>
      <c r="BA61" s="70" t="e">
        <f t="shared" si="25"/>
        <v>#REF!</v>
      </c>
    </row>
    <row r="62" spans="27:53" hidden="1">
      <c r="AA62" s="71" t="s">
        <v>42</v>
      </c>
      <c r="AB62" s="35"/>
      <c r="AF62" s="70" t="e">
        <f t="shared" ref="AF62:AO62" si="26">AF39+AF41+AF43+AF44+AF46</f>
        <v>#REF!</v>
      </c>
      <c r="AG62" s="70" t="e">
        <f t="shared" si="26"/>
        <v>#REF!</v>
      </c>
      <c r="AH62" s="70" t="e">
        <f t="shared" si="26"/>
        <v>#REF!</v>
      </c>
      <c r="AI62" s="70" t="e">
        <f t="shared" si="26"/>
        <v>#REF!</v>
      </c>
      <c r="AJ62" s="70" t="e">
        <f t="shared" si="26"/>
        <v>#REF!</v>
      </c>
      <c r="AK62" s="70" t="e">
        <f t="shared" si="26"/>
        <v>#REF!</v>
      </c>
      <c r="AL62" s="70" t="e">
        <f t="shared" si="26"/>
        <v>#REF!</v>
      </c>
      <c r="AM62" s="70" t="e">
        <f t="shared" si="26"/>
        <v>#REF!</v>
      </c>
      <c r="AN62" s="70" t="e">
        <f t="shared" si="26"/>
        <v>#REF!</v>
      </c>
      <c r="AO62" s="70" t="e">
        <f t="shared" si="26"/>
        <v>#REF!</v>
      </c>
      <c r="AP62" s="70"/>
      <c r="AQ62" s="70"/>
      <c r="AR62" s="70" t="e">
        <f t="shared" ref="AR62:BA62" si="27">AR39+AR41+AR43+AR44+AR46</f>
        <v>#REF!</v>
      </c>
      <c r="AS62" s="70" t="e">
        <f t="shared" si="27"/>
        <v>#REF!</v>
      </c>
      <c r="AT62" s="70" t="e">
        <f t="shared" si="27"/>
        <v>#REF!</v>
      </c>
      <c r="AU62" s="70" t="e">
        <f t="shared" si="27"/>
        <v>#REF!</v>
      </c>
      <c r="AV62" s="70" t="e">
        <f t="shared" si="27"/>
        <v>#REF!</v>
      </c>
      <c r="AW62" s="70" t="e">
        <f t="shared" si="27"/>
        <v>#REF!</v>
      </c>
      <c r="AX62" s="70" t="e">
        <f t="shared" si="27"/>
        <v>#REF!</v>
      </c>
      <c r="AY62" s="70" t="e">
        <f t="shared" si="27"/>
        <v>#REF!</v>
      </c>
      <c r="AZ62" s="70" t="e">
        <f t="shared" si="27"/>
        <v>#REF!</v>
      </c>
      <c r="BA62" s="70" t="e">
        <f t="shared" si="27"/>
        <v>#REF!</v>
      </c>
    </row>
    <row r="63" spans="27:53" hidden="1">
      <c r="AA63" s="69" t="s">
        <v>47</v>
      </c>
      <c r="AB63" s="35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</row>
    <row r="64" spans="27:53" hidden="1">
      <c r="AA64" s="71" t="s">
        <v>29</v>
      </c>
      <c r="AB64" s="35"/>
      <c r="AF64" s="70" t="e">
        <f t="shared" ref="AF64:AO64" si="28">AF17+AF19+AF21+AF22+AF25</f>
        <v>#REF!</v>
      </c>
      <c r="AG64" s="70" t="e">
        <f t="shared" si="28"/>
        <v>#REF!</v>
      </c>
      <c r="AH64" s="70" t="e">
        <f t="shared" si="28"/>
        <v>#REF!</v>
      </c>
      <c r="AI64" s="70" t="e">
        <f t="shared" si="28"/>
        <v>#REF!</v>
      </c>
      <c r="AJ64" s="70" t="e">
        <f t="shared" si="28"/>
        <v>#REF!</v>
      </c>
      <c r="AK64" s="70" t="e">
        <f t="shared" si="28"/>
        <v>#REF!</v>
      </c>
      <c r="AL64" s="70" t="e">
        <f t="shared" si="28"/>
        <v>#REF!</v>
      </c>
      <c r="AM64" s="70" t="e">
        <f t="shared" si="28"/>
        <v>#REF!</v>
      </c>
      <c r="AN64" s="70" t="e">
        <f t="shared" si="28"/>
        <v>#REF!</v>
      </c>
      <c r="AO64" s="70" t="e">
        <f t="shared" si="28"/>
        <v>#REF!</v>
      </c>
      <c r="AP64" s="70"/>
      <c r="AQ64" s="70"/>
      <c r="AR64" s="70" t="e">
        <f t="shared" ref="AR64:BA64" si="29">AR17+AR19+AR21+AR22+AR25</f>
        <v>#REF!</v>
      </c>
      <c r="AS64" s="70" t="e">
        <f t="shared" si="29"/>
        <v>#REF!</v>
      </c>
      <c r="AT64" s="70" t="e">
        <f t="shared" si="29"/>
        <v>#REF!</v>
      </c>
      <c r="AU64" s="70" t="e">
        <f t="shared" si="29"/>
        <v>#REF!</v>
      </c>
      <c r="AV64" s="70" t="e">
        <f t="shared" si="29"/>
        <v>#REF!</v>
      </c>
      <c r="AW64" s="70" t="e">
        <f t="shared" si="29"/>
        <v>#REF!</v>
      </c>
      <c r="AX64" s="70" t="e">
        <f t="shared" si="29"/>
        <v>#REF!</v>
      </c>
      <c r="AY64" s="70" t="e">
        <f t="shared" si="29"/>
        <v>#REF!</v>
      </c>
      <c r="AZ64" s="70" t="e">
        <f t="shared" si="29"/>
        <v>#REF!</v>
      </c>
      <c r="BA64" s="70" t="e">
        <f t="shared" si="29"/>
        <v>#REF!</v>
      </c>
    </row>
    <row r="65" spans="27:53" hidden="1">
      <c r="AA65" s="71" t="s">
        <v>41</v>
      </c>
      <c r="AB65" s="35"/>
      <c r="AF65" s="70" t="e">
        <f t="shared" ref="AF65:AO65" si="30">AF28+AF30+AF32+AF33+AF36</f>
        <v>#REF!</v>
      </c>
      <c r="AG65" s="70" t="e">
        <f t="shared" si="30"/>
        <v>#REF!</v>
      </c>
      <c r="AH65" s="70" t="e">
        <f t="shared" si="30"/>
        <v>#REF!</v>
      </c>
      <c r="AI65" s="70" t="e">
        <f t="shared" si="30"/>
        <v>#REF!</v>
      </c>
      <c r="AJ65" s="70" t="e">
        <f t="shared" si="30"/>
        <v>#REF!</v>
      </c>
      <c r="AK65" s="70" t="e">
        <f t="shared" si="30"/>
        <v>#REF!</v>
      </c>
      <c r="AL65" s="70" t="e">
        <f t="shared" si="30"/>
        <v>#REF!</v>
      </c>
      <c r="AM65" s="70" t="e">
        <f t="shared" si="30"/>
        <v>#REF!</v>
      </c>
      <c r="AN65" s="70" t="e">
        <f t="shared" si="30"/>
        <v>#REF!</v>
      </c>
      <c r="AO65" s="70" t="e">
        <f t="shared" si="30"/>
        <v>#REF!</v>
      </c>
      <c r="AP65" s="70"/>
      <c r="AQ65" s="70"/>
      <c r="AR65" s="70" t="e">
        <f t="shared" ref="AR65:BA65" si="31">AR28+AR30+AR32+AR33+AR36</f>
        <v>#REF!</v>
      </c>
      <c r="AS65" s="70" t="e">
        <f t="shared" si="31"/>
        <v>#REF!</v>
      </c>
      <c r="AT65" s="70" t="e">
        <f t="shared" si="31"/>
        <v>#REF!</v>
      </c>
      <c r="AU65" s="70" t="e">
        <f t="shared" si="31"/>
        <v>#REF!</v>
      </c>
      <c r="AV65" s="70" t="e">
        <f t="shared" si="31"/>
        <v>#REF!</v>
      </c>
      <c r="AW65" s="70" t="e">
        <f t="shared" si="31"/>
        <v>#REF!</v>
      </c>
      <c r="AX65" s="70" t="e">
        <f t="shared" si="31"/>
        <v>#REF!</v>
      </c>
      <c r="AY65" s="70" t="e">
        <f t="shared" si="31"/>
        <v>#REF!</v>
      </c>
      <c r="AZ65" s="70" t="e">
        <f t="shared" si="31"/>
        <v>#REF!</v>
      </c>
      <c r="BA65" s="70" t="e">
        <f t="shared" si="31"/>
        <v>#REF!</v>
      </c>
    </row>
    <row r="66" spans="27:53" hidden="1">
      <c r="AA66" s="71" t="s">
        <v>42</v>
      </c>
      <c r="AB66" s="35"/>
      <c r="AF66" s="70" t="e">
        <f t="shared" ref="AF66:AO66" si="32">AF39+AF41+AF43+AF44+AF47</f>
        <v>#REF!</v>
      </c>
      <c r="AG66" s="70" t="e">
        <f t="shared" si="32"/>
        <v>#REF!</v>
      </c>
      <c r="AH66" s="70" t="e">
        <f t="shared" si="32"/>
        <v>#REF!</v>
      </c>
      <c r="AI66" s="70" t="e">
        <f t="shared" si="32"/>
        <v>#REF!</v>
      </c>
      <c r="AJ66" s="70" t="e">
        <f t="shared" si="32"/>
        <v>#REF!</v>
      </c>
      <c r="AK66" s="70" t="e">
        <f t="shared" si="32"/>
        <v>#REF!</v>
      </c>
      <c r="AL66" s="70" t="e">
        <f t="shared" si="32"/>
        <v>#REF!</v>
      </c>
      <c r="AM66" s="70" t="e">
        <f t="shared" si="32"/>
        <v>#REF!</v>
      </c>
      <c r="AN66" s="70" t="e">
        <f t="shared" si="32"/>
        <v>#REF!</v>
      </c>
      <c r="AO66" s="70" t="e">
        <f t="shared" si="32"/>
        <v>#REF!</v>
      </c>
      <c r="AP66" s="70"/>
      <c r="AQ66" s="70"/>
      <c r="AR66" s="70" t="e">
        <f t="shared" ref="AR66:BA66" si="33">AR39+AR41+AR43+AR44+AR47</f>
        <v>#REF!</v>
      </c>
      <c r="AS66" s="70" t="e">
        <f t="shared" si="33"/>
        <v>#REF!</v>
      </c>
      <c r="AT66" s="70" t="e">
        <f t="shared" si="33"/>
        <v>#REF!</v>
      </c>
      <c r="AU66" s="70" t="e">
        <f t="shared" si="33"/>
        <v>#REF!</v>
      </c>
      <c r="AV66" s="70" t="e">
        <f t="shared" si="33"/>
        <v>#REF!</v>
      </c>
      <c r="AW66" s="70" t="e">
        <f t="shared" si="33"/>
        <v>#REF!</v>
      </c>
      <c r="AX66" s="70" t="e">
        <f t="shared" si="33"/>
        <v>#REF!</v>
      </c>
      <c r="AY66" s="70" t="e">
        <f t="shared" si="33"/>
        <v>#REF!</v>
      </c>
      <c r="AZ66" s="70" t="e">
        <f t="shared" si="33"/>
        <v>#REF!</v>
      </c>
      <c r="BA66" s="70" t="e">
        <f t="shared" si="33"/>
        <v>#REF!</v>
      </c>
    </row>
    <row r="67" spans="27:53" hidden="1">
      <c r="AA67" s="69" t="s">
        <v>48</v>
      </c>
      <c r="AB67" s="35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</row>
    <row r="68" spans="27:53" hidden="1">
      <c r="AA68" s="71" t="s">
        <v>29</v>
      </c>
      <c r="AB68" s="35"/>
      <c r="AF68" s="70" t="e">
        <f t="shared" ref="AF68:AO68" si="34">AF17+AF18+AF23</f>
        <v>#REF!</v>
      </c>
      <c r="AG68" s="70" t="e">
        <f t="shared" si="34"/>
        <v>#REF!</v>
      </c>
      <c r="AH68" s="70" t="e">
        <f t="shared" si="34"/>
        <v>#REF!</v>
      </c>
      <c r="AI68" s="70" t="e">
        <f t="shared" si="34"/>
        <v>#REF!</v>
      </c>
      <c r="AJ68" s="70" t="e">
        <f t="shared" si="34"/>
        <v>#REF!</v>
      </c>
      <c r="AK68" s="70" t="e">
        <f t="shared" si="34"/>
        <v>#REF!</v>
      </c>
      <c r="AL68" s="70" t="e">
        <f t="shared" si="34"/>
        <v>#REF!</v>
      </c>
      <c r="AM68" s="70" t="e">
        <f t="shared" si="34"/>
        <v>#REF!</v>
      </c>
      <c r="AN68" s="70" t="e">
        <f t="shared" si="34"/>
        <v>#REF!</v>
      </c>
      <c r="AO68" s="70" t="e">
        <f t="shared" si="34"/>
        <v>#REF!</v>
      </c>
      <c r="AP68" s="70"/>
      <c r="AQ68" s="70"/>
      <c r="AR68" s="70" t="e">
        <f t="shared" ref="AR68:BA68" si="35">AR17+AR18+AR23</f>
        <v>#REF!</v>
      </c>
      <c r="AS68" s="70" t="e">
        <f t="shared" si="35"/>
        <v>#REF!</v>
      </c>
      <c r="AT68" s="70" t="e">
        <f t="shared" si="35"/>
        <v>#REF!</v>
      </c>
      <c r="AU68" s="70" t="e">
        <f t="shared" si="35"/>
        <v>#REF!</v>
      </c>
      <c r="AV68" s="70" t="e">
        <f t="shared" si="35"/>
        <v>#REF!</v>
      </c>
      <c r="AW68" s="70" t="e">
        <f t="shared" si="35"/>
        <v>#REF!</v>
      </c>
      <c r="AX68" s="70" t="e">
        <f t="shared" si="35"/>
        <v>#REF!</v>
      </c>
      <c r="AY68" s="70" t="e">
        <f t="shared" si="35"/>
        <v>#REF!</v>
      </c>
      <c r="AZ68" s="70" t="e">
        <f t="shared" si="35"/>
        <v>#REF!</v>
      </c>
      <c r="BA68" s="70" t="e">
        <f t="shared" si="35"/>
        <v>#REF!</v>
      </c>
    </row>
    <row r="69" spans="27:53" hidden="1">
      <c r="AA69" s="71" t="s">
        <v>41</v>
      </c>
      <c r="AB69" s="35"/>
      <c r="AF69" s="70" t="e">
        <f t="shared" ref="AF69:AO69" si="36">AF28+AF29+AF34</f>
        <v>#REF!</v>
      </c>
      <c r="AG69" s="70" t="e">
        <f t="shared" si="36"/>
        <v>#REF!</v>
      </c>
      <c r="AH69" s="70" t="e">
        <f t="shared" si="36"/>
        <v>#REF!</v>
      </c>
      <c r="AI69" s="70" t="e">
        <f t="shared" si="36"/>
        <v>#REF!</v>
      </c>
      <c r="AJ69" s="70" t="e">
        <f t="shared" si="36"/>
        <v>#REF!</v>
      </c>
      <c r="AK69" s="70" t="e">
        <f t="shared" si="36"/>
        <v>#REF!</v>
      </c>
      <c r="AL69" s="70" t="e">
        <f t="shared" si="36"/>
        <v>#REF!</v>
      </c>
      <c r="AM69" s="70" t="e">
        <f t="shared" si="36"/>
        <v>#REF!</v>
      </c>
      <c r="AN69" s="70" t="e">
        <f t="shared" si="36"/>
        <v>#REF!</v>
      </c>
      <c r="AO69" s="70" t="e">
        <f t="shared" si="36"/>
        <v>#REF!</v>
      </c>
      <c r="AP69" s="70"/>
      <c r="AQ69" s="70"/>
      <c r="AR69" s="70" t="e">
        <f t="shared" ref="AR69:BA69" si="37">AR28+AR29+AR34</f>
        <v>#REF!</v>
      </c>
      <c r="AS69" s="70" t="e">
        <f t="shared" si="37"/>
        <v>#REF!</v>
      </c>
      <c r="AT69" s="70" t="e">
        <f t="shared" si="37"/>
        <v>#REF!</v>
      </c>
      <c r="AU69" s="70" t="e">
        <f t="shared" si="37"/>
        <v>#REF!</v>
      </c>
      <c r="AV69" s="70" t="e">
        <f t="shared" si="37"/>
        <v>#REF!</v>
      </c>
      <c r="AW69" s="70" t="e">
        <f t="shared" si="37"/>
        <v>#REF!</v>
      </c>
      <c r="AX69" s="70" t="e">
        <f t="shared" si="37"/>
        <v>#REF!</v>
      </c>
      <c r="AY69" s="70" t="e">
        <f t="shared" si="37"/>
        <v>#REF!</v>
      </c>
      <c r="AZ69" s="70" t="e">
        <f t="shared" si="37"/>
        <v>#REF!</v>
      </c>
      <c r="BA69" s="70" t="e">
        <f t="shared" si="37"/>
        <v>#REF!</v>
      </c>
    </row>
    <row r="70" spans="27:53" hidden="1">
      <c r="AA70" s="71" t="s">
        <v>42</v>
      </c>
      <c r="AB70" s="35"/>
      <c r="AF70" s="70" t="e">
        <f t="shared" ref="AF70:AO70" si="38">AF39+AF40+AF45</f>
        <v>#REF!</v>
      </c>
      <c r="AG70" s="70" t="e">
        <f t="shared" si="38"/>
        <v>#REF!</v>
      </c>
      <c r="AH70" s="70" t="e">
        <f t="shared" si="38"/>
        <v>#REF!</v>
      </c>
      <c r="AI70" s="70" t="e">
        <f t="shared" si="38"/>
        <v>#REF!</v>
      </c>
      <c r="AJ70" s="70" t="e">
        <f t="shared" si="38"/>
        <v>#REF!</v>
      </c>
      <c r="AK70" s="70" t="e">
        <f t="shared" si="38"/>
        <v>#REF!</v>
      </c>
      <c r="AL70" s="70" t="e">
        <f t="shared" si="38"/>
        <v>#REF!</v>
      </c>
      <c r="AM70" s="70" t="e">
        <f t="shared" si="38"/>
        <v>#REF!</v>
      </c>
      <c r="AN70" s="70" t="e">
        <f t="shared" si="38"/>
        <v>#REF!</v>
      </c>
      <c r="AO70" s="70" t="e">
        <f t="shared" si="38"/>
        <v>#REF!</v>
      </c>
      <c r="AP70" s="70"/>
      <c r="AQ70" s="70"/>
      <c r="AR70" s="70" t="e">
        <f t="shared" ref="AR70:BA70" si="39">AR39+AR40+AR45</f>
        <v>#REF!</v>
      </c>
      <c r="AS70" s="70" t="e">
        <f t="shared" si="39"/>
        <v>#REF!</v>
      </c>
      <c r="AT70" s="70" t="e">
        <f t="shared" si="39"/>
        <v>#REF!</v>
      </c>
      <c r="AU70" s="70" t="e">
        <f t="shared" si="39"/>
        <v>#REF!</v>
      </c>
      <c r="AV70" s="70" t="e">
        <f t="shared" si="39"/>
        <v>#REF!</v>
      </c>
      <c r="AW70" s="70" t="e">
        <f t="shared" si="39"/>
        <v>#REF!</v>
      </c>
      <c r="AX70" s="70" t="e">
        <f t="shared" si="39"/>
        <v>#REF!</v>
      </c>
      <c r="AY70" s="70" t="e">
        <f t="shared" si="39"/>
        <v>#REF!</v>
      </c>
      <c r="AZ70" s="70" t="e">
        <f t="shared" si="39"/>
        <v>#REF!</v>
      </c>
      <c r="BA70" s="70" t="e">
        <f t="shared" si="39"/>
        <v>#REF!</v>
      </c>
    </row>
    <row r="71" spans="27:53" hidden="1">
      <c r="AA71" s="72" t="s">
        <v>49</v>
      </c>
      <c r="AB71" s="35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</row>
    <row r="72" spans="27:53" hidden="1">
      <c r="AA72" s="71" t="s">
        <v>29</v>
      </c>
      <c r="AB72" s="35"/>
      <c r="AF72" s="70" t="e">
        <f t="shared" ref="AF72:AO72" si="40">AF17+AF18+AF22+AF24</f>
        <v>#REF!</v>
      </c>
      <c r="AG72" s="70" t="e">
        <f t="shared" si="40"/>
        <v>#REF!</v>
      </c>
      <c r="AH72" s="70" t="e">
        <f t="shared" si="40"/>
        <v>#REF!</v>
      </c>
      <c r="AI72" s="70" t="e">
        <f t="shared" si="40"/>
        <v>#REF!</v>
      </c>
      <c r="AJ72" s="70" t="e">
        <f t="shared" si="40"/>
        <v>#REF!</v>
      </c>
      <c r="AK72" s="70" t="e">
        <f t="shared" si="40"/>
        <v>#REF!</v>
      </c>
      <c r="AL72" s="70" t="e">
        <f t="shared" si="40"/>
        <v>#REF!</v>
      </c>
      <c r="AM72" s="70" t="e">
        <f t="shared" si="40"/>
        <v>#REF!</v>
      </c>
      <c r="AN72" s="70" t="e">
        <f t="shared" si="40"/>
        <v>#REF!</v>
      </c>
      <c r="AO72" s="70" t="e">
        <f t="shared" si="40"/>
        <v>#REF!</v>
      </c>
      <c r="AP72" s="70"/>
      <c r="AQ72" s="70"/>
      <c r="AR72" s="70" t="e">
        <f t="shared" ref="AR72:BA72" si="41">AR17+AR18+AR22+AR24</f>
        <v>#REF!</v>
      </c>
      <c r="AS72" s="70" t="e">
        <f t="shared" si="41"/>
        <v>#REF!</v>
      </c>
      <c r="AT72" s="70" t="e">
        <f t="shared" si="41"/>
        <v>#REF!</v>
      </c>
      <c r="AU72" s="70" t="e">
        <f t="shared" si="41"/>
        <v>#REF!</v>
      </c>
      <c r="AV72" s="70" t="e">
        <f t="shared" si="41"/>
        <v>#REF!</v>
      </c>
      <c r="AW72" s="70" t="e">
        <f t="shared" si="41"/>
        <v>#REF!</v>
      </c>
      <c r="AX72" s="70" t="e">
        <f t="shared" si="41"/>
        <v>#REF!</v>
      </c>
      <c r="AY72" s="70" t="e">
        <f t="shared" si="41"/>
        <v>#REF!</v>
      </c>
      <c r="AZ72" s="70" t="e">
        <f t="shared" si="41"/>
        <v>#REF!</v>
      </c>
      <c r="BA72" s="70" t="e">
        <f t="shared" si="41"/>
        <v>#REF!</v>
      </c>
    </row>
    <row r="73" spans="27:53" hidden="1">
      <c r="AA73" s="71" t="s">
        <v>41</v>
      </c>
      <c r="AB73" s="35"/>
      <c r="AF73" s="70" t="e">
        <f t="shared" ref="AF73:AO73" si="42">AF28+AF29+AF33+AF35</f>
        <v>#REF!</v>
      </c>
      <c r="AG73" s="70" t="e">
        <f t="shared" si="42"/>
        <v>#REF!</v>
      </c>
      <c r="AH73" s="70" t="e">
        <f t="shared" si="42"/>
        <v>#REF!</v>
      </c>
      <c r="AI73" s="70" t="e">
        <f t="shared" si="42"/>
        <v>#REF!</v>
      </c>
      <c r="AJ73" s="70" t="e">
        <f t="shared" si="42"/>
        <v>#REF!</v>
      </c>
      <c r="AK73" s="70" t="e">
        <f t="shared" si="42"/>
        <v>#REF!</v>
      </c>
      <c r="AL73" s="70" t="e">
        <f t="shared" si="42"/>
        <v>#REF!</v>
      </c>
      <c r="AM73" s="70" t="e">
        <f t="shared" si="42"/>
        <v>#REF!</v>
      </c>
      <c r="AN73" s="70" t="e">
        <f t="shared" si="42"/>
        <v>#REF!</v>
      </c>
      <c r="AO73" s="70" t="e">
        <f t="shared" si="42"/>
        <v>#REF!</v>
      </c>
      <c r="AP73" s="70"/>
      <c r="AQ73" s="70"/>
      <c r="AR73" s="70" t="e">
        <f t="shared" ref="AR73:BA73" si="43">AR28+AR29+AR33+AR35</f>
        <v>#REF!</v>
      </c>
      <c r="AS73" s="70" t="e">
        <f t="shared" si="43"/>
        <v>#REF!</v>
      </c>
      <c r="AT73" s="70" t="e">
        <f t="shared" si="43"/>
        <v>#REF!</v>
      </c>
      <c r="AU73" s="70" t="e">
        <f t="shared" si="43"/>
        <v>#REF!</v>
      </c>
      <c r="AV73" s="70" t="e">
        <f t="shared" si="43"/>
        <v>#REF!</v>
      </c>
      <c r="AW73" s="70" t="e">
        <f t="shared" si="43"/>
        <v>#REF!</v>
      </c>
      <c r="AX73" s="70" t="e">
        <f t="shared" si="43"/>
        <v>#REF!</v>
      </c>
      <c r="AY73" s="70" t="e">
        <f t="shared" si="43"/>
        <v>#REF!</v>
      </c>
      <c r="AZ73" s="70" t="e">
        <f t="shared" si="43"/>
        <v>#REF!</v>
      </c>
      <c r="BA73" s="70" t="e">
        <f t="shared" si="43"/>
        <v>#REF!</v>
      </c>
    </row>
    <row r="74" spans="27:53" hidden="1">
      <c r="AA74" s="71" t="s">
        <v>42</v>
      </c>
      <c r="AB74" s="35"/>
      <c r="AF74" s="70" t="e">
        <f t="shared" ref="AF74:AO74" si="44">AF39+AF40+AF44+AF46</f>
        <v>#REF!</v>
      </c>
      <c r="AG74" s="70" t="e">
        <f t="shared" si="44"/>
        <v>#REF!</v>
      </c>
      <c r="AH74" s="70" t="e">
        <f t="shared" si="44"/>
        <v>#REF!</v>
      </c>
      <c r="AI74" s="70" t="e">
        <f t="shared" si="44"/>
        <v>#REF!</v>
      </c>
      <c r="AJ74" s="70" t="e">
        <f t="shared" si="44"/>
        <v>#REF!</v>
      </c>
      <c r="AK74" s="70" t="e">
        <f t="shared" si="44"/>
        <v>#REF!</v>
      </c>
      <c r="AL74" s="70" t="e">
        <f t="shared" si="44"/>
        <v>#REF!</v>
      </c>
      <c r="AM74" s="70" t="e">
        <f t="shared" si="44"/>
        <v>#REF!</v>
      </c>
      <c r="AN74" s="70" t="e">
        <f t="shared" si="44"/>
        <v>#REF!</v>
      </c>
      <c r="AO74" s="70" t="e">
        <f t="shared" si="44"/>
        <v>#REF!</v>
      </c>
      <c r="AP74" s="70"/>
      <c r="AQ74" s="70"/>
      <c r="AR74" s="70" t="e">
        <f t="shared" ref="AR74:BA74" si="45">AR39+AR40+AR44+AR46</f>
        <v>#REF!</v>
      </c>
      <c r="AS74" s="70" t="e">
        <f t="shared" si="45"/>
        <v>#REF!</v>
      </c>
      <c r="AT74" s="70" t="e">
        <f t="shared" si="45"/>
        <v>#REF!</v>
      </c>
      <c r="AU74" s="70" t="e">
        <f t="shared" si="45"/>
        <v>#REF!</v>
      </c>
      <c r="AV74" s="70" t="e">
        <f t="shared" si="45"/>
        <v>#REF!</v>
      </c>
      <c r="AW74" s="70" t="e">
        <f t="shared" si="45"/>
        <v>#REF!</v>
      </c>
      <c r="AX74" s="70" t="e">
        <f t="shared" si="45"/>
        <v>#REF!</v>
      </c>
      <c r="AY74" s="70" t="e">
        <f t="shared" si="45"/>
        <v>#REF!</v>
      </c>
      <c r="AZ74" s="70" t="e">
        <f t="shared" si="45"/>
        <v>#REF!</v>
      </c>
      <c r="BA74" s="70" t="e">
        <f t="shared" si="45"/>
        <v>#REF!</v>
      </c>
    </row>
    <row r="75" spans="27:53" hidden="1">
      <c r="AA75" s="69" t="s">
        <v>50</v>
      </c>
      <c r="AB75" s="35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</row>
    <row r="76" spans="27:53" hidden="1">
      <c r="AA76" s="71" t="s">
        <v>29</v>
      </c>
      <c r="AB76" s="35"/>
      <c r="AF76" s="70" t="e">
        <f t="shared" ref="AF76:AO76" si="46">AF17+AF18+AF22+AF25</f>
        <v>#REF!</v>
      </c>
      <c r="AG76" s="70" t="e">
        <f t="shared" si="46"/>
        <v>#REF!</v>
      </c>
      <c r="AH76" s="70" t="e">
        <f t="shared" si="46"/>
        <v>#REF!</v>
      </c>
      <c r="AI76" s="70" t="e">
        <f t="shared" si="46"/>
        <v>#REF!</v>
      </c>
      <c r="AJ76" s="70" t="e">
        <f t="shared" si="46"/>
        <v>#REF!</v>
      </c>
      <c r="AK76" s="70" t="e">
        <f t="shared" si="46"/>
        <v>#REF!</v>
      </c>
      <c r="AL76" s="70" t="e">
        <f t="shared" si="46"/>
        <v>#REF!</v>
      </c>
      <c r="AM76" s="70" t="e">
        <f t="shared" si="46"/>
        <v>#REF!</v>
      </c>
      <c r="AN76" s="70" t="e">
        <f t="shared" si="46"/>
        <v>#REF!</v>
      </c>
      <c r="AO76" s="70" t="e">
        <f t="shared" si="46"/>
        <v>#REF!</v>
      </c>
      <c r="AP76" s="70"/>
      <c r="AQ76" s="70"/>
      <c r="AR76" s="70" t="e">
        <f t="shared" ref="AR76:BA76" si="47">AR17+AR18+AR22+AR25</f>
        <v>#REF!</v>
      </c>
      <c r="AS76" s="70" t="e">
        <f t="shared" si="47"/>
        <v>#REF!</v>
      </c>
      <c r="AT76" s="70" t="e">
        <f t="shared" si="47"/>
        <v>#REF!</v>
      </c>
      <c r="AU76" s="70" t="e">
        <f t="shared" si="47"/>
        <v>#REF!</v>
      </c>
      <c r="AV76" s="70" t="e">
        <f t="shared" si="47"/>
        <v>#REF!</v>
      </c>
      <c r="AW76" s="70" t="e">
        <f t="shared" si="47"/>
        <v>#REF!</v>
      </c>
      <c r="AX76" s="70" t="e">
        <f t="shared" si="47"/>
        <v>#REF!</v>
      </c>
      <c r="AY76" s="70" t="e">
        <f t="shared" si="47"/>
        <v>#REF!</v>
      </c>
      <c r="AZ76" s="70" t="e">
        <f t="shared" si="47"/>
        <v>#REF!</v>
      </c>
      <c r="BA76" s="70" t="e">
        <f t="shared" si="47"/>
        <v>#REF!</v>
      </c>
    </row>
    <row r="77" spans="27:53" hidden="1">
      <c r="AA77" s="71" t="s">
        <v>41</v>
      </c>
      <c r="AB77" s="35"/>
      <c r="AF77" s="70" t="e">
        <f t="shared" ref="AF77:AO77" si="48">AF28+AF29+AF33+AF36</f>
        <v>#REF!</v>
      </c>
      <c r="AG77" s="70" t="e">
        <f t="shared" si="48"/>
        <v>#REF!</v>
      </c>
      <c r="AH77" s="70" t="e">
        <f t="shared" si="48"/>
        <v>#REF!</v>
      </c>
      <c r="AI77" s="70" t="e">
        <f t="shared" si="48"/>
        <v>#REF!</v>
      </c>
      <c r="AJ77" s="70" t="e">
        <f t="shared" si="48"/>
        <v>#REF!</v>
      </c>
      <c r="AK77" s="70" t="e">
        <f t="shared" si="48"/>
        <v>#REF!</v>
      </c>
      <c r="AL77" s="70" t="e">
        <f t="shared" si="48"/>
        <v>#REF!</v>
      </c>
      <c r="AM77" s="70" t="e">
        <f t="shared" si="48"/>
        <v>#REF!</v>
      </c>
      <c r="AN77" s="70" t="e">
        <f t="shared" si="48"/>
        <v>#REF!</v>
      </c>
      <c r="AO77" s="70" t="e">
        <f t="shared" si="48"/>
        <v>#REF!</v>
      </c>
      <c r="AP77" s="70"/>
      <c r="AQ77" s="70"/>
      <c r="AR77" s="70" t="e">
        <f t="shared" ref="AR77:BA77" si="49">AR28+AR29+AR33+AR36</f>
        <v>#REF!</v>
      </c>
      <c r="AS77" s="70" t="e">
        <f t="shared" si="49"/>
        <v>#REF!</v>
      </c>
      <c r="AT77" s="70" t="e">
        <f t="shared" si="49"/>
        <v>#REF!</v>
      </c>
      <c r="AU77" s="70" t="e">
        <f t="shared" si="49"/>
        <v>#REF!</v>
      </c>
      <c r="AV77" s="70" t="e">
        <f t="shared" si="49"/>
        <v>#REF!</v>
      </c>
      <c r="AW77" s="70" t="e">
        <f t="shared" si="49"/>
        <v>#REF!</v>
      </c>
      <c r="AX77" s="70" t="e">
        <f t="shared" si="49"/>
        <v>#REF!</v>
      </c>
      <c r="AY77" s="70" t="e">
        <f t="shared" si="49"/>
        <v>#REF!</v>
      </c>
      <c r="AZ77" s="70" t="e">
        <f t="shared" si="49"/>
        <v>#REF!</v>
      </c>
      <c r="BA77" s="70" t="e">
        <f t="shared" si="49"/>
        <v>#REF!</v>
      </c>
    </row>
    <row r="78" spans="27:53" hidden="1">
      <c r="AA78" s="71" t="s">
        <v>42</v>
      </c>
      <c r="AB78" s="35"/>
      <c r="AF78" s="70" t="e">
        <f t="shared" ref="AF78:AO78" si="50">AF39+AF40+AF44+AF47</f>
        <v>#REF!</v>
      </c>
      <c r="AG78" s="70" t="e">
        <f t="shared" si="50"/>
        <v>#REF!</v>
      </c>
      <c r="AH78" s="70" t="e">
        <f t="shared" si="50"/>
        <v>#REF!</v>
      </c>
      <c r="AI78" s="70" t="e">
        <f t="shared" si="50"/>
        <v>#REF!</v>
      </c>
      <c r="AJ78" s="70" t="e">
        <f t="shared" si="50"/>
        <v>#REF!</v>
      </c>
      <c r="AK78" s="70" t="e">
        <f t="shared" si="50"/>
        <v>#REF!</v>
      </c>
      <c r="AL78" s="70" t="e">
        <f t="shared" si="50"/>
        <v>#REF!</v>
      </c>
      <c r="AM78" s="70" t="e">
        <f t="shared" si="50"/>
        <v>#REF!</v>
      </c>
      <c r="AN78" s="70" t="e">
        <f t="shared" si="50"/>
        <v>#REF!</v>
      </c>
      <c r="AO78" s="70" t="e">
        <f t="shared" si="50"/>
        <v>#REF!</v>
      </c>
      <c r="AP78" s="70"/>
      <c r="AQ78" s="70"/>
      <c r="AR78" s="70" t="e">
        <f t="shared" ref="AR78:BA78" si="51">AR39+AR40+AR44+AR47</f>
        <v>#REF!</v>
      </c>
      <c r="AS78" s="70" t="e">
        <f t="shared" si="51"/>
        <v>#REF!</v>
      </c>
      <c r="AT78" s="70" t="e">
        <f t="shared" si="51"/>
        <v>#REF!</v>
      </c>
      <c r="AU78" s="70" t="e">
        <f t="shared" si="51"/>
        <v>#REF!</v>
      </c>
      <c r="AV78" s="70" t="e">
        <f t="shared" si="51"/>
        <v>#REF!</v>
      </c>
      <c r="AW78" s="70" t="e">
        <f t="shared" si="51"/>
        <v>#REF!</v>
      </c>
      <c r="AX78" s="70" t="e">
        <f t="shared" si="51"/>
        <v>#REF!</v>
      </c>
      <c r="AY78" s="70" t="e">
        <f t="shared" si="51"/>
        <v>#REF!</v>
      </c>
      <c r="AZ78" s="70" t="e">
        <f t="shared" si="51"/>
        <v>#REF!</v>
      </c>
      <c r="BA78" s="70" t="e">
        <f t="shared" si="51"/>
        <v>#REF!</v>
      </c>
    </row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6" spans="1:52" hidden="1"/>
    <row r="87" spans="1:52" hidden="1"/>
    <row r="89" spans="1:52">
      <c r="A89" s="598" t="s">
        <v>108</v>
      </c>
      <c r="B89" s="598" t="s">
        <v>52</v>
      </c>
      <c r="C89" s="39" t="s">
        <v>101</v>
      </c>
      <c r="D89" s="39" t="s">
        <v>53</v>
      </c>
      <c r="E89" s="39" t="s">
        <v>54</v>
      </c>
      <c r="F89" s="587" t="s">
        <v>64</v>
      </c>
      <c r="G89" s="600"/>
      <c r="H89" s="600"/>
      <c r="I89" s="600"/>
      <c r="J89" s="600"/>
      <c r="K89" s="600"/>
      <c r="L89" s="600"/>
      <c r="M89" s="600"/>
      <c r="N89" s="600"/>
      <c r="O89" s="600"/>
      <c r="P89" s="590"/>
      <c r="AN89" s="38"/>
      <c r="AZ89" s="36"/>
    </row>
    <row r="90" spans="1:52" ht="63.75">
      <c r="A90" s="599"/>
      <c r="B90" s="599"/>
      <c r="C90" s="41" t="s">
        <v>66</v>
      </c>
      <c r="D90" s="41" t="s">
        <v>67</v>
      </c>
      <c r="E90" s="41" t="s">
        <v>68</v>
      </c>
      <c r="F90" s="567" t="s">
        <v>55</v>
      </c>
      <c r="G90" s="567" t="s">
        <v>73</v>
      </c>
      <c r="H90" s="567" t="s">
        <v>74</v>
      </c>
      <c r="I90" s="567" t="s">
        <v>58</v>
      </c>
      <c r="J90" s="567" t="s">
        <v>59</v>
      </c>
      <c r="K90" s="567" t="s">
        <v>60</v>
      </c>
      <c r="L90" s="566" t="s">
        <v>75</v>
      </c>
      <c r="M90" s="566" t="s">
        <v>76</v>
      </c>
      <c r="N90" s="566" t="s">
        <v>61</v>
      </c>
      <c r="O90" s="566" t="s">
        <v>62</v>
      </c>
      <c r="P90" s="566" t="s">
        <v>63</v>
      </c>
      <c r="AN90" s="38"/>
      <c r="AZ90" s="36"/>
    </row>
    <row r="91" spans="1:52" ht="25.5">
      <c r="A91" s="44" t="str">
        <f t="shared" ref="A91:C94" si="52">A4</f>
        <v>General Construction</v>
      </c>
      <c r="B91" s="45" t="str">
        <f t="shared" si="52"/>
        <v>Light-Duty Truck, catalyst</v>
      </c>
      <c r="C91" s="46">
        <f t="shared" si="52"/>
        <v>3</v>
      </c>
      <c r="D91" s="46">
        <v>35</v>
      </c>
      <c r="E91" s="46">
        <v>80</v>
      </c>
      <c r="F91" s="50">
        <f>C4*($E4*$F4+($G4))/453.59</f>
        <v>1.4571581576427601</v>
      </c>
      <c r="G91" s="50">
        <f>C4*($E4*$H4+($I4))/453.59</f>
        <v>0.13101197188313402</v>
      </c>
      <c r="H91" s="50">
        <f>C4*(($E4*$J4)+($K4)+($L4)+($E4*$N4)+(($M4+$O4)))/453.59</f>
        <v>0.15149994097185998</v>
      </c>
      <c r="I91" s="50">
        <f>C4*($E4*$P4+($Q4))/453.59</f>
        <v>2.1803910814818476E-3</v>
      </c>
      <c r="J91" s="50">
        <f>C4*(($E4*($R4+$T4+$U4))+($S4))/453.59</f>
        <v>2.5572271365623688E-2</v>
      </c>
      <c r="K91" s="50">
        <f>$C4*(($E4*($V4+$X4+$Y4))+($W4))/453.59</f>
        <v>1.1136015972759426E-2</v>
      </c>
      <c r="L91" s="50">
        <f>$B$24*C4*(E4+6)</f>
        <v>2.5315747758215698E-2</v>
      </c>
      <c r="M91" s="50">
        <f t="shared" ref="M91:M94" si="53">0.41*L91</f>
        <v>1.0379456580868435E-2</v>
      </c>
      <c r="N91" s="50">
        <f>C4*($E4*$Z4+($AA4))/453.59</f>
        <v>166.27073017811671</v>
      </c>
      <c r="O91" s="50">
        <f>C4*($E4*$AB4+($AC4))/453.59</f>
        <v>9.5114261670907474E-3</v>
      </c>
      <c r="P91" s="50">
        <f>C4*($E4*$AD4+($AE4))/453.59</f>
        <v>1.7313359741530081E-2</v>
      </c>
      <c r="AN91" s="38"/>
      <c r="AZ91" s="36"/>
    </row>
    <row r="92" spans="1:52" ht="25.5">
      <c r="A92" s="44" t="str">
        <f t="shared" si="52"/>
        <v>Demolition</v>
      </c>
      <c r="B92" s="45" t="str">
        <f t="shared" si="52"/>
        <v>Light-Duty Truck, catalyst</v>
      </c>
      <c r="C92" s="46">
        <f t="shared" si="52"/>
        <v>18</v>
      </c>
      <c r="D92" s="46">
        <v>35</v>
      </c>
      <c r="E92" s="46">
        <v>80</v>
      </c>
      <c r="F92" s="50">
        <f>C5*($E5*$F5+($G5))/453.59</f>
        <v>8.7429489458565612</v>
      </c>
      <c r="G92" s="50">
        <f>C5*($E5*$H5+($I5))/453.59</f>
        <v>0.7860718312988042</v>
      </c>
      <c r="H92" s="50">
        <f>C5*(($E5*$J5)+($K5)+($L5)+($E5*$N5)+(($M5+$O5)))/453.59</f>
        <v>0.90899964583115989</v>
      </c>
      <c r="I92" s="50">
        <f>C5*($E5*$P5+($Q5))/453.59</f>
        <v>1.3082346488891087E-2</v>
      </c>
      <c r="J92" s="50">
        <f>C5*(($E5*($R5+$T5+$U5))+($S5))/453.59</f>
        <v>0.15343362819374215</v>
      </c>
      <c r="K92" s="50">
        <f>$C5*(($E5*($V5+$X5+$Y5))+($W5))/453.59</f>
        <v>6.6816095836556552E-2</v>
      </c>
      <c r="L92" s="50">
        <f>$B$24*C5*(E5+6)</f>
        <v>0.15189448654929416</v>
      </c>
      <c r="M92" s="50">
        <f t="shared" si="53"/>
        <v>6.2276739485210605E-2</v>
      </c>
      <c r="N92" s="50">
        <f>C5*($E5*$Z5+($AA5))/453.59</f>
        <v>997.62438106870013</v>
      </c>
      <c r="O92" s="50">
        <f>C5*($E5*$AB5+($AC5))/453.59</f>
        <v>5.7068557002544491E-2</v>
      </c>
      <c r="P92" s="50">
        <f>C5*($E5*$AD5+($AE5))/453.59</f>
        <v>0.10388015844918047</v>
      </c>
      <c r="AN92" s="38"/>
      <c r="AZ92" s="36"/>
    </row>
    <row r="93" spans="1:52" ht="25.5">
      <c r="A93" s="44" t="str">
        <f t="shared" si="52"/>
        <v>Site and Access Road Grading</v>
      </c>
      <c r="B93" s="45" t="str">
        <f t="shared" si="52"/>
        <v>Light-Duty Truck, catalyst</v>
      </c>
      <c r="C93" s="46">
        <f t="shared" si="52"/>
        <v>20</v>
      </c>
      <c r="D93" s="46">
        <v>35</v>
      </c>
      <c r="E93" s="46">
        <v>80</v>
      </c>
      <c r="F93" s="50">
        <f>C6*($E6*$F6+($G6))/453.59</f>
        <v>9.7143877176184024</v>
      </c>
      <c r="G93" s="50">
        <f>C6*($E6*$H6+($I6))/453.59</f>
        <v>0.87341314588756025</v>
      </c>
      <c r="H93" s="50">
        <f>C6*(($E6*$J6)+($K6)+($L6)+($E6*$N6)+(($M6+$O6)))/453.59</f>
        <v>1.0099996064790666</v>
      </c>
      <c r="I93" s="50">
        <f>C6*($E6*$P6+($Q6))/453.59</f>
        <v>1.453594054321232E-2</v>
      </c>
      <c r="J93" s="50">
        <f>C6*(($E6*($R6+$T6+$U6))+($S6))/453.59</f>
        <v>0.17048180910415792</v>
      </c>
      <c r="K93" s="50">
        <f>$C6*(($E6*($V6+$X6+$Y6))+($W6))/453.59</f>
        <v>7.4240106485062823E-2</v>
      </c>
      <c r="L93" s="50">
        <f>$B$24*C6*(E6+6)</f>
        <v>0.16877165172143796</v>
      </c>
      <c r="M93" s="50">
        <f t="shared" si="53"/>
        <v>6.9196377205789555E-2</v>
      </c>
      <c r="N93" s="50">
        <f>C6*($E6*$Z6+($AA6))/453.59</f>
        <v>1108.4715345207778</v>
      </c>
      <c r="O93" s="50">
        <f>C6*($E6*$AB6+($AC6))/453.59</f>
        <v>6.3409507780604987E-2</v>
      </c>
      <c r="P93" s="50">
        <f>C6*($E6*$AD6+($AE6))/453.59</f>
        <v>0.11542239827686719</v>
      </c>
      <c r="AN93" s="38"/>
      <c r="AZ93" s="36"/>
    </row>
    <row r="94" spans="1:52" ht="25.5">
      <c r="A94" s="44" t="str">
        <f t="shared" si="52"/>
        <v>Retaining Walls</v>
      </c>
      <c r="B94" s="45" t="str">
        <f t="shared" si="52"/>
        <v>Light-Duty Truck, catalyst</v>
      </c>
      <c r="C94" s="46">
        <f t="shared" si="52"/>
        <v>17</v>
      </c>
      <c r="D94" s="46">
        <v>35</v>
      </c>
      <c r="E94" s="46">
        <v>80</v>
      </c>
      <c r="F94" s="50">
        <f>C7*($E7*$F7+($G7))/453.59</f>
        <v>8.2572295599756416</v>
      </c>
      <c r="G94" s="50">
        <f>C7*($E7*$H7+($I7))/453.59</f>
        <v>0.74240117400442607</v>
      </c>
      <c r="H94" s="50">
        <f>C7*(($E7*$J7)+($K7)+($L7)+($E7*$N7)+(($M7+$O7)))/453.59</f>
        <v>0.85849966550720647</v>
      </c>
      <c r="I94" s="50">
        <f>C7*($E7*$P7+($Q7))/453.59</f>
        <v>1.235554946173047E-2</v>
      </c>
      <c r="J94" s="50">
        <f>C7*(($E7*($R7+$T7+$U7))+($S7))/453.59</f>
        <v>0.14490953773853424</v>
      </c>
      <c r="K94" s="50">
        <f>$C7*(($E7*($V7+$X7+$Y7))+($W7))/453.59</f>
        <v>6.310409051230341E-2</v>
      </c>
      <c r="L94" s="50">
        <f>$B$24*C7*(E7+6)</f>
        <v>0.14345590396322228</v>
      </c>
      <c r="M94" s="50">
        <f t="shared" si="53"/>
        <v>5.881692062492113E-2</v>
      </c>
      <c r="N94" s="50">
        <f>C7*($E7*$Z7+($AA7))/453.59</f>
        <v>942.20080434266129</v>
      </c>
      <c r="O94" s="50">
        <f>C7*($E7*$AB7+($AC7))/453.59</f>
        <v>5.3898081613514233E-2</v>
      </c>
      <c r="P94" s="50">
        <f>C7*($E7*$AD7+($AE7))/453.59</f>
        <v>9.8109038535337131E-2</v>
      </c>
      <c r="AN94" s="38"/>
      <c r="AZ94" s="36"/>
    </row>
    <row r="95" spans="1:52">
      <c r="A95" s="61" t="s">
        <v>389</v>
      </c>
      <c r="B95" s="40"/>
      <c r="C95" s="40"/>
      <c r="D95" s="40"/>
      <c r="E95" s="40"/>
      <c r="F95" s="81">
        <f t="shared" ref="F95:P95" si="54">SUM(F91:F94)</f>
        <v>28.171724381093366</v>
      </c>
      <c r="G95" s="81">
        <f t="shared" si="54"/>
        <v>2.5328981230739247</v>
      </c>
      <c r="H95" s="81">
        <f t="shared" si="54"/>
        <v>2.9289988587892926</v>
      </c>
      <c r="I95" s="81">
        <f t="shared" si="54"/>
        <v>4.2154227575315728E-2</v>
      </c>
      <c r="J95" s="81">
        <f t="shared" si="54"/>
        <v>0.49439724640205795</v>
      </c>
      <c r="K95" s="81">
        <f t="shared" si="54"/>
        <v>0.21529630880668221</v>
      </c>
      <c r="L95" s="81">
        <f t="shared" si="54"/>
        <v>0.48943778999217014</v>
      </c>
      <c r="M95" s="81">
        <f t="shared" si="54"/>
        <v>0.20066949389678973</v>
      </c>
      <c r="N95" s="81">
        <f t="shared" si="54"/>
        <v>3214.5674501102558</v>
      </c>
      <c r="O95" s="81">
        <f t="shared" si="54"/>
        <v>0.18388757256375443</v>
      </c>
      <c r="P95" s="81">
        <f t="shared" si="54"/>
        <v>0.33472495500291488</v>
      </c>
      <c r="AN95" s="38"/>
      <c r="AZ95" s="36"/>
    </row>
  </sheetData>
  <mergeCells count="16">
    <mergeCell ref="AR14:BA14"/>
    <mergeCell ref="A89:A90"/>
    <mergeCell ref="B89:B90"/>
    <mergeCell ref="F89:P89"/>
    <mergeCell ref="R2:U2"/>
    <mergeCell ref="V2:Y2"/>
    <mergeCell ref="Z2:AA2"/>
    <mergeCell ref="AB2:AC2"/>
    <mergeCell ref="AD2:AE2"/>
    <mergeCell ref="AF14:AO14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E92" sqref="E92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608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516</v>
      </c>
      <c r="B5" s="45" t="s">
        <v>102</v>
      </c>
      <c r="C5" s="46">
        <v>12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54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545" t="s">
        <v>55</v>
      </c>
      <c r="G88" s="545" t="s">
        <v>73</v>
      </c>
      <c r="H88" s="545" t="s">
        <v>74</v>
      </c>
      <c r="I88" s="545" t="s">
        <v>58</v>
      </c>
      <c r="J88" s="545" t="s">
        <v>59</v>
      </c>
      <c r="K88" s="545" t="s">
        <v>60</v>
      </c>
      <c r="L88" s="544" t="s">
        <v>75</v>
      </c>
      <c r="M88" s="544" t="s">
        <v>76</v>
      </c>
      <c r="N88" s="544" t="s">
        <v>61</v>
      </c>
      <c r="O88" s="544" t="s">
        <v>62</v>
      </c>
      <c r="P88" s="544" t="s">
        <v>63</v>
      </c>
      <c r="AN88" s="38"/>
      <c r="AZ88" s="36"/>
    </row>
    <row r="89" spans="1:52" ht="25.5">
      <c r="A89" s="44" t="str">
        <f t="shared" ref="A89:C90" si="52">A4</f>
        <v>Substation General Construction</v>
      </c>
      <c r="B89" s="45" t="str">
        <f t="shared" si="52"/>
        <v>Light-Duty Truck, catalyst</v>
      </c>
      <c r="C89" s="46">
        <f t="shared" si="52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" si="53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si="52"/>
        <v>Substation Below Grade</v>
      </c>
      <c r="B90" s="45" t="str">
        <f t="shared" si="52"/>
        <v>Light-Duty Truck, catalyst</v>
      </c>
      <c r="C90" s="46">
        <f t="shared" si="52"/>
        <v>12</v>
      </c>
      <c r="D90" s="46">
        <v>35</v>
      </c>
      <c r="E90" s="46">
        <v>80</v>
      </c>
      <c r="F90" s="50">
        <f>C5*($E5*$F5+($G5))/453.59</f>
        <v>5.8286326305710405</v>
      </c>
      <c r="G90" s="50">
        <f>C5*($E5*$H5+($I5))/453.59</f>
        <v>0.52404788753253606</v>
      </c>
      <c r="H90" s="50">
        <f>C5*(($E5*$J5)+($K5)+($L5)+($E5*$N5)+(($M5+$O5)))/453.59</f>
        <v>0.60599976388743992</v>
      </c>
      <c r="I90" s="50">
        <f>C5*($E5*$P5+($Q5))/453.59</f>
        <v>8.7215643259273903E-3</v>
      </c>
      <c r="J90" s="50">
        <f>C5*(($E5*($R5+$T5+$U5))+($S5))/453.59</f>
        <v>0.10228908546249475</v>
      </c>
      <c r="K90" s="50">
        <f>$C5*(($E5*($V5+$X5+$Y5))+($W5))/453.59</f>
        <v>4.4544063891037704E-2</v>
      </c>
      <c r="L90" s="50">
        <f>$B$22*C5*(E5+6)</f>
        <v>0.10126299103286279</v>
      </c>
      <c r="M90" s="50">
        <f t="shared" ref="M90" si="54">0.41*L90</f>
        <v>4.1517826323473742E-2</v>
      </c>
      <c r="N90" s="50">
        <f>C5*($E5*$Z5+($AA5))/453.59</f>
        <v>665.08292071246683</v>
      </c>
      <c r="O90" s="50">
        <f>C5*($E5*$AB5+($AC5))/453.59</f>
        <v>3.804570466836299E-2</v>
      </c>
      <c r="P90" s="50">
        <f>C5*($E5*$AD5+($AE5))/453.59</f>
        <v>6.9253438966120323E-2</v>
      </c>
      <c r="AN90" s="38"/>
      <c r="AZ90" s="36"/>
    </row>
    <row r="91" spans="1:52">
      <c r="A91" s="61" t="s">
        <v>389</v>
      </c>
      <c r="B91" s="40"/>
      <c r="C91" s="40"/>
      <c r="D91" s="40"/>
      <c r="E91" s="40"/>
      <c r="F91" s="81">
        <f t="shared" ref="F91:P91" si="55">SUM(F89:F90)</f>
        <v>7.2857907882138004</v>
      </c>
      <c r="G91" s="81">
        <f t="shared" si="55"/>
        <v>0.65505985941567002</v>
      </c>
      <c r="H91" s="81">
        <f t="shared" si="55"/>
        <v>0.75749970485929996</v>
      </c>
      <c r="I91" s="81">
        <f t="shared" si="55"/>
        <v>1.0901955407409238E-2</v>
      </c>
      <c r="J91" s="81">
        <f t="shared" si="55"/>
        <v>0.12786135682811844</v>
      </c>
      <c r="K91" s="81">
        <f t="shared" si="55"/>
        <v>5.5680079863797131E-2</v>
      </c>
      <c r="L91" s="81">
        <f t="shared" si="55"/>
        <v>0.1265787387910785</v>
      </c>
      <c r="M91" s="81">
        <f t="shared" si="55"/>
        <v>5.1897282904342174E-2</v>
      </c>
      <c r="N91" s="81">
        <f t="shared" si="55"/>
        <v>831.35365089058359</v>
      </c>
      <c r="O91" s="81">
        <f t="shared" si="55"/>
        <v>4.7557130835453737E-2</v>
      </c>
      <c r="P91" s="81">
        <f t="shared" si="55"/>
        <v>8.6566798707650411E-2</v>
      </c>
      <c r="AN91" s="38"/>
      <c r="AZ91" s="36"/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9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609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398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100" t="s">
        <v>125</v>
      </c>
      <c r="B14" s="97" t="s">
        <v>27</v>
      </c>
      <c r="C14" s="22">
        <v>87</v>
      </c>
      <c r="D14" s="22">
        <v>0.37</v>
      </c>
      <c r="E14" s="108">
        <v>5.2437519504869065E-2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0.26257275132275132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0.33506412037037031</v>
      </c>
      <c r="H14" s="108">
        <v>6.0679618797898508E-4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2.1289682539682539E-2</v>
      </c>
      <c r="J14" s="100">
        <f t="shared" ref="J14:J17" si="4">0.89*I14</f>
        <v>1.894781746031746E-2</v>
      </c>
      <c r="K14" s="108">
        <v>51.728016924248784</v>
      </c>
      <c r="L14" s="108">
        <v>5.2037096026823848E-3</v>
      </c>
      <c r="M14" s="102">
        <f t="shared" ref="M14:M17" si="5">0.095*G14</f>
        <v>3.1831091435185178E-2</v>
      </c>
      <c r="N14" s="88">
        <v>1</v>
      </c>
      <c r="O14" s="88">
        <v>6</v>
      </c>
      <c r="P14" s="367">
        <v>15</v>
      </c>
      <c r="Q14" s="26">
        <f t="shared" ref="Q14:Y17" si="6">(E14*$N14*$O14)</f>
        <v>0.31462511702921436</v>
      </c>
      <c r="R14" s="26">
        <f t="shared" si="6"/>
        <v>1.5754365079365078</v>
      </c>
      <c r="S14" s="26">
        <f t="shared" si="6"/>
        <v>2.0103847222222218</v>
      </c>
      <c r="T14" s="26">
        <f t="shared" si="6"/>
        <v>3.6407771278739107E-3</v>
      </c>
      <c r="U14" s="26">
        <f t="shared" si="6"/>
        <v>0.12773809523809523</v>
      </c>
      <c r="V14" s="26">
        <f t="shared" si="6"/>
        <v>0.11368690476190477</v>
      </c>
      <c r="W14" s="26">
        <f t="shared" si="6"/>
        <v>310.36810154549272</v>
      </c>
      <c r="X14" s="26">
        <f t="shared" si="6"/>
        <v>3.1222257616094311E-2</v>
      </c>
      <c r="Y14" s="26">
        <f t="shared" si="6"/>
        <v>0.19098654861111108</v>
      </c>
    </row>
    <row r="15" spans="1:25" s="3" customFormat="1">
      <c r="A15" s="100" t="s">
        <v>287</v>
      </c>
      <c r="B15" s="97" t="s">
        <v>27</v>
      </c>
      <c r="C15" s="97">
        <v>37</v>
      </c>
      <c r="D15" s="22">
        <v>0.37</v>
      </c>
      <c r="E15" s="102">
        <v>3.2313389441625637E-2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0.12374118165784832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0.16056172839506169</v>
      </c>
      <c r="H15" s="102">
        <v>3.2989906092678058E-4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1.3581349206349205E-2</v>
      </c>
      <c r="J15" s="100">
        <f t="shared" si="4"/>
        <v>1.2087400793650793E-2</v>
      </c>
      <c r="K15" s="103">
        <v>25.519156990664225</v>
      </c>
      <c r="L15" s="102">
        <v>3.413848047070189E-3</v>
      </c>
      <c r="M15" s="104">
        <f t="shared" si="5"/>
        <v>1.5253364197530862E-2</v>
      </c>
      <c r="N15" s="88">
        <v>1</v>
      </c>
      <c r="O15" s="88">
        <v>1</v>
      </c>
      <c r="P15" s="367">
        <v>75</v>
      </c>
      <c r="Q15" s="26">
        <f t="shared" si="6"/>
        <v>3.2313389441625637E-2</v>
      </c>
      <c r="R15" s="26">
        <f t="shared" si="6"/>
        <v>0.12374118165784832</v>
      </c>
      <c r="S15" s="26">
        <f t="shared" si="6"/>
        <v>0.16056172839506169</v>
      </c>
      <c r="T15" s="26">
        <f t="shared" si="6"/>
        <v>3.2989906092678058E-4</v>
      </c>
      <c r="U15" s="26">
        <f t="shared" si="6"/>
        <v>1.3581349206349205E-2</v>
      </c>
      <c r="V15" s="26">
        <f t="shared" si="6"/>
        <v>1.2087400793650793E-2</v>
      </c>
      <c r="W15" s="26">
        <f t="shared" si="6"/>
        <v>25.519156990664225</v>
      </c>
      <c r="X15" s="26">
        <f t="shared" si="6"/>
        <v>3.413848047070189E-3</v>
      </c>
      <c r="Y15" s="26">
        <f t="shared" si="6"/>
        <v>1.5253364197530862E-2</v>
      </c>
    </row>
    <row r="16" spans="1:25" s="3" customFormat="1">
      <c r="A16" s="100" t="s">
        <v>292</v>
      </c>
      <c r="B16" s="22" t="s">
        <v>27</v>
      </c>
      <c r="C16" s="97">
        <v>69</v>
      </c>
      <c r="D16" s="22">
        <v>0.5</v>
      </c>
      <c r="E16" s="102">
        <v>0.10796897189848784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0.2814153439153439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0.40462962962962956</v>
      </c>
      <c r="H16" s="102">
        <v>7.6125329247041284E-4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2.2817460317460316E-2</v>
      </c>
      <c r="J16" s="100">
        <f t="shared" si="4"/>
        <v>2.030753968253968E-2</v>
      </c>
      <c r="K16" s="103">
        <v>64.895144949977833</v>
      </c>
      <c r="L16" s="102">
        <v>1.0324742188913067E-2</v>
      </c>
      <c r="M16" s="104">
        <f t="shared" si="5"/>
        <v>3.8439814814814809E-2</v>
      </c>
      <c r="N16" s="87">
        <v>1</v>
      </c>
      <c r="O16" s="87">
        <v>6</v>
      </c>
      <c r="P16" s="88">
        <f>8*22</f>
        <v>176</v>
      </c>
      <c r="Q16" s="34">
        <f t="shared" si="6"/>
        <v>0.64781383139092696</v>
      </c>
      <c r="R16" s="26">
        <f t="shared" si="6"/>
        <v>1.6884920634920633</v>
      </c>
      <c r="S16" s="26">
        <f t="shared" si="6"/>
        <v>2.4277777777777771</v>
      </c>
      <c r="T16" s="26">
        <f t="shared" si="6"/>
        <v>4.567519754822477E-3</v>
      </c>
      <c r="U16" s="26">
        <f t="shared" si="6"/>
        <v>0.13690476190476189</v>
      </c>
      <c r="V16" s="26">
        <f t="shared" si="6"/>
        <v>0.12184523809523809</v>
      </c>
      <c r="W16" s="26">
        <f t="shared" si="6"/>
        <v>389.370869699867</v>
      </c>
      <c r="X16" s="26">
        <f t="shared" si="6"/>
        <v>6.1948453133478402E-2</v>
      </c>
      <c r="Y16" s="26">
        <f t="shared" si="6"/>
        <v>0.23063888888888884</v>
      </c>
    </row>
    <row r="17" spans="1:25" s="3" customFormat="1">
      <c r="A17" s="100" t="s">
        <v>126</v>
      </c>
      <c r="B17" s="22" t="s">
        <v>27</v>
      </c>
      <c r="C17" s="22">
        <v>175</v>
      </c>
      <c r="D17" s="22"/>
      <c r="E17" s="102">
        <v>0.11792220738547983</v>
      </c>
      <c r="F17" s="102">
        <v>0.36512193352152528</v>
      </c>
      <c r="G17" s="102">
        <v>0.86781464282266541</v>
      </c>
      <c r="H17" s="102">
        <v>1.8739217498104396E-3</v>
      </c>
      <c r="I17" s="102">
        <v>2.9041712295589866E-2</v>
      </c>
      <c r="J17" s="100">
        <f t="shared" si="4"/>
        <v>2.5847123943074982E-2</v>
      </c>
      <c r="K17" s="103">
        <v>166.54541562452522</v>
      </c>
      <c r="L17" s="102">
        <v>1.063993297769634E-2</v>
      </c>
      <c r="M17" s="104">
        <f t="shared" si="5"/>
        <v>8.2442391068153209E-2</v>
      </c>
      <c r="N17" s="88">
        <v>1</v>
      </c>
      <c r="O17" s="88">
        <v>3</v>
      </c>
      <c r="P17" s="367">
        <v>40</v>
      </c>
      <c r="Q17" s="26">
        <f t="shared" si="6"/>
        <v>0.3537666221564395</v>
      </c>
      <c r="R17" s="26">
        <f t="shared" si="6"/>
        <v>1.0953658005645759</v>
      </c>
      <c r="S17" s="26">
        <f t="shared" si="6"/>
        <v>2.6034439284679962</v>
      </c>
      <c r="T17" s="26">
        <f t="shared" si="6"/>
        <v>5.6217652494313184E-3</v>
      </c>
      <c r="U17" s="26">
        <f t="shared" si="6"/>
        <v>8.7125136886769594E-2</v>
      </c>
      <c r="V17" s="26">
        <f t="shared" si="6"/>
        <v>7.754137182922495E-2</v>
      </c>
      <c r="W17" s="26">
        <f t="shared" si="6"/>
        <v>499.63624687357566</v>
      </c>
      <c r="X17" s="26">
        <f t="shared" si="6"/>
        <v>3.1919798933089022E-2</v>
      </c>
      <c r="Y17" s="26">
        <f t="shared" si="6"/>
        <v>0.24732717320445963</v>
      </c>
    </row>
    <row r="18" spans="1:25" s="3" customFormat="1">
      <c r="A18" s="17" t="s">
        <v>28</v>
      </c>
      <c r="B18" s="97"/>
      <c r="C18" s="22"/>
      <c r="D18" s="22"/>
      <c r="E18" s="23"/>
      <c r="F18" s="23"/>
      <c r="G18" s="23"/>
      <c r="H18" s="23"/>
      <c r="I18" s="23"/>
      <c r="J18" s="24"/>
      <c r="K18" s="25"/>
      <c r="L18" s="23"/>
      <c r="M18" s="23"/>
      <c r="N18" s="88"/>
      <c r="O18" s="88"/>
      <c r="P18" s="88"/>
      <c r="Q18" s="27">
        <f t="shared" ref="Q18:Y18" si="7">SUM(Q14:Q17)</f>
        <v>1.3485189600182066</v>
      </c>
      <c r="R18" s="27">
        <f t="shared" si="7"/>
        <v>4.4830355536509954</v>
      </c>
      <c r="S18" s="27">
        <f t="shared" si="7"/>
        <v>7.2021681568630562</v>
      </c>
      <c r="T18" s="27">
        <f t="shared" si="7"/>
        <v>1.4159961193054486E-2</v>
      </c>
      <c r="U18" s="27">
        <f t="shared" si="7"/>
        <v>0.3653493432359759</v>
      </c>
      <c r="V18" s="27">
        <f t="shared" si="7"/>
        <v>0.32516091548001858</v>
      </c>
      <c r="W18" s="27">
        <f t="shared" si="7"/>
        <v>1224.8943751095997</v>
      </c>
      <c r="X18" s="27">
        <f t="shared" si="7"/>
        <v>0.12850435772973193</v>
      </c>
      <c r="Y18" s="27">
        <f t="shared" si="7"/>
        <v>0.68420597490199042</v>
      </c>
    </row>
    <row r="19" spans="1:25">
      <c r="A19" s="17" t="s">
        <v>365</v>
      </c>
      <c r="B19" s="549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30"/>
      <c r="O19" s="30"/>
      <c r="P19" s="364"/>
      <c r="Q19" s="20">
        <f>Q11+Q18</f>
        <v>2.0630960831098037</v>
      </c>
      <c r="R19" s="20">
        <f t="shared" ref="R19:Y19" si="8">R11+R18</f>
        <v>7.437194764609389</v>
      </c>
      <c r="S19" s="20">
        <f t="shared" si="8"/>
        <v>11.623224603002214</v>
      </c>
      <c r="T19" s="20">
        <f t="shared" si="8"/>
        <v>2.2483027429132364E-2</v>
      </c>
      <c r="U19" s="20">
        <f t="shared" si="8"/>
        <v>0.6111576355520234</v>
      </c>
      <c r="V19" s="20">
        <f t="shared" si="8"/>
        <v>0.5439302956413008</v>
      </c>
      <c r="W19" s="20">
        <f t="shared" si="8"/>
        <v>1921.3478675946278</v>
      </c>
      <c r="X19" s="20">
        <f t="shared" si="8"/>
        <v>0.20104416392030167</v>
      </c>
      <c r="Y19" s="20">
        <f t="shared" si="8"/>
        <v>1.1042063372852104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0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610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315</v>
      </c>
      <c r="B8" s="74"/>
      <c r="C8" s="112"/>
      <c r="D8" s="112"/>
      <c r="E8" s="74"/>
      <c r="F8" s="74"/>
      <c r="G8" s="547"/>
      <c r="H8" s="41"/>
      <c r="I8" s="41"/>
      <c r="J8" s="41"/>
      <c r="K8" s="544"/>
      <c r="L8" s="544"/>
      <c r="M8" s="544"/>
      <c r="N8" s="544"/>
      <c r="O8" s="544"/>
      <c r="P8" s="544"/>
      <c r="Q8" s="41"/>
      <c r="R8" s="544"/>
      <c r="S8" s="54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C9*(F9)*$B$378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9">
        <v>3.59998119015979E-2</v>
      </c>
      <c r="M10" s="559">
        <v>6.1739677411240299E-2</v>
      </c>
      <c r="N10" s="106">
        <v>6.5945508986370194E-2</v>
      </c>
      <c r="O10" s="559">
        <v>2.9999843251331498E-3</v>
      </c>
      <c r="P10" s="559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C10*(F10)*$B$381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47"/>
      <c r="H11" s="41"/>
      <c r="I11" s="41"/>
      <c r="J11" s="41"/>
      <c r="K11" s="544"/>
      <c r="L11" s="544"/>
      <c r="M11" s="544"/>
      <c r="N11" s="544"/>
      <c r="O11" s="544"/>
      <c r="P11" s="544"/>
      <c r="Q11" s="41"/>
      <c r="R11" s="544"/>
      <c r="S11" s="544"/>
      <c r="T11" s="81">
        <f>SUM(T9:T10)</f>
        <v>0.29083724282289747</v>
      </c>
      <c r="U11" s="81">
        <f t="shared" ref="U11:AD11" si="0">SUM(U9:U10)</f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1.7662149598755138E-2</v>
      </c>
      <c r="AA11" s="81">
        <f t="shared" si="0"/>
        <v>3.7090514157385786E-3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47"/>
      <c r="H12" s="41"/>
      <c r="I12" s="41"/>
      <c r="J12" s="41"/>
      <c r="K12" s="544"/>
      <c r="L12" s="544"/>
      <c r="M12" s="544"/>
      <c r="N12" s="544"/>
      <c r="O12" s="544"/>
      <c r="P12" s="544"/>
      <c r="Q12" s="41"/>
      <c r="R12" s="544"/>
      <c r="S12" s="54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334</v>
      </c>
      <c r="B13" s="74"/>
      <c r="C13" s="112"/>
      <c r="D13" s="112"/>
      <c r="E13" s="74"/>
      <c r="F13" s="74"/>
      <c r="G13" s="560"/>
      <c r="H13" s="41"/>
      <c r="I13" s="41"/>
      <c r="J13" s="41"/>
      <c r="K13" s="558"/>
      <c r="L13" s="558"/>
      <c r="M13" s="558"/>
      <c r="N13" s="558"/>
      <c r="O13" s="558"/>
      <c r="P13" s="558"/>
      <c r="Q13" s="41"/>
      <c r="R13" s="558"/>
      <c r="S13" s="558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C14*(F14)*$B$333</f>
        <v>0</v>
      </c>
      <c r="AA14" s="50">
        <f>Z14*0.21</f>
        <v>0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5" t="s">
        <v>28</v>
      </c>
      <c r="B15" s="74"/>
      <c r="C15" s="112"/>
      <c r="D15" s="112"/>
      <c r="E15" s="74"/>
      <c r="F15" s="74"/>
      <c r="G15" s="560"/>
      <c r="H15" s="41"/>
      <c r="I15" s="41"/>
      <c r="J15" s="41"/>
      <c r="K15" s="558"/>
      <c r="L15" s="558"/>
      <c r="M15" s="558"/>
      <c r="N15" s="558"/>
      <c r="O15" s="558"/>
      <c r="P15" s="558"/>
      <c r="Q15" s="41"/>
      <c r="R15" s="558"/>
      <c r="S15" s="558"/>
      <c r="T15" s="81">
        <f t="shared" ref="T15:AD15" si="1">SUM(T14:T14)</f>
        <v>0.19978255106729004</v>
      </c>
      <c r="U15" s="81">
        <f t="shared" si="1"/>
        <v>0.36881875565943734</v>
      </c>
      <c r="V15" s="81">
        <f t="shared" si="1"/>
        <v>4.50613455258927E-2</v>
      </c>
      <c r="W15" s="81">
        <f t="shared" si="1"/>
        <v>2.7797226812149543E-3</v>
      </c>
      <c r="X15" s="81">
        <f t="shared" si="1"/>
        <v>7.2738929740302244E-2</v>
      </c>
      <c r="Y15" s="81">
        <f t="shared" si="1"/>
        <v>4.8332197965954803E-2</v>
      </c>
      <c r="Z15" s="81">
        <f t="shared" si="1"/>
        <v>0</v>
      </c>
      <c r="AA15" s="81">
        <f t="shared" si="1"/>
        <v>0</v>
      </c>
      <c r="AB15" s="81">
        <f t="shared" si="1"/>
        <v>193.62821118051326</v>
      </c>
      <c r="AC15" s="81">
        <f t="shared" si="1"/>
        <v>1.1064496871488068E-2</v>
      </c>
      <c r="AD15" s="81">
        <f t="shared" si="1"/>
        <v>4.9599802576000274E-3</v>
      </c>
    </row>
    <row r="16" spans="1:30">
      <c r="A16" s="75" t="s">
        <v>388</v>
      </c>
      <c r="B16" s="74"/>
      <c r="C16" s="112"/>
      <c r="D16" s="112"/>
      <c r="E16" s="74"/>
      <c r="F16" s="74"/>
      <c r="G16" s="547"/>
      <c r="H16" s="41"/>
      <c r="I16" s="41"/>
      <c r="J16" s="41"/>
      <c r="K16" s="544"/>
      <c r="L16" s="544"/>
      <c r="M16" s="544"/>
      <c r="N16" s="544"/>
      <c r="O16" s="544"/>
      <c r="P16" s="544"/>
      <c r="Q16" s="41"/>
      <c r="R16" s="544"/>
      <c r="S16" s="544"/>
      <c r="T16" s="81">
        <f>T11+T15</f>
        <v>0.49061979389018751</v>
      </c>
      <c r="U16" s="81">
        <f t="shared" ref="U16:AD16" si="2">U11+U15</f>
        <v>1.4300149922750218</v>
      </c>
      <c r="V16" s="81">
        <f t="shared" si="2"/>
        <v>0.11388583001311323</v>
      </c>
      <c r="W16" s="81">
        <f t="shared" si="2"/>
        <v>6.0588351957901118E-3</v>
      </c>
      <c r="X16" s="81">
        <f t="shared" si="2"/>
        <v>0.13898901638518027</v>
      </c>
      <c r="Y16" s="81">
        <f t="shared" si="2"/>
        <v>9.4510281595063333E-2</v>
      </c>
      <c r="Z16" s="81">
        <f t="shared" si="2"/>
        <v>1.7662149598755138E-2</v>
      </c>
      <c r="AA16" s="81">
        <f t="shared" si="2"/>
        <v>3.7090514157385786E-3</v>
      </c>
      <c r="AB16" s="81">
        <f t="shared" si="2"/>
        <v>592.16432649433523</v>
      </c>
      <c r="AC16" s="81">
        <f t="shared" si="2"/>
        <v>1.9283796835273176E-2</v>
      </c>
      <c r="AD16" s="81">
        <f t="shared" si="2"/>
        <v>1.5168881387478891E-2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368" spans="1:1" ht="25.5">
      <c r="A368" s="82" t="s">
        <v>109</v>
      </c>
    </row>
    <row r="370" spans="1:2">
      <c r="A370" s="36" t="s">
        <v>81</v>
      </c>
    </row>
    <row r="371" spans="1:2">
      <c r="A371" s="36" t="s">
        <v>82</v>
      </c>
    </row>
    <row r="372" spans="1:2">
      <c r="A372" s="36" t="s">
        <v>83</v>
      </c>
    </row>
    <row r="373" spans="1:2">
      <c r="A373" s="37" t="s">
        <v>96</v>
      </c>
    </row>
    <row r="374" spans="1:2">
      <c r="A374" s="36" t="s">
        <v>85</v>
      </c>
    </row>
    <row r="375" spans="1:2">
      <c r="A375" s="36" t="s">
        <v>86</v>
      </c>
    </row>
    <row r="376" spans="1:2">
      <c r="A376" s="36" t="s">
        <v>87</v>
      </c>
    </row>
    <row r="377" spans="1:2">
      <c r="A377" s="36" t="s">
        <v>0</v>
      </c>
    </row>
    <row r="378" spans="1:2">
      <c r="A378" s="37" t="s">
        <v>97</v>
      </c>
      <c r="B378" s="36">
        <f>(0.016*(0.03/2)^0.65*(2/3)^1.5)-0.00047</f>
        <v>9.8123053326417428E-5</v>
      </c>
    </row>
    <row r="379" spans="1:2">
      <c r="A379" s="37" t="s">
        <v>98</v>
      </c>
      <c r="B379" s="36">
        <f>(0.016*(0.03/2)^0.65*(13/3)^1.5)-0.00047</f>
        <v>8.9448292388582783E-3</v>
      </c>
    </row>
    <row r="380" spans="1:2">
      <c r="A380" s="37" t="s">
        <v>99</v>
      </c>
      <c r="B38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611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334</v>
      </c>
      <c r="B5" s="45" t="s">
        <v>102</v>
      </c>
      <c r="C5" s="46">
        <v>12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54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545" t="s">
        <v>55</v>
      </c>
      <c r="G88" s="545" t="s">
        <v>73</v>
      </c>
      <c r="H88" s="545" t="s">
        <v>74</v>
      </c>
      <c r="I88" s="545" t="s">
        <v>58</v>
      </c>
      <c r="J88" s="545" t="s">
        <v>59</v>
      </c>
      <c r="K88" s="545" t="s">
        <v>60</v>
      </c>
      <c r="L88" s="544" t="s">
        <v>75</v>
      </c>
      <c r="M88" s="544" t="s">
        <v>76</v>
      </c>
      <c r="N88" s="544" t="s">
        <v>61</v>
      </c>
      <c r="O88" s="544" t="s">
        <v>62</v>
      </c>
      <c r="P88" s="544" t="s">
        <v>63</v>
      </c>
      <c r="AN88" s="38"/>
      <c r="AZ88" s="36"/>
    </row>
    <row r="89" spans="1:52" ht="25.5">
      <c r="A89" s="44" t="str">
        <f t="shared" ref="A89:C90" si="52">A4</f>
        <v>Substation General Construction</v>
      </c>
      <c r="B89" s="45" t="str">
        <f t="shared" si="52"/>
        <v>Light-Duty Truck, catalyst</v>
      </c>
      <c r="C89" s="46">
        <f t="shared" si="52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53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si="52"/>
        <v>Substation Below Grade Construction</v>
      </c>
      <c r="B90" s="45" t="str">
        <f t="shared" si="52"/>
        <v>Light-Duty Truck, catalyst</v>
      </c>
      <c r="C90" s="46">
        <f t="shared" si="52"/>
        <v>12</v>
      </c>
      <c r="D90" s="46">
        <v>35</v>
      </c>
      <c r="E90" s="46">
        <v>80</v>
      </c>
      <c r="F90" s="50">
        <f>C5*($E5*$F5+($G5))/453.59</f>
        <v>5.8286326305710405</v>
      </c>
      <c r="G90" s="50">
        <f>C5*($E5*$H5+($I5))/453.59</f>
        <v>0.52404788753253606</v>
      </c>
      <c r="H90" s="50">
        <f>C5*(($E5*$J5)+($K5)+($L5)+($E5*$N5)+(($M5+$O5)))/453.59</f>
        <v>0.60599976388743992</v>
      </c>
      <c r="I90" s="50">
        <f>C5*($E5*$P5+($Q5))/453.59</f>
        <v>8.7215643259273903E-3</v>
      </c>
      <c r="J90" s="50">
        <f>C5*(($E5*($R5+$T5+$U5))+($S5))/453.59</f>
        <v>0.10228908546249475</v>
      </c>
      <c r="K90" s="50">
        <f>$C5*(($E5*($V5+$X5+$Y5))+($W5))/453.59</f>
        <v>4.4544063891037704E-2</v>
      </c>
      <c r="L90" s="50">
        <f>$B$22*C5*(E5+6)</f>
        <v>0.10126299103286279</v>
      </c>
      <c r="M90" s="50">
        <f t="shared" si="53"/>
        <v>4.1517826323473742E-2</v>
      </c>
      <c r="N90" s="50">
        <f>C5*($E5*$Z5+($AA5))/453.59</f>
        <v>665.08292071246683</v>
      </c>
      <c r="O90" s="50">
        <f>C5*($E5*$AB5+($AC5))/453.59</f>
        <v>3.804570466836299E-2</v>
      </c>
      <c r="P90" s="50">
        <f>C5*($E5*$AD5+($AE5))/453.59</f>
        <v>6.9253438966120323E-2</v>
      </c>
      <c r="AN90" s="38"/>
      <c r="AZ90" s="36"/>
    </row>
    <row r="91" spans="1:52">
      <c r="A91" s="61" t="s">
        <v>389</v>
      </c>
      <c r="B91" s="40"/>
      <c r="C91" s="40"/>
      <c r="D91" s="40"/>
      <c r="E91" s="40"/>
      <c r="F91" s="81">
        <f t="shared" ref="F91:P91" si="54">SUM(F89:F90)</f>
        <v>7.2857907882138004</v>
      </c>
      <c r="G91" s="81">
        <f t="shared" si="54"/>
        <v>0.65505985941567002</v>
      </c>
      <c r="H91" s="81">
        <f t="shared" si="54"/>
        <v>0.75749970485929996</v>
      </c>
      <c r="I91" s="81">
        <f t="shared" si="54"/>
        <v>1.0901955407409238E-2</v>
      </c>
      <c r="J91" s="81">
        <f t="shared" si="54"/>
        <v>0.12786135682811844</v>
      </c>
      <c r="K91" s="81">
        <f t="shared" si="54"/>
        <v>5.5680079863797131E-2</v>
      </c>
      <c r="L91" s="81">
        <f t="shared" si="54"/>
        <v>0.1265787387910785</v>
      </c>
      <c r="M91" s="81">
        <f t="shared" si="54"/>
        <v>5.1897282904342174E-2</v>
      </c>
      <c r="N91" s="81">
        <f t="shared" si="54"/>
        <v>831.35365089058359</v>
      </c>
      <c r="O91" s="81">
        <f t="shared" si="54"/>
        <v>4.7557130835453737E-2</v>
      </c>
      <c r="P91" s="81">
        <f t="shared" si="54"/>
        <v>8.6566798707650411E-2</v>
      </c>
      <c r="AN91" s="38"/>
      <c r="AZ91" s="36"/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9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612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398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100" t="s">
        <v>125</v>
      </c>
      <c r="B14" s="97" t="s">
        <v>27</v>
      </c>
      <c r="C14" s="22">
        <v>87</v>
      </c>
      <c r="D14" s="22">
        <v>0.37</v>
      </c>
      <c r="E14" s="108">
        <v>5.2437519504869065E-2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0.26257275132275132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0.33506412037037031</v>
      </c>
      <c r="H14" s="108">
        <v>6.0679618797898508E-4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2.1289682539682539E-2</v>
      </c>
      <c r="J14" s="100">
        <f t="shared" ref="J14:J17" si="4">0.89*I14</f>
        <v>1.894781746031746E-2</v>
      </c>
      <c r="K14" s="108">
        <v>51.728016924248784</v>
      </c>
      <c r="L14" s="108">
        <v>5.2037096026823848E-3</v>
      </c>
      <c r="M14" s="102">
        <f t="shared" ref="M14:M17" si="5">0.095*G14</f>
        <v>3.1831091435185178E-2</v>
      </c>
      <c r="N14" s="88">
        <v>1</v>
      </c>
      <c r="O14" s="88">
        <v>6</v>
      </c>
      <c r="P14" s="367">
        <v>15</v>
      </c>
      <c r="Q14" s="26">
        <f t="shared" ref="Q14:Y17" si="6">(E14*$N14*$O14)</f>
        <v>0.31462511702921436</v>
      </c>
      <c r="R14" s="26">
        <f t="shared" si="6"/>
        <v>1.5754365079365078</v>
      </c>
      <c r="S14" s="26">
        <f t="shared" si="6"/>
        <v>2.0103847222222218</v>
      </c>
      <c r="T14" s="26">
        <f t="shared" si="6"/>
        <v>3.6407771278739107E-3</v>
      </c>
      <c r="U14" s="26">
        <f t="shared" si="6"/>
        <v>0.12773809523809523</v>
      </c>
      <c r="V14" s="26">
        <f t="shared" si="6"/>
        <v>0.11368690476190477</v>
      </c>
      <c r="W14" s="26">
        <f t="shared" si="6"/>
        <v>310.36810154549272</v>
      </c>
      <c r="X14" s="26">
        <f t="shared" si="6"/>
        <v>3.1222257616094311E-2</v>
      </c>
      <c r="Y14" s="26">
        <f t="shared" si="6"/>
        <v>0.19098654861111108</v>
      </c>
    </row>
    <row r="15" spans="1:25" s="3" customFormat="1">
      <c r="A15" s="100" t="s">
        <v>287</v>
      </c>
      <c r="B15" s="97" t="s">
        <v>27</v>
      </c>
      <c r="C15" s="97">
        <v>37</v>
      </c>
      <c r="D15" s="22">
        <v>0.37</v>
      </c>
      <c r="E15" s="102">
        <v>3.2313389441625637E-2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0.12374118165784832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0.16056172839506169</v>
      </c>
      <c r="H15" s="102">
        <v>3.2989906092678058E-4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1.3581349206349205E-2</v>
      </c>
      <c r="J15" s="100">
        <f t="shared" si="4"/>
        <v>1.2087400793650793E-2</v>
      </c>
      <c r="K15" s="103">
        <v>25.519156990664225</v>
      </c>
      <c r="L15" s="102">
        <v>3.413848047070189E-3</v>
      </c>
      <c r="M15" s="104">
        <f t="shared" si="5"/>
        <v>1.5253364197530862E-2</v>
      </c>
      <c r="N15" s="88">
        <v>1</v>
      </c>
      <c r="O15" s="88">
        <v>1</v>
      </c>
      <c r="P15" s="367">
        <v>75</v>
      </c>
      <c r="Q15" s="26">
        <f t="shared" si="6"/>
        <v>3.2313389441625637E-2</v>
      </c>
      <c r="R15" s="26">
        <f t="shared" si="6"/>
        <v>0.12374118165784832</v>
      </c>
      <c r="S15" s="26">
        <f t="shared" si="6"/>
        <v>0.16056172839506169</v>
      </c>
      <c r="T15" s="26">
        <f t="shared" si="6"/>
        <v>3.2989906092678058E-4</v>
      </c>
      <c r="U15" s="26">
        <f t="shared" si="6"/>
        <v>1.3581349206349205E-2</v>
      </c>
      <c r="V15" s="26">
        <f t="shared" si="6"/>
        <v>1.2087400793650793E-2</v>
      </c>
      <c r="W15" s="26">
        <f t="shared" si="6"/>
        <v>25.519156990664225</v>
      </c>
      <c r="X15" s="26">
        <f t="shared" si="6"/>
        <v>3.413848047070189E-3</v>
      </c>
      <c r="Y15" s="26">
        <f t="shared" si="6"/>
        <v>1.5253364197530862E-2</v>
      </c>
    </row>
    <row r="16" spans="1:25" s="3" customFormat="1">
      <c r="A16" s="100" t="s">
        <v>292</v>
      </c>
      <c r="B16" s="22" t="s">
        <v>27</v>
      </c>
      <c r="C16" s="97">
        <v>69</v>
      </c>
      <c r="D16" s="22">
        <v>0.5</v>
      </c>
      <c r="E16" s="102">
        <v>0.10796897189848784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0.2814153439153439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0.40462962962962956</v>
      </c>
      <c r="H16" s="102">
        <v>7.6125329247041284E-4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2.2817460317460316E-2</v>
      </c>
      <c r="J16" s="100">
        <f t="shared" si="4"/>
        <v>2.030753968253968E-2</v>
      </c>
      <c r="K16" s="103">
        <v>64.895144949977833</v>
      </c>
      <c r="L16" s="102">
        <v>1.0324742188913067E-2</v>
      </c>
      <c r="M16" s="104">
        <f t="shared" si="5"/>
        <v>3.8439814814814809E-2</v>
      </c>
      <c r="N16" s="87">
        <v>1</v>
      </c>
      <c r="O16" s="87">
        <v>6</v>
      </c>
      <c r="P16" s="88">
        <f>8*22</f>
        <v>176</v>
      </c>
      <c r="Q16" s="34">
        <f t="shared" si="6"/>
        <v>0.64781383139092696</v>
      </c>
      <c r="R16" s="26">
        <f t="shared" si="6"/>
        <v>1.6884920634920633</v>
      </c>
      <c r="S16" s="26">
        <f t="shared" si="6"/>
        <v>2.4277777777777771</v>
      </c>
      <c r="T16" s="26">
        <f t="shared" si="6"/>
        <v>4.567519754822477E-3</v>
      </c>
      <c r="U16" s="26">
        <f t="shared" si="6"/>
        <v>0.13690476190476189</v>
      </c>
      <c r="V16" s="26">
        <f t="shared" si="6"/>
        <v>0.12184523809523809</v>
      </c>
      <c r="W16" s="26">
        <f t="shared" si="6"/>
        <v>389.370869699867</v>
      </c>
      <c r="X16" s="26">
        <f t="shared" si="6"/>
        <v>6.1948453133478402E-2</v>
      </c>
      <c r="Y16" s="26">
        <f t="shared" si="6"/>
        <v>0.23063888888888884</v>
      </c>
    </row>
    <row r="17" spans="1:25" s="3" customFormat="1">
      <c r="A17" s="100" t="s">
        <v>126</v>
      </c>
      <c r="B17" s="22" t="s">
        <v>27</v>
      </c>
      <c r="C17" s="22">
        <v>175</v>
      </c>
      <c r="D17" s="22"/>
      <c r="E17" s="102">
        <v>0.11792220738547983</v>
      </c>
      <c r="F17" s="102">
        <v>0.36512193352152528</v>
      </c>
      <c r="G17" s="102">
        <v>0.86781464282266541</v>
      </c>
      <c r="H17" s="102">
        <v>1.8739217498104396E-3</v>
      </c>
      <c r="I17" s="102">
        <v>2.9041712295589866E-2</v>
      </c>
      <c r="J17" s="100">
        <f t="shared" si="4"/>
        <v>2.5847123943074982E-2</v>
      </c>
      <c r="K17" s="103">
        <v>166.54541562452522</v>
      </c>
      <c r="L17" s="102">
        <v>1.063993297769634E-2</v>
      </c>
      <c r="M17" s="104">
        <f t="shared" si="5"/>
        <v>8.2442391068153209E-2</v>
      </c>
      <c r="N17" s="88">
        <v>1</v>
      </c>
      <c r="O17" s="88">
        <v>3</v>
      </c>
      <c r="P17" s="367">
        <v>40</v>
      </c>
      <c r="Q17" s="26">
        <f t="shared" si="6"/>
        <v>0.3537666221564395</v>
      </c>
      <c r="R17" s="26">
        <f t="shared" si="6"/>
        <v>1.0953658005645759</v>
      </c>
      <c r="S17" s="26">
        <f t="shared" si="6"/>
        <v>2.6034439284679962</v>
      </c>
      <c r="T17" s="26">
        <f t="shared" si="6"/>
        <v>5.6217652494313184E-3</v>
      </c>
      <c r="U17" s="26">
        <f t="shared" si="6"/>
        <v>8.7125136886769594E-2</v>
      </c>
      <c r="V17" s="26">
        <f t="shared" si="6"/>
        <v>7.754137182922495E-2</v>
      </c>
      <c r="W17" s="26">
        <f t="shared" si="6"/>
        <v>499.63624687357566</v>
      </c>
      <c r="X17" s="26">
        <f t="shared" si="6"/>
        <v>3.1919798933089022E-2</v>
      </c>
      <c r="Y17" s="26">
        <f t="shared" si="6"/>
        <v>0.24732717320445963</v>
      </c>
    </row>
    <row r="18" spans="1:25" s="3" customFormat="1">
      <c r="A18" s="17" t="s">
        <v>28</v>
      </c>
      <c r="B18" s="97"/>
      <c r="C18" s="22"/>
      <c r="D18" s="22"/>
      <c r="E18" s="23"/>
      <c r="F18" s="23"/>
      <c r="G18" s="23"/>
      <c r="H18" s="23"/>
      <c r="I18" s="23"/>
      <c r="J18" s="24"/>
      <c r="K18" s="25"/>
      <c r="L18" s="23"/>
      <c r="M18" s="23"/>
      <c r="N18" s="88"/>
      <c r="O18" s="88"/>
      <c r="P18" s="88"/>
      <c r="Q18" s="27">
        <f t="shared" ref="Q18:Y18" si="7">SUM(Q14:Q17)</f>
        <v>1.3485189600182066</v>
      </c>
      <c r="R18" s="27">
        <f t="shared" si="7"/>
        <v>4.4830355536509954</v>
      </c>
      <c r="S18" s="27">
        <f t="shared" si="7"/>
        <v>7.2021681568630562</v>
      </c>
      <c r="T18" s="27">
        <f t="shared" si="7"/>
        <v>1.4159961193054486E-2</v>
      </c>
      <c r="U18" s="27">
        <f t="shared" si="7"/>
        <v>0.3653493432359759</v>
      </c>
      <c r="V18" s="27">
        <f t="shared" si="7"/>
        <v>0.32516091548001858</v>
      </c>
      <c r="W18" s="27">
        <f t="shared" si="7"/>
        <v>1224.8943751095997</v>
      </c>
      <c r="X18" s="27">
        <f t="shared" si="7"/>
        <v>0.12850435772973193</v>
      </c>
      <c r="Y18" s="27">
        <f t="shared" si="7"/>
        <v>0.68420597490199042</v>
      </c>
    </row>
    <row r="19" spans="1:25" s="3" customFormat="1">
      <c r="A19" s="17" t="s">
        <v>365</v>
      </c>
      <c r="B19" s="549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30"/>
      <c r="O19" s="30"/>
      <c r="P19" s="364"/>
      <c r="Q19" s="20">
        <f>Q11+Q18</f>
        <v>2.0630960831098037</v>
      </c>
      <c r="R19" s="20">
        <f t="shared" ref="R19:Y19" si="8">R11+R18</f>
        <v>7.437194764609389</v>
      </c>
      <c r="S19" s="20">
        <f t="shared" si="8"/>
        <v>11.623224603002214</v>
      </c>
      <c r="T19" s="20">
        <f t="shared" si="8"/>
        <v>2.2483027429132364E-2</v>
      </c>
      <c r="U19" s="20">
        <f t="shared" si="8"/>
        <v>0.6111576355520234</v>
      </c>
      <c r="V19" s="20">
        <f t="shared" si="8"/>
        <v>0.5439302956413008</v>
      </c>
      <c r="W19" s="20">
        <f t="shared" si="8"/>
        <v>1921.3478675946278</v>
      </c>
      <c r="X19" s="20">
        <f t="shared" si="8"/>
        <v>0.20104416392030167</v>
      </c>
      <c r="Y19" s="20">
        <f t="shared" si="8"/>
        <v>1.1042063372852104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0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42578125" style="36" bestFit="1" customWidth="1"/>
    <col min="4" max="4" width="10.85546875" style="36" customWidth="1"/>
    <col min="5" max="5" width="10.42578125" style="36" bestFit="1" customWidth="1"/>
    <col min="6" max="6" width="9.5703125" style="36" bestFit="1" customWidth="1"/>
    <col min="7" max="7" width="12" style="36" bestFit="1" customWidth="1"/>
    <col min="8" max="8" width="9.5703125" style="36" bestFit="1" customWidth="1"/>
    <col min="9" max="9" width="11.85546875" style="36" bestFit="1" customWidth="1"/>
    <col min="10" max="11" width="9.5703125" style="36" bestFit="1" customWidth="1"/>
    <col min="12" max="13" width="11.85546875" style="36" bestFit="1" customWidth="1"/>
    <col min="14" max="14" width="9.5703125" style="36" bestFit="1" customWidth="1"/>
    <col min="15" max="16" width="10.85546875" style="36" bestFit="1" customWidth="1"/>
    <col min="17" max="17" width="9.5703125" style="36" bestFit="1" customWidth="1"/>
    <col min="18" max="18" width="12.85546875" style="36" bestFit="1" customWidth="1"/>
    <col min="19" max="30" width="9.5703125" style="36" bestFit="1" customWidth="1"/>
    <col min="31" max="16384" width="9.140625" style="36"/>
  </cols>
  <sheetData>
    <row r="1" spans="1:30">
      <c r="A1" s="3" t="s">
        <v>613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47"/>
      <c r="H8" s="41"/>
      <c r="I8" s="41"/>
      <c r="J8" s="41"/>
      <c r="K8" s="544"/>
      <c r="L8" s="544"/>
      <c r="M8" s="544"/>
      <c r="N8" s="544"/>
      <c r="O8" s="544"/>
      <c r="P8" s="544"/>
      <c r="Q8" s="41"/>
      <c r="R8" s="544"/>
      <c r="S8" s="54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C9*(F9)*$B$378</f>
        <v>1.7662149598755138E-2</v>
      </c>
      <c r="AA9" s="50">
        <f>Z9*0.21</f>
        <v>3.7090514157385786E-3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56">
        <v>3.59998119015979E-2</v>
      </c>
      <c r="M10" s="556">
        <v>6.1739677411240299E-2</v>
      </c>
      <c r="N10" s="106">
        <v>6.5945508986370194E-2</v>
      </c>
      <c r="O10" s="556">
        <v>2.9999843251331498E-3</v>
      </c>
      <c r="P10" s="55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C10*(F10)*$B$378</f>
        <v>7.8498442661133934E-3</v>
      </c>
      <c r="AA10" s="50">
        <f>Z10*0.21</f>
        <v>1.6484672958838125E-3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47"/>
      <c r="H11" s="41"/>
      <c r="I11" s="41"/>
      <c r="J11" s="41"/>
      <c r="K11" s="544"/>
      <c r="L11" s="544"/>
      <c r="M11" s="544"/>
      <c r="N11" s="544"/>
      <c r="O11" s="544"/>
      <c r="P11" s="544"/>
      <c r="Q11" s="41"/>
      <c r="R11" s="544"/>
      <c r="S11" s="54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2.5511993864868531E-2</v>
      </c>
      <c r="AA11" s="81">
        <f t="shared" si="0"/>
        <v>5.3575187116223916E-3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47"/>
      <c r="H12" s="41"/>
      <c r="I12" s="41"/>
      <c r="J12" s="41"/>
      <c r="K12" s="544"/>
      <c r="L12" s="544"/>
      <c r="M12" s="544"/>
      <c r="N12" s="544"/>
      <c r="O12" s="544"/>
      <c r="P12" s="544"/>
      <c r="Q12" s="41"/>
      <c r="R12" s="544"/>
      <c r="S12" s="54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334</v>
      </c>
      <c r="B13" s="74"/>
      <c r="C13" s="112"/>
      <c r="D13" s="112"/>
      <c r="E13" s="74"/>
      <c r="F13" s="74"/>
      <c r="G13" s="560"/>
      <c r="H13" s="41"/>
      <c r="I13" s="41"/>
      <c r="J13" s="41"/>
      <c r="K13" s="558"/>
      <c r="L13" s="558"/>
      <c r="M13" s="558"/>
      <c r="N13" s="558"/>
      <c r="O13" s="558"/>
      <c r="P13" s="558"/>
      <c r="Q13" s="41"/>
      <c r="R13" s="558"/>
      <c r="S13" s="558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C14*(F14)*$B$320</f>
        <v>0</v>
      </c>
      <c r="AA14" s="50">
        <f>Z14*0.21</f>
        <v>0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5" t="s">
        <v>28</v>
      </c>
      <c r="B15" s="74"/>
      <c r="C15" s="112"/>
      <c r="D15" s="112"/>
      <c r="E15" s="74"/>
      <c r="F15" s="74"/>
      <c r="G15" s="560"/>
      <c r="H15" s="41"/>
      <c r="I15" s="41"/>
      <c r="J15" s="41"/>
      <c r="K15" s="558"/>
      <c r="L15" s="558"/>
      <c r="M15" s="558"/>
      <c r="N15" s="558"/>
      <c r="O15" s="558"/>
      <c r="P15" s="558"/>
      <c r="Q15" s="41"/>
      <c r="R15" s="558"/>
      <c r="S15" s="558"/>
      <c r="T15" s="81">
        <f t="shared" ref="T15:AD15" si="1">SUM(T14:T14)</f>
        <v>0.19978255106729004</v>
      </c>
      <c r="U15" s="81">
        <f t="shared" si="1"/>
        <v>0.36881875565943734</v>
      </c>
      <c r="V15" s="81">
        <f t="shared" si="1"/>
        <v>4.50613455258927E-2</v>
      </c>
      <c r="W15" s="81">
        <f t="shared" si="1"/>
        <v>2.7797226812149543E-3</v>
      </c>
      <c r="X15" s="81">
        <f t="shared" si="1"/>
        <v>7.2738929740302244E-2</v>
      </c>
      <c r="Y15" s="81">
        <f t="shared" si="1"/>
        <v>4.8332197965954803E-2</v>
      </c>
      <c r="Z15" s="81">
        <f t="shared" si="1"/>
        <v>0</v>
      </c>
      <c r="AA15" s="81">
        <f t="shared" si="1"/>
        <v>0</v>
      </c>
      <c r="AB15" s="81">
        <f t="shared" si="1"/>
        <v>193.62821118051326</v>
      </c>
      <c r="AC15" s="81">
        <f t="shared" si="1"/>
        <v>1.1064496871488068E-2</v>
      </c>
      <c r="AD15" s="81">
        <f t="shared" si="1"/>
        <v>4.9599802576000274E-3</v>
      </c>
    </row>
    <row r="16" spans="1:30">
      <c r="A16" s="75" t="s">
        <v>388</v>
      </c>
      <c r="B16" s="74"/>
      <c r="C16" s="112"/>
      <c r="D16" s="112"/>
      <c r="E16" s="74"/>
      <c r="F16" s="74"/>
      <c r="G16" s="547"/>
      <c r="H16" s="41"/>
      <c r="I16" s="41"/>
      <c r="J16" s="41"/>
      <c r="K16" s="544"/>
      <c r="L16" s="544"/>
      <c r="M16" s="544"/>
      <c r="N16" s="544"/>
      <c r="O16" s="544"/>
      <c r="P16" s="544"/>
      <c r="Q16" s="41"/>
      <c r="R16" s="544"/>
      <c r="S16" s="544"/>
      <c r="T16" s="81">
        <f>T11+T15</f>
        <v>0.49061979389018751</v>
      </c>
      <c r="U16" s="81">
        <f t="shared" ref="U16:AD16" si="2">U11+U15</f>
        <v>1.4300149922750218</v>
      </c>
      <c r="V16" s="81">
        <f t="shared" si="2"/>
        <v>0.11388583001311323</v>
      </c>
      <c r="W16" s="81">
        <f t="shared" si="2"/>
        <v>6.0588351957901118E-3</v>
      </c>
      <c r="X16" s="81">
        <f t="shared" si="2"/>
        <v>0.13898901638518027</v>
      </c>
      <c r="Y16" s="81">
        <f t="shared" si="2"/>
        <v>9.4510281595063333E-2</v>
      </c>
      <c r="Z16" s="81">
        <f t="shared" si="2"/>
        <v>2.5511993864868531E-2</v>
      </c>
      <c r="AA16" s="81">
        <f t="shared" si="2"/>
        <v>5.3575187116223916E-3</v>
      </c>
      <c r="AB16" s="81">
        <f t="shared" si="2"/>
        <v>592.16432649433523</v>
      </c>
      <c r="AC16" s="81">
        <f t="shared" si="2"/>
        <v>1.9283796835273176E-2</v>
      </c>
      <c r="AD16" s="81">
        <f t="shared" si="2"/>
        <v>1.5168881387478891E-2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368" spans="1:1" ht="25.5">
      <c r="A368" s="82" t="s">
        <v>109</v>
      </c>
    </row>
    <row r="370" spans="1:2">
      <c r="A370" s="36" t="s">
        <v>81</v>
      </c>
    </row>
    <row r="371" spans="1:2">
      <c r="A371" s="36" t="s">
        <v>82</v>
      </c>
    </row>
    <row r="372" spans="1:2">
      <c r="A372" s="36" t="s">
        <v>83</v>
      </c>
    </row>
    <row r="373" spans="1:2">
      <c r="A373" s="37" t="s">
        <v>96</v>
      </c>
    </row>
    <row r="374" spans="1:2">
      <c r="A374" s="36" t="s">
        <v>85</v>
      </c>
    </row>
    <row r="375" spans="1:2">
      <c r="A375" s="36" t="s">
        <v>86</v>
      </c>
    </row>
    <row r="376" spans="1:2">
      <c r="A376" s="36" t="s">
        <v>87</v>
      </c>
    </row>
    <row r="377" spans="1:2">
      <c r="A377" s="36" t="s">
        <v>0</v>
      </c>
    </row>
    <row r="378" spans="1:2">
      <c r="A378" s="37" t="s">
        <v>97</v>
      </c>
      <c r="B378" s="36">
        <f>(0.016*(0.03/2)^0.65*(2/3)^1.5)-0.00047</f>
        <v>9.8123053326417428E-5</v>
      </c>
    </row>
    <row r="379" spans="1:2">
      <c r="A379" s="37" t="s">
        <v>98</v>
      </c>
      <c r="B379" s="36">
        <f>(0.016*(0.03/2)^0.65*(13/3)^1.5)-0.00047</f>
        <v>8.9448292388582783E-3</v>
      </c>
    </row>
    <row r="380" spans="1:2">
      <c r="A380" s="37" t="s">
        <v>99</v>
      </c>
      <c r="B38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614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334</v>
      </c>
      <c r="B5" s="45" t="s">
        <v>102</v>
      </c>
      <c r="C5" s="46">
        <v>12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54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545" t="s">
        <v>55</v>
      </c>
      <c r="G88" s="545" t="s">
        <v>73</v>
      </c>
      <c r="H88" s="545" t="s">
        <v>74</v>
      </c>
      <c r="I88" s="545" t="s">
        <v>58</v>
      </c>
      <c r="J88" s="545" t="s">
        <v>59</v>
      </c>
      <c r="K88" s="545" t="s">
        <v>60</v>
      </c>
      <c r="L88" s="544" t="s">
        <v>75</v>
      </c>
      <c r="M88" s="544" t="s">
        <v>76</v>
      </c>
      <c r="N88" s="544" t="s">
        <v>61</v>
      </c>
      <c r="O88" s="544" t="s">
        <v>62</v>
      </c>
      <c r="P88" s="544" t="s">
        <v>63</v>
      </c>
      <c r="AN88" s="38"/>
      <c r="AZ88" s="36"/>
    </row>
    <row r="89" spans="1:52" ht="25.5">
      <c r="A89" s="44" t="str">
        <f t="shared" ref="A89:C90" si="52">A4</f>
        <v>Substation General Construction</v>
      </c>
      <c r="B89" s="45" t="str">
        <f t="shared" si="52"/>
        <v>Light-Duty Truck, catalyst</v>
      </c>
      <c r="C89" s="46">
        <f t="shared" si="52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53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si="52"/>
        <v>Substation Below Grade Construction</v>
      </c>
      <c r="B90" s="45" t="str">
        <f t="shared" si="52"/>
        <v>Light-Duty Truck, catalyst</v>
      </c>
      <c r="C90" s="46">
        <f t="shared" si="52"/>
        <v>12</v>
      </c>
      <c r="D90" s="46">
        <v>35</v>
      </c>
      <c r="E90" s="46">
        <v>80</v>
      </c>
      <c r="F90" s="50">
        <f>C5*($E5*$F5+($G5))/453.59</f>
        <v>5.8286326305710405</v>
      </c>
      <c r="G90" s="50">
        <f>C5*($E5*$H5+($I5))/453.59</f>
        <v>0.52404788753253606</v>
      </c>
      <c r="H90" s="50">
        <f>C5*(($E5*$J5)+($K5)+($L5)+($E5*$N5)+(($M5+$O5)))/453.59</f>
        <v>0.60599976388743992</v>
      </c>
      <c r="I90" s="50">
        <f>C5*($E5*$P5+($Q5))/453.59</f>
        <v>8.7215643259273903E-3</v>
      </c>
      <c r="J90" s="50">
        <f>C5*(($E5*($R5+$T5+$U5))+($S5))/453.59</f>
        <v>0.10228908546249475</v>
      </c>
      <c r="K90" s="50">
        <f>$C5*(($E5*($V5+$X5+$Y5))+($W5))/453.59</f>
        <v>4.4544063891037704E-2</v>
      </c>
      <c r="L90" s="50">
        <f>$B$22*C5*(E5+6)</f>
        <v>0.10126299103286279</v>
      </c>
      <c r="M90" s="50">
        <f t="shared" si="53"/>
        <v>4.1517826323473742E-2</v>
      </c>
      <c r="N90" s="50">
        <f>C5*($E5*$Z5+($AA5))/453.59</f>
        <v>665.08292071246683</v>
      </c>
      <c r="O90" s="50">
        <f>C5*($E5*$AB5+($AC5))/453.59</f>
        <v>3.804570466836299E-2</v>
      </c>
      <c r="P90" s="50">
        <f>C5*($E5*$AD5+($AE5))/453.59</f>
        <v>6.9253438966120323E-2</v>
      </c>
      <c r="AN90" s="38"/>
      <c r="AZ90" s="36"/>
    </row>
    <row r="91" spans="1:52">
      <c r="A91" s="61" t="s">
        <v>389</v>
      </c>
      <c r="B91" s="40"/>
      <c r="C91" s="40"/>
      <c r="D91" s="40"/>
      <c r="E91" s="40"/>
      <c r="F91" s="81">
        <f t="shared" ref="F91:P91" si="54">SUM(F89:F90)</f>
        <v>7.2857907882138004</v>
      </c>
      <c r="G91" s="81">
        <f t="shared" si="54"/>
        <v>0.65505985941567002</v>
      </c>
      <c r="H91" s="81">
        <f t="shared" si="54"/>
        <v>0.75749970485929996</v>
      </c>
      <c r="I91" s="81">
        <f t="shared" si="54"/>
        <v>1.0901955407409238E-2</v>
      </c>
      <c r="J91" s="81">
        <f t="shared" si="54"/>
        <v>0.12786135682811844</v>
      </c>
      <c r="K91" s="81">
        <f t="shared" si="54"/>
        <v>5.5680079863797131E-2</v>
      </c>
      <c r="L91" s="81">
        <f t="shared" si="54"/>
        <v>0.1265787387910785</v>
      </c>
      <c r="M91" s="81">
        <f t="shared" si="54"/>
        <v>5.1897282904342174E-2</v>
      </c>
      <c r="N91" s="81">
        <f t="shared" si="54"/>
        <v>831.35365089058359</v>
      </c>
      <c r="O91" s="81">
        <f t="shared" si="54"/>
        <v>4.7557130835453737E-2</v>
      </c>
      <c r="P91" s="81">
        <f t="shared" si="54"/>
        <v>8.6566798707650411E-2</v>
      </c>
      <c r="AN91" s="38"/>
      <c r="AZ91" s="36"/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9"/>
  <sheetViews>
    <sheetView zoomScale="75" zoomScaleNormal="75" workbookViewId="0">
      <selection activeCell="A2" sqref="A2"/>
    </sheetView>
  </sheetViews>
  <sheetFormatPr defaultRowHeight="12.75"/>
  <cols>
    <col min="1" max="1" width="51.85546875" customWidth="1"/>
    <col min="2" max="2" width="9.140625" style="1"/>
    <col min="3" max="3" width="7.28515625" style="1" customWidth="1"/>
    <col min="4" max="4" width="7.5703125" style="1" customWidth="1"/>
    <col min="5" max="5" width="11" style="2" customWidth="1"/>
    <col min="6" max="6" width="10.42578125" style="2" customWidth="1"/>
    <col min="7" max="7" width="11" style="2" customWidth="1"/>
    <col min="8" max="10" width="10.42578125" style="2" customWidth="1"/>
    <col min="11" max="11" width="11.7109375" style="2" customWidth="1"/>
    <col min="12" max="13" width="10.42578125" style="2" customWidth="1"/>
    <col min="14" max="14" width="12" style="3" customWidth="1"/>
    <col min="15" max="15" width="5.7109375" customWidth="1"/>
    <col min="16" max="16" width="8.42578125" hidden="1" customWidth="1"/>
    <col min="17" max="17" width="10.28515625" style="4" bestFit="1" customWidth="1"/>
    <col min="18" max="22" width="9.140625" style="4"/>
    <col min="23" max="23" width="11.28515625" style="5" customWidth="1"/>
    <col min="24" max="25" width="9.140625" style="4"/>
    <col min="26" max="27" width="7.7109375" style="6" customWidth="1"/>
    <col min="28" max="28" width="8.28515625" style="6" customWidth="1"/>
    <col min="29" max="29" width="7.85546875" style="6" customWidth="1"/>
    <col min="30" max="31" width="7.7109375" style="6" customWidth="1"/>
    <col min="32" max="32" width="10.42578125" style="7" customWidth="1"/>
  </cols>
  <sheetData>
    <row r="1" spans="1:25">
      <c r="A1" s="3" t="s">
        <v>615</v>
      </c>
    </row>
    <row r="3" spans="1:25">
      <c r="A3" s="8"/>
      <c r="B3" s="9"/>
      <c r="C3" s="9"/>
      <c r="D3" s="9"/>
      <c r="E3" s="584" t="s">
        <v>0</v>
      </c>
      <c r="F3" s="585"/>
      <c r="G3" s="585"/>
      <c r="H3" s="585"/>
      <c r="I3" s="585"/>
      <c r="J3" s="585"/>
      <c r="K3" s="585"/>
      <c r="L3" s="585"/>
      <c r="M3" s="543"/>
      <c r="N3" s="8"/>
      <c r="O3" s="8"/>
      <c r="P3" s="8"/>
      <c r="Q3" s="586" t="s">
        <v>1</v>
      </c>
      <c r="R3" s="585"/>
      <c r="S3" s="585"/>
      <c r="T3" s="585"/>
      <c r="U3" s="585"/>
      <c r="V3" s="585"/>
      <c r="W3" s="585"/>
      <c r="X3" s="585"/>
      <c r="Y3" s="10"/>
    </row>
    <row r="4" spans="1:25" ht="38.25">
      <c r="A4" s="11" t="s">
        <v>107</v>
      </c>
      <c r="B4" s="12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3" t="s">
        <v>7</v>
      </c>
      <c r="H4" s="13" t="s">
        <v>8</v>
      </c>
      <c r="I4" s="13" t="s">
        <v>9</v>
      </c>
      <c r="J4" s="13" t="s">
        <v>10</v>
      </c>
      <c r="K4" s="14" t="s">
        <v>11</v>
      </c>
      <c r="L4" s="14" t="s">
        <v>12</v>
      </c>
      <c r="M4" s="14" t="s">
        <v>13</v>
      </c>
      <c r="N4" s="12" t="s">
        <v>14</v>
      </c>
      <c r="O4" s="12" t="s">
        <v>15</v>
      </c>
      <c r="P4" s="12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6" t="s">
        <v>23</v>
      </c>
      <c r="X4" s="15" t="s">
        <v>24</v>
      </c>
      <c r="Y4" s="15" t="s">
        <v>25</v>
      </c>
    </row>
    <row r="5" spans="1:25" s="3" customFormat="1" hidden="1">
      <c r="A5" s="17" t="s">
        <v>26</v>
      </c>
      <c r="B5" s="18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7"/>
      <c r="O5" s="17"/>
      <c r="P5" s="17"/>
      <c r="Q5" s="20"/>
      <c r="R5" s="20"/>
      <c r="S5" s="20"/>
      <c r="T5" s="20"/>
      <c r="U5" s="20"/>
      <c r="V5" s="20"/>
      <c r="W5" s="21"/>
      <c r="X5" s="20"/>
      <c r="Y5" s="20"/>
    </row>
    <row r="6" spans="1:25" s="3" customFormat="1" hidden="1">
      <c r="A6" s="17"/>
      <c r="B6" s="18"/>
      <c r="C6" s="18"/>
      <c r="D6" s="18"/>
      <c r="E6" s="19"/>
      <c r="F6" s="19"/>
      <c r="G6" s="19"/>
      <c r="H6" s="19"/>
      <c r="I6" s="19"/>
      <c r="J6" s="19"/>
      <c r="K6" s="19"/>
      <c r="L6" s="19"/>
      <c r="M6" s="19"/>
      <c r="N6" s="17"/>
      <c r="O6" s="17"/>
      <c r="P6" s="17"/>
      <c r="Q6" s="20"/>
      <c r="R6" s="20"/>
      <c r="S6" s="20"/>
      <c r="T6" s="20"/>
      <c r="U6" s="20"/>
      <c r="V6" s="20"/>
      <c r="W6" s="21"/>
      <c r="X6" s="20"/>
      <c r="Y6" s="20"/>
    </row>
    <row r="7" spans="1:25" s="3" customFormat="1">
      <c r="A7" s="17" t="s">
        <v>315</v>
      </c>
      <c r="B7" s="579"/>
      <c r="C7" s="18"/>
      <c r="D7" s="18"/>
      <c r="E7" s="19"/>
      <c r="F7" s="19"/>
      <c r="G7" s="19"/>
      <c r="H7" s="19"/>
      <c r="I7" s="19"/>
      <c r="J7" s="19"/>
      <c r="K7" s="19"/>
      <c r="L7" s="19"/>
      <c r="M7" s="19"/>
      <c r="N7" s="30"/>
      <c r="O7" s="30"/>
      <c r="P7" s="30"/>
      <c r="Q7" s="20"/>
      <c r="R7" s="20"/>
      <c r="S7" s="20"/>
      <c r="T7" s="20"/>
      <c r="U7" s="20"/>
      <c r="V7" s="20"/>
      <c r="W7" s="21"/>
      <c r="X7" s="20"/>
      <c r="Y7" s="20"/>
    </row>
    <row r="8" spans="1:25" s="3" customFormat="1">
      <c r="A8" s="24" t="s">
        <v>119</v>
      </c>
      <c r="B8" s="90" t="s">
        <v>27</v>
      </c>
      <c r="C8" s="22">
        <v>78</v>
      </c>
      <c r="D8" s="22">
        <f>VLOOKUP(A8,'Offroad Tiers LF'!$B$6:$C$40,2,FALSE)</f>
        <v>0.48</v>
      </c>
      <c r="E8" s="102">
        <v>6.2432730803469526E-2</v>
      </c>
      <c r="F8" s="397">
        <f>IF($C8&lt;11,'Offroad Tiers EF (2)'!$AN$4*$C8*$D8,IF($C8&lt;25,'Offroad Tiers EF (2)'!$AN$5*$C8*$D8,IF($C8&lt;50,'Offroad Tiers EF (2)'!$AN$6*$C8*$D8,IF($C8&lt;75,'Offroad Tiers EF (2)'!$AN$7*$C8*$D8,IF($C8&lt;100,'Offroad Tiers EF (2)'!$AN$8*$C8*$D8,IF($C8&lt;175,'Offroad Tiers EF (2)'!$AN$9*$C8*$D8,IF($C8&lt;300,'Offroad Tiers EF (2)'!$AN$10*$C8*$D8,IF($C8&lt;600,'Offroad Tiers EF (2)'!$AN$11*$C8*$D8,"!"))))))))</f>
        <v>0.30539682539682533</v>
      </c>
      <c r="G8" s="397">
        <f>IF($C8&lt;11,'Offroad Tiers EF (2)'!$AM$4*$C8*$D8,IF($C8&lt;25,'Offroad Tiers EF (2)'!$AM$5*$C8*$D8,IF($C8&lt;50,'Offroad Tiers EF (2)'!$AM$6*$C8*$D8,IF($C8&lt;75,'Offroad Tiers EF (2)'!$AM$7*$C8*$D8,IF($C8&lt;100,'Offroad Tiers EF (2)'!$AM$8*$C8*$D8,IF($C8&lt;175,'Offroad Tiers EF (2)'!$AM$9*$C8*$D8,IF($C8&lt;300,'Offroad Tiers EF (2)'!$AM$10*$C8*$D8,IF($C8&lt;600,'Offroad Tiers EF (2)'!$AM$11*$C8*$D8,"!"))))))))</f>
        <v>0.38971111111111101</v>
      </c>
      <c r="H8" s="102">
        <v>5.5075019000828571E-4</v>
      </c>
      <c r="I8" s="397">
        <f>IF($C8&lt;11,'Offroad Tiers EF (2)'!$AO$4*$C8*$D8,IF($C8&lt;25,'Offroad Tiers EF (2)'!$AO$5*$C8*$D8,IF($C8&lt;50,'Offroad Tiers EF (2)'!$AO$6*$C8*$D8,IF($C8&lt;75,'Offroad Tiers EF (2)'!$AO$7*$C8*$D8,IF($C8&lt;100,'Offroad Tiers EF (2)'!$AO$8*$C8*$D8,IF($C8&lt;175,'Offroad Tiers EF (2)'!$AO$9*$C8*$D8,IF($C8&lt;300,'Offroad Tiers EF (2)'!$AO$10*$C8*$D8,IF($C8&lt;600,'Offroad Tiers EF (2)'!$AO$11*$C8*$D8,"!"))))))))</f>
        <v>2.4761904761904759E-2</v>
      </c>
      <c r="J8" s="100">
        <f t="shared" ref="J8:J10" si="0">0.89*I8</f>
        <v>2.2038095238095235E-2</v>
      </c>
      <c r="K8" s="103">
        <v>46.950229824177143</v>
      </c>
      <c r="L8" s="102">
        <v>6.837183977115969E-3</v>
      </c>
      <c r="M8" s="104">
        <f t="shared" ref="M8:M10" si="1">0.095*G8</f>
        <v>3.7022555555555545E-2</v>
      </c>
      <c r="N8" s="98">
        <v>1</v>
      </c>
      <c r="O8" s="98">
        <v>6</v>
      </c>
      <c r="P8" s="88">
        <v>125</v>
      </c>
      <c r="Q8" s="34">
        <f t="shared" ref="Q8:Y10" si="2">(E8*$N8*$O8)</f>
        <v>0.37459638482081714</v>
      </c>
      <c r="R8" s="26">
        <f t="shared" si="2"/>
        <v>1.832380952380952</v>
      </c>
      <c r="S8" s="26">
        <f t="shared" si="2"/>
        <v>2.3382666666666658</v>
      </c>
      <c r="T8" s="26">
        <f t="shared" si="2"/>
        <v>3.3045011400497145E-3</v>
      </c>
      <c r="U8" s="26">
        <f t="shared" si="2"/>
        <v>0.14857142857142855</v>
      </c>
      <c r="V8" s="26">
        <f t="shared" si="2"/>
        <v>0.13222857142857142</v>
      </c>
      <c r="W8" s="26">
        <f t="shared" si="2"/>
        <v>281.70137894506286</v>
      </c>
      <c r="X8" s="26">
        <f t="shared" si="2"/>
        <v>4.1023103862695816E-2</v>
      </c>
      <c r="Y8" s="26">
        <f t="shared" si="2"/>
        <v>0.22213533333333327</v>
      </c>
    </row>
    <row r="9" spans="1:25" s="3" customFormat="1">
      <c r="A9" s="24" t="s">
        <v>305</v>
      </c>
      <c r="B9" s="29" t="s">
        <v>27</v>
      </c>
      <c r="C9" s="22">
        <v>175</v>
      </c>
      <c r="D9" s="22"/>
      <c r="E9" s="102">
        <v>0.11792220738547983</v>
      </c>
      <c r="F9" s="102">
        <v>0.36512193352152528</v>
      </c>
      <c r="G9" s="102">
        <v>0.86781464282266541</v>
      </c>
      <c r="H9" s="102">
        <v>1.8739217498104396E-3</v>
      </c>
      <c r="I9" s="102">
        <v>2.9041712295589866E-2</v>
      </c>
      <c r="J9" s="100">
        <f t="shared" si="0"/>
        <v>2.5847123943074982E-2</v>
      </c>
      <c r="K9" s="103">
        <v>166.54541562452522</v>
      </c>
      <c r="L9" s="102">
        <v>1.063993297769634E-2</v>
      </c>
      <c r="M9" s="104">
        <f t="shared" si="1"/>
        <v>8.2442391068153209E-2</v>
      </c>
      <c r="N9" s="98">
        <v>1</v>
      </c>
      <c r="O9" s="87">
        <v>2</v>
      </c>
      <c r="P9" s="363">
        <v>125</v>
      </c>
      <c r="Q9" s="34">
        <f t="shared" si="2"/>
        <v>0.23584441477095966</v>
      </c>
      <c r="R9" s="26">
        <f t="shared" si="2"/>
        <v>0.73024386704305055</v>
      </c>
      <c r="S9" s="26">
        <f t="shared" si="2"/>
        <v>1.7356292856453308</v>
      </c>
      <c r="T9" s="26">
        <f t="shared" si="2"/>
        <v>3.7478434996208792E-3</v>
      </c>
      <c r="U9" s="26">
        <f t="shared" si="2"/>
        <v>5.8083424591179732E-2</v>
      </c>
      <c r="V9" s="26">
        <f t="shared" si="2"/>
        <v>5.1694247886149965E-2</v>
      </c>
      <c r="W9" s="26">
        <f t="shared" si="2"/>
        <v>333.09083124905044</v>
      </c>
      <c r="X9" s="26">
        <f t="shared" si="2"/>
        <v>2.127986595539268E-2</v>
      </c>
      <c r="Y9" s="26">
        <f t="shared" si="2"/>
        <v>0.16488478213630642</v>
      </c>
    </row>
    <row r="10" spans="1:25" s="3" customFormat="1">
      <c r="A10" s="24" t="s">
        <v>368</v>
      </c>
      <c r="B10" s="29" t="s">
        <v>27</v>
      </c>
      <c r="C10" s="22">
        <v>5</v>
      </c>
      <c r="D10" s="22">
        <v>0.74</v>
      </c>
      <c r="E10" s="102">
        <v>1.3017040437477556E-2</v>
      </c>
      <c r="F10" s="397">
        <f>IF($C10&lt;11,'Offroad Tiers EF (2)'!$AN$4*$C10*$D10,IF($C10&lt;25,'Offroad Tiers EF (2)'!$AN$5*$C10*$D10,IF($C10&lt;50,'Offroad Tiers EF (2)'!$AN$6*$C10*$D10,IF($C10&lt;75,'Offroad Tiers EF (2)'!$AN$7*$C10*$D10,IF($C10&lt;100,'Offroad Tiers EF (2)'!$AN$8*$C10*$D10,IF($C10&lt;175,'Offroad Tiers EF (2)'!$AN$9*$C10*$D10,IF($C10&lt;300,'Offroad Tiers EF (2)'!$AN$10*$C10*$D10,IF($C10&lt;600,'Offroad Tiers EF (2)'!$AN$11*$C10*$D10,"!"))))))))</f>
        <v>4.8941798941798939E-2</v>
      </c>
      <c r="G10" s="397">
        <f>IF($C10&lt;11,'Offroad Tiers EF (2)'!$AM$4*$C10*$D10,IF($C10&lt;25,'Offroad Tiers EF (2)'!$AM$5*$C10*$D10,IF($C10&lt;50,'Offroad Tiers EF (2)'!$AM$6*$C10*$D10,IF($C10&lt;75,'Offroad Tiers EF (2)'!$AM$7*$C10*$D10,IF($C10&lt;100,'Offroad Tiers EF (2)'!$AM$8*$C10*$D10,IF($C10&lt;175,'Offroad Tiers EF (2)'!$AM$9*$C10*$D10,IF($C10&lt;300,'Offroad Tiers EF (2)'!$AM$10*$C10*$D10,IF($C10&lt;600,'Offroad Tiers EF (2)'!$AM$11*$C10*$D10,"!"))))))))</f>
        <v>4.3395061728395051E-2</v>
      </c>
      <c r="H10" s="102">
        <v>1.5884019955091081E-4</v>
      </c>
      <c r="I10" s="397">
        <f>IF($C10&lt;11,'Offroad Tiers EF (2)'!$AO$4*$C10*$D10,IF($C10&lt;25,'Offroad Tiers EF (2)'!$AO$5*$C10*$D10,IF($C10&lt;50,'Offroad Tiers EF (2)'!$AO$6*$C10*$D10,IF($C10&lt;75,'Offroad Tiers EF (2)'!$AO$7*$C10*$D10,IF($C10&lt;100,'Offroad Tiers EF (2)'!$AO$8*$C10*$D10,IF($C10&lt;175,'Offroad Tiers EF (2)'!$AO$9*$C10*$D10,IF($C10&lt;300,'Offroad Tiers EF (2)'!$AO$10*$C10*$D10,IF($C10&lt;600,'Offroad Tiers EF (2)'!$AO$11*$C10*$D10,"!"))))))))</f>
        <v>4.8941798941798936E-3</v>
      </c>
      <c r="J10" s="100">
        <f t="shared" si="0"/>
        <v>4.3558201058201051E-3</v>
      </c>
      <c r="K10" s="103">
        <v>10.20766028636436</v>
      </c>
      <c r="L10" s="102">
        <v>1.2796045465601556E-3</v>
      </c>
      <c r="M10" s="104">
        <f t="shared" si="1"/>
        <v>4.1225308641975296E-3</v>
      </c>
      <c r="N10" s="98">
        <v>1</v>
      </c>
      <c r="O10" s="87">
        <v>8</v>
      </c>
      <c r="P10" s="363">
        <v>125</v>
      </c>
      <c r="Q10" s="34">
        <f t="shared" si="2"/>
        <v>0.10413632349982045</v>
      </c>
      <c r="R10" s="26">
        <f t="shared" si="2"/>
        <v>0.39153439153439151</v>
      </c>
      <c r="S10" s="26">
        <f t="shared" si="2"/>
        <v>0.34716049382716041</v>
      </c>
      <c r="T10" s="26">
        <f t="shared" si="2"/>
        <v>1.2707215964072865E-3</v>
      </c>
      <c r="U10" s="26">
        <f t="shared" si="2"/>
        <v>3.9153439153439148E-2</v>
      </c>
      <c r="V10" s="26">
        <f t="shared" si="2"/>
        <v>3.4846560846560841E-2</v>
      </c>
      <c r="W10" s="26">
        <f t="shared" si="2"/>
        <v>81.661282290914883</v>
      </c>
      <c r="X10" s="26">
        <f t="shared" si="2"/>
        <v>1.0236836372481245E-2</v>
      </c>
      <c r="Y10" s="26">
        <f t="shared" si="2"/>
        <v>3.2980246913580237E-2</v>
      </c>
    </row>
    <row r="11" spans="1:25" s="3" customFormat="1">
      <c r="A11" s="17" t="s">
        <v>28</v>
      </c>
      <c r="B11" s="29"/>
      <c r="C11" s="22"/>
      <c r="D11" s="22"/>
      <c r="E11" s="108"/>
      <c r="F11" s="108"/>
      <c r="G11" s="108"/>
      <c r="H11" s="108"/>
      <c r="I11" s="108"/>
      <c r="J11" s="100"/>
      <c r="K11" s="365"/>
      <c r="L11" s="110"/>
      <c r="M11" s="102"/>
      <c r="N11" s="98"/>
      <c r="O11" s="87"/>
      <c r="P11" s="363"/>
      <c r="Q11" s="101">
        <f>SUM(Q8:Q10)</f>
        <v>0.71457712309159727</v>
      </c>
      <c r="R11" s="101">
        <f t="shared" ref="R11:Y11" si="3">SUM(R8:R10)</f>
        <v>2.9541592109583941</v>
      </c>
      <c r="S11" s="101">
        <f t="shared" si="3"/>
        <v>4.4210564461391568</v>
      </c>
      <c r="T11" s="101">
        <f t="shared" si="3"/>
        <v>8.32306623607788E-3</v>
      </c>
      <c r="U11" s="101">
        <f t="shared" si="3"/>
        <v>0.24580829231604745</v>
      </c>
      <c r="V11" s="101">
        <f t="shared" si="3"/>
        <v>0.21876938016128222</v>
      </c>
      <c r="W11" s="101">
        <f t="shared" si="3"/>
        <v>696.45349248502816</v>
      </c>
      <c r="X11" s="101">
        <f t="shared" si="3"/>
        <v>7.2539806190569739E-2</v>
      </c>
      <c r="Y11" s="101">
        <f t="shared" si="3"/>
        <v>0.42000036238321992</v>
      </c>
    </row>
    <row r="12" spans="1:25" s="3" customFormat="1">
      <c r="A12" s="24"/>
      <c r="B12" s="29"/>
      <c r="C12" s="22"/>
      <c r="D12" s="22"/>
      <c r="E12" s="108"/>
      <c r="F12" s="108"/>
      <c r="G12" s="108"/>
      <c r="H12" s="108"/>
      <c r="I12" s="108"/>
      <c r="J12" s="100"/>
      <c r="K12" s="365"/>
      <c r="L12" s="110"/>
      <c r="M12" s="102"/>
      <c r="N12" s="98"/>
      <c r="O12" s="98"/>
      <c r="P12" s="363"/>
      <c r="Q12" s="34"/>
      <c r="R12" s="26"/>
      <c r="S12" s="26"/>
      <c r="T12" s="26"/>
      <c r="U12" s="26"/>
      <c r="V12" s="26"/>
      <c r="W12" s="26"/>
      <c r="X12" s="26"/>
      <c r="Y12" s="26"/>
    </row>
    <row r="13" spans="1:25" s="3" customFormat="1">
      <c r="A13" s="11" t="s">
        <v>398</v>
      </c>
      <c r="B13" s="22"/>
      <c r="C13" s="18"/>
      <c r="D13" s="22"/>
      <c r="E13" s="19"/>
      <c r="F13" s="19"/>
      <c r="G13" s="19"/>
      <c r="H13" s="19"/>
      <c r="I13" s="19"/>
      <c r="J13" s="19"/>
      <c r="K13" s="19"/>
      <c r="L13" s="19"/>
      <c r="M13" s="19"/>
      <c r="N13" s="11"/>
      <c r="O13" s="11"/>
      <c r="P13" s="11"/>
      <c r="Q13" s="27"/>
      <c r="R13" s="27"/>
      <c r="S13" s="27"/>
      <c r="T13" s="27"/>
      <c r="U13" s="27"/>
      <c r="V13" s="27"/>
      <c r="W13" s="28"/>
      <c r="X13" s="27"/>
      <c r="Y13" s="27"/>
    </row>
    <row r="14" spans="1:25" s="3" customFormat="1">
      <c r="A14" s="100" t="s">
        <v>125</v>
      </c>
      <c r="B14" s="97" t="s">
        <v>27</v>
      </c>
      <c r="C14" s="22">
        <v>87</v>
      </c>
      <c r="D14" s="22">
        <v>0.37</v>
      </c>
      <c r="E14" s="108">
        <v>5.2437519504869065E-2</v>
      </c>
      <c r="F14" s="397">
        <f>IF($C14&lt;11,'Offroad Tiers EF (2)'!$AN$4*$C14*$D14,IF($C14&lt;25,'Offroad Tiers EF (2)'!$AN$5*$C14*$D14,IF($C14&lt;50,'Offroad Tiers EF (2)'!$AN$6*$C14*$D14,IF($C14&lt;75,'Offroad Tiers EF (2)'!$AN$7*$C14*$D14,IF($C14&lt;100,'Offroad Tiers EF (2)'!$AN$8*$C14*$D14,IF($C14&lt;175,'Offroad Tiers EF (2)'!$AN$9*$C14*$D14,IF($C14&lt;300,'Offroad Tiers EF (2)'!$AN$10*$C14*$D14,IF($C14&lt;600,'Offroad Tiers EF (2)'!$AN$11*$C14*$D14,"!"))))))))</f>
        <v>0.26257275132275132</v>
      </c>
      <c r="G14" s="397">
        <f>IF($C14&lt;11,'Offroad Tiers EF (2)'!$AM$4*$C14*$D14,IF($C14&lt;25,'Offroad Tiers EF (2)'!$AM$5*$C14*$D14,IF($C14&lt;50,'Offroad Tiers EF (2)'!$AM$6*$C14*$D14,IF($C14&lt;75,'Offroad Tiers EF (2)'!$AM$7*$C14*$D14,IF($C14&lt;100,'Offroad Tiers EF (2)'!$AM$8*$C14*$D14,IF($C14&lt;175,'Offroad Tiers EF (2)'!$AM$9*$C14*$D14,IF($C14&lt;300,'Offroad Tiers EF (2)'!$AM$10*$C14*$D14,IF($C14&lt;600,'Offroad Tiers EF (2)'!$AM$11*$C14*$D14,"!"))))))))</f>
        <v>0.33506412037037031</v>
      </c>
      <c r="H14" s="108">
        <v>6.0679618797898508E-4</v>
      </c>
      <c r="I14" s="397">
        <f>IF($C14&lt;11,'Offroad Tiers EF (2)'!$AO$4*$C14*$D14,IF($C14&lt;25,'Offroad Tiers EF (2)'!$AO$5*$C14*$D14,IF($C14&lt;50,'Offroad Tiers EF (2)'!$AO$6*$C14*$D14,IF($C14&lt;75,'Offroad Tiers EF (2)'!$AO$7*$C14*$D14,IF($C14&lt;100,'Offroad Tiers EF (2)'!$AO$8*$C14*$D14,IF($C14&lt;175,'Offroad Tiers EF (2)'!$AO$9*$C14*$D14,IF($C14&lt;300,'Offroad Tiers EF (2)'!$AO$10*$C14*$D14,IF($C14&lt;600,'Offroad Tiers EF (2)'!$AO$11*$C14*$D14,"!"))))))))</f>
        <v>2.1289682539682539E-2</v>
      </c>
      <c r="J14" s="100">
        <f t="shared" ref="J14:J17" si="4">0.89*I14</f>
        <v>1.894781746031746E-2</v>
      </c>
      <c r="K14" s="108">
        <v>51.728016924248784</v>
      </c>
      <c r="L14" s="108">
        <v>5.2037096026823848E-3</v>
      </c>
      <c r="M14" s="102">
        <f t="shared" ref="M14:M17" si="5">0.095*G14</f>
        <v>3.1831091435185178E-2</v>
      </c>
      <c r="N14" s="88">
        <v>1</v>
      </c>
      <c r="O14" s="88">
        <v>6</v>
      </c>
      <c r="P14" s="367">
        <v>15</v>
      </c>
      <c r="Q14" s="26">
        <f t="shared" ref="Q14:Y17" si="6">(E14*$N14*$O14)</f>
        <v>0.31462511702921436</v>
      </c>
      <c r="R14" s="26">
        <f t="shared" si="6"/>
        <v>1.5754365079365078</v>
      </c>
      <c r="S14" s="26">
        <f t="shared" si="6"/>
        <v>2.0103847222222218</v>
      </c>
      <c r="T14" s="26">
        <f t="shared" si="6"/>
        <v>3.6407771278739107E-3</v>
      </c>
      <c r="U14" s="26">
        <f t="shared" si="6"/>
        <v>0.12773809523809523</v>
      </c>
      <c r="V14" s="26">
        <f t="shared" si="6"/>
        <v>0.11368690476190477</v>
      </c>
      <c r="W14" s="26">
        <f t="shared" si="6"/>
        <v>310.36810154549272</v>
      </c>
      <c r="X14" s="26">
        <f t="shared" si="6"/>
        <v>3.1222257616094311E-2</v>
      </c>
      <c r="Y14" s="26">
        <f t="shared" si="6"/>
        <v>0.19098654861111108</v>
      </c>
    </row>
    <row r="15" spans="1:25" s="3" customFormat="1">
      <c r="A15" s="100" t="s">
        <v>287</v>
      </c>
      <c r="B15" s="97" t="s">
        <v>27</v>
      </c>
      <c r="C15" s="97">
        <v>37</v>
      </c>
      <c r="D15" s="22">
        <v>0.37</v>
      </c>
      <c r="E15" s="102">
        <v>3.2313389441625637E-2</v>
      </c>
      <c r="F15" s="397">
        <f>IF($C15&lt;11,'Offroad Tiers EF (2)'!$AN$4*$C15*$D15,IF($C15&lt;25,'Offroad Tiers EF (2)'!$AN$5*$C15*$D15,IF($C15&lt;50,'Offroad Tiers EF (2)'!$AN$6*$C15*$D15,IF($C15&lt;75,'Offroad Tiers EF (2)'!$AN$7*$C15*$D15,IF($C15&lt;100,'Offroad Tiers EF (2)'!$AN$8*$C15*$D15,IF($C15&lt;175,'Offroad Tiers EF (2)'!$AN$9*$C15*$D15,IF($C15&lt;300,'Offroad Tiers EF (2)'!$AN$10*$C15*$D15,IF($C15&lt;600,'Offroad Tiers EF (2)'!$AN$11*$C15*$D15,"!"))))))))</f>
        <v>0.12374118165784832</v>
      </c>
      <c r="G15" s="397">
        <f>IF($C15&lt;11,'Offroad Tiers EF (2)'!$AM$4*$C15*$D15,IF($C15&lt;25,'Offroad Tiers EF (2)'!$AM$5*$C15*$D15,IF($C15&lt;50,'Offroad Tiers EF (2)'!$AM$6*$C15*$D15,IF($C15&lt;75,'Offroad Tiers EF (2)'!$AM$7*$C15*$D15,IF($C15&lt;100,'Offroad Tiers EF (2)'!$AM$8*$C15*$D15,IF($C15&lt;175,'Offroad Tiers EF (2)'!$AM$9*$C15*$D15,IF($C15&lt;300,'Offroad Tiers EF (2)'!$AM$10*$C15*$D15,IF($C15&lt;600,'Offroad Tiers EF (2)'!$AM$11*$C15*$D15,"!"))))))))</f>
        <v>0.16056172839506169</v>
      </c>
      <c r="H15" s="102">
        <v>3.2989906092678058E-4</v>
      </c>
      <c r="I15" s="397">
        <f>IF($C15&lt;11,'Offroad Tiers EF (2)'!$AO$4*$C15*$D15,IF($C15&lt;25,'Offroad Tiers EF (2)'!$AO$5*$C15*$D15,IF($C15&lt;50,'Offroad Tiers EF (2)'!$AO$6*$C15*$D15,IF($C15&lt;75,'Offroad Tiers EF (2)'!$AO$7*$C15*$D15,IF($C15&lt;100,'Offroad Tiers EF (2)'!$AO$8*$C15*$D15,IF($C15&lt;175,'Offroad Tiers EF (2)'!$AO$9*$C15*$D15,IF($C15&lt;300,'Offroad Tiers EF (2)'!$AO$10*$C15*$D15,IF($C15&lt;600,'Offroad Tiers EF (2)'!$AO$11*$C15*$D15,"!"))))))))</f>
        <v>1.3581349206349205E-2</v>
      </c>
      <c r="J15" s="100">
        <f t="shared" si="4"/>
        <v>1.2087400793650793E-2</v>
      </c>
      <c r="K15" s="103">
        <v>25.519156990664225</v>
      </c>
      <c r="L15" s="102">
        <v>3.413848047070189E-3</v>
      </c>
      <c r="M15" s="104">
        <f t="shared" si="5"/>
        <v>1.5253364197530862E-2</v>
      </c>
      <c r="N15" s="88">
        <v>1</v>
      </c>
      <c r="O15" s="88">
        <v>1</v>
      </c>
      <c r="P15" s="367">
        <v>75</v>
      </c>
      <c r="Q15" s="26">
        <f t="shared" si="6"/>
        <v>3.2313389441625637E-2</v>
      </c>
      <c r="R15" s="26">
        <f t="shared" si="6"/>
        <v>0.12374118165784832</v>
      </c>
      <c r="S15" s="26">
        <f t="shared" si="6"/>
        <v>0.16056172839506169</v>
      </c>
      <c r="T15" s="26">
        <f t="shared" si="6"/>
        <v>3.2989906092678058E-4</v>
      </c>
      <c r="U15" s="26">
        <f t="shared" si="6"/>
        <v>1.3581349206349205E-2</v>
      </c>
      <c r="V15" s="26">
        <f t="shared" si="6"/>
        <v>1.2087400793650793E-2</v>
      </c>
      <c r="W15" s="26">
        <f t="shared" si="6"/>
        <v>25.519156990664225</v>
      </c>
      <c r="X15" s="26">
        <f t="shared" si="6"/>
        <v>3.413848047070189E-3</v>
      </c>
      <c r="Y15" s="26">
        <f t="shared" si="6"/>
        <v>1.5253364197530862E-2</v>
      </c>
    </row>
    <row r="16" spans="1:25" s="3" customFormat="1">
      <c r="A16" s="100" t="s">
        <v>292</v>
      </c>
      <c r="B16" s="22" t="s">
        <v>27</v>
      </c>
      <c r="C16" s="97">
        <v>69</v>
      </c>
      <c r="D16" s="22">
        <v>0.5</v>
      </c>
      <c r="E16" s="102">
        <v>0.10796897189848784</v>
      </c>
      <c r="F16" s="397">
        <f>IF($C16&lt;11,'Offroad Tiers EF (2)'!$AN$4*$C16*$D16,IF($C16&lt;25,'Offroad Tiers EF (2)'!$AN$5*$C16*$D16,IF($C16&lt;50,'Offroad Tiers EF (2)'!$AN$6*$C16*$D16,IF($C16&lt;75,'Offroad Tiers EF (2)'!$AN$7*$C16*$D16,IF($C16&lt;100,'Offroad Tiers EF (2)'!$AN$8*$C16*$D16,IF($C16&lt;175,'Offroad Tiers EF (2)'!$AN$9*$C16*$D16,IF($C16&lt;300,'Offroad Tiers EF (2)'!$AN$10*$C16*$D16,IF($C16&lt;600,'Offroad Tiers EF (2)'!$AN$11*$C16*$D16,"!"))))))))</f>
        <v>0.2814153439153439</v>
      </c>
      <c r="G16" s="397">
        <f>IF($C16&lt;11,'Offroad Tiers EF (2)'!$AM$4*$C16*$D16,IF($C16&lt;25,'Offroad Tiers EF (2)'!$AM$5*$C16*$D16,IF($C16&lt;50,'Offroad Tiers EF (2)'!$AM$6*$C16*$D16,IF($C16&lt;75,'Offroad Tiers EF (2)'!$AM$7*$C16*$D16,IF($C16&lt;100,'Offroad Tiers EF (2)'!$AM$8*$C16*$D16,IF($C16&lt;175,'Offroad Tiers EF (2)'!$AM$9*$C16*$D16,IF($C16&lt;300,'Offroad Tiers EF (2)'!$AM$10*$C16*$D16,IF($C16&lt;600,'Offroad Tiers EF (2)'!$AM$11*$C16*$D16,"!"))))))))</f>
        <v>0.40462962962962956</v>
      </c>
      <c r="H16" s="102">
        <v>7.6125329247041284E-4</v>
      </c>
      <c r="I16" s="397">
        <f>IF($C16&lt;11,'Offroad Tiers EF (2)'!$AO$4*$C16*$D16,IF($C16&lt;25,'Offroad Tiers EF (2)'!$AO$5*$C16*$D16,IF($C16&lt;50,'Offroad Tiers EF (2)'!$AO$6*$C16*$D16,IF($C16&lt;75,'Offroad Tiers EF (2)'!$AO$7*$C16*$D16,IF($C16&lt;100,'Offroad Tiers EF (2)'!$AO$8*$C16*$D16,IF($C16&lt;175,'Offroad Tiers EF (2)'!$AO$9*$C16*$D16,IF($C16&lt;300,'Offroad Tiers EF (2)'!$AO$10*$C16*$D16,IF($C16&lt;600,'Offroad Tiers EF (2)'!$AO$11*$C16*$D16,"!"))))))))</f>
        <v>2.2817460317460316E-2</v>
      </c>
      <c r="J16" s="100">
        <f t="shared" si="4"/>
        <v>2.030753968253968E-2</v>
      </c>
      <c r="K16" s="103">
        <v>64.895144949977833</v>
      </c>
      <c r="L16" s="102">
        <v>1.0324742188913067E-2</v>
      </c>
      <c r="M16" s="104">
        <f t="shared" si="5"/>
        <v>3.8439814814814809E-2</v>
      </c>
      <c r="N16" s="87">
        <v>1</v>
      </c>
      <c r="O16" s="87">
        <v>6</v>
      </c>
      <c r="P16" s="88">
        <f>8*22</f>
        <v>176</v>
      </c>
      <c r="Q16" s="34">
        <f t="shared" si="6"/>
        <v>0.64781383139092696</v>
      </c>
      <c r="R16" s="26">
        <f t="shared" si="6"/>
        <v>1.6884920634920633</v>
      </c>
      <c r="S16" s="26">
        <f t="shared" si="6"/>
        <v>2.4277777777777771</v>
      </c>
      <c r="T16" s="26">
        <f t="shared" si="6"/>
        <v>4.567519754822477E-3</v>
      </c>
      <c r="U16" s="26">
        <f t="shared" si="6"/>
        <v>0.13690476190476189</v>
      </c>
      <c r="V16" s="26">
        <f t="shared" si="6"/>
        <v>0.12184523809523809</v>
      </c>
      <c r="W16" s="26">
        <f t="shared" si="6"/>
        <v>389.370869699867</v>
      </c>
      <c r="X16" s="26">
        <f t="shared" si="6"/>
        <v>6.1948453133478402E-2</v>
      </c>
      <c r="Y16" s="26">
        <f t="shared" si="6"/>
        <v>0.23063888888888884</v>
      </c>
    </row>
    <row r="17" spans="1:25" s="3" customFormat="1">
      <c r="A17" s="100" t="s">
        <v>126</v>
      </c>
      <c r="B17" s="22" t="s">
        <v>27</v>
      </c>
      <c r="C17" s="22">
        <v>175</v>
      </c>
      <c r="D17" s="22"/>
      <c r="E17" s="102">
        <v>0.11792220738547983</v>
      </c>
      <c r="F17" s="102">
        <v>0.36512193352152528</v>
      </c>
      <c r="G17" s="102">
        <v>0.86781464282266541</v>
      </c>
      <c r="H17" s="102">
        <v>1.8739217498104396E-3</v>
      </c>
      <c r="I17" s="102">
        <v>2.9041712295589866E-2</v>
      </c>
      <c r="J17" s="100">
        <f t="shared" si="4"/>
        <v>2.5847123943074982E-2</v>
      </c>
      <c r="K17" s="103">
        <v>166.54541562452522</v>
      </c>
      <c r="L17" s="102">
        <v>1.063993297769634E-2</v>
      </c>
      <c r="M17" s="104">
        <f t="shared" si="5"/>
        <v>8.2442391068153209E-2</v>
      </c>
      <c r="N17" s="88">
        <v>1</v>
      </c>
      <c r="O17" s="88">
        <v>3</v>
      </c>
      <c r="P17" s="367">
        <v>40</v>
      </c>
      <c r="Q17" s="26">
        <f t="shared" si="6"/>
        <v>0.3537666221564395</v>
      </c>
      <c r="R17" s="26">
        <f t="shared" si="6"/>
        <v>1.0953658005645759</v>
      </c>
      <c r="S17" s="26">
        <f t="shared" si="6"/>
        <v>2.6034439284679962</v>
      </c>
      <c r="T17" s="26">
        <f t="shared" si="6"/>
        <v>5.6217652494313184E-3</v>
      </c>
      <c r="U17" s="26">
        <f t="shared" si="6"/>
        <v>8.7125136886769594E-2</v>
      </c>
      <c r="V17" s="26">
        <f t="shared" si="6"/>
        <v>7.754137182922495E-2</v>
      </c>
      <c r="W17" s="26">
        <f t="shared" si="6"/>
        <v>499.63624687357566</v>
      </c>
      <c r="X17" s="26">
        <f t="shared" si="6"/>
        <v>3.1919798933089022E-2</v>
      </c>
      <c r="Y17" s="26">
        <f t="shared" si="6"/>
        <v>0.24732717320445963</v>
      </c>
    </row>
    <row r="18" spans="1:25" s="3" customFormat="1">
      <c r="A18" s="17" t="s">
        <v>28</v>
      </c>
      <c r="B18" s="97"/>
      <c r="C18" s="22"/>
      <c r="D18" s="22"/>
      <c r="E18" s="23"/>
      <c r="F18" s="23"/>
      <c r="G18" s="23"/>
      <c r="H18" s="23"/>
      <c r="I18" s="23"/>
      <c r="J18" s="24"/>
      <c r="K18" s="25"/>
      <c r="L18" s="23"/>
      <c r="M18" s="23"/>
      <c r="N18" s="88"/>
      <c r="O18" s="88"/>
      <c r="P18" s="88"/>
      <c r="Q18" s="27">
        <f t="shared" ref="Q18:Y18" si="7">SUM(Q14:Q17)</f>
        <v>1.3485189600182066</v>
      </c>
      <c r="R18" s="27">
        <f t="shared" si="7"/>
        <v>4.4830355536509954</v>
      </c>
      <c r="S18" s="27">
        <f t="shared" si="7"/>
        <v>7.2021681568630562</v>
      </c>
      <c r="T18" s="27">
        <f t="shared" si="7"/>
        <v>1.4159961193054486E-2</v>
      </c>
      <c r="U18" s="27">
        <f t="shared" si="7"/>
        <v>0.3653493432359759</v>
      </c>
      <c r="V18" s="27">
        <f t="shared" si="7"/>
        <v>0.32516091548001858</v>
      </c>
      <c r="W18" s="27">
        <f t="shared" si="7"/>
        <v>1224.8943751095997</v>
      </c>
      <c r="X18" s="27">
        <f t="shared" si="7"/>
        <v>0.12850435772973193</v>
      </c>
      <c r="Y18" s="27">
        <f t="shared" si="7"/>
        <v>0.68420597490199042</v>
      </c>
    </row>
    <row r="19" spans="1:25">
      <c r="A19" s="17" t="s">
        <v>365</v>
      </c>
      <c r="B19" s="549"/>
      <c r="C19" s="18"/>
      <c r="D19" s="22"/>
      <c r="E19" s="19"/>
      <c r="F19" s="19"/>
      <c r="G19" s="19"/>
      <c r="H19" s="19"/>
      <c r="I19" s="19"/>
      <c r="J19" s="19"/>
      <c r="K19" s="19"/>
      <c r="L19" s="19"/>
      <c r="M19" s="19"/>
      <c r="N19" s="30"/>
      <c r="O19" s="30"/>
      <c r="P19" s="364"/>
      <c r="Q19" s="20">
        <f>Q11+Q18</f>
        <v>2.0630960831098037</v>
      </c>
      <c r="R19" s="20">
        <f t="shared" ref="R19:Y19" si="8">R11+R18</f>
        <v>7.437194764609389</v>
      </c>
      <c r="S19" s="20">
        <f t="shared" si="8"/>
        <v>11.623224603002214</v>
      </c>
      <c r="T19" s="20">
        <f t="shared" si="8"/>
        <v>2.2483027429132364E-2</v>
      </c>
      <c r="U19" s="20">
        <f t="shared" si="8"/>
        <v>0.6111576355520234</v>
      </c>
      <c r="V19" s="20">
        <f t="shared" si="8"/>
        <v>0.5439302956413008</v>
      </c>
      <c r="W19" s="20">
        <f t="shared" si="8"/>
        <v>1921.3478675946278</v>
      </c>
      <c r="X19" s="20">
        <f t="shared" si="8"/>
        <v>0.20104416392030167</v>
      </c>
      <c r="Y19" s="20">
        <f t="shared" si="8"/>
        <v>1.1042063372852104</v>
      </c>
    </row>
  </sheetData>
  <mergeCells count="2">
    <mergeCell ref="E3:L3"/>
    <mergeCell ref="Q3:X3"/>
  </mergeCells>
  <pageMargins left="0.75" right="0.75" top="1" bottom="1" header="0.5" footer="0.5"/>
  <pageSetup scale="33" orientation="portrait" r:id="rId1"/>
  <headerFooter alignWithMargins="0">
    <oddHeader>&amp;CTable B-1
Construction Heavy Equipment Emissions
Salt Creek Substation Construction</oddHeader>
    <oddFooter>&amp;CB-1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380"/>
  <sheetViews>
    <sheetView zoomScale="75" workbookViewId="0">
      <selection activeCell="A2" sqref="A2"/>
    </sheetView>
  </sheetViews>
  <sheetFormatPr defaultRowHeight="12.75"/>
  <cols>
    <col min="1" max="1" width="36.5703125" style="36" customWidth="1"/>
    <col min="2" max="2" width="25.7109375" style="36" customWidth="1"/>
    <col min="3" max="3" width="11.28515625" style="36" bestFit="1" customWidth="1"/>
    <col min="4" max="4" width="10.85546875" style="36" customWidth="1"/>
    <col min="5" max="5" width="10.28515625" style="36" bestFit="1" customWidth="1"/>
    <col min="6" max="6" width="9.42578125" style="36" bestFit="1" customWidth="1"/>
    <col min="7" max="7" width="11.85546875" style="36" bestFit="1" customWidth="1"/>
    <col min="8" max="8" width="9.42578125" style="36" bestFit="1" customWidth="1"/>
    <col min="9" max="9" width="11.7109375" style="36" bestFit="1" customWidth="1"/>
    <col min="10" max="11" width="9.42578125" style="36" bestFit="1" customWidth="1"/>
    <col min="12" max="13" width="11.7109375" style="36" bestFit="1" customWidth="1"/>
    <col min="14" max="14" width="9.42578125" style="36" bestFit="1" customWidth="1"/>
    <col min="15" max="16" width="10.7109375" style="36" bestFit="1" customWidth="1"/>
    <col min="17" max="17" width="9.42578125" style="36" bestFit="1" customWidth="1"/>
    <col min="18" max="18" width="11.7109375" style="36" bestFit="1" customWidth="1"/>
    <col min="19" max="30" width="9.42578125" style="36" bestFit="1" customWidth="1"/>
    <col min="31" max="16384" width="9.140625" style="36"/>
  </cols>
  <sheetData>
    <row r="1" spans="1:30">
      <c r="A1" s="3" t="s">
        <v>616</v>
      </c>
    </row>
    <row r="6" spans="1:30" ht="26.25" customHeight="1">
      <c r="A6" s="591" t="s">
        <v>100</v>
      </c>
      <c r="B6" s="591" t="s">
        <v>52</v>
      </c>
      <c r="C6" s="591" t="s">
        <v>106</v>
      </c>
      <c r="D6" s="591" t="s">
        <v>274</v>
      </c>
      <c r="E6" s="73" t="s">
        <v>53</v>
      </c>
      <c r="F6" s="73" t="s">
        <v>54</v>
      </c>
      <c r="G6" s="548" t="s">
        <v>55</v>
      </c>
      <c r="H6" s="548" t="s">
        <v>56</v>
      </c>
      <c r="I6" s="544" t="s">
        <v>57</v>
      </c>
      <c r="J6" s="548" t="s">
        <v>58</v>
      </c>
      <c r="K6" s="594" t="s">
        <v>59</v>
      </c>
      <c r="L6" s="595"/>
      <c r="M6" s="595"/>
      <c r="N6" s="594" t="s">
        <v>60</v>
      </c>
      <c r="O6" s="595"/>
      <c r="P6" s="595"/>
      <c r="Q6" s="548" t="s">
        <v>61</v>
      </c>
      <c r="R6" s="544" t="s">
        <v>62</v>
      </c>
      <c r="S6" s="544" t="s">
        <v>63</v>
      </c>
      <c r="T6" s="587" t="s">
        <v>64</v>
      </c>
      <c r="U6" s="588"/>
      <c r="V6" s="588"/>
      <c r="W6" s="588"/>
      <c r="X6" s="588"/>
      <c r="Y6" s="589"/>
      <c r="Z6" s="589"/>
      <c r="AA6" s="589"/>
      <c r="AB6" s="589"/>
      <c r="AC6" s="589"/>
      <c r="AD6" s="590"/>
    </row>
    <row r="7" spans="1:30" ht="63.75">
      <c r="A7" s="592"/>
      <c r="B7" s="592"/>
      <c r="C7" s="593"/>
      <c r="D7" s="593"/>
      <c r="E7" s="74" t="s">
        <v>67</v>
      </c>
      <c r="F7" s="74" t="s">
        <v>68</v>
      </c>
      <c r="G7" s="547" t="s">
        <v>69</v>
      </c>
      <c r="H7" s="41" t="s">
        <v>69</v>
      </c>
      <c r="I7" s="41" t="s">
        <v>69</v>
      </c>
      <c r="J7" s="41" t="s">
        <v>69</v>
      </c>
      <c r="K7" s="544" t="s">
        <v>69</v>
      </c>
      <c r="L7" s="544" t="s">
        <v>71</v>
      </c>
      <c r="M7" s="544" t="s">
        <v>72</v>
      </c>
      <c r="N7" s="544" t="s">
        <v>69</v>
      </c>
      <c r="O7" s="544" t="s">
        <v>71</v>
      </c>
      <c r="P7" s="544" t="s">
        <v>72</v>
      </c>
      <c r="Q7" s="41" t="s">
        <v>69</v>
      </c>
      <c r="R7" s="544" t="s">
        <v>69</v>
      </c>
      <c r="S7" s="544" t="s">
        <v>69</v>
      </c>
      <c r="T7" s="61" t="s">
        <v>55</v>
      </c>
      <c r="U7" s="61" t="s">
        <v>73</v>
      </c>
      <c r="V7" s="61" t="s">
        <v>74</v>
      </c>
      <c r="W7" s="61" t="s">
        <v>58</v>
      </c>
      <c r="X7" s="61" t="s">
        <v>59</v>
      </c>
      <c r="Y7" s="61" t="s">
        <v>60</v>
      </c>
      <c r="Z7" s="62" t="s">
        <v>75</v>
      </c>
      <c r="AA7" s="62" t="s">
        <v>76</v>
      </c>
      <c r="AB7" s="62" t="s">
        <v>61</v>
      </c>
      <c r="AC7" s="62" t="s">
        <v>62</v>
      </c>
      <c r="AD7" s="62" t="s">
        <v>63</v>
      </c>
    </row>
    <row r="8" spans="1:30" ht="25.5">
      <c r="A8" s="114" t="s">
        <v>314</v>
      </c>
      <c r="B8" s="74"/>
      <c r="C8" s="112"/>
      <c r="D8" s="112"/>
      <c r="E8" s="74"/>
      <c r="F8" s="74"/>
      <c r="G8" s="577"/>
      <c r="H8" s="41"/>
      <c r="I8" s="41"/>
      <c r="J8" s="41"/>
      <c r="K8" s="574"/>
      <c r="L8" s="574"/>
      <c r="M8" s="574"/>
      <c r="N8" s="574"/>
      <c r="O8" s="574"/>
      <c r="P8" s="574"/>
      <c r="Q8" s="41"/>
      <c r="R8" s="574"/>
      <c r="S8" s="574"/>
      <c r="T8" s="61"/>
      <c r="U8" s="61"/>
      <c r="V8" s="61"/>
      <c r="W8" s="61"/>
      <c r="X8" s="61"/>
      <c r="Y8" s="61"/>
      <c r="Z8" s="62"/>
      <c r="AA8" s="62"/>
      <c r="AB8" s="62"/>
      <c r="AC8" s="62"/>
      <c r="AD8" s="62"/>
    </row>
    <row r="9" spans="1:30">
      <c r="A9" s="78" t="s">
        <v>326</v>
      </c>
      <c r="B9" s="76" t="s">
        <v>95</v>
      </c>
      <c r="C9" s="79">
        <v>3</v>
      </c>
      <c r="D9" s="77"/>
      <c r="E9" s="77">
        <v>35</v>
      </c>
      <c r="F9" s="77">
        <v>60</v>
      </c>
      <c r="G9" s="106">
        <v>0.25172046482947802</v>
      </c>
      <c r="H9" s="106">
        <v>0.464701387165456</v>
      </c>
      <c r="I9" s="106">
        <v>5.6776043658582402E-2</v>
      </c>
      <c r="J9" s="106">
        <v>3.5023733638119199E-3</v>
      </c>
      <c r="K9" s="106">
        <v>4.6899256897933901E-2</v>
      </c>
      <c r="L9" s="47">
        <v>7.99995847163921E-3</v>
      </c>
      <c r="M9" s="47">
        <v>3.6749815577381599E-2</v>
      </c>
      <c r="N9" s="106">
        <v>4.3147317248333997E-2</v>
      </c>
      <c r="O9" s="47">
        <v>1.9999896145790402E-3</v>
      </c>
      <c r="P9" s="47">
        <v>1.57499200131354E-2</v>
      </c>
      <c r="Q9" s="106">
        <v>243.966167526025</v>
      </c>
      <c r="R9" s="47">
        <f>0.000057143*Q9</f>
        <v>1.3940958710939646E-2</v>
      </c>
      <c r="S9" s="80">
        <f>0.000025616*Q9</f>
        <v>6.2494373473466567E-3</v>
      </c>
      <c r="T9" s="50">
        <f>C9*($F9*$G9)/453.59</f>
        <v>9.9891275533645019E-2</v>
      </c>
      <c r="U9" s="50">
        <f>C9*($F9*$H9)/453.59</f>
        <v>0.18440937782971867</v>
      </c>
      <c r="V9" s="50">
        <f>C9*(($F9*$I9))/453.59</f>
        <v>2.253067276294635E-2</v>
      </c>
      <c r="W9" s="50">
        <f>C9*($F9*$J9)/453.59</f>
        <v>1.3898613406074772E-3</v>
      </c>
      <c r="X9" s="50">
        <f>C9*(($F9*($K9+$L9+$M9)))/453.59</f>
        <v>3.6369464870151122E-2</v>
      </c>
      <c r="Y9" s="50">
        <f>C9*(($F9*($N9+$O9+$P9)))/453.59</f>
        <v>2.4166098982977401E-2</v>
      </c>
      <c r="Z9" s="50">
        <f>C9*(F9)*$B$364</f>
        <v>0</v>
      </c>
      <c r="AA9" s="50">
        <f>Z9*0.21</f>
        <v>0</v>
      </c>
      <c r="AB9" s="50">
        <f>C9*(($F9*($Q9)))/453.59</f>
        <v>96.814105590256631</v>
      </c>
      <c r="AC9" s="50">
        <f>C9*(($F9*($R9)))/453.59</f>
        <v>5.5322484357440338E-3</v>
      </c>
      <c r="AD9" s="50">
        <f>C9*(($F9*($S9)))/453.59</f>
        <v>2.4799901288000137E-3</v>
      </c>
    </row>
    <row r="10" spans="1:30">
      <c r="A10" s="78" t="s">
        <v>327</v>
      </c>
      <c r="B10" s="76" t="s">
        <v>105</v>
      </c>
      <c r="C10" s="374">
        <v>1</v>
      </c>
      <c r="D10" s="77"/>
      <c r="E10" s="77">
        <v>35</v>
      </c>
      <c r="F10" s="77">
        <v>80</v>
      </c>
      <c r="G10" s="106">
        <v>1.08263976628415</v>
      </c>
      <c r="H10" s="106">
        <v>4.9712718909585103</v>
      </c>
      <c r="I10" s="106">
        <v>0.26248012575016899</v>
      </c>
      <c r="J10" s="106">
        <v>1.0711818E-2</v>
      </c>
      <c r="K10" s="106">
        <v>7.1679901072141505E-2</v>
      </c>
      <c r="L10" s="576">
        <v>3.59998119015979E-2</v>
      </c>
      <c r="M10" s="576">
        <v>6.1739677411240299E-2</v>
      </c>
      <c r="N10" s="106">
        <v>6.5945508986370194E-2</v>
      </c>
      <c r="O10" s="576">
        <v>2.9999843251331498E-3</v>
      </c>
      <c r="P10" s="576">
        <v>5.5859708133979398E-2</v>
      </c>
      <c r="Q10" s="106">
        <v>1710.7260798814</v>
      </c>
      <c r="R10" s="47">
        <v>1.5235246282551899E-2</v>
      </c>
      <c r="S10" s="80">
        <f>0.000025616*Q10</f>
        <v>4.3821959262241944E-2</v>
      </c>
      <c r="T10" s="50">
        <f>C10*($F10*$G10)/453.59</f>
        <v>0.19094596728925242</v>
      </c>
      <c r="U10" s="50">
        <f>C10*($F10*$H10)/453.59</f>
        <v>0.87678685878586582</v>
      </c>
      <c r="V10" s="50">
        <f>C10*(($F10*$I10))/453.59</f>
        <v>4.6293811724274173E-2</v>
      </c>
      <c r="W10" s="50">
        <f>C10*($F10*$J10)/453.59</f>
        <v>1.8892511739676801E-3</v>
      </c>
      <c r="X10" s="50">
        <f>C10*(($F10*($K10+$L10+$M10)))/453.59</f>
        <v>2.9880621774726907E-2</v>
      </c>
      <c r="Y10" s="50">
        <f>C10*(($F10*($N10+$O10+$P10)))/453.59</f>
        <v>2.2011984646131133E-2</v>
      </c>
      <c r="Z10" s="50">
        <f>C10*(F10)*$B$364</f>
        <v>0</v>
      </c>
      <c r="AA10" s="50">
        <f>Z10*0.21</f>
        <v>0</v>
      </c>
      <c r="AB10" s="50">
        <f>C10*(($F10*($Q10)))/453.59</f>
        <v>301.72200972356535</v>
      </c>
      <c r="AC10" s="50">
        <f>C10*(($F10*($R10)))/453.59</f>
        <v>2.6870515280410772E-3</v>
      </c>
      <c r="AD10" s="50">
        <f>C10*(($F10*($S10)))/453.59</f>
        <v>7.7289110010788503E-3</v>
      </c>
    </row>
    <row r="11" spans="1:30">
      <c r="A11" s="75" t="s">
        <v>28</v>
      </c>
      <c r="B11" s="74"/>
      <c r="C11" s="112"/>
      <c r="D11" s="112"/>
      <c r="E11" s="74"/>
      <c r="F11" s="74"/>
      <c r="G11" s="577"/>
      <c r="H11" s="41"/>
      <c r="I11" s="41"/>
      <c r="J11" s="41"/>
      <c r="K11" s="574"/>
      <c r="L11" s="574"/>
      <c r="M11" s="574"/>
      <c r="N11" s="574"/>
      <c r="O11" s="574"/>
      <c r="P11" s="574"/>
      <c r="Q11" s="41"/>
      <c r="R11" s="574"/>
      <c r="S11" s="574"/>
      <c r="T11" s="81">
        <f t="shared" ref="T11:AD11" si="0">SUM(T9:T10)</f>
        <v>0.29083724282289747</v>
      </c>
      <c r="U11" s="81">
        <f t="shared" si="0"/>
        <v>1.0611962366155845</v>
      </c>
      <c r="V11" s="81">
        <f t="shared" si="0"/>
        <v>6.8824484487220519E-2</v>
      </c>
      <c r="W11" s="81">
        <f t="shared" si="0"/>
        <v>3.2791125145751575E-3</v>
      </c>
      <c r="X11" s="81">
        <f t="shared" si="0"/>
        <v>6.6250086644878026E-2</v>
      </c>
      <c r="Y11" s="81">
        <f t="shared" si="0"/>
        <v>4.6178083629108538E-2</v>
      </c>
      <c r="Z11" s="81">
        <f t="shared" si="0"/>
        <v>0</v>
      </c>
      <c r="AA11" s="81">
        <f t="shared" si="0"/>
        <v>0</v>
      </c>
      <c r="AB11" s="81">
        <f t="shared" si="0"/>
        <v>398.53611531382199</v>
      </c>
      <c r="AC11" s="81">
        <f t="shared" si="0"/>
        <v>8.2192999637851101E-3</v>
      </c>
      <c r="AD11" s="81">
        <f t="shared" si="0"/>
        <v>1.0208901129878864E-2</v>
      </c>
    </row>
    <row r="12" spans="1:30">
      <c r="A12" s="75"/>
      <c r="B12" s="74"/>
      <c r="C12" s="112"/>
      <c r="D12" s="112"/>
      <c r="E12" s="74"/>
      <c r="F12" s="74"/>
      <c r="G12" s="577"/>
      <c r="H12" s="41"/>
      <c r="I12" s="41"/>
      <c r="J12" s="41"/>
      <c r="K12" s="574"/>
      <c r="L12" s="574"/>
      <c r="M12" s="574"/>
      <c r="N12" s="574"/>
      <c r="O12" s="574"/>
      <c r="P12" s="574"/>
      <c r="Q12" s="41"/>
      <c r="R12" s="574"/>
      <c r="S12" s="574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</row>
    <row r="13" spans="1:30">
      <c r="A13" s="114" t="s">
        <v>334</v>
      </c>
      <c r="B13" s="74"/>
      <c r="C13" s="112"/>
      <c r="D13" s="112"/>
      <c r="E13" s="74"/>
      <c r="F13" s="74"/>
      <c r="G13" s="577"/>
      <c r="H13" s="41"/>
      <c r="I13" s="41"/>
      <c r="J13" s="41"/>
      <c r="K13" s="574"/>
      <c r="L13" s="574"/>
      <c r="M13" s="574"/>
      <c r="N13" s="574"/>
      <c r="O13" s="574"/>
      <c r="P13" s="574"/>
      <c r="Q13" s="41"/>
      <c r="R13" s="574"/>
      <c r="S13" s="574"/>
      <c r="T13" s="61"/>
      <c r="U13" s="61"/>
      <c r="V13" s="61"/>
      <c r="W13" s="61"/>
      <c r="X13" s="61"/>
      <c r="Y13" s="61"/>
      <c r="Z13" s="62"/>
      <c r="AA13" s="62"/>
      <c r="AB13" s="62"/>
      <c r="AC13" s="62"/>
      <c r="AD13" s="62"/>
    </row>
    <row r="14" spans="1:30">
      <c r="A14" s="78" t="s">
        <v>320</v>
      </c>
      <c r="B14" s="76" t="s">
        <v>95</v>
      </c>
      <c r="C14" s="79">
        <v>6</v>
      </c>
      <c r="D14" s="77"/>
      <c r="E14" s="77">
        <v>35</v>
      </c>
      <c r="F14" s="77">
        <v>60</v>
      </c>
      <c r="G14" s="106">
        <v>0.25172046482947802</v>
      </c>
      <c r="H14" s="106">
        <v>0.464701387165456</v>
      </c>
      <c r="I14" s="106">
        <v>5.6776043658582402E-2</v>
      </c>
      <c r="J14" s="106">
        <v>3.5023733638119199E-3</v>
      </c>
      <c r="K14" s="106">
        <v>4.6899256897933901E-2</v>
      </c>
      <c r="L14" s="47">
        <v>7.99995847163921E-3</v>
      </c>
      <c r="M14" s="47">
        <v>3.6749815577381599E-2</v>
      </c>
      <c r="N14" s="106">
        <v>4.3147317248333997E-2</v>
      </c>
      <c r="O14" s="47">
        <v>1.9999896145790402E-3</v>
      </c>
      <c r="P14" s="47">
        <v>1.57499200131354E-2</v>
      </c>
      <c r="Q14" s="106">
        <v>243.966167526025</v>
      </c>
      <c r="R14" s="47">
        <f>0.000057143*Q14</f>
        <v>1.3940958710939646E-2</v>
      </c>
      <c r="S14" s="80">
        <f>0.000025616*Q14</f>
        <v>6.2494373473466567E-3</v>
      </c>
      <c r="T14" s="50">
        <f>C14*($F14*$G14)/453.59</f>
        <v>0.19978255106729004</v>
      </c>
      <c r="U14" s="50">
        <f>C14*($F14*$H14)/453.59</f>
        <v>0.36881875565943734</v>
      </c>
      <c r="V14" s="50">
        <f>C14*(($F14*$I14))/453.59</f>
        <v>4.50613455258927E-2</v>
      </c>
      <c r="W14" s="50">
        <f>C14*($F14*$J14)/453.59</f>
        <v>2.7797226812149543E-3</v>
      </c>
      <c r="X14" s="50">
        <f>C14*(($F14*($K14+$L14+$M14)))/453.59</f>
        <v>7.2738929740302244E-2</v>
      </c>
      <c r="Y14" s="50">
        <f>C14*(($F14*($N14+$O14+$P14)))/453.59</f>
        <v>4.8332197965954803E-2</v>
      </c>
      <c r="Z14" s="50">
        <f>C14*(F14)*$B$306</f>
        <v>0</v>
      </c>
      <c r="AA14" s="50">
        <f>Z14*0.21</f>
        <v>0</v>
      </c>
      <c r="AB14" s="50">
        <f>C14*(($F14*($Q14)))/453.59</f>
        <v>193.62821118051326</v>
      </c>
      <c r="AC14" s="50">
        <f>C14*(($F14*($R14)))/453.59</f>
        <v>1.1064496871488068E-2</v>
      </c>
      <c r="AD14" s="50">
        <f>C14*(($F14*($S14)))/453.59</f>
        <v>4.9599802576000274E-3</v>
      </c>
    </row>
    <row r="15" spans="1:30">
      <c r="A15" s="75" t="s">
        <v>28</v>
      </c>
      <c r="B15" s="74"/>
      <c r="C15" s="112"/>
      <c r="D15" s="112"/>
      <c r="E15" s="74"/>
      <c r="F15" s="74"/>
      <c r="G15" s="577"/>
      <c r="H15" s="41"/>
      <c r="I15" s="41"/>
      <c r="J15" s="41"/>
      <c r="K15" s="574"/>
      <c r="L15" s="574"/>
      <c r="M15" s="574"/>
      <c r="N15" s="574"/>
      <c r="O15" s="574"/>
      <c r="P15" s="574"/>
      <c r="Q15" s="41"/>
      <c r="R15" s="574"/>
      <c r="S15" s="574"/>
      <c r="T15" s="81">
        <f t="shared" ref="T15:AD15" si="1">SUM(T14:T14)</f>
        <v>0.19978255106729004</v>
      </c>
      <c r="U15" s="81">
        <f t="shared" si="1"/>
        <v>0.36881875565943734</v>
      </c>
      <c r="V15" s="81">
        <f t="shared" si="1"/>
        <v>4.50613455258927E-2</v>
      </c>
      <c r="W15" s="81">
        <f t="shared" si="1"/>
        <v>2.7797226812149543E-3</v>
      </c>
      <c r="X15" s="81">
        <f t="shared" si="1"/>
        <v>7.2738929740302244E-2</v>
      </c>
      <c r="Y15" s="81">
        <f t="shared" si="1"/>
        <v>4.8332197965954803E-2</v>
      </c>
      <c r="Z15" s="81">
        <f t="shared" si="1"/>
        <v>0</v>
      </c>
      <c r="AA15" s="81">
        <f t="shared" si="1"/>
        <v>0</v>
      </c>
      <c r="AB15" s="81">
        <f t="shared" si="1"/>
        <v>193.62821118051326</v>
      </c>
      <c r="AC15" s="81">
        <f t="shared" si="1"/>
        <v>1.1064496871488068E-2</v>
      </c>
      <c r="AD15" s="81">
        <f t="shared" si="1"/>
        <v>4.9599802576000274E-3</v>
      </c>
    </row>
    <row r="16" spans="1:30">
      <c r="A16" s="75" t="s">
        <v>388</v>
      </c>
      <c r="B16" s="74"/>
      <c r="C16" s="112"/>
      <c r="D16" s="112"/>
      <c r="E16" s="74"/>
      <c r="F16" s="74"/>
      <c r="G16" s="547"/>
      <c r="H16" s="41"/>
      <c r="I16" s="41"/>
      <c r="J16" s="41"/>
      <c r="K16" s="544"/>
      <c r="L16" s="544"/>
      <c r="M16" s="544"/>
      <c r="N16" s="544"/>
      <c r="O16" s="544"/>
      <c r="P16" s="544"/>
      <c r="Q16" s="41"/>
      <c r="R16" s="544"/>
      <c r="S16" s="544"/>
      <c r="T16" s="81">
        <f>T11+T15</f>
        <v>0.49061979389018751</v>
      </c>
      <c r="U16" s="81">
        <f t="shared" ref="U16:AD16" si="2">U11+U15</f>
        <v>1.4300149922750218</v>
      </c>
      <c r="V16" s="81">
        <f t="shared" si="2"/>
        <v>0.11388583001311323</v>
      </c>
      <c r="W16" s="81">
        <f t="shared" si="2"/>
        <v>6.0588351957901118E-3</v>
      </c>
      <c r="X16" s="81">
        <f t="shared" si="2"/>
        <v>0.13898901638518027</v>
      </c>
      <c r="Y16" s="81">
        <f t="shared" si="2"/>
        <v>9.4510281595063333E-2</v>
      </c>
      <c r="Z16" s="81">
        <f t="shared" si="2"/>
        <v>0</v>
      </c>
      <c r="AA16" s="81">
        <f t="shared" si="2"/>
        <v>0</v>
      </c>
      <c r="AB16" s="81">
        <f t="shared" si="2"/>
        <v>592.16432649433523</v>
      </c>
      <c r="AC16" s="81">
        <f t="shared" si="2"/>
        <v>1.9283796835273176E-2</v>
      </c>
      <c r="AD16" s="81">
        <f t="shared" si="2"/>
        <v>1.5168881387478891E-2</v>
      </c>
    </row>
    <row r="17" spans="1:30">
      <c r="A17" s="370"/>
      <c r="B17" s="371"/>
      <c r="C17" s="372"/>
      <c r="D17" s="372"/>
      <c r="E17" s="371"/>
      <c r="F17" s="371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</row>
    <row r="18" spans="1:30">
      <c r="A18" s="370"/>
      <c r="B18" s="371"/>
      <c r="C18" s="372"/>
      <c r="D18" s="372"/>
      <c r="E18" s="371"/>
      <c r="F18" s="371"/>
      <c r="G18" s="373"/>
      <c r="H18" s="373"/>
      <c r="I18" s="373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</row>
    <row r="19" spans="1:30">
      <c r="A19" s="370"/>
      <c r="B19" s="371"/>
      <c r="C19" s="372"/>
      <c r="D19" s="372"/>
      <c r="E19" s="371"/>
      <c r="F19" s="371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</row>
    <row r="20" spans="1:30">
      <c r="A20" s="370"/>
      <c r="B20" s="371"/>
      <c r="C20" s="372"/>
      <c r="D20" s="372"/>
      <c r="E20" s="371"/>
      <c r="F20" s="371"/>
      <c r="G20" s="373"/>
      <c r="H20" s="373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</row>
    <row r="368" spans="1:1" ht="25.5">
      <c r="A368" s="82" t="s">
        <v>109</v>
      </c>
    </row>
    <row r="370" spans="1:2">
      <c r="A370" s="36" t="s">
        <v>81</v>
      </c>
    </row>
    <row r="371" spans="1:2">
      <c r="A371" s="36" t="s">
        <v>82</v>
      </c>
    </row>
    <row r="372" spans="1:2">
      <c r="A372" s="36" t="s">
        <v>83</v>
      </c>
    </row>
    <row r="373" spans="1:2">
      <c r="A373" s="37" t="s">
        <v>96</v>
      </c>
    </row>
    <row r="374" spans="1:2">
      <c r="A374" s="36" t="s">
        <v>85</v>
      </c>
    </row>
    <row r="375" spans="1:2">
      <c r="A375" s="36" t="s">
        <v>86</v>
      </c>
    </row>
    <row r="376" spans="1:2">
      <c r="A376" s="36" t="s">
        <v>87</v>
      </c>
    </row>
    <row r="377" spans="1:2">
      <c r="A377" s="36" t="s">
        <v>0</v>
      </c>
    </row>
    <row r="378" spans="1:2">
      <c r="A378" s="37" t="s">
        <v>97</v>
      </c>
      <c r="B378" s="36">
        <f>(0.016*(0.03/2)^0.65*(2/3)^1.5)-0.00047</f>
        <v>9.8123053326417428E-5</v>
      </c>
    </row>
    <row r="379" spans="1:2">
      <c r="A379" s="37" t="s">
        <v>98</v>
      </c>
      <c r="B379" s="36">
        <f>(0.016*(0.03/2)^0.65*(13/3)^1.5)-0.00047</f>
        <v>8.9448292388582783E-3</v>
      </c>
    </row>
    <row r="380" spans="1:2">
      <c r="A380" s="37" t="s">
        <v>99</v>
      </c>
      <c r="B380" s="36">
        <f>(0.016*(0.03/2)^0.65*(20/3)^1.5)-0.00047</f>
        <v>1.7495628397607786E-2</v>
      </c>
    </row>
  </sheetData>
  <mergeCells count="7">
    <mergeCell ref="T6:AD6"/>
    <mergeCell ref="A6:A7"/>
    <mergeCell ref="B6:B7"/>
    <mergeCell ref="C6:C7"/>
    <mergeCell ref="D6:D7"/>
    <mergeCell ref="K6:M6"/>
    <mergeCell ref="N6:P6"/>
  </mergeCells>
  <pageMargins left="0.75" right="0.75" top="1" bottom="1" header="0.5" footer="0.5"/>
  <pageSetup scale="10" firstPageNumber="17" orientation="landscape" useFirstPageNumber="1" r:id="rId1"/>
  <headerFooter alignWithMargins="0">
    <oddHeader>&amp;CTable B-2
Construction and Operational Truck Trip Emissions
Salt Creek Substation Construction</oddHeader>
    <oddFooter>&amp;CB-2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O91"/>
  <sheetViews>
    <sheetView zoomScale="85" zoomScaleNormal="85" workbookViewId="0">
      <selection activeCell="A2" sqref="A2:A3"/>
    </sheetView>
  </sheetViews>
  <sheetFormatPr defaultRowHeight="12.75"/>
  <cols>
    <col min="1" max="1" width="33" style="36" customWidth="1"/>
    <col min="2" max="3" width="22.42578125" style="36" customWidth="1"/>
    <col min="4" max="4" width="10.140625" style="36" bestFit="1" customWidth="1"/>
    <col min="5" max="28" width="9.140625" style="36"/>
    <col min="29" max="29" width="11.5703125" style="36" bestFit="1" customWidth="1"/>
    <col min="30" max="30" width="9.140625" style="36"/>
    <col min="31" max="31" width="11.5703125" style="36" bestFit="1" customWidth="1"/>
    <col min="32" max="42" width="9.140625" style="36"/>
    <col min="43" max="43" width="12.5703125" style="36" customWidth="1"/>
    <col min="44" max="44" width="10.7109375" style="36" customWidth="1"/>
    <col min="45" max="45" width="9.140625" style="36"/>
    <col min="46" max="49" width="10.7109375" style="36" customWidth="1"/>
    <col min="50" max="51" width="9.140625" style="36"/>
    <col min="52" max="52" width="9.140625" style="38"/>
    <col min="53" max="16384" width="9.140625" style="36"/>
  </cols>
  <sheetData>
    <row r="1" spans="1:67">
      <c r="A1" s="3" t="s">
        <v>617</v>
      </c>
      <c r="D1" s="37"/>
      <c r="E1" s="37"/>
    </row>
    <row r="2" spans="1:67" ht="26.25" customHeight="1">
      <c r="A2" s="598" t="s">
        <v>108</v>
      </c>
      <c r="B2" s="598" t="s">
        <v>52</v>
      </c>
      <c r="C2" s="39" t="s">
        <v>101</v>
      </c>
      <c r="D2" s="39" t="s">
        <v>53</v>
      </c>
      <c r="E2" s="39" t="s">
        <v>54</v>
      </c>
      <c r="F2" s="602" t="s">
        <v>55</v>
      </c>
      <c r="G2" s="603"/>
      <c r="H2" s="602" t="s">
        <v>56</v>
      </c>
      <c r="I2" s="603"/>
      <c r="J2" s="594" t="s">
        <v>57</v>
      </c>
      <c r="K2" s="594"/>
      <c r="L2" s="594"/>
      <c r="M2" s="594"/>
      <c r="N2" s="594"/>
      <c r="O2" s="594"/>
      <c r="P2" s="602" t="s">
        <v>58</v>
      </c>
      <c r="Q2" s="603"/>
      <c r="R2" s="594" t="s">
        <v>59</v>
      </c>
      <c r="S2" s="601"/>
      <c r="T2" s="601"/>
      <c r="U2" s="601"/>
      <c r="V2" s="594" t="s">
        <v>60</v>
      </c>
      <c r="W2" s="601"/>
      <c r="X2" s="601"/>
      <c r="Y2" s="601"/>
      <c r="Z2" s="602" t="s">
        <v>61</v>
      </c>
      <c r="AA2" s="603"/>
      <c r="AB2" s="594" t="s">
        <v>62</v>
      </c>
      <c r="AC2" s="594"/>
      <c r="AD2" s="594" t="s">
        <v>63</v>
      </c>
      <c r="AE2" s="594"/>
    </row>
    <row r="3" spans="1:67" ht="63.75">
      <c r="A3" s="599"/>
      <c r="B3" s="599"/>
      <c r="C3" s="41" t="s">
        <v>66</v>
      </c>
      <c r="D3" s="41" t="s">
        <v>67</v>
      </c>
      <c r="E3" s="41" t="s">
        <v>68</v>
      </c>
      <c r="F3" s="547" t="s">
        <v>69</v>
      </c>
      <c r="G3" s="42" t="s">
        <v>118</v>
      </c>
      <c r="H3" s="41" t="s">
        <v>69</v>
      </c>
      <c r="I3" s="42" t="s">
        <v>118</v>
      </c>
      <c r="J3" s="41" t="s">
        <v>69</v>
      </c>
      <c r="K3" s="42" t="s">
        <v>118</v>
      </c>
      <c r="L3" s="42" t="s">
        <v>115</v>
      </c>
      <c r="M3" s="42" t="s">
        <v>117</v>
      </c>
      <c r="N3" s="42" t="s">
        <v>70</v>
      </c>
      <c r="O3" s="42" t="s">
        <v>116</v>
      </c>
      <c r="P3" s="41" t="s">
        <v>69</v>
      </c>
      <c r="Q3" s="42" t="s">
        <v>118</v>
      </c>
      <c r="R3" s="544" t="s">
        <v>69</v>
      </c>
      <c r="S3" s="42" t="s">
        <v>118</v>
      </c>
      <c r="T3" s="544" t="s">
        <v>71</v>
      </c>
      <c r="U3" s="544" t="s">
        <v>72</v>
      </c>
      <c r="V3" s="544" t="s">
        <v>69</v>
      </c>
      <c r="W3" s="42" t="s">
        <v>118</v>
      </c>
      <c r="X3" s="544" t="s">
        <v>71</v>
      </c>
      <c r="Y3" s="544" t="s">
        <v>72</v>
      </c>
      <c r="Z3" s="41" t="s">
        <v>69</v>
      </c>
      <c r="AA3" s="42" t="s">
        <v>118</v>
      </c>
      <c r="AB3" s="544" t="s">
        <v>69</v>
      </c>
      <c r="AC3" s="42" t="s">
        <v>118</v>
      </c>
      <c r="AD3" s="544" t="s">
        <v>69</v>
      </c>
      <c r="AE3" s="42" t="s">
        <v>118</v>
      </c>
    </row>
    <row r="4" spans="1:67" ht="25.5">
      <c r="A4" s="44" t="s">
        <v>328</v>
      </c>
      <c r="B4" s="45" t="s">
        <v>102</v>
      </c>
      <c r="C4" s="46">
        <v>3</v>
      </c>
      <c r="D4" s="46">
        <v>35</v>
      </c>
      <c r="E4" s="46">
        <v>80</v>
      </c>
      <c r="F4" s="47">
        <v>2.3611622044318601</v>
      </c>
      <c r="G4" s="48">
        <v>31.4244798871777</v>
      </c>
      <c r="H4" s="48">
        <v>0.22493614397154399</v>
      </c>
      <c r="I4" s="48">
        <v>1.8136819244333999</v>
      </c>
      <c r="J4" s="47">
        <v>5.7965153248686403E-2</v>
      </c>
      <c r="K4" s="48">
        <v>2.3946366793705498</v>
      </c>
      <c r="L4" s="48">
        <v>1.62197187247403</v>
      </c>
      <c r="M4" s="48">
        <v>0.70709499821369304</v>
      </c>
      <c r="N4" s="48">
        <v>0.16038404042738499</v>
      </c>
      <c r="O4" s="48">
        <v>0.71464703099800198</v>
      </c>
      <c r="P4" s="48">
        <v>4.0478385316323803E-3</v>
      </c>
      <c r="Q4" s="48">
        <v>5.8407810191933099E-3</v>
      </c>
      <c r="R4" s="47">
        <v>3.2157701660956101E-3</v>
      </c>
      <c r="S4" s="48">
        <v>2.9198634356063399E-2</v>
      </c>
      <c r="T4" s="48">
        <v>7.9999583995993707E-3</v>
      </c>
      <c r="U4" s="48">
        <v>3.6749815874576097E-2</v>
      </c>
      <c r="V4" s="48">
        <v>2.9606446234606999E-3</v>
      </c>
      <c r="W4" s="48">
        <v>2.6884174180557701E-2</v>
      </c>
      <c r="X4" s="48">
        <v>1.9999896010969099E-3</v>
      </c>
      <c r="Y4" s="48">
        <v>1.57499197860352E-2</v>
      </c>
      <c r="Z4" s="48">
        <v>308.63789988642998</v>
      </c>
      <c r="AA4" s="48">
        <v>448.54817624958298</v>
      </c>
      <c r="AB4" s="47">
        <v>1.77E-2</v>
      </c>
      <c r="AC4" s="47">
        <f t="shared" ref="AC4:AC5" si="0">0.000049261*AA4</f>
        <v>2.2095931710230707E-2</v>
      </c>
      <c r="AD4" s="49">
        <v>3.2599999999999997E-2</v>
      </c>
      <c r="AE4" s="47">
        <f t="shared" ref="AE4:AE5" si="1">0.000021675*AA4</f>
        <v>9.7222817202097123E-3</v>
      </c>
    </row>
    <row r="5" spans="1:67" ht="25.5">
      <c r="A5" s="44" t="s">
        <v>334</v>
      </c>
      <c r="B5" s="45" t="s">
        <v>102</v>
      </c>
      <c r="C5" s="46">
        <v>12</v>
      </c>
      <c r="D5" s="46">
        <v>35</v>
      </c>
      <c r="E5" s="46">
        <v>80</v>
      </c>
      <c r="F5" s="47">
        <v>2.3611622044318601</v>
      </c>
      <c r="G5" s="48">
        <v>31.4244798871777</v>
      </c>
      <c r="H5" s="48">
        <v>0.22493614397154399</v>
      </c>
      <c r="I5" s="48">
        <v>1.8136819244333999</v>
      </c>
      <c r="J5" s="47">
        <v>5.7965153248686403E-2</v>
      </c>
      <c r="K5" s="48">
        <v>2.3946366793705498</v>
      </c>
      <c r="L5" s="48">
        <v>1.62197187247403</v>
      </c>
      <c r="M5" s="48">
        <v>0.70709499821369304</v>
      </c>
      <c r="N5" s="48">
        <v>0.16038404042738499</v>
      </c>
      <c r="O5" s="48">
        <v>0.71464703099800198</v>
      </c>
      <c r="P5" s="48">
        <v>4.0478385316323803E-3</v>
      </c>
      <c r="Q5" s="48">
        <v>5.8407810191933099E-3</v>
      </c>
      <c r="R5" s="47">
        <v>3.2157701660956101E-3</v>
      </c>
      <c r="S5" s="48">
        <v>2.9198634356063399E-2</v>
      </c>
      <c r="T5" s="48">
        <v>7.9999583995993707E-3</v>
      </c>
      <c r="U5" s="48">
        <v>3.6749815874576097E-2</v>
      </c>
      <c r="V5" s="48">
        <v>2.9606446234606999E-3</v>
      </c>
      <c r="W5" s="48">
        <v>2.6884174180557701E-2</v>
      </c>
      <c r="X5" s="48">
        <v>1.9999896010969099E-3</v>
      </c>
      <c r="Y5" s="48">
        <v>1.57499197860352E-2</v>
      </c>
      <c r="Z5" s="48">
        <v>308.63789988642998</v>
      </c>
      <c r="AA5" s="48">
        <v>448.54817624958298</v>
      </c>
      <c r="AB5" s="47">
        <v>1.77E-2</v>
      </c>
      <c r="AC5" s="47">
        <f t="shared" si="0"/>
        <v>2.2095931710230707E-2</v>
      </c>
      <c r="AD5" s="49">
        <v>3.2599999999999997E-2</v>
      </c>
      <c r="AE5" s="47">
        <f t="shared" si="1"/>
        <v>9.7222817202097123E-3</v>
      </c>
    </row>
    <row r="6" spans="1:67">
      <c r="A6" s="52"/>
      <c r="B6" s="52"/>
      <c r="C6" s="53"/>
      <c r="D6" s="54"/>
      <c r="E6" s="54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</row>
    <row r="7" spans="1:67" ht="25.5">
      <c r="A7" s="55" t="s">
        <v>504</v>
      </c>
      <c r="B7" s="37"/>
      <c r="C7" s="37"/>
    </row>
    <row r="8" spans="1:67">
      <c r="A8" s="55" t="s">
        <v>77</v>
      </c>
      <c r="B8" s="37"/>
      <c r="C8" s="3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84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</row>
    <row r="9" spans="1:67">
      <c r="A9" s="55" t="s">
        <v>78</v>
      </c>
      <c r="B9" s="37"/>
      <c r="C9" s="3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9"/>
      <c r="AS9" s="59"/>
      <c r="AT9" s="59"/>
      <c r="AU9" s="59"/>
      <c r="AV9" s="59"/>
      <c r="AW9" s="59"/>
      <c r="AX9" s="59"/>
      <c r="AY9" s="59"/>
      <c r="AZ9" s="60"/>
      <c r="BA9" s="59"/>
    </row>
    <row r="10" spans="1:67" ht="38.25" hidden="1">
      <c r="A10" s="55" t="s">
        <v>79</v>
      </c>
      <c r="B10" s="37"/>
      <c r="C10" s="37"/>
      <c r="AA10" s="57"/>
      <c r="AB10" s="58" t="s">
        <v>80</v>
      </c>
      <c r="AC10" s="57"/>
      <c r="AD10" s="57"/>
      <c r="AE10" s="57"/>
      <c r="AF10" s="57" t="e">
        <f>#REF!/60</f>
        <v>#REF!</v>
      </c>
      <c r="AG10" s="57" t="e">
        <f>#REF!/60</f>
        <v>#REF!</v>
      </c>
      <c r="AH10" s="57" t="e">
        <f>#REF!/60</f>
        <v>#REF!</v>
      </c>
      <c r="AI10" s="57" t="e">
        <f>#REF!/60</f>
        <v>#REF!</v>
      </c>
      <c r="AJ10" s="57" t="e">
        <f>#REF!/60</f>
        <v>#REF!</v>
      </c>
      <c r="AK10" s="57" t="e">
        <f>#REF!/60</f>
        <v>#REF!</v>
      </c>
      <c r="AL10" s="57" t="e">
        <f>#REF!/60</f>
        <v>#REF!</v>
      </c>
      <c r="AM10" s="57" t="e">
        <f>#REF!/60</f>
        <v>#REF!</v>
      </c>
      <c r="AN10" s="57" t="e">
        <f>#REF!/60</f>
        <v>#REF!</v>
      </c>
      <c r="AO10" s="57" t="e">
        <f>#REF!/60</f>
        <v>#REF!</v>
      </c>
      <c r="AP10" s="57"/>
      <c r="AQ10" s="57"/>
      <c r="AR10" s="57" t="e">
        <f>#REF!/60</f>
        <v>#REF!</v>
      </c>
      <c r="AS10" s="57" t="e">
        <f>#REF!/60</f>
        <v>#REF!</v>
      </c>
      <c r="AT10" s="57" t="e">
        <f>#REF!/60</f>
        <v>#REF!</v>
      </c>
      <c r="AU10" s="57" t="e">
        <f>#REF!/60</f>
        <v>#REF!</v>
      </c>
      <c r="AV10" s="57" t="e">
        <f>#REF!/60</f>
        <v>#REF!</v>
      </c>
      <c r="AW10" s="57" t="e">
        <f>#REF!/60</f>
        <v>#REF!</v>
      </c>
      <c r="AX10" s="57" t="e">
        <f>#REF!/60</f>
        <v>#REF!</v>
      </c>
      <c r="AY10" s="57" t="e">
        <f>#REF!/60</f>
        <v>#REF!</v>
      </c>
      <c r="AZ10" s="57" t="e">
        <f>#REF!/60</f>
        <v>#REF!</v>
      </c>
      <c r="BA10" s="57" t="e">
        <f>#REF!/60</f>
        <v>#REF!</v>
      </c>
    </row>
    <row r="11" spans="1:67" hidden="1">
      <c r="A11" s="55"/>
      <c r="B11" s="37"/>
      <c r="C11" s="3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9"/>
      <c r="AS11" s="59"/>
      <c r="AT11" s="59"/>
      <c r="AU11" s="59"/>
      <c r="AV11" s="59"/>
      <c r="AW11" s="59"/>
      <c r="AX11" s="59"/>
      <c r="AY11" s="59"/>
      <c r="AZ11" s="60"/>
      <c r="BA11" s="59"/>
    </row>
    <row r="12" spans="1:67" hidden="1">
      <c r="A12" s="37"/>
      <c r="B12" s="37"/>
      <c r="C12" s="37"/>
      <c r="AF12" s="596" t="s">
        <v>64</v>
      </c>
      <c r="AG12" s="596"/>
      <c r="AH12" s="596"/>
      <c r="AI12" s="596"/>
      <c r="AJ12" s="596"/>
      <c r="AK12" s="597"/>
      <c r="AL12" s="597"/>
      <c r="AM12" s="597"/>
      <c r="AN12" s="597"/>
      <c r="AO12" s="597"/>
      <c r="AP12" s="546"/>
      <c r="AQ12" s="56"/>
      <c r="AR12" s="596" t="s">
        <v>65</v>
      </c>
      <c r="AS12" s="596"/>
      <c r="AT12" s="596"/>
      <c r="AU12" s="596"/>
      <c r="AV12" s="596"/>
      <c r="AW12" s="597"/>
      <c r="AX12" s="597"/>
      <c r="AY12" s="597"/>
      <c r="AZ12" s="597"/>
      <c r="BA12" s="597"/>
    </row>
    <row r="13" spans="1:67" ht="63.75" hidden="1">
      <c r="A13" s="37"/>
      <c r="B13" s="37"/>
      <c r="C13" s="37"/>
      <c r="AF13" s="61" t="s">
        <v>55</v>
      </c>
      <c r="AG13" s="61" t="s">
        <v>73</v>
      </c>
      <c r="AH13" s="61" t="s">
        <v>74</v>
      </c>
      <c r="AI13" s="61" t="s">
        <v>58</v>
      </c>
      <c r="AJ13" s="61" t="s">
        <v>59</v>
      </c>
      <c r="AK13" s="61" t="s">
        <v>60</v>
      </c>
      <c r="AL13" s="62" t="s">
        <v>75</v>
      </c>
      <c r="AM13" s="62" t="s">
        <v>76</v>
      </c>
      <c r="AN13" s="62" t="s">
        <v>61</v>
      </c>
      <c r="AO13" s="62" t="s">
        <v>62</v>
      </c>
      <c r="AP13" s="62"/>
      <c r="AQ13" s="43"/>
      <c r="AR13" s="61" t="s">
        <v>55</v>
      </c>
      <c r="AS13" s="61" t="s">
        <v>73</v>
      </c>
      <c r="AT13" s="61" t="s">
        <v>74</v>
      </c>
      <c r="AU13" s="61" t="s">
        <v>58</v>
      </c>
      <c r="AV13" s="61" t="s">
        <v>59</v>
      </c>
      <c r="AW13" s="61" t="s">
        <v>60</v>
      </c>
      <c r="AX13" s="62" t="s">
        <v>75</v>
      </c>
      <c r="AY13" s="62" t="s">
        <v>76</v>
      </c>
      <c r="AZ13" s="63" t="s">
        <v>61</v>
      </c>
      <c r="BA13" s="61" t="s">
        <v>62</v>
      </c>
    </row>
    <row r="14" spans="1:67" hidden="1">
      <c r="A14" s="37" t="s">
        <v>81</v>
      </c>
      <c r="B14" s="37"/>
      <c r="C14" s="37"/>
      <c r="AA14" s="64" t="s">
        <v>29</v>
      </c>
      <c r="AB14" s="65" t="s">
        <v>30</v>
      </c>
      <c r="AC14" s="65" t="s">
        <v>31</v>
      </c>
      <c r="AD14" s="65"/>
      <c r="AE14" s="65"/>
      <c r="AQ14" s="38"/>
    </row>
    <row r="15" spans="1:67" hidden="1">
      <c r="A15" s="37" t="s">
        <v>82</v>
      </c>
      <c r="B15" s="37"/>
      <c r="C15" s="37"/>
      <c r="AA15" s="64"/>
      <c r="AB15" s="65" t="s">
        <v>32</v>
      </c>
      <c r="AC15" s="65">
        <v>13.25</v>
      </c>
      <c r="AD15" s="65"/>
      <c r="AE15" s="65"/>
      <c r="AF15" s="36" t="e">
        <f>AF$10*$AC15</f>
        <v>#REF!</v>
      </c>
      <c r="AG15" s="36" t="e">
        <f t="shared" ref="AG15:AO23" si="2">AG$10*$AC15</f>
        <v>#REF!</v>
      </c>
      <c r="AH15" s="36" t="e">
        <f t="shared" si="2"/>
        <v>#REF!</v>
      </c>
      <c r="AI15" s="36" t="e">
        <f t="shared" si="2"/>
        <v>#REF!</v>
      </c>
      <c r="AJ15" s="36" t="e">
        <f t="shared" si="2"/>
        <v>#REF!</v>
      </c>
      <c r="AK15" s="36" t="e">
        <f t="shared" si="2"/>
        <v>#REF!</v>
      </c>
      <c r="AL15" s="36" t="e">
        <f t="shared" si="2"/>
        <v>#REF!</v>
      </c>
      <c r="AM15" s="36" t="e">
        <f t="shared" si="2"/>
        <v>#REF!</v>
      </c>
      <c r="AN15" s="36" t="e">
        <f t="shared" si="2"/>
        <v>#REF!</v>
      </c>
      <c r="AO15" s="36" t="e">
        <f t="shared" si="2"/>
        <v>#REF!</v>
      </c>
      <c r="AQ15" s="38"/>
      <c r="AR15" s="36" t="e">
        <f>AR$10*$AC15</f>
        <v>#REF!</v>
      </c>
      <c r="AS15" s="36" t="e">
        <f t="shared" ref="AS15:BA23" si="3">AS$10*$AC15</f>
        <v>#REF!</v>
      </c>
      <c r="AT15" s="36" t="e">
        <f t="shared" si="3"/>
        <v>#REF!</v>
      </c>
      <c r="AU15" s="36" t="e">
        <f t="shared" si="3"/>
        <v>#REF!</v>
      </c>
      <c r="AV15" s="36" t="e">
        <f t="shared" si="3"/>
        <v>#REF!</v>
      </c>
      <c r="AW15" s="36" t="e">
        <f t="shared" si="3"/>
        <v>#REF!</v>
      </c>
      <c r="AX15" s="36" t="e">
        <f t="shared" si="3"/>
        <v>#REF!</v>
      </c>
      <c r="AY15" s="36" t="e">
        <f t="shared" si="3"/>
        <v>#REF!</v>
      </c>
      <c r="AZ15" s="36" t="e">
        <f t="shared" si="3"/>
        <v>#REF!</v>
      </c>
      <c r="BA15" s="36" t="e">
        <f t="shared" si="3"/>
        <v>#REF!</v>
      </c>
    </row>
    <row r="16" spans="1:67" hidden="1">
      <c r="A16" s="37" t="s">
        <v>83</v>
      </c>
      <c r="B16" s="37"/>
      <c r="C16" s="37"/>
      <c r="AA16" s="64"/>
      <c r="AB16" s="65" t="s">
        <v>33</v>
      </c>
      <c r="AC16" s="65">
        <v>20.298999999999999</v>
      </c>
      <c r="AD16" s="65"/>
      <c r="AE16" s="65"/>
      <c r="AF16" s="36" t="e">
        <f t="shared" ref="AF16:AF23" si="4">AF$10*$AC16</f>
        <v>#REF!</v>
      </c>
      <c r="AG16" s="36" t="e">
        <f t="shared" si="2"/>
        <v>#REF!</v>
      </c>
      <c r="AH16" s="36" t="e">
        <f t="shared" si="2"/>
        <v>#REF!</v>
      </c>
      <c r="AI16" s="36" t="e">
        <f t="shared" si="2"/>
        <v>#REF!</v>
      </c>
      <c r="AJ16" s="36" t="e">
        <f t="shared" si="2"/>
        <v>#REF!</v>
      </c>
      <c r="AK16" s="36" t="e">
        <f t="shared" si="2"/>
        <v>#REF!</v>
      </c>
      <c r="AL16" s="36" t="e">
        <f t="shared" si="2"/>
        <v>#REF!</v>
      </c>
      <c r="AM16" s="36" t="e">
        <f t="shared" si="2"/>
        <v>#REF!</v>
      </c>
      <c r="AN16" s="36" t="e">
        <f t="shared" si="2"/>
        <v>#REF!</v>
      </c>
      <c r="AO16" s="36" t="e">
        <f t="shared" si="2"/>
        <v>#REF!</v>
      </c>
      <c r="AQ16" s="38"/>
      <c r="AR16" s="36" t="e">
        <f t="shared" ref="AR16:AR23" si="5">AR$10*$AC16</f>
        <v>#REF!</v>
      </c>
      <c r="AS16" s="36" t="e">
        <f t="shared" si="3"/>
        <v>#REF!</v>
      </c>
      <c r="AT16" s="36" t="e">
        <f t="shared" si="3"/>
        <v>#REF!</v>
      </c>
      <c r="AU16" s="36" t="e">
        <f t="shared" si="3"/>
        <v>#REF!</v>
      </c>
      <c r="AV16" s="36" t="e">
        <f t="shared" si="3"/>
        <v>#REF!</v>
      </c>
      <c r="AW16" s="36" t="e">
        <f t="shared" si="3"/>
        <v>#REF!</v>
      </c>
      <c r="AX16" s="36" t="e">
        <f t="shared" si="3"/>
        <v>#REF!</v>
      </c>
      <c r="AY16" s="36" t="e">
        <f t="shared" si="3"/>
        <v>#REF!</v>
      </c>
      <c r="AZ16" s="36" t="e">
        <f t="shared" si="3"/>
        <v>#REF!</v>
      </c>
      <c r="BA16" s="36" t="e">
        <f t="shared" si="3"/>
        <v>#REF!</v>
      </c>
    </row>
    <row r="17" spans="1:53" hidden="1">
      <c r="A17" s="37" t="s">
        <v>84</v>
      </c>
      <c r="B17" s="37"/>
      <c r="C17" s="37"/>
      <c r="AA17" s="64"/>
      <c r="AB17" s="65" t="s">
        <v>34</v>
      </c>
      <c r="AC17" s="65">
        <v>21.68</v>
      </c>
      <c r="AD17" s="65"/>
      <c r="AE17" s="65"/>
      <c r="AF17" s="36" t="e">
        <f t="shared" si="4"/>
        <v>#REF!</v>
      </c>
      <c r="AG17" s="36" t="e">
        <f t="shared" si="2"/>
        <v>#REF!</v>
      </c>
      <c r="AH17" s="36" t="e">
        <f t="shared" si="2"/>
        <v>#REF!</v>
      </c>
      <c r="AI17" s="36" t="e">
        <f t="shared" si="2"/>
        <v>#REF!</v>
      </c>
      <c r="AJ17" s="36" t="e">
        <f t="shared" si="2"/>
        <v>#REF!</v>
      </c>
      <c r="AK17" s="36" t="e">
        <f t="shared" si="2"/>
        <v>#REF!</v>
      </c>
      <c r="AL17" s="36" t="e">
        <f t="shared" si="2"/>
        <v>#REF!</v>
      </c>
      <c r="AM17" s="36" t="e">
        <f t="shared" si="2"/>
        <v>#REF!</v>
      </c>
      <c r="AN17" s="36" t="e">
        <f t="shared" si="2"/>
        <v>#REF!</v>
      </c>
      <c r="AO17" s="36" t="e">
        <f t="shared" si="2"/>
        <v>#REF!</v>
      </c>
      <c r="AQ17" s="38"/>
      <c r="AR17" s="36" t="e">
        <f t="shared" si="5"/>
        <v>#REF!</v>
      </c>
      <c r="AS17" s="36" t="e">
        <f t="shared" si="3"/>
        <v>#REF!</v>
      </c>
      <c r="AT17" s="36" t="e">
        <f t="shared" si="3"/>
        <v>#REF!</v>
      </c>
      <c r="AU17" s="36" t="e">
        <f t="shared" si="3"/>
        <v>#REF!</v>
      </c>
      <c r="AV17" s="36" t="e">
        <f t="shared" si="3"/>
        <v>#REF!</v>
      </c>
      <c r="AW17" s="36" t="e">
        <f t="shared" si="3"/>
        <v>#REF!</v>
      </c>
      <c r="AX17" s="36" t="e">
        <f t="shared" si="3"/>
        <v>#REF!</v>
      </c>
      <c r="AY17" s="36" t="e">
        <f t="shared" si="3"/>
        <v>#REF!</v>
      </c>
      <c r="AZ17" s="36" t="e">
        <f t="shared" si="3"/>
        <v>#REF!</v>
      </c>
      <c r="BA17" s="36" t="e">
        <f t="shared" si="3"/>
        <v>#REF!</v>
      </c>
    </row>
    <row r="18" spans="1:53" hidden="1">
      <c r="A18" s="37" t="s">
        <v>85</v>
      </c>
      <c r="B18" s="37"/>
      <c r="C18" s="37"/>
      <c r="AA18" s="64"/>
      <c r="AB18" s="65" t="s">
        <v>35</v>
      </c>
      <c r="AC18" s="65">
        <v>9.3046500000000005</v>
      </c>
      <c r="AD18" s="65"/>
      <c r="AE18" s="65"/>
      <c r="AF18" s="36" t="e">
        <f t="shared" si="4"/>
        <v>#REF!</v>
      </c>
      <c r="AG18" s="36" t="e">
        <f t="shared" si="2"/>
        <v>#REF!</v>
      </c>
      <c r="AH18" s="36" t="e">
        <f t="shared" si="2"/>
        <v>#REF!</v>
      </c>
      <c r="AI18" s="36" t="e">
        <f t="shared" si="2"/>
        <v>#REF!</v>
      </c>
      <c r="AJ18" s="36" t="e">
        <f t="shared" si="2"/>
        <v>#REF!</v>
      </c>
      <c r="AK18" s="36" t="e">
        <f t="shared" si="2"/>
        <v>#REF!</v>
      </c>
      <c r="AL18" s="36" t="e">
        <f t="shared" si="2"/>
        <v>#REF!</v>
      </c>
      <c r="AM18" s="36" t="e">
        <f t="shared" si="2"/>
        <v>#REF!</v>
      </c>
      <c r="AN18" s="36" t="e">
        <f t="shared" si="2"/>
        <v>#REF!</v>
      </c>
      <c r="AO18" s="36" t="e">
        <f t="shared" si="2"/>
        <v>#REF!</v>
      </c>
      <c r="AQ18" s="38"/>
      <c r="AR18" s="36" t="e">
        <f t="shared" si="5"/>
        <v>#REF!</v>
      </c>
      <c r="AS18" s="36" t="e">
        <f t="shared" si="3"/>
        <v>#REF!</v>
      </c>
      <c r="AT18" s="36" t="e">
        <f t="shared" si="3"/>
        <v>#REF!</v>
      </c>
      <c r="AU18" s="36" t="e">
        <f t="shared" si="3"/>
        <v>#REF!</v>
      </c>
      <c r="AV18" s="36" t="e">
        <f t="shared" si="3"/>
        <v>#REF!</v>
      </c>
      <c r="AW18" s="36" t="e">
        <f t="shared" si="3"/>
        <v>#REF!</v>
      </c>
      <c r="AX18" s="36" t="e">
        <f t="shared" si="3"/>
        <v>#REF!</v>
      </c>
      <c r="AY18" s="36" t="e">
        <f t="shared" si="3"/>
        <v>#REF!</v>
      </c>
      <c r="AZ18" s="36" t="e">
        <f t="shared" si="3"/>
        <v>#REF!</v>
      </c>
      <c r="BA18" s="36" t="e">
        <f t="shared" si="3"/>
        <v>#REF!</v>
      </c>
    </row>
    <row r="19" spans="1:53" hidden="1">
      <c r="A19" s="37" t="s">
        <v>86</v>
      </c>
      <c r="B19" s="37"/>
      <c r="C19" s="37"/>
      <c r="AA19" s="64"/>
      <c r="AB19" s="65" t="s">
        <v>36</v>
      </c>
      <c r="AC19" s="65">
        <v>5.0347999999999997</v>
      </c>
      <c r="AD19" s="65"/>
      <c r="AE19" s="65"/>
      <c r="AF19" s="36" t="e">
        <f t="shared" si="4"/>
        <v>#REF!</v>
      </c>
      <c r="AG19" s="36" t="e">
        <f t="shared" si="2"/>
        <v>#REF!</v>
      </c>
      <c r="AH19" s="36" t="e">
        <f t="shared" si="2"/>
        <v>#REF!</v>
      </c>
      <c r="AI19" s="36" t="e">
        <f t="shared" si="2"/>
        <v>#REF!</v>
      </c>
      <c r="AJ19" s="36" t="e">
        <f t="shared" si="2"/>
        <v>#REF!</v>
      </c>
      <c r="AK19" s="36" t="e">
        <f t="shared" si="2"/>
        <v>#REF!</v>
      </c>
      <c r="AL19" s="36" t="e">
        <f t="shared" si="2"/>
        <v>#REF!</v>
      </c>
      <c r="AM19" s="36" t="e">
        <f t="shared" si="2"/>
        <v>#REF!</v>
      </c>
      <c r="AN19" s="36" t="e">
        <f t="shared" si="2"/>
        <v>#REF!</v>
      </c>
      <c r="AO19" s="36" t="e">
        <f t="shared" si="2"/>
        <v>#REF!</v>
      </c>
      <c r="AQ19" s="38"/>
      <c r="AR19" s="36" t="e">
        <f t="shared" si="5"/>
        <v>#REF!</v>
      </c>
      <c r="AS19" s="36" t="e">
        <f t="shared" si="3"/>
        <v>#REF!</v>
      </c>
      <c r="AT19" s="36" t="e">
        <f t="shared" si="3"/>
        <v>#REF!</v>
      </c>
      <c r="AU19" s="36" t="e">
        <f t="shared" si="3"/>
        <v>#REF!</v>
      </c>
      <c r="AV19" s="36" t="e">
        <f t="shared" si="3"/>
        <v>#REF!</v>
      </c>
      <c r="AW19" s="36" t="e">
        <f t="shared" si="3"/>
        <v>#REF!</v>
      </c>
      <c r="AX19" s="36" t="e">
        <f t="shared" si="3"/>
        <v>#REF!</v>
      </c>
      <c r="AY19" s="36" t="e">
        <f t="shared" si="3"/>
        <v>#REF!</v>
      </c>
      <c r="AZ19" s="36" t="e">
        <f t="shared" si="3"/>
        <v>#REF!</v>
      </c>
      <c r="BA19" s="36" t="e">
        <f t="shared" si="3"/>
        <v>#REF!</v>
      </c>
    </row>
    <row r="20" spans="1:53" hidden="1">
      <c r="A20" s="37" t="s">
        <v>87</v>
      </c>
      <c r="B20" s="37"/>
      <c r="C20" s="37"/>
      <c r="AA20" s="64"/>
      <c r="AB20" s="65" t="s">
        <v>37</v>
      </c>
      <c r="AC20" s="65">
        <v>0</v>
      </c>
      <c r="AD20" s="65"/>
      <c r="AE20" s="65"/>
      <c r="AF20" s="36" t="e">
        <f t="shared" si="4"/>
        <v>#REF!</v>
      </c>
      <c r="AG20" s="36" t="e">
        <f t="shared" si="2"/>
        <v>#REF!</v>
      </c>
      <c r="AH20" s="36" t="e">
        <f t="shared" si="2"/>
        <v>#REF!</v>
      </c>
      <c r="AI20" s="36" t="e">
        <f t="shared" si="2"/>
        <v>#REF!</v>
      </c>
      <c r="AJ20" s="36" t="e">
        <f t="shared" si="2"/>
        <v>#REF!</v>
      </c>
      <c r="AK20" s="36" t="e">
        <f t="shared" si="2"/>
        <v>#REF!</v>
      </c>
      <c r="AL20" s="36" t="e">
        <f t="shared" si="2"/>
        <v>#REF!</v>
      </c>
      <c r="AM20" s="36" t="e">
        <f t="shared" si="2"/>
        <v>#REF!</v>
      </c>
      <c r="AN20" s="36" t="e">
        <f t="shared" si="2"/>
        <v>#REF!</v>
      </c>
      <c r="AO20" s="36" t="e">
        <f t="shared" si="2"/>
        <v>#REF!</v>
      </c>
      <c r="AQ20" s="38"/>
      <c r="AR20" s="36" t="e">
        <f t="shared" si="5"/>
        <v>#REF!</v>
      </c>
      <c r="AS20" s="36" t="e">
        <f t="shared" si="3"/>
        <v>#REF!</v>
      </c>
      <c r="AT20" s="36" t="e">
        <f t="shared" si="3"/>
        <v>#REF!</v>
      </c>
      <c r="AU20" s="36" t="e">
        <f t="shared" si="3"/>
        <v>#REF!</v>
      </c>
      <c r="AV20" s="36" t="e">
        <f t="shared" si="3"/>
        <v>#REF!</v>
      </c>
      <c r="AW20" s="36" t="e">
        <f t="shared" si="3"/>
        <v>#REF!</v>
      </c>
      <c r="AX20" s="36" t="e">
        <f t="shared" si="3"/>
        <v>#REF!</v>
      </c>
      <c r="AY20" s="36" t="e">
        <f t="shared" si="3"/>
        <v>#REF!</v>
      </c>
      <c r="AZ20" s="36" t="e">
        <f t="shared" si="3"/>
        <v>#REF!</v>
      </c>
      <c r="BA20" s="36" t="e">
        <f t="shared" si="3"/>
        <v>#REF!</v>
      </c>
    </row>
    <row r="21" spans="1:53" hidden="1">
      <c r="A21" s="37" t="s">
        <v>0</v>
      </c>
      <c r="B21" s="37"/>
      <c r="C21" s="37"/>
      <c r="AA21" s="64"/>
      <c r="AB21" s="65" t="s">
        <v>38</v>
      </c>
      <c r="AC21" s="65">
        <v>0</v>
      </c>
      <c r="AD21" s="65"/>
      <c r="AE21" s="65"/>
      <c r="AF21" s="36" t="e">
        <f t="shared" si="4"/>
        <v>#REF!</v>
      </c>
      <c r="AG21" s="36" t="e">
        <f t="shared" si="2"/>
        <v>#REF!</v>
      </c>
      <c r="AH21" s="36" t="e">
        <f t="shared" si="2"/>
        <v>#REF!</v>
      </c>
      <c r="AI21" s="36" t="e">
        <f t="shared" si="2"/>
        <v>#REF!</v>
      </c>
      <c r="AJ21" s="36" t="e">
        <f t="shared" si="2"/>
        <v>#REF!</v>
      </c>
      <c r="AK21" s="36" t="e">
        <f t="shared" si="2"/>
        <v>#REF!</v>
      </c>
      <c r="AL21" s="36" t="e">
        <f t="shared" si="2"/>
        <v>#REF!</v>
      </c>
      <c r="AM21" s="36" t="e">
        <f t="shared" si="2"/>
        <v>#REF!</v>
      </c>
      <c r="AN21" s="36" t="e">
        <f t="shared" si="2"/>
        <v>#REF!</v>
      </c>
      <c r="AO21" s="36" t="e">
        <f t="shared" si="2"/>
        <v>#REF!</v>
      </c>
      <c r="AQ21" s="38"/>
      <c r="AR21" s="36" t="e">
        <f t="shared" si="5"/>
        <v>#REF!</v>
      </c>
      <c r="AS21" s="36" t="e">
        <f t="shared" si="3"/>
        <v>#REF!</v>
      </c>
      <c r="AT21" s="36" t="e">
        <f t="shared" si="3"/>
        <v>#REF!</v>
      </c>
      <c r="AU21" s="36" t="e">
        <f t="shared" si="3"/>
        <v>#REF!</v>
      </c>
      <c r="AV21" s="36" t="e">
        <f t="shared" si="3"/>
        <v>#REF!</v>
      </c>
      <c r="AW21" s="36" t="e">
        <f t="shared" si="3"/>
        <v>#REF!</v>
      </c>
      <c r="AX21" s="36" t="e">
        <f t="shared" si="3"/>
        <v>#REF!</v>
      </c>
      <c r="AY21" s="36" t="e">
        <f t="shared" si="3"/>
        <v>#REF!</v>
      </c>
      <c r="AZ21" s="36" t="e">
        <f t="shared" si="3"/>
        <v>#REF!</v>
      </c>
      <c r="BA21" s="36" t="e">
        <f t="shared" si="3"/>
        <v>#REF!</v>
      </c>
    </row>
    <row r="22" spans="1:53" hidden="1">
      <c r="A22" s="37" t="s">
        <v>59</v>
      </c>
      <c r="B22" s="37">
        <f>(0.016*(0.03/2)^0.65*(2/3)^1.5)-0.00047</f>
        <v>9.8123053326417428E-5</v>
      </c>
      <c r="C22" s="37"/>
      <c r="AA22" s="64"/>
      <c r="AB22" s="65" t="s">
        <v>39</v>
      </c>
      <c r="AC22" s="65">
        <v>0</v>
      </c>
      <c r="AD22" s="65"/>
      <c r="AE22" s="65"/>
      <c r="AF22" s="36" t="e">
        <f t="shared" si="4"/>
        <v>#REF!</v>
      </c>
      <c r="AG22" s="36" t="e">
        <f t="shared" si="2"/>
        <v>#REF!</v>
      </c>
      <c r="AH22" s="36" t="e">
        <f t="shared" si="2"/>
        <v>#REF!</v>
      </c>
      <c r="AI22" s="36" t="e">
        <f t="shared" si="2"/>
        <v>#REF!</v>
      </c>
      <c r="AJ22" s="36" t="e">
        <f t="shared" si="2"/>
        <v>#REF!</v>
      </c>
      <c r="AK22" s="36" t="e">
        <f t="shared" si="2"/>
        <v>#REF!</v>
      </c>
      <c r="AL22" s="36" t="e">
        <f t="shared" si="2"/>
        <v>#REF!</v>
      </c>
      <c r="AM22" s="36" t="e">
        <f t="shared" si="2"/>
        <v>#REF!</v>
      </c>
      <c r="AN22" s="36" t="e">
        <f t="shared" si="2"/>
        <v>#REF!</v>
      </c>
      <c r="AO22" s="36" t="e">
        <f t="shared" si="2"/>
        <v>#REF!</v>
      </c>
      <c r="AQ22" s="38"/>
      <c r="AR22" s="36" t="e">
        <f t="shared" si="5"/>
        <v>#REF!</v>
      </c>
      <c r="AS22" s="36" t="e">
        <f t="shared" si="3"/>
        <v>#REF!</v>
      </c>
      <c r="AT22" s="36" t="e">
        <f t="shared" si="3"/>
        <v>#REF!</v>
      </c>
      <c r="AU22" s="36" t="e">
        <f t="shared" si="3"/>
        <v>#REF!</v>
      </c>
      <c r="AV22" s="36" t="e">
        <f t="shared" si="3"/>
        <v>#REF!</v>
      </c>
      <c r="AW22" s="36" t="e">
        <f t="shared" si="3"/>
        <v>#REF!</v>
      </c>
      <c r="AX22" s="36" t="e">
        <f t="shared" si="3"/>
        <v>#REF!</v>
      </c>
      <c r="AY22" s="36" t="e">
        <f t="shared" si="3"/>
        <v>#REF!</v>
      </c>
      <c r="AZ22" s="36" t="e">
        <f t="shared" si="3"/>
        <v>#REF!</v>
      </c>
      <c r="BA22" s="36" t="e">
        <f t="shared" si="3"/>
        <v>#REF!</v>
      </c>
    </row>
    <row r="23" spans="1:53" hidden="1">
      <c r="A23" s="37"/>
      <c r="B23" s="37"/>
      <c r="C23" s="37"/>
      <c r="AA23" s="64"/>
      <c r="AB23" s="65" t="s">
        <v>40</v>
      </c>
      <c r="AC23" s="65">
        <v>0</v>
      </c>
      <c r="AD23" s="65"/>
      <c r="AE23" s="65"/>
      <c r="AF23" s="36" t="e">
        <f t="shared" si="4"/>
        <v>#REF!</v>
      </c>
      <c r="AG23" s="36" t="e">
        <f t="shared" si="2"/>
        <v>#REF!</v>
      </c>
      <c r="AH23" s="36" t="e">
        <f t="shared" si="2"/>
        <v>#REF!</v>
      </c>
      <c r="AI23" s="36" t="e">
        <f t="shared" si="2"/>
        <v>#REF!</v>
      </c>
      <c r="AJ23" s="36" t="e">
        <f t="shared" si="2"/>
        <v>#REF!</v>
      </c>
      <c r="AK23" s="36" t="e">
        <f t="shared" si="2"/>
        <v>#REF!</v>
      </c>
      <c r="AL23" s="36" t="e">
        <f t="shared" si="2"/>
        <v>#REF!</v>
      </c>
      <c r="AM23" s="36" t="e">
        <f t="shared" si="2"/>
        <v>#REF!</v>
      </c>
      <c r="AN23" s="36" t="e">
        <f t="shared" si="2"/>
        <v>#REF!</v>
      </c>
      <c r="AO23" s="36" t="e">
        <f t="shared" si="2"/>
        <v>#REF!</v>
      </c>
      <c r="AQ23" s="38"/>
      <c r="AR23" s="36" t="e">
        <f t="shared" si="5"/>
        <v>#REF!</v>
      </c>
      <c r="AS23" s="36" t="e">
        <f t="shared" si="3"/>
        <v>#REF!</v>
      </c>
      <c r="AT23" s="36" t="e">
        <f t="shared" si="3"/>
        <v>#REF!</v>
      </c>
      <c r="AU23" s="36" t="e">
        <f t="shared" si="3"/>
        <v>#REF!</v>
      </c>
      <c r="AV23" s="36" t="e">
        <f t="shared" si="3"/>
        <v>#REF!</v>
      </c>
      <c r="AW23" s="36" t="e">
        <f t="shared" si="3"/>
        <v>#REF!</v>
      </c>
      <c r="AX23" s="36" t="e">
        <f t="shared" si="3"/>
        <v>#REF!</v>
      </c>
      <c r="AY23" s="36" t="e">
        <f t="shared" si="3"/>
        <v>#REF!</v>
      </c>
      <c r="AZ23" s="36" t="e">
        <f t="shared" si="3"/>
        <v>#REF!</v>
      </c>
      <c r="BA23" s="36" t="e">
        <f t="shared" si="3"/>
        <v>#REF!</v>
      </c>
    </row>
    <row r="24" spans="1:53" hidden="1">
      <c r="A24" s="37"/>
      <c r="B24" s="37"/>
      <c r="C24" s="37"/>
      <c r="AA24" s="64"/>
      <c r="AB24" s="65"/>
      <c r="AC24" s="65"/>
      <c r="AD24" s="65"/>
      <c r="AE24" s="65"/>
      <c r="AQ24" s="38"/>
    </row>
    <row r="25" spans="1:53" hidden="1">
      <c r="A25" s="37"/>
      <c r="B25" s="37"/>
      <c r="C25" s="37"/>
      <c r="AA25" s="64" t="s">
        <v>41</v>
      </c>
      <c r="AB25" s="65" t="s">
        <v>30</v>
      </c>
      <c r="AC25" s="65" t="s">
        <v>31</v>
      </c>
      <c r="AD25" s="65"/>
      <c r="AE25" s="65"/>
      <c r="AQ25" s="38"/>
    </row>
    <row r="26" spans="1:53" hidden="1">
      <c r="A26" s="37" t="s">
        <v>88</v>
      </c>
      <c r="B26" s="37"/>
      <c r="C26" s="37"/>
      <c r="AA26" s="64"/>
      <c r="AB26" s="65" t="s">
        <v>32</v>
      </c>
      <c r="AC26" s="65">
        <v>0</v>
      </c>
      <c r="AD26" s="65"/>
      <c r="AE26" s="65"/>
      <c r="AF26" s="36" t="e">
        <f t="shared" ref="AF26:AO34" si="6">AF$10*$AC26</f>
        <v>#REF!</v>
      </c>
      <c r="AG26" s="36" t="e">
        <f t="shared" si="6"/>
        <v>#REF!</v>
      </c>
      <c r="AH26" s="36" t="e">
        <f t="shared" si="6"/>
        <v>#REF!</v>
      </c>
      <c r="AI26" s="36" t="e">
        <f t="shared" si="6"/>
        <v>#REF!</v>
      </c>
      <c r="AJ26" s="36" t="e">
        <f t="shared" si="6"/>
        <v>#REF!</v>
      </c>
      <c r="AK26" s="36" t="e">
        <f t="shared" si="6"/>
        <v>#REF!</v>
      </c>
      <c r="AL26" s="36" t="e">
        <f t="shared" si="6"/>
        <v>#REF!</v>
      </c>
      <c r="AM26" s="36" t="e">
        <f t="shared" si="6"/>
        <v>#REF!</v>
      </c>
      <c r="AN26" s="36" t="e">
        <f t="shared" si="6"/>
        <v>#REF!</v>
      </c>
      <c r="AO26" s="36" t="e">
        <f t="shared" si="6"/>
        <v>#REF!</v>
      </c>
      <c r="AQ26" s="38"/>
      <c r="AR26" s="36" t="e">
        <f t="shared" ref="AR26:BA34" si="7">AR$10*$AC26</f>
        <v>#REF!</v>
      </c>
      <c r="AS26" s="36" t="e">
        <f t="shared" si="7"/>
        <v>#REF!</v>
      </c>
      <c r="AT26" s="36" t="e">
        <f t="shared" si="7"/>
        <v>#REF!</v>
      </c>
      <c r="AU26" s="36" t="e">
        <f t="shared" si="7"/>
        <v>#REF!</v>
      </c>
      <c r="AV26" s="36" t="e">
        <f t="shared" si="7"/>
        <v>#REF!</v>
      </c>
      <c r="AW26" s="36" t="e">
        <f t="shared" si="7"/>
        <v>#REF!</v>
      </c>
      <c r="AX26" s="36" t="e">
        <f t="shared" si="7"/>
        <v>#REF!</v>
      </c>
      <c r="AY26" s="36" t="e">
        <f t="shared" si="7"/>
        <v>#REF!</v>
      </c>
      <c r="AZ26" s="36" t="e">
        <f t="shared" si="7"/>
        <v>#REF!</v>
      </c>
      <c r="BA26" s="36" t="e">
        <f t="shared" si="7"/>
        <v>#REF!</v>
      </c>
    </row>
    <row r="27" spans="1:53" hidden="1">
      <c r="A27" s="37" t="s">
        <v>89</v>
      </c>
      <c r="B27" s="37"/>
      <c r="C27" s="37"/>
      <c r="AA27" s="64"/>
      <c r="AB27" s="65" t="s">
        <v>33</v>
      </c>
      <c r="AC27" s="65">
        <v>6.2010000000000005</v>
      </c>
      <c r="AD27" s="65"/>
      <c r="AE27" s="65"/>
      <c r="AF27" s="36" t="e">
        <f t="shared" si="6"/>
        <v>#REF!</v>
      </c>
      <c r="AG27" s="36" t="e">
        <f t="shared" si="6"/>
        <v>#REF!</v>
      </c>
      <c r="AH27" s="36" t="e">
        <f t="shared" si="6"/>
        <v>#REF!</v>
      </c>
      <c r="AI27" s="36" t="e">
        <f t="shared" si="6"/>
        <v>#REF!</v>
      </c>
      <c r="AJ27" s="36" t="e">
        <f t="shared" si="6"/>
        <v>#REF!</v>
      </c>
      <c r="AK27" s="36" t="e">
        <f t="shared" si="6"/>
        <v>#REF!</v>
      </c>
      <c r="AL27" s="36" t="e">
        <f t="shared" si="6"/>
        <v>#REF!</v>
      </c>
      <c r="AM27" s="36" t="e">
        <f t="shared" si="6"/>
        <v>#REF!</v>
      </c>
      <c r="AN27" s="36" t="e">
        <f t="shared" si="6"/>
        <v>#REF!</v>
      </c>
      <c r="AO27" s="36" t="e">
        <f t="shared" si="6"/>
        <v>#REF!</v>
      </c>
      <c r="AQ27" s="38"/>
      <c r="AR27" s="36" t="e">
        <f t="shared" si="7"/>
        <v>#REF!</v>
      </c>
      <c r="AS27" s="36" t="e">
        <f t="shared" si="7"/>
        <v>#REF!</v>
      </c>
      <c r="AT27" s="36" t="e">
        <f t="shared" si="7"/>
        <v>#REF!</v>
      </c>
      <c r="AU27" s="36" t="e">
        <f t="shared" si="7"/>
        <v>#REF!</v>
      </c>
      <c r="AV27" s="36" t="e">
        <f t="shared" si="7"/>
        <v>#REF!</v>
      </c>
      <c r="AW27" s="36" t="e">
        <f t="shared" si="7"/>
        <v>#REF!</v>
      </c>
      <c r="AX27" s="36" t="e">
        <f t="shared" si="7"/>
        <v>#REF!</v>
      </c>
      <c r="AY27" s="36" t="e">
        <f t="shared" si="7"/>
        <v>#REF!</v>
      </c>
      <c r="AZ27" s="36" t="e">
        <f t="shared" si="7"/>
        <v>#REF!</v>
      </c>
      <c r="BA27" s="36" t="e">
        <f t="shared" si="7"/>
        <v>#REF!</v>
      </c>
    </row>
    <row r="28" spans="1:53" hidden="1">
      <c r="A28" s="37" t="s">
        <v>90</v>
      </c>
      <c r="B28" s="37"/>
      <c r="C28" s="37"/>
      <c r="AA28" s="64"/>
      <c r="AB28" s="65" t="s">
        <v>34</v>
      </c>
      <c r="AC28" s="65">
        <v>0</v>
      </c>
      <c r="AD28" s="65"/>
      <c r="AE28" s="65"/>
      <c r="AF28" s="36" t="e">
        <f t="shared" si="6"/>
        <v>#REF!</v>
      </c>
      <c r="AG28" s="36" t="e">
        <f t="shared" si="6"/>
        <v>#REF!</v>
      </c>
      <c r="AH28" s="36" t="e">
        <f t="shared" si="6"/>
        <v>#REF!</v>
      </c>
      <c r="AI28" s="36" t="e">
        <f t="shared" si="6"/>
        <v>#REF!</v>
      </c>
      <c r="AJ28" s="36" t="e">
        <f t="shared" si="6"/>
        <v>#REF!</v>
      </c>
      <c r="AK28" s="36" t="e">
        <f t="shared" si="6"/>
        <v>#REF!</v>
      </c>
      <c r="AL28" s="36" t="e">
        <f t="shared" si="6"/>
        <v>#REF!</v>
      </c>
      <c r="AM28" s="36" t="e">
        <f t="shared" si="6"/>
        <v>#REF!</v>
      </c>
      <c r="AN28" s="36" t="e">
        <f t="shared" si="6"/>
        <v>#REF!</v>
      </c>
      <c r="AO28" s="36" t="e">
        <f t="shared" si="6"/>
        <v>#REF!</v>
      </c>
      <c r="AQ28" s="38"/>
      <c r="AR28" s="36" t="e">
        <f t="shared" si="7"/>
        <v>#REF!</v>
      </c>
      <c r="AS28" s="36" t="e">
        <f t="shared" si="7"/>
        <v>#REF!</v>
      </c>
      <c r="AT28" s="36" t="e">
        <f t="shared" si="7"/>
        <v>#REF!</v>
      </c>
      <c r="AU28" s="36" t="e">
        <f t="shared" si="7"/>
        <v>#REF!</v>
      </c>
      <c r="AV28" s="36" t="e">
        <f t="shared" si="7"/>
        <v>#REF!</v>
      </c>
      <c r="AW28" s="36" t="e">
        <f t="shared" si="7"/>
        <v>#REF!</v>
      </c>
      <c r="AX28" s="36" t="e">
        <f t="shared" si="7"/>
        <v>#REF!</v>
      </c>
      <c r="AY28" s="36" t="e">
        <f t="shared" si="7"/>
        <v>#REF!</v>
      </c>
      <c r="AZ28" s="36" t="e">
        <f t="shared" si="7"/>
        <v>#REF!</v>
      </c>
      <c r="BA28" s="36" t="e">
        <f t="shared" si="7"/>
        <v>#REF!</v>
      </c>
    </row>
    <row r="29" spans="1:53" hidden="1">
      <c r="A29" s="37" t="s">
        <v>91</v>
      </c>
      <c r="B29" s="37"/>
      <c r="C29" s="37"/>
      <c r="AA29" s="64"/>
      <c r="AB29" s="65" t="s">
        <v>35</v>
      </c>
      <c r="AC29" s="65">
        <v>9.8037500000000009</v>
      </c>
      <c r="AD29" s="65"/>
      <c r="AE29" s="65"/>
      <c r="AF29" s="36" t="e">
        <f t="shared" si="6"/>
        <v>#REF!</v>
      </c>
      <c r="AG29" s="36" t="e">
        <f t="shared" si="6"/>
        <v>#REF!</v>
      </c>
      <c r="AH29" s="36" t="e">
        <f t="shared" si="6"/>
        <v>#REF!</v>
      </c>
      <c r="AI29" s="36" t="e">
        <f t="shared" si="6"/>
        <v>#REF!</v>
      </c>
      <c r="AJ29" s="36" t="e">
        <f t="shared" si="6"/>
        <v>#REF!</v>
      </c>
      <c r="AK29" s="36" t="e">
        <f t="shared" si="6"/>
        <v>#REF!</v>
      </c>
      <c r="AL29" s="36" t="e">
        <f t="shared" si="6"/>
        <v>#REF!</v>
      </c>
      <c r="AM29" s="36" t="e">
        <f t="shared" si="6"/>
        <v>#REF!</v>
      </c>
      <c r="AN29" s="36" t="e">
        <f t="shared" si="6"/>
        <v>#REF!</v>
      </c>
      <c r="AO29" s="36" t="e">
        <f t="shared" si="6"/>
        <v>#REF!</v>
      </c>
      <c r="AQ29" s="38"/>
      <c r="AR29" s="36" t="e">
        <f t="shared" si="7"/>
        <v>#REF!</v>
      </c>
      <c r="AS29" s="36" t="e">
        <f t="shared" si="7"/>
        <v>#REF!</v>
      </c>
      <c r="AT29" s="36" t="e">
        <f t="shared" si="7"/>
        <v>#REF!</v>
      </c>
      <c r="AU29" s="36" t="e">
        <f t="shared" si="7"/>
        <v>#REF!</v>
      </c>
      <c r="AV29" s="36" t="e">
        <f t="shared" si="7"/>
        <v>#REF!</v>
      </c>
      <c r="AW29" s="36" t="e">
        <f t="shared" si="7"/>
        <v>#REF!</v>
      </c>
      <c r="AX29" s="36" t="e">
        <f t="shared" si="7"/>
        <v>#REF!</v>
      </c>
      <c r="AY29" s="36" t="e">
        <f t="shared" si="7"/>
        <v>#REF!</v>
      </c>
      <c r="AZ29" s="36" t="e">
        <f t="shared" si="7"/>
        <v>#REF!</v>
      </c>
      <c r="BA29" s="36" t="e">
        <f t="shared" si="7"/>
        <v>#REF!</v>
      </c>
    </row>
    <row r="30" spans="1:53" hidden="1">
      <c r="A30" s="37" t="s">
        <v>92</v>
      </c>
      <c r="B30" s="37"/>
      <c r="C30" s="37"/>
      <c r="AA30" s="64"/>
      <c r="AB30" s="65" t="s">
        <v>36</v>
      </c>
      <c r="AC30" s="65">
        <v>7.2451999999999996</v>
      </c>
      <c r="AD30" s="65"/>
      <c r="AE30" s="65"/>
      <c r="AF30" s="36" t="e">
        <f t="shared" si="6"/>
        <v>#REF!</v>
      </c>
      <c r="AG30" s="36" t="e">
        <f t="shared" si="6"/>
        <v>#REF!</v>
      </c>
      <c r="AH30" s="36" t="e">
        <f t="shared" si="6"/>
        <v>#REF!</v>
      </c>
      <c r="AI30" s="36" t="e">
        <f t="shared" si="6"/>
        <v>#REF!</v>
      </c>
      <c r="AJ30" s="36" t="e">
        <f t="shared" si="6"/>
        <v>#REF!</v>
      </c>
      <c r="AK30" s="36" t="e">
        <f t="shared" si="6"/>
        <v>#REF!</v>
      </c>
      <c r="AL30" s="36" t="e">
        <f t="shared" si="6"/>
        <v>#REF!</v>
      </c>
      <c r="AM30" s="36" t="e">
        <f t="shared" si="6"/>
        <v>#REF!</v>
      </c>
      <c r="AN30" s="36" t="e">
        <f t="shared" si="6"/>
        <v>#REF!</v>
      </c>
      <c r="AO30" s="36" t="e">
        <f t="shared" si="6"/>
        <v>#REF!</v>
      </c>
      <c r="AQ30" s="38"/>
      <c r="AR30" s="36" t="e">
        <f t="shared" si="7"/>
        <v>#REF!</v>
      </c>
      <c r="AS30" s="36" t="e">
        <f t="shared" si="7"/>
        <v>#REF!</v>
      </c>
      <c r="AT30" s="36" t="e">
        <f t="shared" si="7"/>
        <v>#REF!</v>
      </c>
      <c r="AU30" s="36" t="e">
        <f t="shared" si="7"/>
        <v>#REF!</v>
      </c>
      <c r="AV30" s="36" t="e">
        <f t="shared" si="7"/>
        <v>#REF!</v>
      </c>
      <c r="AW30" s="36" t="e">
        <f t="shared" si="7"/>
        <v>#REF!</v>
      </c>
      <c r="AX30" s="36" t="e">
        <f t="shared" si="7"/>
        <v>#REF!</v>
      </c>
      <c r="AY30" s="36" t="e">
        <f t="shared" si="7"/>
        <v>#REF!</v>
      </c>
      <c r="AZ30" s="36" t="e">
        <f t="shared" si="7"/>
        <v>#REF!</v>
      </c>
      <c r="BA30" s="36" t="e">
        <f t="shared" si="7"/>
        <v>#REF!</v>
      </c>
    </row>
    <row r="31" spans="1:53" hidden="1">
      <c r="A31" s="37" t="s">
        <v>84</v>
      </c>
      <c r="B31" s="37"/>
      <c r="C31" s="37"/>
      <c r="AA31" s="64"/>
      <c r="AB31" s="65" t="s">
        <v>37</v>
      </c>
      <c r="AC31" s="65">
        <v>3.6</v>
      </c>
      <c r="AD31" s="65"/>
      <c r="AE31" s="65"/>
      <c r="AF31" s="36" t="e">
        <f t="shared" si="6"/>
        <v>#REF!</v>
      </c>
      <c r="AG31" s="36" t="e">
        <f t="shared" si="6"/>
        <v>#REF!</v>
      </c>
      <c r="AH31" s="36" t="e">
        <f t="shared" si="6"/>
        <v>#REF!</v>
      </c>
      <c r="AI31" s="36" t="e">
        <f t="shared" si="6"/>
        <v>#REF!</v>
      </c>
      <c r="AJ31" s="36" t="e">
        <f t="shared" si="6"/>
        <v>#REF!</v>
      </c>
      <c r="AK31" s="36" t="e">
        <f t="shared" si="6"/>
        <v>#REF!</v>
      </c>
      <c r="AL31" s="36" t="e">
        <f t="shared" si="6"/>
        <v>#REF!</v>
      </c>
      <c r="AM31" s="36" t="e">
        <f t="shared" si="6"/>
        <v>#REF!</v>
      </c>
      <c r="AN31" s="36" t="e">
        <f t="shared" si="6"/>
        <v>#REF!</v>
      </c>
      <c r="AO31" s="36" t="e">
        <f t="shared" si="6"/>
        <v>#REF!</v>
      </c>
      <c r="AQ31" s="38"/>
      <c r="AR31" s="36" t="e">
        <f t="shared" si="7"/>
        <v>#REF!</v>
      </c>
      <c r="AS31" s="36" t="e">
        <f t="shared" si="7"/>
        <v>#REF!</v>
      </c>
      <c r="AT31" s="36" t="e">
        <f t="shared" si="7"/>
        <v>#REF!</v>
      </c>
      <c r="AU31" s="36" t="e">
        <f t="shared" si="7"/>
        <v>#REF!</v>
      </c>
      <c r="AV31" s="36" t="e">
        <f t="shared" si="7"/>
        <v>#REF!</v>
      </c>
      <c r="AW31" s="36" t="e">
        <f t="shared" si="7"/>
        <v>#REF!</v>
      </c>
      <c r="AX31" s="36" t="e">
        <f t="shared" si="7"/>
        <v>#REF!</v>
      </c>
      <c r="AY31" s="36" t="e">
        <f t="shared" si="7"/>
        <v>#REF!</v>
      </c>
      <c r="AZ31" s="36" t="e">
        <f t="shared" si="7"/>
        <v>#REF!</v>
      </c>
      <c r="BA31" s="36" t="e">
        <f t="shared" si="7"/>
        <v>#REF!</v>
      </c>
    </row>
    <row r="32" spans="1:53" hidden="1">
      <c r="A32" s="37" t="s">
        <v>93</v>
      </c>
      <c r="B32" s="37"/>
      <c r="C32" s="37"/>
      <c r="AA32" s="64"/>
      <c r="AB32" s="65" t="s">
        <v>38</v>
      </c>
      <c r="AC32" s="65">
        <v>6.1984000000000004</v>
      </c>
      <c r="AD32" s="65"/>
      <c r="AE32" s="65"/>
      <c r="AF32" s="36" t="e">
        <f t="shared" si="6"/>
        <v>#REF!</v>
      </c>
      <c r="AG32" s="36" t="e">
        <f t="shared" si="6"/>
        <v>#REF!</v>
      </c>
      <c r="AH32" s="36" t="e">
        <f t="shared" si="6"/>
        <v>#REF!</v>
      </c>
      <c r="AI32" s="36" t="e">
        <f t="shared" si="6"/>
        <v>#REF!</v>
      </c>
      <c r="AJ32" s="36" t="e">
        <f t="shared" si="6"/>
        <v>#REF!</v>
      </c>
      <c r="AK32" s="36" t="e">
        <f t="shared" si="6"/>
        <v>#REF!</v>
      </c>
      <c r="AL32" s="36" t="e">
        <f t="shared" si="6"/>
        <v>#REF!</v>
      </c>
      <c r="AM32" s="36" t="e">
        <f t="shared" si="6"/>
        <v>#REF!</v>
      </c>
      <c r="AN32" s="36" t="e">
        <f t="shared" si="6"/>
        <v>#REF!</v>
      </c>
      <c r="AO32" s="36" t="e">
        <f t="shared" si="6"/>
        <v>#REF!</v>
      </c>
      <c r="AQ32" s="38"/>
      <c r="AR32" s="36" t="e">
        <f t="shared" si="7"/>
        <v>#REF!</v>
      </c>
      <c r="AS32" s="36" t="e">
        <f t="shared" si="7"/>
        <v>#REF!</v>
      </c>
      <c r="AT32" s="36" t="e">
        <f t="shared" si="7"/>
        <v>#REF!</v>
      </c>
      <c r="AU32" s="36" t="e">
        <f t="shared" si="7"/>
        <v>#REF!</v>
      </c>
      <c r="AV32" s="36" t="e">
        <f t="shared" si="7"/>
        <v>#REF!</v>
      </c>
      <c r="AW32" s="36" t="e">
        <f t="shared" si="7"/>
        <v>#REF!</v>
      </c>
      <c r="AX32" s="36" t="e">
        <f t="shared" si="7"/>
        <v>#REF!</v>
      </c>
      <c r="AY32" s="36" t="e">
        <f t="shared" si="7"/>
        <v>#REF!</v>
      </c>
      <c r="AZ32" s="36" t="e">
        <f t="shared" si="7"/>
        <v>#REF!</v>
      </c>
      <c r="BA32" s="36" t="e">
        <f t="shared" si="7"/>
        <v>#REF!</v>
      </c>
    </row>
    <row r="33" spans="1:53" hidden="1">
      <c r="A33" s="37" t="s">
        <v>94</v>
      </c>
      <c r="B33" s="37"/>
      <c r="C33" s="37"/>
      <c r="AA33" s="64"/>
      <c r="AB33" s="65" t="s">
        <v>39</v>
      </c>
      <c r="AC33" s="65">
        <v>5.1995100000000001</v>
      </c>
      <c r="AD33" s="65"/>
      <c r="AE33" s="65"/>
      <c r="AF33" s="36" t="e">
        <f t="shared" si="6"/>
        <v>#REF!</v>
      </c>
      <c r="AG33" s="36" t="e">
        <f t="shared" si="6"/>
        <v>#REF!</v>
      </c>
      <c r="AH33" s="36" t="e">
        <f t="shared" si="6"/>
        <v>#REF!</v>
      </c>
      <c r="AI33" s="36" t="e">
        <f t="shared" si="6"/>
        <v>#REF!</v>
      </c>
      <c r="AJ33" s="36" t="e">
        <f t="shared" si="6"/>
        <v>#REF!</v>
      </c>
      <c r="AK33" s="36" t="e">
        <f t="shared" si="6"/>
        <v>#REF!</v>
      </c>
      <c r="AL33" s="36" t="e">
        <f t="shared" si="6"/>
        <v>#REF!</v>
      </c>
      <c r="AM33" s="36" t="e">
        <f t="shared" si="6"/>
        <v>#REF!</v>
      </c>
      <c r="AN33" s="36" t="e">
        <f t="shared" si="6"/>
        <v>#REF!</v>
      </c>
      <c r="AO33" s="36" t="e">
        <f t="shared" si="6"/>
        <v>#REF!</v>
      </c>
      <c r="AQ33" s="38"/>
      <c r="AR33" s="36" t="e">
        <f t="shared" si="7"/>
        <v>#REF!</v>
      </c>
      <c r="AS33" s="36" t="e">
        <f t="shared" si="7"/>
        <v>#REF!</v>
      </c>
      <c r="AT33" s="36" t="e">
        <f t="shared" si="7"/>
        <v>#REF!</v>
      </c>
      <c r="AU33" s="36" t="e">
        <f t="shared" si="7"/>
        <v>#REF!</v>
      </c>
      <c r="AV33" s="36" t="e">
        <f t="shared" si="7"/>
        <v>#REF!</v>
      </c>
      <c r="AW33" s="36" t="e">
        <f t="shared" si="7"/>
        <v>#REF!</v>
      </c>
      <c r="AX33" s="36" t="e">
        <f t="shared" si="7"/>
        <v>#REF!</v>
      </c>
      <c r="AY33" s="36" t="e">
        <f t="shared" si="7"/>
        <v>#REF!</v>
      </c>
      <c r="AZ33" s="36" t="e">
        <f t="shared" si="7"/>
        <v>#REF!</v>
      </c>
      <c r="BA33" s="36" t="e">
        <f t="shared" si="7"/>
        <v>#REF!</v>
      </c>
    </row>
    <row r="34" spans="1:53" hidden="1">
      <c r="A34" s="37" t="s">
        <v>0</v>
      </c>
      <c r="B34" s="37"/>
      <c r="C34" s="37"/>
      <c r="AA34" s="64"/>
      <c r="AB34" s="65" t="s">
        <v>40</v>
      </c>
      <c r="AC34" s="65">
        <v>17.71416</v>
      </c>
      <c r="AD34" s="65"/>
      <c r="AE34" s="65"/>
      <c r="AF34" s="36" t="e">
        <f t="shared" si="6"/>
        <v>#REF!</v>
      </c>
      <c r="AG34" s="36" t="e">
        <f t="shared" si="6"/>
        <v>#REF!</v>
      </c>
      <c r="AH34" s="36" t="e">
        <f t="shared" si="6"/>
        <v>#REF!</v>
      </c>
      <c r="AI34" s="36" t="e">
        <f t="shared" si="6"/>
        <v>#REF!</v>
      </c>
      <c r="AJ34" s="36" t="e">
        <f t="shared" si="6"/>
        <v>#REF!</v>
      </c>
      <c r="AK34" s="36" t="e">
        <f t="shared" si="6"/>
        <v>#REF!</v>
      </c>
      <c r="AL34" s="36" t="e">
        <f t="shared" si="6"/>
        <v>#REF!</v>
      </c>
      <c r="AM34" s="36" t="e">
        <f t="shared" si="6"/>
        <v>#REF!</v>
      </c>
      <c r="AN34" s="36" t="e">
        <f t="shared" si="6"/>
        <v>#REF!</v>
      </c>
      <c r="AO34" s="36" t="e">
        <f t="shared" si="6"/>
        <v>#REF!</v>
      </c>
      <c r="AQ34" s="38"/>
      <c r="AR34" s="36" t="e">
        <f t="shared" si="7"/>
        <v>#REF!</v>
      </c>
      <c r="AS34" s="36" t="e">
        <f t="shared" si="7"/>
        <v>#REF!</v>
      </c>
      <c r="AT34" s="36" t="e">
        <f t="shared" si="7"/>
        <v>#REF!</v>
      </c>
      <c r="AU34" s="36" t="e">
        <f t="shared" si="7"/>
        <v>#REF!</v>
      </c>
      <c r="AV34" s="36" t="e">
        <f t="shared" si="7"/>
        <v>#REF!</v>
      </c>
      <c r="AW34" s="36" t="e">
        <f t="shared" si="7"/>
        <v>#REF!</v>
      </c>
      <c r="AX34" s="36" t="e">
        <f t="shared" si="7"/>
        <v>#REF!</v>
      </c>
      <c r="AY34" s="36" t="e">
        <f t="shared" si="7"/>
        <v>#REF!</v>
      </c>
      <c r="AZ34" s="36" t="e">
        <f t="shared" si="7"/>
        <v>#REF!</v>
      </c>
      <c r="BA34" s="36" t="e">
        <f t="shared" si="7"/>
        <v>#REF!</v>
      </c>
    </row>
    <row r="35" spans="1:53" hidden="1">
      <c r="A35" s="37" t="s">
        <v>59</v>
      </c>
      <c r="B35" s="37">
        <f>0.39*1.5*(8.5/12)^0.9*(2/3)^0.45</f>
        <v>0.35737873826145539</v>
      </c>
      <c r="C35" s="37"/>
      <c r="AA35" s="64"/>
      <c r="AB35" s="65"/>
      <c r="AC35" s="65"/>
      <c r="AD35" s="65"/>
      <c r="AE35" s="65"/>
      <c r="AQ35" s="38"/>
    </row>
    <row r="36" spans="1:53" hidden="1">
      <c r="A36" s="37" t="s">
        <v>60</v>
      </c>
      <c r="B36" s="37">
        <f>0.39*0.15*(8.5/12)^0.9*(2/3)^0.45</f>
        <v>3.5737873826145544E-2</v>
      </c>
      <c r="C36" s="37"/>
      <c r="AA36" s="64" t="s">
        <v>42</v>
      </c>
      <c r="AB36" s="65" t="s">
        <v>30</v>
      </c>
      <c r="AC36" s="65" t="s">
        <v>31</v>
      </c>
      <c r="AD36" s="65"/>
      <c r="AE36" s="65"/>
      <c r="AQ36" s="38"/>
    </row>
    <row r="37" spans="1:53" hidden="1">
      <c r="AA37" s="64"/>
      <c r="AB37" s="65" t="s">
        <v>32</v>
      </c>
      <c r="AC37" s="65">
        <v>0</v>
      </c>
      <c r="AD37" s="65"/>
      <c r="AE37" s="65"/>
      <c r="AF37" s="36" t="e">
        <f t="shared" ref="AF37:AO45" si="8">AF$10*$AC37</f>
        <v>#REF!</v>
      </c>
      <c r="AG37" s="36" t="e">
        <f t="shared" si="8"/>
        <v>#REF!</v>
      </c>
      <c r="AH37" s="36" t="e">
        <f t="shared" si="8"/>
        <v>#REF!</v>
      </c>
      <c r="AI37" s="36" t="e">
        <f t="shared" si="8"/>
        <v>#REF!</v>
      </c>
      <c r="AJ37" s="36" t="e">
        <f t="shared" si="8"/>
        <v>#REF!</v>
      </c>
      <c r="AK37" s="36" t="e">
        <f t="shared" si="8"/>
        <v>#REF!</v>
      </c>
      <c r="AL37" s="36" t="e">
        <f t="shared" si="8"/>
        <v>#REF!</v>
      </c>
      <c r="AM37" s="36" t="e">
        <f t="shared" si="8"/>
        <v>#REF!</v>
      </c>
      <c r="AN37" s="36" t="e">
        <f t="shared" si="8"/>
        <v>#REF!</v>
      </c>
      <c r="AO37" s="36" t="e">
        <f t="shared" si="8"/>
        <v>#REF!</v>
      </c>
      <c r="AQ37" s="38"/>
      <c r="AR37" s="36" t="e">
        <f t="shared" ref="AR37:BA45" si="9">AR$10*$AC37</f>
        <v>#REF!</v>
      </c>
      <c r="AS37" s="36" t="e">
        <f t="shared" si="9"/>
        <v>#REF!</v>
      </c>
      <c r="AT37" s="36" t="e">
        <f t="shared" si="9"/>
        <v>#REF!</v>
      </c>
      <c r="AU37" s="36" t="e">
        <f t="shared" si="9"/>
        <v>#REF!</v>
      </c>
      <c r="AV37" s="36" t="e">
        <f t="shared" si="9"/>
        <v>#REF!</v>
      </c>
      <c r="AW37" s="36" t="e">
        <f t="shared" si="9"/>
        <v>#REF!</v>
      </c>
      <c r="AX37" s="36" t="e">
        <f t="shared" si="9"/>
        <v>#REF!</v>
      </c>
      <c r="AY37" s="36" t="e">
        <f t="shared" si="9"/>
        <v>#REF!</v>
      </c>
      <c r="AZ37" s="36" t="e">
        <f t="shared" si="9"/>
        <v>#REF!</v>
      </c>
      <c r="BA37" s="36" t="e">
        <f t="shared" si="9"/>
        <v>#REF!</v>
      </c>
    </row>
    <row r="38" spans="1:53" hidden="1">
      <c r="AA38" s="64"/>
      <c r="AB38" s="65" t="s">
        <v>33</v>
      </c>
      <c r="AC38" s="65">
        <v>0</v>
      </c>
      <c r="AD38" s="65"/>
      <c r="AE38" s="65"/>
      <c r="AF38" s="36" t="e">
        <f t="shared" si="8"/>
        <v>#REF!</v>
      </c>
      <c r="AG38" s="36" t="e">
        <f t="shared" si="8"/>
        <v>#REF!</v>
      </c>
      <c r="AH38" s="36" t="e">
        <f t="shared" si="8"/>
        <v>#REF!</v>
      </c>
      <c r="AI38" s="36" t="e">
        <f t="shared" si="8"/>
        <v>#REF!</v>
      </c>
      <c r="AJ38" s="36" t="e">
        <f t="shared" si="8"/>
        <v>#REF!</v>
      </c>
      <c r="AK38" s="36" t="e">
        <f t="shared" si="8"/>
        <v>#REF!</v>
      </c>
      <c r="AL38" s="36" t="e">
        <f t="shared" si="8"/>
        <v>#REF!</v>
      </c>
      <c r="AM38" s="36" t="e">
        <f t="shared" si="8"/>
        <v>#REF!</v>
      </c>
      <c r="AN38" s="36" t="e">
        <f t="shared" si="8"/>
        <v>#REF!</v>
      </c>
      <c r="AO38" s="36" t="e">
        <f t="shared" si="8"/>
        <v>#REF!</v>
      </c>
      <c r="AQ38" s="38"/>
      <c r="AR38" s="36" t="e">
        <f t="shared" si="9"/>
        <v>#REF!</v>
      </c>
      <c r="AS38" s="36" t="e">
        <f t="shared" si="9"/>
        <v>#REF!</v>
      </c>
      <c r="AT38" s="36" t="e">
        <f t="shared" si="9"/>
        <v>#REF!</v>
      </c>
      <c r="AU38" s="36" t="e">
        <f t="shared" si="9"/>
        <v>#REF!</v>
      </c>
      <c r="AV38" s="36" t="e">
        <f t="shared" si="9"/>
        <v>#REF!</v>
      </c>
      <c r="AW38" s="36" t="e">
        <f t="shared" si="9"/>
        <v>#REF!</v>
      </c>
      <c r="AX38" s="36" t="e">
        <f t="shared" si="9"/>
        <v>#REF!</v>
      </c>
      <c r="AY38" s="36" t="e">
        <f t="shared" si="9"/>
        <v>#REF!</v>
      </c>
      <c r="AZ38" s="36" t="e">
        <f t="shared" si="9"/>
        <v>#REF!</v>
      </c>
      <c r="BA38" s="36" t="e">
        <f t="shared" si="9"/>
        <v>#REF!</v>
      </c>
    </row>
    <row r="39" spans="1:53" hidden="1">
      <c r="AA39" s="64"/>
      <c r="AB39" s="65" t="s">
        <v>34</v>
      </c>
      <c r="AC39" s="65">
        <v>0</v>
      </c>
      <c r="AD39" s="65"/>
      <c r="AE39" s="65"/>
      <c r="AF39" s="36" t="e">
        <f t="shared" si="8"/>
        <v>#REF!</v>
      </c>
      <c r="AG39" s="36" t="e">
        <f t="shared" si="8"/>
        <v>#REF!</v>
      </c>
      <c r="AH39" s="36" t="e">
        <f t="shared" si="8"/>
        <v>#REF!</v>
      </c>
      <c r="AI39" s="36" t="e">
        <f t="shared" si="8"/>
        <v>#REF!</v>
      </c>
      <c r="AJ39" s="36" t="e">
        <f t="shared" si="8"/>
        <v>#REF!</v>
      </c>
      <c r="AK39" s="36" t="e">
        <f t="shared" si="8"/>
        <v>#REF!</v>
      </c>
      <c r="AL39" s="36" t="e">
        <f t="shared" si="8"/>
        <v>#REF!</v>
      </c>
      <c r="AM39" s="36" t="e">
        <f t="shared" si="8"/>
        <v>#REF!</v>
      </c>
      <c r="AN39" s="36" t="e">
        <f t="shared" si="8"/>
        <v>#REF!</v>
      </c>
      <c r="AO39" s="36" t="e">
        <f t="shared" si="8"/>
        <v>#REF!</v>
      </c>
      <c r="AQ39" s="38"/>
      <c r="AR39" s="36" t="e">
        <f t="shared" si="9"/>
        <v>#REF!</v>
      </c>
      <c r="AS39" s="36" t="e">
        <f t="shared" si="9"/>
        <v>#REF!</v>
      </c>
      <c r="AT39" s="36" t="e">
        <f t="shared" si="9"/>
        <v>#REF!</v>
      </c>
      <c r="AU39" s="36" t="e">
        <f t="shared" si="9"/>
        <v>#REF!</v>
      </c>
      <c r="AV39" s="36" t="e">
        <f t="shared" si="9"/>
        <v>#REF!</v>
      </c>
      <c r="AW39" s="36" t="e">
        <f t="shared" si="9"/>
        <v>#REF!</v>
      </c>
      <c r="AX39" s="36" t="e">
        <f t="shared" si="9"/>
        <v>#REF!</v>
      </c>
      <c r="AY39" s="36" t="e">
        <f t="shared" si="9"/>
        <v>#REF!</v>
      </c>
      <c r="AZ39" s="36" t="e">
        <f t="shared" si="9"/>
        <v>#REF!</v>
      </c>
      <c r="BA39" s="36" t="e">
        <f t="shared" si="9"/>
        <v>#REF!</v>
      </c>
    </row>
    <row r="40" spans="1:53" hidden="1">
      <c r="AA40" s="64"/>
      <c r="AB40" s="65" t="s">
        <v>35</v>
      </c>
      <c r="AC40" s="65">
        <v>16.541599999999999</v>
      </c>
      <c r="AD40" s="65"/>
      <c r="AE40" s="65"/>
      <c r="AF40" s="36" t="e">
        <f t="shared" si="8"/>
        <v>#REF!</v>
      </c>
      <c r="AG40" s="36" t="e">
        <f t="shared" si="8"/>
        <v>#REF!</v>
      </c>
      <c r="AH40" s="36" t="e">
        <f t="shared" si="8"/>
        <v>#REF!</v>
      </c>
      <c r="AI40" s="36" t="e">
        <f t="shared" si="8"/>
        <v>#REF!</v>
      </c>
      <c r="AJ40" s="36" t="e">
        <f t="shared" si="8"/>
        <v>#REF!</v>
      </c>
      <c r="AK40" s="36" t="e">
        <f t="shared" si="8"/>
        <v>#REF!</v>
      </c>
      <c r="AL40" s="36" t="e">
        <f t="shared" si="8"/>
        <v>#REF!</v>
      </c>
      <c r="AM40" s="36" t="e">
        <f t="shared" si="8"/>
        <v>#REF!</v>
      </c>
      <c r="AN40" s="36" t="e">
        <f t="shared" si="8"/>
        <v>#REF!</v>
      </c>
      <c r="AO40" s="36" t="e">
        <f t="shared" si="8"/>
        <v>#REF!</v>
      </c>
      <c r="AQ40" s="38"/>
      <c r="AR40" s="36" t="e">
        <f t="shared" si="9"/>
        <v>#REF!</v>
      </c>
      <c r="AS40" s="36" t="e">
        <f t="shared" si="9"/>
        <v>#REF!</v>
      </c>
      <c r="AT40" s="36" t="e">
        <f t="shared" si="9"/>
        <v>#REF!</v>
      </c>
      <c r="AU40" s="36" t="e">
        <f t="shared" si="9"/>
        <v>#REF!</v>
      </c>
      <c r="AV40" s="36" t="e">
        <f t="shared" si="9"/>
        <v>#REF!</v>
      </c>
      <c r="AW40" s="36" t="e">
        <f t="shared" si="9"/>
        <v>#REF!</v>
      </c>
      <c r="AX40" s="36" t="e">
        <f t="shared" si="9"/>
        <v>#REF!</v>
      </c>
      <c r="AY40" s="36" t="e">
        <f t="shared" si="9"/>
        <v>#REF!</v>
      </c>
      <c r="AZ40" s="36" t="e">
        <f t="shared" si="9"/>
        <v>#REF!</v>
      </c>
      <c r="BA40" s="36" t="e">
        <f t="shared" si="9"/>
        <v>#REF!</v>
      </c>
    </row>
    <row r="41" spans="1:53" hidden="1">
      <c r="AA41" s="64"/>
      <c r="AB41" s="65" t="s">
        <v>36</v>
      </c>
      <c r="AC41" s="65">
        <v>0</v>
      </c>
      <c r="AD41" s="65"/>
      <c r="AE41" s="65"/>
      <c r="AF41" s="36" t="e">
        <f t="shared" si="8"/>
        <v>#REF!</v>
      </c>
      <c r="AG41" s="36" t="e">
        <f t="shared" si="8"/>
        <v>#REF!</v>
      </c>
      <c r="AH41" s="36" t="e">
        <f t="shared" si="8"/>
        <v>#REF!</v>
      </c>
      <c r="AI41" s="36" t="e">
        <f t="shared" si="8"/>
        <v>#REF!</v>
      </c>
      <c r="AJ41" s="36" t="e">
        <f t="shared" si="8"/>
        <v>#REF!</v>
      </c>
      <c r="AK41" s="36" t="e">
        <f t="shared" si="8"/>
        <v>#REF!</v>
      </c>
      <c r="AL41" s="36" t="e">
        <f t="shared" si="8"/>
        <v>#REF!</v>
      </c>
      <c r="AM41" s="36" t="e">
        <f t="shared" si="8"/>
        <v>#REF!</v>
      </c>
      <c r="AN41" s="36" t="e">
        <f t="shared" si="8"/>
        <v>#REF!</v>
      </c>
      <c r="AO41" s="36" t="e">
        <f t="shared" si="8"/>
        <v>#REF!</v>
      </c>
      <c r="AQ41" s="38"/>
      <c r="AR41" s="36" t="e">
        <f t="shared" si="9"/>
        <v>#REF!</v>
      </c>
      <c r="AS41" s="36" t="e">
        <f t="shared" si="9"/>
        <v>#REF!</v>
      </c>
      <c r="AT41" s="36" t="e">
        <f t="shared" si="9"/>
        <v>#REF!</v>
      </c>
      <c r="AU41" s="36" t="e">
        <f t="shared" si="9"/>
        <v>#REF!</v>
      </c>
      <c r="AV41" s="36" t="e">
        <f t="shared" si="9"/>
        <v>#REF!</v>
      </c>
      <c r="AW41" s="36" t="e">
        <f t="shared" si="9"/>
        <v>#REF!</v>
      </c>
      <c r="AX41" s="36" t="e">
        <f t="shared" si="9"/>
        <v>#REF!</v>
      </c>
      <c r="AY41" s="36" t="e">
        <f t="shared" si="9"/>
        <v>#REF!</v>
      </c>
      <c r="AZ41" s="36" t="e">
        <f t="shared" si="9"/>
        <v>#REF!</v>
      </c>
      <c r="BA41" s="36" t="e">
        <f t="shared" si="9"/>
        <v>#REF!</v>
      </c>
    </row>
    <row r="42" spans="1:53" hidden="1">
      <c r="AA42" s="64"/>
      <c r="AB42" s="65" t="s">
        <v>37</v>
      </c>
      <c r="AC42" s="65">
        <v>0</v>
      </c>
      <c r="AD42" s="65"/>
      <c r="AE42" s="65"/>
      <c r="AF42" s="36" t="e">
        <f t="shared" si="8"/>
        <v>#REF!</v>
      </c>
      <c r="AG42" s="36" t="e">
        <f t="shared" si="8"/>
        <v>#REF!</v>
      </c>
      <c r="AH42" s="36" t="e">
        <f t="shared" si="8"/>
        <v>#REF!</v>
      </c>
      <c r="AI42" s="36" t="e">
        <f t="shared" si="8"/>
        <v>#REF!</v>
      </c>
      <c r="AJ42" s="36" t="e">
        <f t="shared" si="8"/>
        <v>#REF!</v>
      </c>
      <c r="AK42" s="36" t="e">
        <f t="shared" si="8"/>
        <v>#REF!</v>
      </c>
      <c r="AL42" s="36" t="e">
        <f t="shared" si="8"/>
        <v>#REF!</v>
      </c>
      <c r="AM42" s="36" t="e">
        <f t="shared" si="8"/>
        <v>#REF!</v>
      </c>
      <c r="AN42" s="36" t="e">
        <f t="shared" si="8"/>
        <v>#REF!</v>
      </c>
      <c r="AO42" s="36" t="e">
        <f t="shared" si="8"/>
        <v>#REF!</v>
      </c>
      <c r="AQ42" s="38"/>
      <c r="AR42" s="36" t="e">
        <f t="shared" si="9"/>
        <v>#REF!</v>
      </c>
      <c r="AS42" s="36" t="e">
        <f t="shared" si="9"/>
        <v>#REF!</v>
      </c>
      <c r="AT42" s="36" t="e">
        <f t="shared" si="9"/>
        <v>#REF!</v>
      </c>
      <c r="AU42" s="36" t="e">
        <f t="shared" si="9"/>
        <v>#REF!</v>
      </c>
      <c r="AV42" s="36" t="e">
        <f t="shared" si="9"/>
        <v>#REF!</v>
      </c>
      <c r="AW42" s="36" t="e">
        <f t="shared" si="9"/>
        <v>#REF!</v>
      </c>
      <c r="AX42" s="36" t="e">
        <f t="shared" si="9"/>
        <v>#REF!</v>
      </c>
      <c r="AY42" s="36" t="e">
        <f t="shared" si="9"/>
        <v>#REF!</v>
      </c>
      <c r="AZ42" s="36" t="e">
        <f t="shared" si="9"/>
        <v>#REF!</v>
      </c>
      <c r="BA42" s="36" t="e">
        <f t="shared" si="9"/>
        <v>#REF!</v>
      </c>
    </row>
    <row r="43" spans="1:53" hidden="1">
      <c r="AA43" s="64"/>
      <c r="AB43" s="65" t="s">
        <v>38</v>
      </c>
      <c r="AC43" s="65">
        <v>14.601599999999999</v>
      </c>
      <c r="AD43" s="65"/>
      <c r="AE43" s="65"/>
      <c r="AF43" s="36" t="e">
        <f t="shared" si="8"/>
        <v>#REF!</v>
      </c>
      <c r="AG43" s="36" t="e">
        <f t="shared" si="8"/>
        <v>#REF!</v>
      </c>
      <c r="AH43" s="36" t="e">
        <f t="shared" si="8"/>
        <v>#REF!</v>
      </c>
      <c r="AI43" s="36" t="e">
        <f t="shared" si="8"/>
        <v>#REF!</v>
      </c>
      <c r="AJ43" s="36" t="e">
        <f t="shared" si="8"/>
        <v>#REF!</v>
      </c>
      <c r="AK43" s="36" t="e">
        <f t="shared" si="8"/>
        <v>#REF!</v>
      </c>
      <c r="AL43" s="36" t="e">
        <f t="shared" si="8"/>
        <v>#REF!</v>
      </c>
      <c r="AM43" s="36" t="e">
        <f t="shared" si="8"/>
        <v>#REF!</v>
      </c>
      <c r="AN43" s="36" t="e">
        <f t="shared" si="8"/>
        <v>#REF!</v>
      </c>
      <c r="AO43" s="36" t="e">
        <f t="shared" si="8"/>
        <v>#REF!</v>
      </c>
      <c r="AQ43" s="38"/>
      <c r="AR43" s="36" t="e">
        <f t="shared" si="9"/>
        <v>#REF!</v>
      </c>
      <c r="AS43" s="36" t="e">
        <f t="shared" si="9"/>
        <v>#REF!</v>
      </c>
      <c r="AT43" s="36" t="e">
        <f t="shared" si="9"/>
        <v>#REF!</v>
      </c>
      <c r="AU43" s="36" t="e">
        <f t="shared" si="9"/>
        <v>#REF!</v>
      </c>
      <c r="AV43" s="36" t="e">
        <f t="shared" si="9"/>
        <v>#REF!</v>
      </c>
      <c r="AW43" s="36" t="e">
        <f t="shared" si="9"/>
        <v>#REF!</v>
      </c>
      <c r="AX43" s="36" t="e">
        <f t="shared" si="9"/>
        <v>#REF!</v>
      </c>
      <c r="AY43" s="36" t="e">
        <f t="shared" si="9"/>
        <v>#REF!</v>
      </c>
      <c r="AZ43" s="36" t="e">
        <f t="shared" si="9"/>
        <v>#REF!</v>
      </c>
      <c r="BA43" s="36" t="e">
        <f t="shared" si="9"/>
        <v>#REF!</v>
      </c>
    </row>
    <row r="44" spans="1:53" hidden="1">
      <c r="AA44" s="64"/>
      <c r="AB44" s="65" t="s">
        <v>39</v>
      </c>
      <c r="AC44" s="65">
        <v>14.570489999999999</v>
      </c>
      <c r="AD44" s="65"/>
      <c r="AE44" s="65"/>
      <c r="AF44" s="36" t="e">
        <f t="shared" si="8"/>
        <v>#REF!</v>
      </c>
      <c r="AG44" s="36" t="e">
        <f t="shared" si="8"/>
        <v>#REF!</v>
      </c>
      <c r="AH44" s="36" t="e">
        <f t="shared" si="8"/>
        <v>#REF!</v>
      </c>
      <c r="AI44" s="36" t="e">
        <f t="shared" si="8"/>
        <v>#REF!</v>
      </c>
      <c r="AJ44" s="36" t="e">
        <f t="shared" si="8"/>
        <v>#REF!</v>
      </c>
      <c r="AK44" s="36" t="e">
        <f t="shared" si="8"/>
        <v>#REF!</v>
      </c>
      <c r="AL44" s="36" t="e">
        <f t="shared" si="8"/>
        <v>#REF!</v>
      </c>
      <c r="AM44" s="36" t="e">
        <f t="shared" si="8"/>
        <v>#REF!</v>
      </c>
      <c r="AN44" s="36" t="e">
        <f t="shared" si="8"/>
        <v>#REF!</v>
      </c>
      <c r="AO44" s="36" t="e">
        <f t="shared" si="8"/>
        <v>#REF!</v>
      </c>
      <c r="AQ44" s="38"/>
      <c r="AR44" s="36" t="e">
        <f t="shared" si="9"/>
        <v>#REF!</v>
      </c>
      <c r="AS44" s="36" t="e">
        <f t="shared" si="9"/>
        <v>#REF!</v>
      </c>
      <c r="AT44" s="36" t="e">
        <f t="shared" si="9"/>
        <v>#REF!</v>
      </c>
      <c r="AU44" s="36" t="e">
        <f t="shared" si="9"/>
        <v>#REF!</v>
      </c>
      <c r="AV44" s="36" t="e">
        <f t="shared" si="9"/>
        <v>#REF!</v>
      </c>
      <c r="AW44" s="36" t="e">
        <f t="shared" si="9"/>
        <v>#REF!</v>
      </c>
      <c r="AX44" s="36" t="e">
        <f t="shared" si="9"/>
        <v>#REF!</v>
      </c>
      <c r="AY44" s="36" t="e">
        <f t="shared" si="9"/>
        <v>#REF!</v>
      </c>
      <c r="AZ44" s="36" t="e">
        <f t="shared" si="9"/>
        <v>#REF!</v>
      </c>
      <c r="BA44" s="36" t="e">
        <f t="shared" si="9"/>
        <v>#REF!</v>
      </c>
    </row>
    <row r="45" spans="1:53" hidden="1">
      <c r="AA45" s="64"/>
      <c r="AB45" s="65" t="s">
        <v>40</v>
      </c>
      <c r="AC45" s="65">
        <v>14.14584</v>
      </c>
      <c r="AD45" s="65"/>
      <c r="AE45" s="65"/>
      <c r="AF45" s="36" t="e">
        <f t="shared" si="8"/>
        <v>#REF!</v>
      </c>
      <c r="AG45" s="36" t="e">
        <f t="shared" si="8"/>
        <v>#REF!</v>
      </c>
      <c r="AH45" s="36" t="e">
        <f t="shared" si="8"/>
        <v>#REF!</v>
      </c>
      <c r="AI45" s="36" t="e">
        <f t="shared" si="8"/>
        <v>#REF!</v>
      </c>
      <c r="AJ45" s="36" t="e">
        <f t="shared" si="8"/>
        <v>#REF!</v>
      </c>
      <c r="AK45" s="36" t="e">
        <f t="shared" si="8"/>
        <v>#REF!</v>
      </c>
      <c r="AL45" s="36" t="e">
        <f t="shared" si="8"/>
        <v>#REF!</v>
      </c>
      <c r="AM45" s="36" t="e">
        <f t="shared" si="8"/>
        <v>#REF!</v>
      </c>
      <c r="AN45" s="36" t="e">
        <f t="shared" si="8"/>
        <v>#REF!</v>
      </c>
      <c r="AO45" s="36" t="e">
        <f t="shared" si="8"/>
        <v>#REF!</v>
      </c>
      <c r="AQ45" s="38"/>
      <c r="AR45" s="36" t="e">
        <f t="shared" si="9"/>
        <v>#REF!</v>
      </c>
      <c r="AS45" s="36" t="e">
        <f t="shared" si="9"/>
        <v>#REF!</v>
      </c>
      <c r="AT45" s="36" t="e">
        <f t="shared" si="9"/>
        <v>#REF!</v>
      </c>
      <c r="AU45" s="36" t="e">
        <f t="shared" si="9"/>
        <v>#REF!</v>
      </c>
      <c r="AV45" s="36" t="e">
        <f t="shared" si="9"/>
        <v>#REF!</v>
      </c>
      <c r="AW45" s="36" t="e">
        <f t="shared" si="9"/>
        <v>#REF!</v>
      </c>
      <c r="AX45" s="36" t="e">
        <f t="shared" si="9"/>
        <v>#REF!</v>
      </c>
      <c r="AY45" s="36" t="e">
        <f t="shared" si="9"/>
        <v>#REF!</v>
      </c>
      <c r="AZ45" s="36" t="e">
        <f t="shared" si="9"/>
        <v>#REF!</v>
      </c>
      <c r="BA45" s="36" t="e">
        <f t="shared" si="9"/>
        <v>#REF!</v>
      </c>
    </row>
    <row r="46" spans="1:53" hidden="1">
      <c r="AQ46" s="38"/>
    </row>
    <row r="47" spans="1:53" hidden="1">
      <c r="AQ47" s="38"/>
    </row>
    <row r="48" spans="1:53" ht="63.75" hidden="1">
      <c r="AA48" s="66" t="s">
        <v>43</v>
      </c>
      <c r="AB48" s="67"/>
      <c r="AC48" s="68"/>
      <c r="AD48" s="68"/>
      <c r="AE48" s="68"/>
      <c r="AF48" s="61" t="s">
        <v>55</v>
      </c>
      <c r="AG48" s="61" t="s">
        <v>73</v>
      </c>
      <c r="AH48" s="61" t="s">
        <v>57</v>
      </c>
      <c r="AI48" s="61" t="s">
        <v>58</v>
      </c>
      <c r="AJ48" s="61" t="s">
        <v>59</v>
      </c>
      <c r="AK48" s="61" t="s">
        <v>60</v>
      </c>
      <c r="AL48" s="62" t="s">
        <v>75</v>
      </c>
      <c r="AM48" s="62" t="s">
        <v>76</v>
      </c>
      <c r="AN48" s="62" t="s">
        <v>61</v>
      </c>
      <c r="AO48" s="62" t="s">
        <v>62</v>
      </c>
      <c r="AP48" s="62"/>
      <c r="AQ48" s="43"/>
      <c r="AR48" s="61" t="s">
        <v>55</v>
      </c>
      <c r="AS48" s="61" t="s">
        <v>73</v>
      </c>
      <c r="AT48" s="61" t="s">
        <v>74</v>
      </c>
      <c r="AU48" s="61" t="s">
        <v>58</v>
      </c>
      <c r="AV48" s="61" t="s">
        <v>59</v>
      </c>
      <c r="AW48" s="61" t="s">
        <v>60</v>
      </c>
      <c r="AX48" s="62" t="s">
        <v>75</v>
      </c>
      <c r="AY48" s="62" t="s">
        <v>76</v>
      </c>
      <c r="AZ48" s="63" t="s">
        <v>61</v>
      </c>
      <c r="BA48" s="61" t="s">
        <v>62</v>
      </c>
    </row>
    <row r="49" spans="27:53" hidden="1">
      <c r="AA49" s="69" t="s">
        <v>44</v>
      </c>
      <c r="AB49" s="35"/>
      <c r="AG49" s="70"/>
      <c r="AQ49" s="38"/>
    </row>
    <row r="50" spans="27:53" hidden="1">
      <c r="AA50" s="71" t="s">
        <v>29</v>
      </c>
      <c r="AB50" s="35"/>
      <c r="AF50" s="70" t="e">
        <f t="shared" ref="AF50:AO50" si="10">AF15+AF17+AF18</f>
        <v>#REF!</v>
      </c>
      <c r="AG50" s="70" t="e">
        <f t="shared" si="10"/>
        <v>#REF!</v>
      </c>
      <c r="AH50" s="70" t="e">
        <f t="shared" si="10"/>
        <v>#REF!</v>
      </c>
      <c r="AI50" s="70" t="e">
        <f t="shared" si="10"/>
        <v>#REF!</v>
      </c>
      <c r="AJ50" s="70" t="e">
        <f t="shared" si="10"/>
        <v>#REF!</v>
      </c>
      <c r="AK50" s="70" t="e">
        <f t="shared" si="10"/>
        <v>#REF!</v>
      </c>
      <c r="AL50" s="70" t="e">
        <f t="shared" si="10"/>
        <v>#REF!</v>
      </c>
      <c r="AM50" s="70" t="e">
        <f t="shared" si="10"/>
        <v>#REF!</v>
      </c>
      <c r="AN50" s="70" t="e">
        <f t="shared" si="10"/>
        <v>#REF!</v>
      </c>
      <c r="AO50" s="70" t="e">
        <f t="shared" si="10"/>
        <v>#REF!</v>
      </c>
      <c r="AP50" s="70"/>
      <c r="AQ50" s="70"/>
      <c r="AR50" s="70" t="e">
        <f t="shared" ref="AR50:BA50" si="11">AR15+AR17+AR18</f>
        <v>#REF!</v>
      </c>
      <c r="AS50" s="70" t="e">
        <f t="shared" si="11"/>
        <v>#REF!</v>
      </c>
      <c r="AT50" s="70" t="e">
        <f t="shared" si="11"/>
        <v>#REF!</v>
      </c>
      <c r="AU50" s="70" t="e">
        <f t="shared" si="11"/>
        <v>#REF!</v>
      </c>
      <c r="AV50" s="70" t="e">
        <f t="shared" si="11"/>
        <v>#REF!</v>
      </c>
      <c r="AW50" s="70" t="e">
        <f t="shared" si="11"/>
        <v>#REF!</v>
      </c>
      <c r="AX50" s="70" t="e">
        <f t="shared" si="11"/>
        <v>#REF!</v>
      </c>
      <c r="AY50" s="70" t="e">
        <f t="shared" si="11"/>
        <v>#REF!</v>
      </c>
      <c r="AZ50" s="70" t="e">
        <f t="shared" si="11"/>
        <v>#REF!</v>
      </c>
      <c r="BA50" s="70" t="e">
        <f t="shared" si="11"/>
        <v>#REF!</v>
      </c>
    </row>
    <row r="51" spans="27:53" hidden="1">
      <c r="AA51" s="71" t="s">
        <v>41</v>
      </c>
      <c r="AB51" s="35"/>
      <c r="AF51" s="70" t="e">
        <f t="shared" ref="AF51:AO51" si="12">AF26+AF28+AF29</f>
        <v>#REF!</v>
      </c>
      <c r="AG51" s="70" t="e">
        <f t="shared" si="12"/>
        <v>#REF!</v>
      </c>
      <c r="AH51" s="70" t="e">
        <f t="shared" si="12"/>
        <v>#REF!</v>
      </c>
      <c r="AI51" s="70" t="e">
        <f t="shared" si="12"/>
        <v>#REF!</v>
      </c>
      <c r="AJ51" s="70" t="e">
        <f t="shared" si="12"/>
        <v>#REF!</v>
      </c>
      <c r="AK51" s="70" t="e">
        <f t="shared" si="12"/>
        <v>#REF!</v>
      </c>
      <c r="AL51" s="70" t="e">
        <f t="shared" si="12"/>
        <v>#REF!</v>
      </c>
      <c r="AM51" s="70" t="e">
        <f t="shared" si="12"/>
        <v>#REF!</v>
      </c>
      <c r="AN51" s="70" t="e">
        <f t="shared" si="12"/>
        <v>#REF!</v>
      </c>
      <c r="AO51" s="70" t="e">
        <f t="shared" si="12"/>
        <v>#REF!</v>
      </c>
      <c r="AP51" s="70"/>
      <c r="AQ51" s="70"/>
      <c r="AR51" s="70" t="e">
        <f t="shared" ref="AR51:BA51" si="13">AR26+AR28+AR29</f>
        <v>#REF!</v>
      </c>
      <c r="AS51" s="70" t="e">
        <f t="shared" si="13"/>
        <v>#REF!</v>
      </c>
      <c r="AT51" s="70" t="e">
        <f t="shared" si="13"/>
        <v>#REF!</v>
      </c>
      <c r="AU51" s="70" t="e">
        <f t="shared" si="13"/>
        <v>#REF!</v>
      </c>
      <c r="AV51" s="70" t="e">
        <f t="shared" si="13"/>
        <v>#REF!</v>
      </c>
      <c r="AW51" s="70" t="e">
        <f t="shared" si="13"/>
        <v>#REF!</v>
      </c>
      <c r="AX51" s="70" t="e">
        <f t="shared" si="13"/>
        <v>#REF!</v>
      </c>
      <c r="AY51" s="70" t="e">
        <f t="shared" si="13"/>
        <v>#REF!</v>
      </c>
      <c r="AZ51" s="70" t="e">
        <f t="shared" si="13"/>
        <v>#REF!</v>
      </c>
      <c r="BA51" s="70" t="e">
        <f t="shared" si="13"/>
        <v>#REF!</v>
      </c>
    </row>
    <row r="52" spans="27:53" hidden="1">
      <c r="AA52" s="71" t="s">
        <v>42</v>
      </c>
      <c r="AB52" s="35"/>
      <c r="AF52" s="70" t="e">
        <f t="shared" ref="AF52:AO52" si="14">AF37+AF39+AF40</f>
        <v>#REF!</v>
      </c>
      <c r="AG52" s="70" t="e">
        <f t="shared" si="14"/>
        <v>#REF!</v>
      </c>
      <c r="AH52" s="70" t="e">
        <f t="shared" si="14"/>
        <v>#REF!</v>
      </c>
      <c r="AI52" s="70" t="e">
        <f t="shared" si="14"/>
        <v>#REF!</v>
      </c>
      <c r="AJ52" s="70" t="e">
        <f t="shared" si="14"/>
        <v>#REF!</v>
      </c>
      <c r="AK52" s="70" t="e">
        <f t="shared" si="14"/>
        <v>#REF!</v>
      </c>
      <c r="AL52" s="70" t="e">
        <f t="shared" si="14"/>
        <v>#REF!</v>
      </c>
      <c r="AM52" s="70" t="e">
        <f t="shared" si="14"/>
        <v>#REF!</v>
      </c>
      <c r="AN52" s="70" t="e">
        <f t="shared" si="14"/>
        <v>#REF!</v>
      </c>
      <c r="AO52" s="70" t="e">
        <f t="shared" si="14"/>
        <v>#REF!</v>
      </c>
      <c r="AP52" s="70"/>
      <c r="AQ52" s="70"/>
      <c r="AR52" s="70" t="e">
        <f t="shared" ref="AR52:BA52" si="15">AR37+AR39+AR40</f>
        <v>#REF!</v>
      </c>
      <c r="AS52" s="70" t="e">
        <f t="shared" si="15"/>
        <v>#REF!</v>
      </c>
      <c r="AT52" s="70" t="e">
        <f t="shared" si="15"/>
        <v>#REF!</v>
      </c>
      <c r="AU52" s="70" t="e">
        <f t="shared" si="15"/>
        <v>#REF!</v>
      </c>
      <c r="AV52" s="70" t="e">
        <f t="shared" si="15"/>
        <v>#REF!</v>
      </c>
      <c r="AW52" s="70" t="e">
        <f t="shared" si="15"/>
        <v>#REF!</v>
      </c>
      <c r="AX52" s="70" t="e">
        <f t="shared" si="15"/>
        <v>#REF!</v>
      </c>
      <c r="AY52" s="70" t="e">
        <f t="shared" si="15"/>
        <v>#REF!</v>
      </c>
      <c r="AZ52" s="70" t="e">
        <f t="shared" si="15"/>
        <v>#REF!</v>
      </c>
      <c r="BA52" s="70" t="e">
        <f t="shared" si="15"/>
        <v>#REF!</v>
      </c>
    </row>
    <row r="53" spans="27:53" hidden="1">
      <c r="AA53" s="69" t="s">
        <v>45</v>
      </c>
      <c r="AB53" s="35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</row>
    <row r="54" spans="27:53" hidden="1">
      <c r="AA54" s="71" t="s">
        <v>29</v>
      </c>
      <c r="AB54" s="35"/>
      <c r="AF54" s="70" t="e">
        <f t="shared" ref="AF54:AO54" si="16">AF15+AF17+AF19+AF21</f>
        <v>#REF!</v>
      </c>
      <c r="AG54" s="70" t="e">
        <f t="shared" si="16"/>
        <v>#REF!</v>
      </c>
      <c r="AH54" s="70" t="e">
        <f t="shared" si="16"/>
        <v>#REF!</v>
      </c>
      <c r="AI54" s="70" t="e">
        <f t="shared" si="16"/>
        <v>#REF!</v>
      </c>
      <c r="AJ54" s="70" t="e">
        <f t="shared" si="16"/>
        <v>#REF!</v>
      </c>
      <c r="AK54" s="70" t="e">
        <f t="shared" si="16"/>
        <v>#REF!</v>
      </c>
      <c r="AL54" s="70" t="e">
        <f t="shared" si="16"/>
        <v>#REF!</v>
      </c>
      <c r="AM54" s="70" t="e">
        <f t="shared" si="16"/>
        <v>#REF!</v>
      </c>
      <c r="AN54" s="70" t="e">
        <f t="shared" si="16"/>
        <v>#REF!</v>
      </c>
      <c r="AO54" s="70" t="e">
        <f t="shared" si="16"/>
        <v>#REF!</v>
      </c>
      <c r="AP54" s="70"/>
      <c r="AQ54" s="70"/>
      <c r="AR54" s="70" t="e">
        <f t="shared" ref="AR54:BA54" si="17">AR15+AR17+AR19+AR21</f>
        <v>#REF!</v>
      </c>
      <c r="AS54" s="70" t="e">
        <f t="shared" si="17"/>
        <v>#REF!</v>
      </c>
      <c r="AT54" s="70" t="e">
        <f t="shared" si="17"/>
        <v>#REF!</v>
      </c>
      <c r="AU54" s="70" t="e">
        <f t="shared" si="17"/>
        <v>#REF!</v>
      </c>
      <c r="AV54" s="70" t="e">
        <f t="shared" si="17"/>
        <v>#REF!</v>
      </c>
      <c r="AW54" s="70" t="e">
        <f t="shared" si="17"/>
        <v>#REF!</v>
      </c>
      <c r="AX54" s="70" t="e">
        <f t="shared" si="17"/>
        <v>#REF!</v>
      </c>
      <c r="AY54" s="70" t="e">
        <f t="shared" si="17"/>
        <v>#REF!</v>
      </c>
      <c r="AZ54" s="70" t="e">
        <f t="shared" si="17"/>
        <v>#REF!</v>
      </c>
      <c r="BA54" s="70" t="e">
        <f t="shared" si="17"/>
        <v>#REF!</v>
      </c>
    </row>
    <row r="55" spans="27:53" hidden="1">
      <c r="AA55" s="71" t="s">
        <v>41</v>
      </c>
      <c r="AB55" s="35"/>
      <c r="AF55" s="70" t="e">
        <f t="shared" ref="AF55:AO55" si="18">AF26+AF28+AF30+AF32</f>
        <v>#REF!</v>
      </c>
      <c r="AG55" s="70" t="e">
        <f t="shared" si="18"/>
        <v>#REF!</v>
      </c>
      <c r="AH55" s="70" t="e">
        <f t="shared" si="18"/>
        <v>#REF!</v>
      </c>
      <c r="AI55" s="70" t="e">
        <f t="shared" si="18"/>
        <v>#REF!</v>
      </c>
      <c r="AJ55" s="70" t="e">
        <f t="shared" si="18"/>
        <v>#REF!</v>
      </c>
      <c r="AK55" s="70" t="e">
        <f t="shared" si="18"/>
        <v>#REF!</v>
      </c>
      <c r="AL55" s="70" t="e">
        <f t="shared" si="18"/>
        <v>#REF!</v>
      </c>
      <c r="AM55" s="70" t="e">
        <f t="shared" si="18"/>
        <v>#REF!</v>
      </c>
      <c r="AN55" s="70" t="e">
        <f t="shared" si="18"/>
        <v>#REF!</v>
      </c>
      <c r="AO55" s="70" t="e">
        <f t="shared" si="18"/>
        <v>#REF!</v>
      </c>
      <c r="AP55" s="70"/>
      <c r="AQ55" s="70"/>
      <c r="AR55" s="70" t="e">
        <f t="shared" ref="AR55:BA55" si="19">AR26+AR28+AR30+AR32</f>
        <v>#REF!</v>
      </c>
      <c r="AS55" s="70" t="e">
        <f t="shared" si="19"/>
        <v>#REF!</v>
      </c>
      <c r="AT55" s="70" t="e">
        <f t="shared" si="19"/>
        <v>#REF!</v>
      </c>
      <c r="AU55" s="70" t="e">
        <f t="shared" si="19"/>
        <v>#REF!</v>
      </c>
      <c r="AV55" s="70" t="e">
        <f t="shared" si="19"/>
        <v>#REF!</v>
      </c>
      <c r="AW55" s="70" t="e">
        <f t="shared" si="19"/>
        <v>#REF!</v>
      </c>
      <c r="AX55" s="70" t="e">
        <f t="shared" si="19"/>
        <v>#REF!</v>
      </c>
      <c r="AY55" s="70" t="e">
        <f t="shared" si="19"/>
        <v>#REF!</v>
      </c>
      <c r="AZ55" s="70" t="e">
        <f t="shared" si="19"/>
        <v>#REF!</v>
      </c>
      <c r="BA55" s="70" t="e">
        <f t="shared" si="19"/>
        <v>#REF!</v>
      </c>
    </row>
    <row r="56" spans="27:53" hidden="1">
      <c r="AA56" s="71" t="s">
        <v>42</v>
      </c>
      <c r="AB56" s="35"/>
      <c r="AF56" s="70" t="e">
        <f t="shared" ref="AF56:AO56" si="20">AF37+AF39+AF41+AF43</f>
        <v>#REF!</v>
      </c>
      <c r="AG56" s="70" t="e">
        <f t="shared" si="20"/>
        <v>#REF!</v>
      </c>
      <c r="AH56" s="70" t="e">
        <f t="shared" si="20"/>
        <v>#REF!</v>
      </c>
      <c r="AI56" s="70" t="e">
        <f t="shared" si="20"/>
        <v>#REF!</v>
      </c>
      <c r="AJ56" s="70" t="e">
        <f t="shared" si="20"/>
        <v>#REF!</v>
      </c>
      <c r="AK56" s="70" t="e">
        <f t="shared" si="20"/>
        <v>#REF!</v>
      </c>
      <c r="AL56" s="70" t="e">
        <f t="shared" si="20"/>
        <v>#REF!</v>
      </c>
      <c r="AM56" s="70" t="e">
        <f t="shared" si="20"/>
        <v>#REF!</v>
      </c>
      <c r="AN56" s="70" t="e">
        <f t="shared" si="20"/>
        <v>#REF!</v>
      </c>
      <c r="AO56" s="70" t="e">
        <f t="shared" si="20"/>
        <v>#REF!</v>
      </c>
      <c r="AP56" s="70"/>
      <c r="AQ56" s="70"/>
      <c r="AR56" s="70" t="e">
        <f t="shared" ref="AR56:BA56" si="21">AR37+AR39+AR41+AR43</f>
        <v>#REF!</v>
      </c>
      <c r="AS56" s="70" t="e">
        <f t="shared" si="21"/>
        <v>#REF!</v>
      </c>
      <c r="AT56" s="70" t="e">
        <f t="shared" si="21"/>
        <v>#REF!</v>
      </c>
      <c r="AU56" s="70" t="e">
        <f t="shared" si="21"/>
        <v>#REF!</v>
      </c>
      <c r="AV56" s="70" t="e">
        <f t="shared" si="21"/>
        <v>#REF!</v>
      </c>
      <c r="AW56" s="70" t="e">
        <f t="shared" si="21"/>
        <v>#REF!</v>
      </c>
      <c r="AX56" s="70" t="e">
        <f t="shared" si="21"/>
        <v>#REF!</v>
      </c>
      <c r="AY56" s="70" t="e">
        <f t="shared" si="21"/>
        <v>#REF!</v>
      </c>
      <c r="AZ56" s="70" t="e">
        <f t="shared" si="21"/>
        <v>#REF!</v>
      </c>
      <c r="BA56" s="70" t="e">
        <f t="shared" si="21"/>
        <v>#REF!</v>
      </c>
    </row>
    <row r="57" spans="27:53" hidden="1">
      <c r="AA57" s="69" t="s">
        <v>46</v>
      </c>
      <c r="AB57" s="35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</row>
    <row r="58" spans="27:53" hidden="1">
      <c r="AA58" s="71" t="s">
        <v>29</v>
      </c>
      <c r="AB58" s="35"/>
      <c r="AF58" s="70" t="e">
        <f t="shared" ref="AF58:AO58" si="22">AF15+AF17+AF19+AF20+AF22</f>
        <v>#REF!</v>
      </c>
      <c r="AG58" s="70" t="e">
        <f t="shared" si="22"/>
        <v>#REF!</v>
      </c>
      <c r="AH58" s="70" t="e">
        <f t="shared" si="22"/>
        <v>#REF!</v>
      </c>
      <c r="AI58" s="70" t="e">
        <f t="shared" si="22"/>
        <v>#REF!</v>
      </c>
      <c r="AJ58" s="70" t="e">
        <f t="shared" si="22"/>
        <v>#REF!</v>
      </c>
      <c r="AK58" s="70" t="e">
        <f t="shared" si="22"/>
        <v>#REF!</v>
      </c>
      <c r="AL58" s="70" t="e">
        <f t="shared" si="22"/>
        <v>#REF!</v>
      </c>
      <c r="AM58" s="70" t="e">
        <f t="shared" si="22"/>
        <v>#REF!</v>
      </c>
      <c r="AN58" s="70" t="e">
        <f t="shared" si="22"/>
        <v>#REF!</v>
      </c>
      <c r="AO58" s="70" t="e">
        <f t="shared" si="22"/>
        <v>#REF!</v>
      </c>
      <c r="AP58" s="70"/>
      <c r="AQ58" s="70"/>
      <c r="AR58" s="70" t="e">
        <f t="shared" ref="AR58:BA58" si="23">AR15+AR17+AR19+AR20+AR22</f>
        <v>#REF!</v>
      </c>
      <c r="AS58" s="70" t="e">
        <f t="shared" si="23"/>
        <v>#REF!</v>
      </c>
      <c r="AT58" s="70" t="e">
        <f t="shared" si="23"/>
        <v>#REF!</v>
      </c>
      <c r="AU58" s="70" t="e">
        <f t="shared" si="23"/>
        <v>#REF!</v>
      </c>
      <c r="AV58" s="70" t="e">
        <f t="shared" si="23"/>
        <v>#REF!</v>
      </c>
      <c r="AW58" s="70" t="e">
        <f t="shared" si="23"/>
        <v>#REF!</v>
      </c>
      <c r="AX58" s="70" t="e">
        <f t="shared" si="23"/>
        <v>#REF!</v>
      </c>
      <c r="AY58" s="70" t="e">
        <f t="shared" si="23"/>
        <v>#REF!</v>
      </c>
      <c r="AZ58" s="70" t="e">
        <f t="shared" si="23"/>
        <v>#REF!</v>
      </c>
      <c r="BA58" s="70" t="e">
        <f t="shared" si="23"/>
        <v>#REF!</v>
      </c>
    </row>
    <row r="59" spans="27:53" hidden="1">
      <c r="AA59" s="71" t="s">
        <v>41</v>
      </c>
      <c r="AB59" s="35"/>
      <c r="AF59" s="70" t="e">
        <f t="shared" ref="AF59:AO59" si="24">AF26+AF28+AF30+AF31+AF33</f>
        <v>#REF!</v>
      </c>
      <c r="AG59" s="70" t="e">
        <f t="shared" si="24"/>
        <v>#REF!</v>
      </c>
      <c r="AH59" s="70" t="e">
        <f t="shared" si="24"/>
        <v>#REF!</v>
      </c>
      <c r="AI59" s="70" t="e">
        <f t="shared" si="24"/>
        <v>#REF!</v>
      </c>
      <c r="AJ59" s="70" t="e">
        <f t="shared" si="24"/>
        <v>#REF!</v>
      </c>
      <c r="AK59" s="70" t="e">
        <f t="shared" si="24"/>
        <v>#REF!</v>
      </c>
      <c r="AL59" s="70" t="e">
        <f t="shared" si="24"/>
        <v>#REF!</v>
      </c>
      <c r="AM59" s="70" t="e">
        <f t="shared" si="24"/>
        <v>#REF!</v>
      </c>
      <c r="AN59" s="70" t="e">
        <f t="shared" si="24"/>
        <v>#REF!</v>
      </c>
      <c r="AO59" s="70" t="e">
        <f t="shared" si="24"/>
        <v>#REF!</v>
      </c>
      <c r="AP59" s="70"/>
      <c r="AQ59" s="70"/>
      <c r="AR59" s="70" t="e">
        <f t="shared" ref="AR59:BA59" si="25">AR26+AR28+AR30+AR31+AR33</f>
        <v>#REF!</v>
      </c>
      <c r="AS59" s="70" t="e">
        <f t="shared" si="25"/>
        <v>#REF!</v>
      </c>
      <c r="AT59" s="70" t="e">
        <f t="shared" si="25"/>
        <v>#REF!</v>
      </c>
      <c r="AU59" s="70" t="e">
        <f t="shared" si="25"/>
        <v>#REF!</v>
      </c>
      <c r="AV59" s="70" t="e">
        <f t="shared" si="25"/>
        <v>#REF!</v>
      </c>
      <c r="AW59" s="70" t="e">
        <f t="shared" si="25"/>
        <v>#REF!</v>
      </c>
      <c r="AX59" s="70" t="e">
        <f t="shared" si="25"/>
        <v>#REF!</v>
      </c>
      <c r="AY59" s="70" t="e">
        <f t="shared" si="25"/>
        <v>#REF!</v>
      </c>
      <c r="AZ59" s="70" t="e">
        <f t="shared" si="25"/>
        <v>#REF!</v>
      </c>
      <c r="BA59" s="70" t="e">
        <f t="shared" si="25"/>
        <v>#REF!</v>
      </c>
    </row>
    <row r="60" spans="27:53" hidden="1">
      <c r="AA60" s="71" t="s">
        <v>42</v>
      </c>
      <c r="AB60" s="35"/>
      <c r="AF60" s="70" t="e">
        <f t="shared" ref="AF60:AO60" si="26">AF37+AF39+AF41+AF42+AF44</f>
        <v>#REF!</v>
      </c>
      <c r="AG60" s="70" t="e">
        <f t="shared" si="26"/>
        <v>#REF!</v>
      </c>
      <c r="AH60" s="70" t="e">
        <f t="shared" si="26"/>
        <v>#REF!</v>
      </c>
      <c r="AI60" s="70" t="e">
        <f t="shared" si="26"/>
        <v>#REF!</v>
      </c>
      <c r="AJ60" s="70" t="e">
        <f t="shared" si="26"/>
        <v>#REF!</v>
      </c>
      <c r="AK60" s="70" t="e">
        <f t="shared" si="26"/>
        <v>#REF!</v>
      </c>
      <c r="AL60" s="70" t="e">
        <f t="shared" si="26"/>
        <v>#REF!</v>
      </c>
      <c r="AM60" s="70" t="e">
        <f t="shared" si="26"/>
        <v>#REF!</v>
      </c>
      <c r="AN60" s="70" t="e">
        <f t="shared" si="26"/>
        <v>#REF!</v>
      </c>
      <c r="AO60" s="70" t="e">
        <f t="shared" si="26"/>
        <v>#REF!</v>
      </c>
      <c r="AP60" s="70"/>
      <c r="AQ60" s="70"/>
      <c r="AR60" s="70" t="e">
        <f t="shared" ref="AR60:BA60" si="27">AR37+AR39+AR41+AR42+AR44</f>
        <v>#REF!</v>
      </c>
      <c r="AS60" s="70" t="e">
        <f t="shared" si="27"/>
        <v>#REF!</v>
      </c>
      <c r="AT60" s="70" t="e">
        <f t="shared" si="27"/>
        <v>#REF!</v>
      </c>
      <c r="AU60" s="70" t="e">
        <f t="shared" si="27"/>
        <v>#REF!</v>
      </c>
      <c r="AV60" s="70" t="e">
        <f t="shared" si="27"/>
        <v>#REF!</v>
      </c>
      <c r="AW60" s="70" t="e">
        <f t="shared" si="27"/>
        <v>#REF!</v>
      </c>
      <c r="AX60" s="70" t="e">
        <f t="shared" si="27"/>
        <v>#REF!</v>
      </c>
      <c r="AY60" s="70" t="e">
        <f t="shared" si="27"/>
        <v>#REF!</v>
      </c>
      <c r="AZ60" s="70" t="e">
        <f t="shared" si="27"/>
        <v>#REF!</v>
      </c>
      <c r="BA60" s="70" t="e">
        <f t="shared" si="27"/>
        <v>#REF!</v>
      </c>
    </row>
    <row r="61" spans="27:53" hidden="1">
      <c r="AA61" s="69" t="s">
        <v>47</v>
      </c>
      <c r="AB61" s="35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</row>
    <row r="62" spans="27:53" hidden="1">
      <c r="AA62" s="71" t="s">
        <v>29</v>
      </c>
      <c r="AB62" s="35"/>
      <c r="AF62" s="70" t="e">
        <f t="shared" ref="AF62:AO62" si="28">AF15+AF17+AF19+AF20+AF23</f>
        <v>#REF!</v>
      </c>
      <c r="AG62" s="70" t="e">
        <f t="shared" si="28"/>
        <v>#REF!</v>
      </c>
      <c r="AH62" s="70" t="e">
        <f t="shared" si="28"/>
        <v>#REF!</v>
      </c>
      <c r="AI62" s="70" t="e">
        <f t="shared" si="28"/>
        <v>#REF!</v>
      </c>
      <c r="AJ62" s="70" t="e">
        <f t="shared" si="28"/>
        <v>#REF!</v>
      </c>
      <c r="AK62" s="70" t="e">
        <f t="shared" si="28"/>
        <v>#REF!</v>
      </c>
      <c r="AL62" s="70" t="e">
        <f t="shared" si="28"/>
        <v>#REF!</v>
      </c>
      <c r="AM62" s="70" t="e">
        <f t="shared" si="28"/>
        <v>#REF!</v>
      </c>
      <c r="AN62" s="70" t="e">
        <f t="shared" si="28"/>
        <v>#REF!</v>
      </c>
      <c r="AO62" s="70" t="e">
        <f t="shared" si="28"/>
        <v>#REF!</v>
      </c>
      <c r="AP62" s="70"/>
      <c r="AQ62" s="70"/>
      <c r="AR62" s="70" t="e">
        <f t="shared" ref="AR62:BA62" si="29">AR15+AR17+AR19+AR20+AR23</f>
        <v>#REF!</v>
      </c>
      <c r="AS62" s="70" t="e">
        <f t="shared" si="29"/>
        <v>#REF!</v>
      </c>
      <c r="AT62" s="70" t="e">
        <f t="shared" si="29"/>
        <v>#REF!</v>
      </c>
      <c r="AU62" s="70" t="e">
        <f t="shared" si="29"/>
        <v>#REF!</v>
      </c>
      <c r="AV62" s="70" t="e">
        <f t="shared" si="29"/>
        <v>#REF!</v>
      </c>
      <c r="AW62" s="70" t="e">
        <f t="shared" si="29"/>
        <v>#REF!</v>
      </c>
      <c r="AX62" s="70" t="e">
        <f t="shared" si="29"/>
        <v>#REF!</v>
      </c>
      <c r="AY62" s="70" t="e">
        <f t="shared" si="29"/>
        <v>#REF!</v>
      </c>
      <c r="AZ62" s="70" t="e">
        <f t="shared" si="29"/>
        <v>#REF!</v>
      </c>
      <c r="BA62" s="70" t="e">
        <f t="shared" si="29"/>
        <v>#REF!</v>
      </c>
    </row>
    <row r="63" spans="27:53" hidden="1">
      <c r="AA63" s="71" t="s">
        <v>41</v>
      </c>
      <c r="AB63" s="35"/>
      <c r="AF63" s="70" t="e">
        <f t="shared" ref="AF63:AO63" si="30">AF26+AF28+AF30+AF31+AF34</f>
        <v>#REF!</v>
      </c>
      <c r="AG63" s="70" t="e">
        <f t="shared" si="30"/>
        <v>#REF!</v>
      </c>
      <c r="AH63" s="70" t="e">
        <f t="shared" si="30"/>
        <v>#REF!</v>
      </c>
      <c r="AI63" s="70" t="e">
        <f t="shared" si="30"/>
        <v>#REF!</v>
      </c>
      <c r="AJ63" s="70" t="e">
        <f t="shared" si="30"/>
        <v>#REF!</v>
      </c>
      <c r="AK63" s="70" t="e">
        <f t="shared" si="30"/>
        <v>#REF!</v>
      </c>
      <c r="AL63" s="70" t="e">
        <f t="shared" si="30"/>
        <v>#REF!</v>
      </c>
      <c r="AM63" s="70" t="e">
        <f t="shared" si="30"/>
        <v>#REF!</v>
      </c>
      <c r="AN63" s="70" t="e">
        <f t="shared" si="30"/>
        <v>#REF!</v>
      </c>
      <c r="AO63" s="70" t="e">
        <f t="shared" si="30"/>
        <v>#REF!</v>
      </c>
      <c r="AP63" s="70"/>
      <c r="AQ63" s="70"/>
      <c r="AR63" s="70" t="e">
        <f t="shared" ref="AR63:BA63" si="31">AR26+AR28+AR30+AR31+AR34</f>
        <v>#REF!</v>
      </c>
      <c r="AS63" s="70" t="e">
        <f t="shared" si="31"/>
        <v>#REF!</v>
      </c>
      <c r="AT63" s="70" t="e">
        <f t="shared" si="31"/>
        <v>#REF!</v>
      </c>
      <c r="AU63" s="70" t="e">
        <f t="shared" si="31"/>
        <v>#REF!</v>
      </c>
      <c r="AV63" s="70" t="e">
        <f t="shared" si="31"/>
        <v>#REF!</v>
      </c>
      <c r="AW63" s="70" t="e">
        <f t="shared" si="31"/>
        <v>#REF!</v>
      </c>
      <c r="AX63" s="70" t="e">
        <f t="shared" si="31"/>
        <v>#REF!</v>
      </c>
      <c r="AY63" s="70" t="e">
        <f t="shared" si="31"/>
        <v>#REF!</v>
      </c>
      <c r="AZ63" s="70" t="e">
        <f t="shared" si="31"/>
        <v>#REF!</v>
      </c>
      <c r="BA63" s="70" t="e">
        <f t="shared" si="31"/>
        <v>#REF!</v>
      </c>
    </row>
    <row r="64" spans="27:53" hidden="1">
      <c r="AA64" s="71" t="s">
        <v>42</v>
      </c>
      <c r="AB64" s="35"/>
      <c r="AF64" s="70" t="e">
        <f t="shared" ref="AF64:AO64" si="32">AF37+AF39+AF41+AF42+AF45</f>
        <v>#REF!</v>
      </c>
      <c r="AG64" s="70" t="e">
        <f t="shared" si="32"/>
        <v>#REF!</v>
      </c>
      <c r="AH64" s="70" t="e">
        <f t="shared" si="32"/>
        <v>#REF!</v>
      </c>
      <c r="AI64" s="70" t="e">
        <f t="shared" si="32"/>
        <v>#REF!</v>
      </c>
      <c r="AJ64" s="70" t="e">
        <f t="shared" si="32"/>
        <v>#REF!</v>
      </c>
      <c r="AK64" s="70" t="e">
        <f t="shared" si="32"/>
        <v>#REF!</v>
      </c>
      <c r="AL64" s="70" t="e">
        <f t="shared" si="32"/>
        <v>#REF!</v>
      </c>
      <c r="AM64" s="70" t="e">
        <f t="shared" si="32"/>
        <v>#REF!</v>
      </c>
      <c r="AN64" s="70" t="e">
        <f t="shared" si="32"/>
        <v>#REF!</v>
      </c>
      <c r="AO64" s="70" t="e">
        <f t="shared" si="32"/>
        <v>#REF!</v>
      </c>
      <c r="AP64" s="70"/>
      <c r="AQ64" s="70"/>
      <c r="AR64" s="70" t="e">
        <f t="shared" ref="AR64:BA64" si="33">AR37+AR39+AR41+AR42+AR45</f>
        <v>#REF!</v>
      </c>
      <c r="AS64" s="70" t="e">
        <f t="shared" si="33"/>
        <v>#REF!</v>
      </c>
      <c r="AT64" s="70" t="e">
        <f t="shared" si="33"/>
        <v>#REF!</v>
      </c>
      <c r="AU64" s="70" t="e">
        <f t="shared" si="33"/>
        <v>#REF!</v>
      </c>
      <c r="AV64" s="70" t="e">
        <f t="shared" si="33"/>
        <v>#REF!</v>
      </c>
      <c r="AW64" s="70" t="e">
        <f t="shared" si="33"/>
        <v>#REF!</v>
      </c>
      <c r="AX64" s="70" t="e">
        <f t="shared" si="33"/>
        <v>#REF!</v>
      </c>
      <c r="AY64" s="70" t="e">
        <f t="shared" si="33"/>
        <v>#REF!</v>
      </c>
      <c r="AZ64" s="70" t="e">
        <f t="shared" si="33"/>
        <v>#REF!</v>
      </c>
      <c r="BA64" s="70" t="e">
        <f t="shared" si="33"/>
        <v>#REF!</v>
      </c>
    </row>
    <row r="65" spans="27:53" hidden="1">
      <c r="AA65" s="69" t="s">
        <v>48</v>
      </c>
      <c r="AB65" s="35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</row>
    <row r="66" spans="27:53" hidden="1">
      <c r="AA66" s="71" t="s">
        <v>29</v>
      </c>
      <c r="AB66" s="35"/>
      <c r="AF66" s="70" t="e">
        <f t="shared" ref="AF66:AO66" si="34">AF15+AF16+AF21</f>
        <v>#REF!</v>
      </c>
      <c r="AG66" s="70" t="e">
        <f t="shared" si="34"/>
        <v>#REF!</v>
      </c>
      <c r="AH66" s="70" t="e">
        <f t="shared" si="34"/>
        <v>#REF!</v>
      </c>
      <c r="AI66" s="70" t="e">
        <f t="shared" si="34"/>
        <v>#REF!</v>
      </c>
      <c r="AJ66" s="70" t="e">
        <f t="shared" si="34"/>
        <v>#REF!</v>
      </c>
      <c r="AK66" s="70" t="e">
        <f t="shared" si="34"/>
        <v>#REF!</v>
      </c>
      <c r="AL66" s="70" t="e">
        <f t="shared" si="34"/>
        <v>#REF!</v>
      </c>
      <c r="AM66" s="70" t="e">
        <f t="shared" si="34"/>
        <v>#REF!</v>
      </c>
      <c r="AN66" s="70" t="e">
        <f t="shared" si="34"/>
        <v>#REF!</v>
      </c>
      <c r="AO66" s="70" t="e">
        <f t="shared" si="34"/>
        <v>#REF!</v>
      </c>
      <c r="AP66" s="70"/>
      <c r="AQ66" s="70"/>
      <c r="AR66" s="70" t="e">
        <f t="shared" ref="AR66:BA66" si="35">AR15+AR16+AR21</f>
        <v>#REF!</v>
      </c>
      <c r="AS66" s="70" t="e">
        <f t="shared" si="35"/>
        <v>#REF!</v>
      </c>
      <c r="AT66" s="70" t="e">
        <f t="shared" si="35"/>
        <v>#REF!</v>
      </c>
      <c r="AU66" s="70" t="e">
        <f t="shared" si="35"/>
        <v>#REF!</v>
      </c>
      <c r="AV66" s="70" t="e">
        <f t="shared" si="35"/>
        <v>#REF!</v>
      </c>
      <c r="AW66" s="70" t="e">
        <f t="shared" si="35"/>
        <v>#REF!</v>
      </c>
      <c r="AX66" s="70" t="e">
        <f t="shared" si="35"/>
        <v>#REF!</v>
      </c>
      <c r="AY66" s="70" t="e">
        <f t="shared" si="35"/>
        <v>#REF!</v>
      </c>
      <c r="AZ66" s="70" t="e">
        <f t="shared" si="35"/>
        <v>#REF!</v>
      </c>
      <c r="BA66" s="70" t="e">
        <f t="shared" si="35"/>
        <v>#REF!</v>
      </c>
    </row>
    <row r="67" spans="27:53" hidden="1">
      <c r="AA67" s="71" t="s">
        <v>41</v>
      </c>
      <c r="AB67" s="35"/>
      <c r="AF67" s="70" t="e">
        <f t="shared" ref="AF67:AO67" si="36">AF26+AF27+AF32</f>
        <v>#REF!</v>
      </c>
      <c r="AG67" s="70" t="e">
        <f t="shared" si="36"/>
        <v>#REF!</v>
      </c>
      <c r="AH67" s="70" t="e">
        <f t="shared" si="36"/>
        <v>#REF!</v>
      </c>
      <c r="AI67" s="70" t="e">
        <f t="shared" si="36"/>
        <v>#REF!</v>
      </c>
      <c r="AJ67" s="70" t="e">
        <f t="shared" si="36"/>
        <v>#REF!</v>
      </c>
      <c r="AK67" s="70" t="e">
        <f t="shared" si="36"/>
        <v>#REF!</v>
      </c>
      <c r="AL67" s="70" t="e">
        <f t="shared" si="36"/>
        <v>#REF!</v>
      </c>
      <c r="AM67" s="70" t="e">
        <f t="shared" si="36"/>
        <v>#REF!</v>
      </c>
      <c r="AN67" s="70" t="e">
        <f t="shared" si="36"/>
        <v>#REF!</v>
      </c>
      <c r="AO67" s="70" t="e">
        <f t="shared" si="36"/>
        <v>#REF!</v>
      </c>
      <c r="AP67" s="70"/>
      <c r="AQ67" s="70"/>
      <c r="AR67" s="70" t="e">
        <f t="shared" ref="AR67:BA67" si="37">AR26+AR27+AR32</f>
        <v>#REF!</v>
      </c>
      <c r="AS67" s="70" t="e">
        <f t="shared" si="37"/>
        <v>#REF!</v>
      </c>
      <c r="AT67" s="70" t="e">
        <f t="shared" si="37"/>
        <v>#REF!</v>
      </c>
      <c r="AU67" s="70" t="e">
        <f t="shared" si="37"/>
        <v>#REF!</v>
      </c>
      <c r="AV67" s="70" t="e">
        <f t="shared" si="37"/>
        <v>#REF!</v>
      </c>
      <c r="AW67" s="70" t="e">
        <f t="shared" si="37"/>
        <v>#REF!</v>
      </c>
      <c r="AX67" s="70" t="e">
        <f t="shared" si="37"/>
        <v>#REF!</v>
      </c>
      <c r="AY67" s="70" t="e">
        <f t="shared" si="37"/>
        <v>#REF!</v>
      </c>
      <c r="AZ67" s="70" t="e">
        <f t="shared" si="37"/>
        <v>#REF!</v>
      </c>
      <c r="BA67" s="70" t="e">
        <f t="shared" si="37"/>
        <v>#REF!</v>
      </c>
    </row>
    <row r="68" spans="27:53" hidden="1">
      <c r="AA68" s="71" t="s">
        <v>42</v>
      </c>
      <c r="AB68" s="35"/>
      <c r="AF68" s="70" t="e">
        <f t="shared" ref="AF68:AO68" si="38">AF37+AF38+AF43</f>
        <v>#REF!</v>
      </c>
      <c r="AG68" s="70" t="e">
        <f t="shared" si="38"/>
        <v>#REF!</v>
      </c>
      <c r="AH68" s="70" t="e">
        <f t="shared" si="38"/>
        <v>#REF!</v>
      </c>
      <c r="AI68" s="70" t="e">
        <f t="shared" si="38"/>
        <v>#REF!</v>
      </c>
      <c r="AJ68" s="70" t="e">
        <f t="shared" si="38"/>
        <v>#REF!</v>
      </c>
      <c r="AK68" s="70" t="e">
        <f t="shared" si="38"/>
        <v>#REF!</v>
      </c>
      <c r="AL68" s="70" t="e">
        <f t="shared" si="38"/>
        <v>#REF!</v>
      </c>
      <c r="AM68" s="70" t="e">
        <f t="shared" si="38"/>
        <v>#REF!</v>
      </c>
      <c r="AN68" s="70" t="e">
        <f t="shared" si="38"/>
        <v>#REF!</v>
      </c>
      <c r="AO68" s="70" t="e">
        <f t="shared" si="38"/>
        <v>#REF!</v>
      </c>
      <c r="AP68" s="70"/>
      <c r="AQ68" s="70"/>
      <c r="AR68" s="70" t="e">
        <f t="shared" ref="AR68:BA68" si="39">AR37+AR38+AR43</f>
        <v>#REF!</v>
      </c>
      <c r="AS68" s="70" t="e">
        <f t="shared" si="39"/>
        <v>#REF!</v>
      </c>
      <c r="AT68" s="70" t="e">
        <f t="shared" si="39"/>
        <v>#REF!</v>
      </c>
      <c r="AU68" s="70" t="e">
        <f t="shared" si="39"/>
        <v>#REF!</v>
      </c>
      <c r="AV68" s="70" t="e">
        <f t="shared" si="39"/>
        <v>#REF!</v>
      </c>
      <c r="AW68" s="70" t="e">
        <f t="shared" si="39"/>
        <v>#REF!</v>
      </c>
      <c r="AX68" s="70" t="e">
        <f t="shared" si="39"/>
        <v>#REF!</v>
      </c>
      <c r="AY68" s="70" t="e">
        <f t="shared" si="39"/>
        <v>#REF!</v>
      </c>
      <c r="AZ68" s="70" t="e">
        <f t="shared" si="39"/>
        <v>#REF!</v>
      </c>
      <c r="BA68" s="70" t="e">
        <f t="shared" si="39"/>
        <v>#REF!</v>
      </c>
    </row>
    <row r="69" spans="27:53" hidden="1">
      <c r="AA69" s="72" t="s">
        <v>49</v>
      </c>
      <c r="AB69" s="35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/>
    </row>
    <row r="70" spans="27:53" hidden="1">
      <c r="AA70" s="71" t="s">
        <v>29</v>
      </c>
      <c r="AB70" s="35"/>
      <c r="AF70" s="70" t="e">
        <f t="shared" ref="AF70:AO70" si="40">AF15+AF16+AF20+AF22</f>
        <v>#REF!</v>
      </c>
      <c r="AG70" s="70" t="e">
        <f t="shared" si="40"/>
        <v>#REF!</v>
      </c>
      <c r="AH70" s="70" t="e">
        <f t="shared" si="40"/>
        <v>#REF!</v>
      </c>
      <c r="AI70" s="70" t="e">
        <f t="shared" si="40"/>
        <v>#REF!</v>
      </c>
      <c r="AJ70" s="70" t="e">
        <f t="shared" si="40"/>
        <v>#REF!</v>
      </c>
      <c r="AK70" s="70" t="e">
        <f t="shared" si="40"/>
        <v>#REF!</v>
      </c>
      <c r="AL70" s="70" t="e">
        <f t="shared" si="40"/>
        <v>#REF!</v>
      </c>
      <c r="AM70" s="70" t="e">
        <f t="shared" si="40"/>
        <v>#REF!</v>
      </c>
      <c r="AN70" s="70" t="e">
        <f t="shared" si="40"/>
        <v>#REF!</v>
      </c>
      <c r="AO70" s="70" t="e">
        <f t="shared" si="40"/>
        <v>#REF!</v>
      </c>
      <c r="AP70" s="70"/>
      <c r="AQ70" s="70"/>
      <c r="AR70" s="70" t="e">
        <f t="shared" ref="AR70:BA70" si="41">AR15+AR16+AR20+AR22</f>
        <v>#REF!</v>
      </c>
      <c r="AS70" s="70" t="e">
        <f t="shared" si="41"/>
        <v>#REF!</v>
      </c>
      <c r="AT70" s="70" t="e">
        <f t="shared" si="41"/>
        <v>#REF!</v>
      </c>
      <c r="AU70" s="70" t="e">
        <f t="shared" si="41"/>
        <v>#REF!</v>
      </c>
      <c r="AV70" s="70" t="e">
        <f t="shared" si="41"/>
        <v>#REF!</v>
      </c>
      <c r="AW70" s="70" t="e">
        <f t="shared" si="41"/>
        <v>#REF!</v>
      </c>
      <c r="AX70" s="70" t="e">
        <f t="shared" si="41"/>
        <v>#REF!</v>
      </c>
      <c r="AY70" s="70" t="e">
        <f t="shared" si="41"/>
        <v>#REF!</v>
      </c>
      <c r="AZ70" s="70" t="e">
        <f t="shared" si="41"/>
        <v>#REF!</v>
      </c>
      <c r="BA70" s="70" t="e">
        <f t="shared" si="41"/>
        <v>#REF!</v>
      </c>
    </row>
    <row r="71" spans="27:53" hidden="1">
      <c r="AA71" s="71" t="s">
        <v>41</v>
      </c>
      <c r="AB71" s="35"/>
      <c r="AF71" s="70" t="e">
        <f t="shared" ref="AF71:AO71" si="42">AF26+AF27+AF31+AF33</f>
        <v>#REF!</v>
      </c>
      <c r="AG71" s="70" t="e">
        <f t="shared" si="42"/>
        <v>#REF!</v>
      </c>
      <c r="AH71" s="70" t="e">
        <f t="shared" si="42"/>
        <v>#REF!</v>
      </c>
      <c r="AI71" s="70" t="e">
        <f t="shared" si="42"/>
        <v>#REF!</v>
      </c>
      <c r="AJ71" s="70" t="e">
        <f t="shared" si="42"/>
        <v>#REF!</v>
      </c>
      <c r="AK71" s="70" t="e">
        <f t="shared" si="42"/>
        <v>#REF!</v>
      </c>
      <c r="AL71" s="70" t="e">
        <f t="shared" si="42"/>
        <v>#REF!</v>
      </c>
      <c r="AM71" s="70" t="e">
        <f t="shared" si="42"/>
        <v>#REF!</v>
      </c>
      <c r="AN71" s="70" t="e">
        <f t="shared" si="42"/>
        <v>#REF!</v>
      </c>
      <c r="AO71" s="70" t="e">
        <f t="shared" si="42"/>
        <v>#REF!</v>
      </c>
      <c r="AP71" s="70"/>
      <c r="AQ71" s="70"/>
      <c r="AR71" s="70" t="e">
        <f t="shared" ref="AR71:BA71" si="43">AR26+AR27+AR31+AR33</f>
        <v>#REF!</v>
      </c>
      <c r="AS71" s="70" t="e">
        <f t="shared" si="43"/>
        <v>#REF!</v>
      </c>
      <c r="AT71" s="70" t="e">
        <f t="shared" si="43"/>
        <v>#REF!</v>
      </c>
      <c r="AU71" s="70" t="e">
        <f t="shared" si="43"/>
        <v>#REF!</v>
      </c>
      <c r="AV71" s="70" t="e">
        <f t="shared" si="43"/>
        <v>#REF!</v>
      </c>
      <c r="AW71" s="70" t="e">
        <f t="shared" si="43"/>
        <v>#REF!</v>
      </c>
      <c r="AX71" s="70" t="e">
        <f t="shared" si="43"/>
        <v>#REF!</v>
      </c>
      <c r="AY71" s="70" t="e">
        <f t="shared" si="43"/>
        <v>#REF!</v>
      </c>
      <c r="AZ71" s="70" t="e">
        <f t="shared" si="43"/>
        <v>#REF!</v>
      </c>
      <c r="BA71" s="70" t="e">
        <f t="shared" si="43"/>
        <v>#REF!</v>
      </c>
    </row>
    <row r="72" spans="27:53" hidden="1">
      <c r="AA72" s="71" t="s">
        <v>42</v>
      </c>
      <c r="AB72" s="35"/>
      <c r="AF72" s="70" t="e">
        <f t="shared" ref="AF72:AO72" si="44">AF37+AF38+AF42+AF44</f>
        <v>#REF!</v>
      </c>
      <c r="AG72" s="70" t="e">
        <f t="shared" si="44"/>
        <v>#REF!</v>
      </c>
      <c r="AH72" s="70" t="e">
        <f t="shared" si="44"/>
        <v>#REF!</v>
      </c>
      <c r="AI72" s="70" t="e">
        <f t="shared" si="44"/>
        <v>#REF!</v>
      </c>
      <c r="AJ72" s="70" t="e">
        <f t="shared" si="44"/>
        <v>#REF!</v>
      </c>
      <c r="AK72" s="70" t="e">
        <f t="shared" si="44"/>
        <v>#REF!</v>
      </c>
      <c r="AL72" s="70" t="e">
        <f t="shared" si="44"/>
        <v>#REF!</v>
      </c>
      <c r="AM72" s="70" t="e">
        <f t="shared" si="44"/>
        <v>#REF!</v>
      </c>
      <c r="AN72" s="70" t="e">
        <f t="shared" si="44"/>
        <v>#REF!</v>
      </c>
      <c r="AO72" s="70" t="e">
        <f t="shared" si="44"/>
        <v>#REF!</v>
      </c>
      <c r="AP72" s="70"/>
      <c r="AQ72" s="70"/>
      <c r="AR72" s="70" t="e">
        <f t="shared" ref="AR72:BA72" si="45">AR37+AR38+AR42+AR44</f>
        <v>#REF!</v>
      </c>
      <c r="AS72" s="70" t="e">
        <f t="shared" si="45"/>
        <v>#REF!</v>
      </c>
      <c r="AT72" s="70" t="e">
        <f t="shared" si="45"/>
        <v>#REF!</v>
      </c>
      <c r="AU72" s="70" t="e">
        <f t="shared" si="45"/>
        <v>#REF!</v>
      </c>
      <c r="AV72" s="70" t="e">
        <f t="shared" si="45"/>
        <v>#REF!</v>
      </c>
      <c r="AW72" s="70" t="e">
        <f t="shared" si="45"/>
        <v>#REF!</v>
      </c>
      <c r="AX72" s="70" t="e">
        <f t="shared" si="45"/>
        <v>#REF!</v>
      </c>
      <c r="AY72" s="70" t="e">
        <f t="shared" si="45"/>
        <v>#REF!</v>
      </c>
      <c r="AZ72" s="70" t="e">
        <f t="shared" si="45"/>
        <v>#REF!</v>
      </c>
      <c r="BA72" s="70" t="e">
        <f t="shared" si="45"/>
        <v>#REF!</v>
      </c>
    </row>
    <row r="73" spans="27:53" hidden="1">
      <c r="AA73" s="69" t="s">
        <v>50</v>
      </c>
      <c r="AB73" s="35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</row>
    <row r="74" spans="27:53" hidden="1">
      <c r="AA74" s="71" t="s">
        <v>29</v>
      </c>
      <c r="AB74" s="35"/>
      <c r="AF74" s="70" t="e">
        <f t="shared" ref="AF74:AO74" si="46">AF15+AF16+AF20+AF23</f>
        <v>#REF!</v>
      </c>
      <c r="AG74" s="70" t="e">
        <f t="shared" si="46"/>
        <v>#REF!</v>
      </c>
      <c r="AH74" s="70" t="e">
        <f t="shared" si="46"/>
        <v>#REF!</v>
      </c>
      <c r="AI74" s="70" t="e">
        <f t="shared" si="46"/>
        <v>#REF!</v>
      </c>
      <c r="AJ74" s="70" t="e">
        <f t="shared" si="46"/>
        <v>#REF!</v>
      </c>
      <c r="AK74" s="70" t="e">
        <f t="shared" si="46"/>
        <v>#REF!</v>
      </c>
      <c r="AL74" s="70" t="e">
        <f t="shared" si="46"/>
        <v>#REF!</v>
      </c>
      <c r="AM74" s="70" t="e">
        <f t="shared" si="46"/>
        <v>#REF!</v>
      </c>
      <c r="AN74" s="70" t="e">
        <f t="shared" si="46"/>
        <v>#REF!</v>
      </c>
      <c r="AO74" s="70" t="e">
        <f t="shared" si="46"/>
        <v>#REF!</v>
      </c>
      <c r="AP74" s="70"/>
      <c r="AQ74" s="70"/>
      <c r="AR74" s="70" t="e">
        <f t="shared" ref="AR74:BA74" si="47">AR15+AR16+AR20+AR23</f>
        <v>#REF!</v>
      </c>
      <c r="AS74" s="70" t="e">
        <f t="shared" si="47"/>
        <v>#REF!</v>
      </c>
      <c r="AT74" s="70" t="e">
        <f t="shared" si="47"/>
        <v>#REF!</v>
      </c>
      <c r="AU74" s="70" t="e">
        <f t="shared" si="47"/>
        <v>#REF!</v>
      </c>
      <c r="AV74" s="70" t="e">
        <f t="shared" si="47"/>
        <v>#REF!</v>
      </c>
      <c r="AW74" s="70" t="e">
        <f t="shared" si="47"/>
        <v>#REF!</v>
      </c>
      <c r="AX74" s="70" t="e">
        <f t="shared" si="47"/>
        <v>#REF!</v>
      </c>
      <c r="AY74" s="70" t="e">
        <f t="shared" si="47"/>
        <v>#REF!</v>
      </c>
      <c r="AZ74" s="70" t="e">
        <f t="shared" si="47"/>
        <v>#REF!</v>
      </c>
      <c r="BA74" s="70" t="e">
        <f t="shared" si="47"/>
        <v>#REF!</v>
      </c>
    </row>
    <row r="75" spans="27:53" hidden="1">
      <c r="AA75" s="71" t="s">
        <v>41</v>
      </c>
      <c r="AB75" s="35"/>
      <c r="AF75" s="70" t="e">
        <f t="shared" ref="AF75:AO75" si="48">AF26+AF27+AF31+AF34</f>
        <v>#REF!</v>
      </c>
      <c r="AG75" s="70" t="e">
        <f t="shared" si="48"/>
        <v>#REF!</v>
      </c>
      <c r="AH75" s="70" t="e">
        <f t="shared" si="48"/>
        <v>#REF!</v>
      </c>
      <c r="AI75" s="70" t="e">
        <f t="shared" si="48"/>
        <v>#REF!</v>
      </c>
      <c r="AJ75" s="70" t="e">
        <f t="shared" si="48"/>
        <v>#REF!</v>
      </c>
      <c r="AK75" s="70" t="e">
        <f t="shared" si="48"/>
        <v>#REF!</v>
      </c>
      <c r="AL75" s="70" t="e">
        <f t="shared" si="48"/>
        <v>#REF!</v>
      </c>
      <c r="AM75" s="70" t="e">
        <f t="shared" si="48"/>
        <v>#REF!</v>
      </c>
      <c r="AN75" s="70" t="e">
        <f t="shared" si="48"/>
        <v>#REF!</v>
      </c>
      <c r="AO75" s="70" t="e">
        <f t="shared" si="48"/>
        <v>#REF!</v>
      </c>
      <c r="AP75" s="70"/>
      <c r="AQ75" s="70"/>
      <c r="AR75" s="70" t="e">
        <f t="shared" ref="AR75:BA75" si="49">AR26+AR27+AR31+AR34</f>
        <v>#REF!</v>
      </c>
      <c r="AS75" s="70" t="e">
        <f t="shared" si="49"/>
        <v>#REF!</v>
      </c>
      <c r="AT75" s="70" t="e">
        <f t="shared" si="49"/>
        <v>#REF!</v>
      </c>
      <c r="AU75" s="70" t="e">
        <f t="shared" si="49"/>
        <v>#REF!</v>
      </c>
      <c r="AV75" s="70" t="e">
        <f t="shared" si="49"/>
        <v>#REF!</v>
      </c>
      <c r="AW75" s="70" t="e">
        <f t="shared" si="49"/>
        <v>#REF!</v>
      </c>
      <c r="AX75" s="70" t="e">
        <f t="shared" si="49"/>
        <v>#REF!</v>
      </c>
      <c r="AY75" s="70" t="e">
        <f t="shared" si="49"/>
        <v>#REF!</v>
      </c>
      <c r="AZ75" s="70" t="e">
        <f t="shared" si="49"/>
        <v>#REF!</v>
      </c>
      <c r="BA75" s="70" t="e">
        <f t="shared" si="49"/>
        <v>#REF!</v>
      </c>
    </row>
    <row r="76" spans="27:53" hidden="1">
      <c r="AA76" s="71" t="s">
        <v>42</v>
      </c>
      <c r="AB76" s="35"/>
      <c r="AF76" s="70" t="e">
        <f t="shared" ref="AF76:AO76" si="50">AF37+AF38+AF42+AF45</f>
        <v>#REF!</v>
      </c>
      <c r="AG76" s="70" t="e">
        <f t="shared" si="50"/>
        <v>#REF!</v>
      </c>
      <c r="AH76" s="70" t="e">
        <f t="shared" si="50"/>
        <v>#REF!</v>
      </c>
      <c r="AI76" s="70" t="e">
        <f t="shared" si="50"/>
        <v>#REF!</v>
      </c>
      <c r="AJ76" s="70" t="e">
        <f t="shared" si="50"/>
        <v>#REF!</v>
      </c>
      <c r="AK76" s="70" t="e">
        <f t="shared" si="50"/>
        <v>#REF!</v>
      </c>
      <c r="AL76" s="70" t="e">
        <f t="shared" si="50"/>
        <v>#REF!</v>
      </c>
      <c r="AM76" s="70" t="e">
        <f t="shared" si="50"/>
        <v>#REF!</v>
      </c>
      <c r="AN76" s="70" t="e">
        <f t="shared" si="50"/>
        <v>#REF!</v>
      </c>
      <c r="AO76" s="70" t="e">
        <f t="shared" si="50"/>
        <v>#REF!</v>
      </c>
      <c r="AP76" s="70"/>
      <c r="AQ76" s="70"/>
      <c r="AR76" s="70" t="e">
        <f t="shared" ref="AR76:BA76" si="51">AR37+AR38+AR42+AR45</f>
        <v>#REF!</v>
      </c>
      <c r="AS76" s="70" t="e">
        <f t="shared" si="51"/>
        <v>#REF!</v>
      </c>
      <c r="AT76" s="70" t="e">
        <f t="shared" si="51"/>
        <v>#REF!</v>
      </c>
      <c r="AU76" s="70" t="e">
        <f t="shared" si="51"/>
        <v>#REF!</v>
      </c>
      <c r="AV76" s="70" t="e">
        <f t="shared" si="51"/>
        <v>#REF!</v>
      </c>
      <c r="AW76" s="70" t="e">
        <f t="shared" si="51"/>
        <v>#REF!</v>
      </c>
      <c r="AX76" s="70" t="e">
        <f t="shared" si="51"/>
        <v>#REF!</v>
      </c>
      <c r="AY76" s="70" t="e">
        <f t="shared" si="51"/>
        <v>#REF!</v>
      </c>
      <c r="AZ76" s="70" t="e">
        <f t="shared" si="51"/>
        <v>#REF!</v>
      </c>
      <c r="BA76" s="70" t="e">
        <f t="shared" si="51"/>
        <v>#REF!</v>
      </c>
    </row>
    <row r="77" spans="27:53" hidden="1"/>
    <row r="78" spans="27:53" hidden="1"/>
    <row r="79" spans="27:53" hidden="1"/>
    <row r="80" spans="27:53" hidden="1"/>
    <row r="81" spans="1:52" hidden="1"/>
    <row r="82" spans="1:52" hidden="1"/>
    <row r="83" spans="1:52" hidden="1"/>
    <row r="84" spans="1:52" hidden="1"/>
    <row r="85" spans="1:52" hidden="1"/>
    <row r="87" spans="1:52">
      <c r="A87" s="598" t="s">
        <v>108</v>
      </c>
      <c r="B87" s="598" t="s">
        <v>52</v>
      </c>
      <c r="C87" s="39" t="s">
        <v>101</v>
      </c>
      <c r="D87" s="39" t="s">
        <v>53</v>
      </c>
      <c r="E87" s="39" t="s">
        <v>54</v>
      </c>
      <c r="F87" s="587" t="s">
        <v>64</v>
      </c>
      <c r="G87" s="600"/>
      <c r="H87" s="600"/>
      <c r="I87" s="600"/>
      <c r="J87" s="600"/>
      <c r="K87" s="600"/>
      <c r="L87" s="600"/>
      <c r="M87" s="600"/>
      <c r="N87" s="600"/>
      <c r="O87" s="600"/>
      <c r="P87" s="590"/>
      <c r="AN87" s="38"/>
      <c r="AZ87" s="36"/>
    </row>
    <row r="88" spans="1:52" ht="63.75">
      <c r="A88" s="599"/>
      <c r="B88" s="599"/>
      <c r="C88" s="41" t="s">
        <v>66</v>
      </c>
      <c r="D88" s="41" t="s">
        <v>67</v>
      </c>
      <c r="E88" s="41" t="s">
        <v>68</v>
      </c>
      <c r="F88" s="545" t="s">
        <v>55</v>
      </c>
      <c r="G88" s="545" t="s">
        <v>73</v>
      </c>
      <c r="H88" s="545" t="s">
        <v>74</v>
      </c>
      <c r="I88" s="545" t="s">
        <v>58</v>
      </c>
      <c r="J88" s="545" t="s">
        <v>59</v>
      </c>
      <c r="K88" s="545" t="s">
        <v>60</v>
      </c>
      <c r="L88" s="544" t="s">
        <v>75</v>
      </c>
      <c r="M88" s="544" t="s">
        <v>76</v>
      </c>
      <c r="N88" s="544" t="s">
        <v>61</v>
      </c>
      <c r="O88" s="544" t="s">
        <v>62</v>
      </c>
      <c r="P88" s="544" t="s">
        <v>63</v>
      </c>
      <c r="AN88" s="38"/>
      <c r="AZ88" s="36"/>
    </row>
    <row r="89" spans="1:52" ht="25.5">
      <c r="A89" s="44" t="str">
        <f t="shared" ref="A89:C90" si="52">A4</f>
        <v>Substation General Construction</v>
      </c>
      <c r="B89" s="45" t="str">
        <f t="shared" si="52"/>
        <v>Light-Duty Truck, catalyst</v>
      </c>
      <c r="C89" s="46">
        <f t="shared" si="52"/>
        <v>3</v>
      </c>
      <c r="D89" s="46">
        <v>35</v>
      </c>
      <c r="E89" s="46">
        <v>80</v>
      </c>
      <c r="F89" s="50">
        <f>C4*($E4*$F4+($G4))/453.59</f>
        <v>1.4571581576427601</v>
      </c>
      <c r="G89" s="50">
        <f>C4*($E4*$H4+($I4))/453.59</f>
        <v>0.13101197188313402</v>
      </c>
      <c r="H89" s="50">
        <f>C4*(($E4*$J4)+($K4)+($L4)+($E4*$N4)+(($M4+$O4)))/453.59</f>
        <v>0.15149994097185998</v>
      </c>
      <c r="I89" s="50">
        <f>C4*($E4*$P4+($Q4))/453.59</f>
        <v>2.1803910814818476E-3</v>
      </c>
      <c r="J89" s="50">
        <f>C4*(($E4*($R4+$T4+$U4))+($S4))/453.59</f>
        <v>2.5572271365623688E-2</v>
      </c>
      <c r="K89" s="50">
        <f>$C4*(($E4*($V4+$X4+$Y4))+($W4))/453.59</f>
        <v>1.1136015972759426E-2</v>
      </c>
      <c r="L89" s="50">
        <f>$B$22*C4*(E4+6)</f>
        <v>2.5315747758215698E-2</v>
      </c>
      <c r="M89" s="50">
        <f t="shared" ref="M89:M90" si="53">0.41*L89</f>
        <v>1.0379456580868435E-2</v>
      </c>
      <c r="N89" s="50">
        <f>C4*($E4*$Z4+($AA4))/453.59</f>
        <v>166.27073017811671</v>
      </c>
      <c r="O89" s="50">
        <f>C4*($E4*$AB4+($AC4))/453.59</f>
        <v>9.5114261670907474E-3</v>
      </c>
      <c r="P89" s="50">
        <f>C4*($E4*$AD4+($AE4))/453.59</f>
        <v>1.7313359741530081E-2</v>
      </c>
      <c r="AN89" s="38"/>
      <c r="AZ89" s="36"/>
    </row>
    <row r="90" spans="1:52" ht="25.5">
      <c r="A90" s="44" t="str">
        <f t="shared" si="52"/>
        <v>Substation Below Grade Construction</v>
      </c>
      <c r="B90" s="45" t="str">
        <f t="shared" si="52"/>
        <v>Light-Duty Truck, catalyst</v>
      </c>
      <c r="C90" s="46">
        <f t="shared" si="52"/>
        <v>12</v>
      </c>
      <c r="D90" s="46">
        <v>35</v>
      </c>
      <c r="E90" s="46">
        <v>80</v>
      </c>
      <c r="F90" s="50">
        <f>C5*($E5*$F5+($G5))/453.59</f>
        <v>5.8286326305710405</v>
      </c>
      <c r="G90" s="50">
        <f>C5*($E5*$H5+($I5))/453.59</f>
        <v>0.52404788753253606</v>
      </c>
      <c r="H90" s="50">
        <f>C5*(($E5*$J5)+($K5)+($L5)+($E5*$N5)+(($M5+$O5)))/453.59</f>
        <v>0.60599976388743992</v>
      </c>
      <c r="I90" s="50">
        <f>C5*($E5*$P5+($Q5))/453.59</f>
        <v>8.7215643259273903E-3</v>
      </c>
      <c r="J90" s="50">
        <f>C5*(($E5*($R5+$T5+$U5))+($S5))/453.59</f>
        <v>0.10228908546249475</v>
      </c>
      <c r="K90" s="50">
        <f>$C5*(($E5*($V5+$X5+$Y5))+($W5))/453.59</f>
        <v>4.4544063891037704E-2</v>
      </c>
      <c r="L90" s="50">
        <f>$B$22*C5*(E5+6)</f>
        <v>0.10126299103286279</v>
      </c>
      <c r="M90" s="50">
        <f t="shared" si="53"/>
        <v>4.1517826323473742E-2</v>
      </c>
      <c r="N90" s="50">
        <f>C5*($E5*$Z5+($AA5))/453.59</f>
        <v>665.08292071246683</v>
      </c>
      <c r="O90" s="50">
        <f>C5*($E5*$AB5+($AC5))/453.59</f>
        <v>3.804570466836299E-2</v>
      </c>
      <c r="P90" s="50">
        <f>C5*($E5*$AD5+($AE5))/453.59</f>
        <v>6.9253438966120323E-2</v>
      </c>
      <c r="AN90" s="38"/>
      <c r="AZ90" s="36"/>
    </row>
    <row r="91" spans="1:52">
      <c r="A91" s="61" t="s">
        <v>389</v>
      </c>
      <c r="B91" s="40"/>
      <c r="C91" s="40"/>
      <c r="D91" s="40"/>
      <c r="E91" s="40"/>
      <c r="F91" s="81">
        <f t="shared" ref="F91:P91" si="54">SUM(F89:F90)</f>
        <v>7.2857907882138004</v>
      </c>
      <c r="G91" s="81">
        <f t="shared" si="54"/>
        <v>0.65505985941567002</v>
      </c>
      <c r="H91" s="81">
        <f t="shared" si="54"/>
        <v>0.75749970485929996</v>
      </c>
      <c r="I91" s="81">
        <f t="shared" si="54"/>
        <v>1.0901955407409238E-2</v>
      </c>
      <c r="J91" s="81">
        <f t="shared" si="54"/>
        <v>0.12786135682811844</v>
      </c>
      <c r="K91" s="81">
        <f t="shared" si="54"/>
        <v>5.5680079863797131E-2</v>
      </c>
      <c r="L91" s="81">
        <f t="shared" si="54"/>
        <v>0.1265787387910785</v>
      </c>
      <c r="M91" s="81">
        <f t="shared" si="54"/>
        <v>5.1897282904342174E-2</v>
      </c>
      <c r="N91" s="81">
        <f t="shared" si="54"/>
        <v>831.35365089058359</v>
      </c>
      <c r="O91" s="81">
        <f t="shared" si="54"/>
        <v>4.7557130835453737E-2</v>
      </c>
      <c r="P91" s="81">
        <f t="shared" si="54"/>
        <v>8.6566798707650411E-2</v>
      </c>
      <c r="AN91" s="38"/>
      <c r="AZ91" s="36"/>
    </row>
  </sheetData>
  <mergeCells count="16">
    <mergeCell ref="AR12:BA12"/>
    <mergeCell ref="A87:A88"/>
    <mergeCell ref="B87:B88"/>
    <mergeCell ref="F87:P87"/>
    <mergeCell ref="R2:U2"/>
    <mergeCell ref="V2:Y2"/>
    <mergeCell ref="Z2:AA2"/>
    <mergeCell ref="AB2:AC2"/>
    <mergeCell ref="AD2:AE2"/>
    <mergeCell ref="AF12:AO12"/>
    <mergeCell ref="A2:A3"/>
    <mergeCell ref="B2:B3"/>
    <mergeCell ref="F2:G2"/>
    <mergeCell ref="H2:I2"/>
    <mergeCell ref="J2:O2"/>
    <mergeCell ref="P2:Q2"/>
  </mergeCells>
  <pageMargins left="0.75" right="0.75" top="1" bottom="1" header="0.5" footer="0.5"/>
  <pageSetup scale="36" firstPageNumber="16" orientation="landscape" useFirstPageNumber="1" r:id="rId1"/>
  <headerFooter alignWithMargins="0">
    <oddHeader>&amp;CTable B-3
Construction and Operations Worker Commute Emission Calculations
Salt Creek Substation Construction</oddHeader>
    <oddFooter>&amp;CB-3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387</vt:i4>
      </vt:variant>
      <vt:variant>
        <vt:lpstr>Named Ranges</vt:lpstr>
      </vt:variant>
      <vt:variant>
        <vt:i4>3</vt:i4>
      </vt:variant>
    </vt:vector>
  </HeadingPairs>
  <TitlesOfParts>
    <vt:vector size="390" baseType="lpstr">
      <vt:lpstr>Equipment SCS 1-4-16</vt:lpstr>
      <vt:lpstr>Construction Trucks SCS 1-4-16</vt:lpstr>
      <vt:lpstr>WorkerTrips SCS 1-4-16</vt:lpstr>
      <vt:lpstr>Equipment SCS 1-11-16</vt:lpstr>
      <vt:lpstr>Construction Trucks SCS 1-11-16</vt:lpstr>
      <vt:lpstr>WorkerTrips SCS 1-11-16</vt:lpstr>
      <vt:lpstr>Equipment SCS 1-18-16</vt:lpstr>
      <vt:lpstr>Construction Trucks SCS 1-18-16</vt:lpstr>
      <vt:lpstr>WorkerTrips SCS 1-18-16</vt:lpstr>
      <vt:lpstr>Equipment SCS 1-25-16</vt:lpstr>
      <vt:lpstr>Construction Trucks SCS 1-25-16</vt:lpstr>
      <vt:lpstr>WorkerTrips SCS 1-25-16</vt:lpstr>
      <vt:lpstr>Equipment SCS 2-1-16</vt:lpstr>
      <vt:lpstr>Construction Trucks SCS 2-1-16</vt:lpstr>
      <vt:lpstr>WorkerTrips SCS 2-1-16</vt:lpstr>
      <vt:lpstr>Equipment SCS 2-8-16</vt:lpstr>
      <vt:lpstr>Construction Trucks SCS 2-8-16</vt:lpstr>
      <vt:lpstr>WorkerTrips SCS 2-8-16</vt:lpstr>
      <vt:lpstr>Equipment SCS 2-15-16</vt:lpstr>
      <vt:lpstr>Construction Trucks SCS 2-15-16</vt:lpstr>
      <vt:lpstr>WorkerTrips SCS 2-15-16</vt:lpstr>
      <vt:lpstr>Equipment SCS 2-22-16</vt:lpstr>
      <vt:lpstr>Construction Trucks SCS 2-22-16</vt:lpstr>
      <vt:lpstr>WorkerTrips SCS 2-22-16</vt:lpstr>
      <vt:lpstr>Equipment SCS 2-29-16</vt:lpstr>
      <vt:lpstr>Construction Trucks SCS 2-29-16</vt:lpstr>
      <vt:lpstr>WorkerTrips SCS 2-29-16</vt:lpstr>
      <vt:lpstr>Equipment SCS 3-7-16</vt:lpstr>
      <vt:lpstr>Construction Trucks SCS 3-7-16</vt:lpstr>
      <vt:lpstr>WorkerTrips SCS 3-7-16</vt:lpstr>
      <vt:lpstr>Equipment SCS 3-14-16</vt:lpstr>
      <vt:lpstr>Construction Trucks SCS 3-14-16</vt:lpstr>
      <vt:lpstr>WorkerTrips SCS 3-14-16</vt:lpstr>
      <vt:lpstr>Equipment SCS 3-21-16</vt:lpstr>
      <vt:lpstr>Construction Trucks SCS 3-21-16</vt:lpstr>
      <vt:lpstr>WorkerTrips SCS 3-21-16</vt:lpstr>
      <vt:lpstr>Equipment SCS 3-28-16</vt:lpstr>
      <vt:lpstr>Construction Trucks SCS 3-28-16</vt:lpstr>
      <vt:lpstr>WorkerTrips SCS 3-28-16</vt:lpstr>
      <vt:lpstr>Equipment SCS 4-4-16</vt:lpstr>
      <vt:lpstr>Construction Trucks SCS 4-4-16</vt:lpstr>
      <vt:lpstr>WorkerTrips SCS 4-4-16</vt:lpstr>
      <vt:lpstr>Equipment SCS 4-11-16</vt:lpstr>
      <vt:lpstr>Construction Trucks SCS 4-11-16</vt:lpstr>
      <vt:lpstr>WorkerTrips SCS 4-11-16</vt:lpstr>
      <vt:lpstr>Equipment SCS 4-18-16</vt:lpstr>
      <vt:lpstr>Construction Trucks SCS 4-18-16</vt:lpstr>
      <vt:lpstr>WorkerTrips SCS 4-18-16</vt:lpstr>
      <vt:lpstr>Equipment SCS 4-25-16</vt:lpstr>
      <vt:lpstr>Construction Trucks SCS 4-25-16</vt:lpstr>
      <vt:lpstr>WorkerTrips SCS 4-25-16</vt:lpstr>
      <vt:lpstr>Equipment SCS 5-2-16</vt:lpstr>
      <vt:lpstr>Construction Trucks SCS 5-2-16</vt:lpstr>
      <vt:lpstr>WorkerTrips SCS 5-2-16</vt:lpstr>
      <vt:lpstr>Equipment SCS 5-9-16</vt:lpstr>
      <vt:lpstr>Construction Trucks SCS 5-9-16</vt:lpstr>
      <vt:lpstr>WorkerTrips SCS 5-9-16</vt:lpstr>
      <vt:lpstr>Equipment SCS 5-16-16</vt:lpstr>
      <vt:lpstr>Construction Trucks SCS 5-16-16</vt:lpstr>
      <vt:lpstr>WorkerTrips SCS 5-16-16</vt:lpstr>
      <vt:lpstr>Equipment SCS 5-23-16</vt:lpstr>
      <vt:lpstr>Construction Trucks SCS 5-23-16</vt:lpstr>
      <vt:lpstr>WorkerTrips SCS 5-23-16</vt:lpstr>
      <vt:lpstr>Equipment SCS 5-30-16</vt:lpstr>
      <vt:lpstr>Construction Trucks SCS 5-30-16</vt:lpstr>
      <vt:lpstr>WorkerTrips SCS 5-30-16</vt:lpstr>
      <vt:lpstr>Equipment SCS 6-6-16</vt:lpstr>
      <vt:lpstr>Construction Trucks SCS 6-6-16</vt:lpstr>
      <vt:lpstr>WorkerTrips SCS 6-6-16</vt:lpstr>
      <vt:lpstr>Equipment SCS 6-13-16</vt:lpstr>
      <vt:lpstr>Construction Trucks SCS 6-13-16</vt:lpstr>
      <vt:lpstr>WorkerTrips SCS 6-13-16</vt:lpstr>
      <vt:lpstr>Equipment SCS 6-20-16</vt:lpstr>
      <vt:lpstr>Construction Trucks SCS 6-20-16</vt:lpstr>
      <vt:lpstr>WorkerTrips SCS 6-20-16</vt:lpstr>
      <vt:lpstr>Equipment SCS 6-27-16</vt:lpstr>
      <vt:lpstr>Construction Trucks SCS 6-27-16</vt:lpstr>
      <vt:lpstr>WorkerTrips SCS 6-27-16</vt:lpstr>
      <vt:lpstr>Equipment SCS 7-4-16</vt:lpstr>
      <vt:lpstr>Construction Trucks SCS 7-4-16</vt:lpstr>
      <vt:lpstr>WorkerTrips SCS 7-4-16</vt:lpstr>
      <vt:lpstr>Equipment SCS 7-11-16</vt:lpstr>
      <vt:lpstr>Construction Trucks SCS 7-11-16</vt:lpstr>
      <vt:lpstr>WorkerTrips SCS 7-11-16</vt:lpstr>
      <vt:lpstr>Equipment SCS 7-18-16</vt:lpstr>
      <vt:lpstr>Construction Trucks SCS 7-18-16</vt:lpstr>
      <vt:lpstr>WorkerTrips SCS 7-18-16</vt:lpstr>
      <vt:lpstr>Equipment SCS 7-25-16</vt:lpstr>
      <vt:lpstr>Construction Trucks SCS 7-25-16</vt:lpstr>
      <vt:lpstr>WorkerTrips SCS 7-25-16</vt:lpstr>
      <vt:lpstr>Equipment SCS 8-1-16</vt:lpstr>
      <vt:lpstr>Construction Trucks SCS 8-1-16</vt:lpstr>
      <vt:lpstr>WorkerTrips SCS 8-1-16</vt:lpstr>
      <vt:lpstr>Equipment SCS 8-8-16</vt:lpstr>
      <vt:lpstr>Construction Trucks SCS 8-8-16</vt:lpstr>
      <vt:lpstr>WorkerTrips SCS 8-8-16</vt:lpstr>
      <vt:lpstr>Equipment SCS 8-15-16</vt:lpstr>
      <vt:lpstr>Construction Trucks SCS 8-15-16</vt:lpstr>
      <vt:lpstr>WorkerTrips SCS 8-15-16</vt:lpstr>
      <vt:lpstr>Equipment SCS 8-22-16</vt:lpstr>
      <vt:lpstr>Construction Trucks SCS 8-22-16</vt:lpstr>
      <vt:lpstr>WorkerTrips SCS 8-22-16</vt:lpstr>
      <vt:lpstr>Equipment SCS 8-29-16</vt:lpstr>
      <vt:lpstr>Construction Trucks SCS 8-29-16</vt:lpstr>
      <vt:lpstr>WorkerTrips SCS 8-29-16</vt:lpstr>
      <vt:lpstr>Equipment SCS 9-5-16</vt:lpstr>
      <vt:lpstr>Construction Trucks SCS 9-5-16</vt:lpstr>
      <vt:lpstr>WorkerTrips SCS 9-5-16</vt:lpstr>
      <vt:lpstr>Equipment SCS 9-12-16</vt:lpstr>
      <vt:lpstr>Construction Trucks SCS 9-12-16</vt:lpstr>
      <vt:lpstr>WorkerTrips SCS 9-12-16</vt:lpstr>
      <vt:lpstr>Equipment SCS 9-19-16</vt:lpstr>
      <vt:lpstr>Construction Trucks SCS 9-19-16</vt:lpstr>
      <vt:lpstr>WorkerTrips SCS 9-19-16</vt:lpstr>
      <vt:lpstr>Equipment SCS 9-26-16</vt:lpstr>
      <vt:lpstr>Construction Trucks SCS 9-26-16</vt:lpstr>
      <vt:lpstr>WorkerTrips SCS 9-26-16</vt:lpstr>
      <vt:lpstr>Equipment SCS 10-3-16</vt:lpstr>
      <vt:lpstr>Construction Trucks SCS 10-3-16</vt:lpstr>
      <vt:lpstr>WorkerTrips SCS 10-3-16</vt:lpstr>
      <vt:lpstr>Equipment SCS 10-10-16</vt:lpstr>
      <vt:lpstr>Construction Truck SCS 10-10-16</vt:lpstr>
      <vt:lpstr>WorkerTrips SCS 10-10-16</vt:lpstr>
      <vt:lpstr>Equipment SCS 10-17-16</vt:lpstr>
      <vt:lpstr>Construction Truck SCS 10-17-16</vt:lpstr>
      <vt:lpstr>WorkerTrips SCS 10-17-16</vt:lpstr>
      <vt:lpstr>Equipment SCS 10-24-16</vt:lpstr>
      <vt:lpstr>Construction Truck SCS 10-24-16</vt:lpstr>
      <vt:lpstr>WorkerTrips SCS 10-24-16</vt:lpstr>
      <vt:lpstr>Equipment SCS 10-31-16</vt:lpstr>
      <vt:lpstr>Construction Truck SCS 10-31-16</vt:lpstr>
      <vt:lpstr>WorkerTrips SCS 10-31-16</vt:lpstr>
      <vt:lpstr>Equipment SCS 11-7-16</vt:lpstr>
      <vt:lpstr>Construction Truck SCS 11-7-16</vt:lpstr>
      <vt:lpstr>WorkerTrips SCS 11-7-16</vt:lpstr>
      <vt:lpstr>Equipment SCS 11-14-16</vt:lpstr>
      <vt:lpstr>Construction Truck SCS 11-14-16</vt:lpstr>
      <vt:lpstr>WorkerTrips SCS 11-14-16</vt:lpstr>
      <vt:lpstr>Equipment SCS 11-21-16</vt:lpstr>
      <vt:lpstr>Construction Truck SCS 11-21-16</vt:lpstr>
      <vt:lpstr>WorkerTrips SCS 11-21-16</vt:lpstr>
      <vt:lpstr>Equipment SCS 11-28-16</vt:lpstr>
      <vt:lpstr>Construction Truck SCS 11-28-16</vt:lpstr>
      <vt:lpstr>WorkerTrips SCS 11-28-16</vt:lpstr>
      <vt:lpstr>Equipment SCS 12-5-16</vt:lpstr>
      <vt:lpstr>Construction Truck SCS 12-5-16</vt:lpstr>
      <vt:lpstr>WorkerTrips SCS 12-5-16</vt:lpstr>
      <vt:lpstr>Equipment SCS 12-12-16</vt:lpstr>
      <vt:lpstr>Construction Truck SCS 12-12-16</vt:lpstr>
      <vt:lpstr>WorkerTrips SCS 12-12-16</vt:lpstr>
      <vt:lpstr>Equipment SCS 12-19-16</vt:lpstr>
      <vt:lpstr>Construction Truck SCS 12-19-16</vt:lpstr>
      <vt:lpstr>WorkerTrips SCS 12-19-16</vt:lpstr>
      <vt:lpstr>Equipment SCS 12-26-16</vt:lpstr>
      <vt:lpstr>Construction Truck SCS 12-26-16</vt:lpstr>
      <vt:lpstr>WorkerTrips SCS 12-26-16</vt:lpstr>
      <vt:lpstr>Equipment SCS 1-2-17</vt:lpstr>
      <vt:lpstr>Construction Trucks SCS 1-2-17</vt:lpstr>
      <vt:lpstr>WorkerTrips SCS 1-2-17</vt:lpstr>
      <vt:lpstr>Equipment SCS 1-9-17</vt:lpstr>
      <vt:lpstr>Construction Trucks SCS 1-9-17</vt:lpstr>
      <vt:lpstr>WorkerTrips SCS 1-9-17</vt:lpstr>
      <vt:lpstr>Equipment SCS 1-16-17</vt:lpstr>
      <vt:lpstr>Construction Trucks SCS 1-16-17</vt:lpstr>
      <vt:lpstr>WorkerTrips SCS 1-16-17</vt:lpstr>
      <vt:lpstr>Equipment SCS 1-23-17</vt:lpstr>
      <vt:lpstr>Construction Trucks SCS 1-23-17</vt:lpstr>
      <vt:lpstr>WorkerTrips SCS 1-23-17</vt:lpstr>
      <vt:lpstr>Equipment SCS 1-30-17</vt:lpstr>
      <vt:lpstr>Construction Trucks SCS 1-30-17</vt:lpstr>
      <vt:lpstr>WorkerTrips SCS 1-30-17</vt:lpstr>
      <vt:lpstr>Equipment SCS 2-6-17</vt:lpstr>
      <vt:lpstr>Construction Trucks SCS 2-6-17</vt:lpstr>
      <vt:lpstr>WorkerTrips SCS 2-6-17</vt:lpstr>
      <vt:lpstr>Equipment SCS 2-13-17</vt:lpstr>
      <vt:lpstr>Construction Trucks SCS 2-13-17</vt:lpstr>
      <vt:lpstr>WorkerTrips SCS 2-13-17</vt:lpstr>
      <vt:lpstr>Equipment SCS 2-20-17</vt:lpstr>
      <vt:lpstr>Construction Trucks SCS 2-20-17</vt:lpstr>
      <vt:lpstr>WorkerTrips SCS 2-20-17</vt:lpstr>
      <vt:lpstr>Equipment SCS 2-27-17</vt:lpstr>
      <vt:lpstr>Construction Trucks SCS 2-27-17</vt:lpstr>
      <vt:lpstr>WorkerTrips SCS 2-27-17</vt:lpstr>
      <vt:lpstr>Equipment SCS 3-6-17</vt:lpstr>
      <vt:lpstr>Construction Trucks SCS 3-6-17</vt:lpstr>
      <vt:lpstr>WorkerTrips SCS 3-6-17</vt:lpstr>
      <vt:lpstr>Equipment SCS 3-13-17</vt:lpstr>
      <vt:lpstr>Construction Trucks SCS 3-13-17</vt:lpstr>
      <vt:lpstr>WorkerTrips SCS 3-13-17</vt:lpstr>
      <vt:lpstr>Equipment SCS 3-20-17</vt:lpstr>
      <vt:lpstr>Construction Trucks SCS 3-20-17</vt:lpstr>
      <vt:lpstr>WorkerTrips SCS 3-20-17</vt:lpstr>
      <vt:lpstr>Equipment SCS 3-27-17</vt:lpstr>
      <vt:lpstr>Construction Truck SCS 3-20-17</vt:lpstr>
      <vt:lpstr>WorkerTrip SCS 3-20-17</vt:lpstr>
      <vt:lpstr>Equipment SCS 3-27-17a</vt:lpstr>
      <vt:lpstr>Construction Truck SCS 3-27-17</vt:lpstr>
      <vt:lpstr>WorkerTrip SCS 3-27-17</vt:lpstr>
      <vt:lpstr>Equipment SCS 4-3-17</vt:lpstr>
      <vt:lpstr>Construction Trucks SCS 4-3-17</vt:lpstr>
      <vt:lpstr>WorkerTrips SCS 4-3-17</vt:lpstr>
      <vt:lpstr>Equipment SCS 4-10-17</vt:lpstr>
      <vt:lpstr>Construction Trucks SCS 4-10-17</vt:lpstr>
      <vt:lpstr>WorkerTrips SCS 4-10-17</vt:lpstr>
      <vt:lpstr>Equipment SCS 4-17-17</vt:lpstr>
      <vt:lpstr>Construction Trucks SCS 4-17-17</vt:lpstr>
      <vt:lpstr>WorkerTrips SCS 4-17-17</vt:lpstr>
      <vt:lpstr>Equipment SCS 4-24-17</vt:lpstr>
      <vt:lpstr>Construction Trucks SCS 4-24-17</vt:lpstr>
      <vt:lpstr>WorkerTrips SCS 4-24-17</vt:lpstr>
      <vt:lpstr>Equipment SCS 5-1-17</vt:lpstr>
      <vt:lpstr>Construction Trucks SCS 5-1-17</vt:lpstr>
      <vt:lpstr>WorkerTrips SCS 5-1-17</vt:lpstr>
      <vt:lpstr>Equipment SCS 5-8-17</vt:lpstr>
      <vt:lpstr>Construction Trucks SCS 5-8-17</vt:lpstr>
      <vt:lpstr>WorkerTrips SCS 5-8-17</vt:lpstr>
      <vt:lpstr>Equipment SCS 5-15-17</vt:lpstr>
      <vt:lpstr>Construction Trucks SCS 5-15-17</vt:lpstr>
      <vt:lpstr>WorkerTrips SCS 5-15-17</vt:lpstr>
      <vt:lpstr>Equipment SCS 6-23-17</vt:lpstr>
      <vt:lpstr>Construction Trucks SCS 6-23-17</vt:lpstr>
      <vt:lpstr>WorkerTrips SCS 6-23-17</vt:lpstr>
      <vt:lpstr>Equipment SCS 6-30-17</vt:lpstr>
      <vt:lpstr>Construction Trucks SCS 6-30-17</vt:lpstr>
      <vt:lpstr>WorkerTrips SCS 6-30-17</vt:lpstr>
      <vt:lpstr>Helicopters</vt:lpstr>
      <vt:lpstr>Helicopter EF</vt:lpstr>
      <vt:lpstr>Equipment 69kV 415-513</vt:lpstr>
      <vt:lpstr>Trucks 69kV 415-513</vt:lpstr>
      <vt:lpstr>WorkerTrips 69kV 415-513</vt:lpstr>
      <vt:lpstr>Equipment 69kV 514-716</vt:lpstr>
      <vt:lpstr>Trucks 69kV 514-716</vt:lpstr>
      <vt:lpstr>WorkerTrips 69kV 514-716</vt:lpstr>
      <vt:lpstr>Equipment 69kV 7-16-16</vt:lpstr>
      <vt:lpstr>Trucks 69kV 7-16-16</vt:lpstr>
      <vt:lpstr>WorkerTrips 69kV 7-16-16</vt:lpstr>
      <vt:lpstr>Equipment 69kV 723-827</vt:lpstr>
      <vt:lpstr>Trucks 69kV 723-827</vt:lpstr>
      <vt:lpstr>WorkerTrips 69kV 723-827</vt:lpstr>
      <vt:lpstr>Equipment 69kV 827-1119</vt:lpstr>
      <vt:lpstr>Trucks 69kV 827-1119</vt:lpstr>
      <vt:lpstr>WorkerTrips 69kV 827-1119</vt:lpstr>
      <vt:lpstr>Equipment 69kV 11-19-16</vt:lpstr>
      <vt:lpstr>Trucks 69kV 11-19-16</vt:lpstr>
      <vt:lpstr>WorkerTrips 69kV 11-19-16</vt:lpstr>
      <vt:lpstr>Equipment 69kV 11-26-16</vt:lpstr>
      <vt:lpstr>Trucks 69kV 11-26-16</vt:lpstr>
      <vt:lpstr>WorkerTrips 69kV 11-26-16</vt:lpstr>
      <vt:lpstr>Equipment 69kV 12-3-16</vt:lpstr>
      <vt:lpstr>Trucks 69kV 12-3-16</vt:lpstr>
      <vt:lpstr>WorkerTrips 69kV 12-3-16</vt:lpstr>
      <vt:lpstr>Equipment 69kV 12-10-16</vt:lpstr>
      <vt:lpstr>Trucks 69kV 12-10-16</vt:lpstr>
      <vt:lpstr>WorkerTrips 69kV 12-10-16</vt:lpstr>
      <vt:lpstr>Equipment 69kV 12-17-16</vt:lpstr>
      <vt:lpstr>Trucks 69kV 12-17-16</vt:lpstr>
      <vt:lpstr>WorkerTrips 69kV 12-17-16</vt:lpstr>
      <vt:lpstr>Equipment 69kV 12-24-16</vt:lpstr>
      <vt:lpstr>Trucks 69kV 12-24-16</vt:lpstr>
      <vt:lpstr>WorkerTrips 69kV 12-24-16</vt:lpstr>
      <vt:lpstr>Equipment 69kV 12-31-16</vt:lpstr>
      <vt:lpstr>Trucks 69kV 12-31-16</vt:lpstr>
      <vt:lpstr>WorkerTrips 69kV 12-31-16</vt:lpstr>
      <vt:lpstr>Equipment 69kV 1-2-17</vt:lpstr>
      <vt:lpstr>Trucks 69kV 1-2-17</vt:lpstr>
      <vt:lpstr>WorkerTrips 69kV 1-2-17</vt:lpstr>
      <vt:lpstr>Equipment 69kV 1-9-17</vt:lpstr>
      <vt:lpstr>Trucks 69kV 1-9-17</vt:lpstr>
      <vt:lpstr>WorkerTrips 69kV 1-9-17</vt:lpstr>
      <vt:lpstr>Equipment 69kV 1-30-17</vt:lpstr>
      <vt:lpstr>Trucks 69kV 1-30-17</vt:lpstr>
      <vt:lpstr>WorkerTrips 69kV 1-30-17</vt:lpstr>
      <vt:lpstr>Equipment 69kV 2-6-17</vt:lpstr>
      <vt:lpstr>Trucks 69kV 2-6-17</vt:lpstr>
      <vt:lpstr>WorkerTrips 69kV 2-6-17</vt:lpstr>
      <vt:lpstr>Equipment 69kV 2-13-17</vt:lpstr>
      <vt:lpstr>Trucks 69kV 2-13-17</vt:lpstr>
      <vt:lpstr>WorkerTrips 69kV 2-13-17</vt:lpstr>
      <vt:lpstr>Equipment TL6910 6-6-16</vt:lpstr>
      <vt:lpstr>Trucks TL6910 6-6-16</vt:lpstr>
      <vt:lpstr>WorkerTrips TL6910 6-6-16</vt:lpstr>
      <vt:lpstr>Equipment TL6910 6-13-16</vt:lpstr>
      <vt:lpstr>Trucks TL6910 6-13-16</vt:lpstr>
      <vt:lpstr>WorkerTrips TL6910 6-13-16</vt:lpstr>
      <vt:lpstr>Equipment TL6910 6-20-16</vt:lpstr>
      <vt:lpstr>Trucks TL6910 6-20-16</vt:lpstr>
      <vt:lpstr>WorkerTrips TL6910 6-20-16</vt:lpstr>
      <vt:lpstr>Equipment TL6910 8-8-16</vt:lpstr>
      <vt:lpstr>Trucks TL6910 8-8-16</vt:lpstr>
      <vt:lpstr>WorkerTrips TL6910 8-8-16</vt:lpstr>
      <vt:lpstr>Equipment TL6910 12-5-16</vt:lpstr>
      <vt:lpstr>Trucks TL6910 12-5-16</vt:lpstr>
      <vt:lpstr>WorkerTrips TL6910 12-5-16</vt:lpstr>
      <vt:lpstr>Equipment TL6910 12-12-16</vt:lpstr>
      <vt:lpstr>Trucks TL6910 12-12-16</vt:lpstr>
      <vt:lpstr>WorkerTrips TL6910 12-12-16</vt:lpstr>
      <vt:lpstr>Equipment TL6910 12-19-16</vt:lpstr>
      <vt:lpstr>Trucks TL6910 12-19-16</vt:lpstr>
      <vt:lpstr>WorkerTrips TL6910 12-19-16</vt:lpstr>
      <vt:lpstr>Equipment TL6910 12-26-16</vt:lpstr>
      <vt:lpstr>Trucks TL6910 12-26-16</vt:lpstr>
      <vt:lpstr>WorkerTrips TL6910 12-26-16</vt:lpstr>
      <vt:lpstr>Equipment TL6910 1-2-17</vt:lpstr>
      <vt:lpstr>Trucks TL6910 1-2-17</vt:lpstr>
      <vt:lpstr>WorkerTrips TL6910 1-2-17</vt:lpstr>
      <vt:lpstr>Equipment TL6910 1-16-17</vt:lpstr>
      <vt:lpstr>Trucks TL6910 1-16-17</vt:lpstr>
      <vt:lpstr>WorkerTrips TL6910 1-16-17</vt:lpstr>
      <vt:lpstr>Equipment TL6910 1-23-17</vt:lpstr>
      <vt:lpstr>Trucks TL6910 1-23-17</vt:lpstr>
      <vt:lpstr>WorkerTrips TL6910 1-23-17</vt:lpstr>
      <vt:lpstr>Equipment 12kV Dist 920-129</vt:lpstr>
      <vt:lpstr>Trucks 12kV Dist 920-129</vt:lpstr>
      <vt:lpstr>WorkerTrips 12kV Dist 920-129</vt:lpstr>
      <vt:lpstr>Equipment 12kV Dist 422-58</vt:lpstr>
      <vt:lpstr>Trucks 12kV Dist 422-58</vt:lpstr>
      <vt:lpstr>WorkerTrips 12kV Dist 422-58</vt:lpstr>
      <vt:lpstr>Equipment Miguel Sub 8-1-16</vt:lpstr>
      <vt:lpstr>Trucks Miguel Sub 8-1-16</vt:lpstr>
      <vt:lpstr>WorkerTrips Miguel Sub 8-1-16</vt:lpstr>
      <vt:lpstr>Equipment Miguel Sub 8-8-16</vt:lpstr>
      <vt:lpstr>Trucks Miguel Sub 8-8-16</vt:lpstr>
      <vt:lpstr>WorkerTrips Miguel Sub 8-8-16</vt:lpstr>
      <vt:lpstr>Equipment Miguel Sub 8-15-16</vt:lpstr>
      <vt:lpstr>Trucks Miguel Sub 8-15-16</vt:lpstr>
      <vt:lpstr>WorkerTrips Miguel Sub 8-15-16</vt:lpstr>
      <vt:lpstr>Equipment Miguel Sub 8-23-16</vt:lpstr>
      <vt:lpstr>Trucks Miguel Sub 8-23-16</vt:lpstr>
      <vt:lpstr>WorkerTrips Miguel Sub 8-23-16</vt:lpstr>
      <vt:lpstr>Equipment Miguel Sub 8-30-16</vt:lpstr>
      <vt:lpstr>Trucks Miguel Sub 8-30-16</vt:lpstr>
      <vt:lpstr>WorkerTrips Miguel Sub 8-30-16</vt:lpstr>
      <vt:lpstr>Equipment Miguel Sub 9-5-16</vt:lpstr>
      <vt:lpstr>Trucks Miguel Sub 9-5-16</vt:lpstr>
      <vt:lpstr>WorkerTrips Miguel Sub 9-5-16</vt:lpstr>
      <vt:lpstr>Equipment Miguel Sub 9-12-16</vt:lpstr>
      <vt:lpstr>Trucks Miguel Sub 9-12-16</vt:lpstr>
      <vt:lpstr>WorkerTrips Miguel Sub 9-12-16</vt:lpstr>
      <vt:lpstr>Equipment Miguel Sub 9-19-16</vt:lpstr>
      <vt:lpstr>Trucks Miguel Sub 9-19-16</vt:lpstr>
      <vt:lpstr>WorkerTrips Miguel Sub 9-19-16</vt:lpstr>
      <vt:lpstr>Equipment Miguel Sub 9-26-16</vt:lpstr>
      <vt:lpstr>Trucks Miguel Sub 9-26-16</vt:lpstr>
      <vt:lpstr>WorkerTrips Miguel Sub 9-26-16</vt:lpstr>
      <vt:lpstr>Equipment Miguel Sub 10-3-16</vt:lpstr>
      <vt:lpstr>Trucks Miguel Sub 10-3-16</vt:lpstr>
      <vt:lpstr>WorkerTrips Miguel Sub 10-3-16</vt:lpstr>
      <vt:lpstr>Equipment Miguel Sub 10-10-16</vt:lpstr>
      <vt:lpstr>Trucks Miguel Sub 10-10-16</vt:lpstr>
      <vt:lpstr>WorkerTrips Miguel Sub 10-10-16</vt:lpstr>
      <vt:lpstr>Equipment Miguel Sub 10-17-16</vt:lpstr>
      <vt:lpstr>Trucks Miguel Sub 10-17-16</vt:lpstr>
      <vt:lpstr>WorkerTrips Miguel Sub 10-17-16</vt:lpstr>
      <vt:lpstr>Equipment Miguel Sub 10-24-16</vt:lpstr>
      <vt:lpstr>Trucks Miguel Sub 10-24-16</vt:lpstr>
      <vt:lpstr>WorkerTrips Miguel Sub 10-24-16</vt:lpstr>
      <vt:lpstr>Equipment Miguel Sub 10-31-16</vt:lpstr>
      <vt:lpstr>Trucks Miguel Sub 10-31-16</vt:lpstr>
      <vt:lpstr>WorkerTrips Miguel Sub 10-31-16</vt:lpstr>
      <vt:lpstr>Equipment Miguel Sub 11-7-16</vt:lpstr>
      <vt:lpstr>Trucks Miguel Sub 11-7-16</vt:lpstr>
      <vt:lpstr>WorkerTrips Miguel Sub 11-7-16</vt:lpstr>
      <vt:lpstr>Equipment Miguel Sub 11-14-16</vt:lpstr>
      <vt:lpstr>Trucks Miguel Sub 11-14-16</vt:lpstr>
      <vt:lpstr>WorkerTrips Miguel Sub 11-14-16</vt:lpstr>
      <vt:lpstr>Equipment Miguel Sub 11-21-16</vt:lpstr>
      <vt:lpstr>Trucks Miguel Sub 11-21-16</vt:lpstr>
      <vt:lpstr>WorkerTrips Miguel Sub 11-21-16</vt:lpstr>
      <vt:lpstr>Equipment Miguel 5-21-17</vt:lpstr>
      <vt:lpstr>Construction Truck Mig 5-21-17</vt:lpstr>
      <vt:lpstr>WorkerTrips Mguel 5-21-17</vt:lpstr>
      <vt:lpstr>Equipment Miguel 6-23-17</vt:lpstr>
      <vt:lpstr>Construction Truck Mig 6-23-17</vt:lpstr>
      <vt:lpstr>WorkerTrips Miguel 6-23-17</vt:lpstr>
      <vt:lpstr>Equipment Miguel 6-30-17</vt:lpstr>
      <vt:lpstr>Construction Truck Mig 6-30-17</vt:lpstr>
      <vt:lpstr>WorkerTrips Miguel 6-30-17</vt:lpstr>
      <vt:lpstr>Equipment AC Mitigation</vt:lpstr>
      <vt:lpstr>Construction AC Mitigation</vt:lpstr>
      <vt:lpstr>WorkerTrips AC Mitigation</vt:lpstr>
      <vt:lpstr>Fugitive Dust AC Mitigation</vt:lpstr>
      <vt:lpstr>Summary NOx</vt:lpstr>
      <vt:lpstr>Offroad Tiers EF (2)</vt:lpstr>
      <vt:lpstr>Offroad Tiers LF</vt:lpstr>
      <vt:lpstr>Summary GHGs</vt:lpstr>
      <vt:lpstr>Fugitive Dust SC Substation</vt:lpstr>
      <vt:lpstr>Fugitive Dust M Substation (2)</vt:lpstr>
      <vt:lpstr>'Helicopter EF'!Print_Area</vt:lpstr>
      <vt:lpstr>Helicopters!Print_Area</vt:lpstr>
      <vt:lpstr>'Helicopter EF'!Print_Titles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Valorie Thompson</dc:creator>
  <cp:lastModifiedBy>SRA</cp:lastModifiedBy>
  <cp:lastPrinted>2012-09-17T22:44:53Z</cp:lastPrinted>
  <dcterms:created xsi:type="dcterms:W3CDTF">2010-04-13T18:46:58Z</dcterms:created>
  <dcterms:modified xsi:type="dcterms:W3CDTF">2015-03-16T23:54:22Z</dcterms:modified>
</cp:coreProperties>
</file>